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theba\Dropbox\"/>
    </mc:Choice>
  </mc:AlternateContent>
  <xr:revisionPtr revIDLastSave="0" documentId="8_{D10402EF-0DEE-4364-9316-5D4A384F0298}" xr6:coauthVersionLast="47" xr6:coauthVersionMax="47" xr10:uidLastSave="{00000000-0000-0000-0000-000000000000}"/>
  <bookViews>
    <workbookView xWindow="-120" yWindow="-120" windowWidth="38640" windowHeight="21120" tabRatio="748" activeTab="1" xr2:uid="{8D3C8A10-DDA5-4706-844C-4158B33E9BAB}"/>
  </bookViews>
  <sheets>
    <sheet name="CATEGORIE" sheetId="48" r:id="rId1"/>
    <sheet name="BILANCIO" sheetId="1" r:id="rId2"/>
    <sheet name="PRELIEVI CONTANTI" sheetId="15" state="hidden" r:id="rId3"/>
    <sheet name="Dettaglio Spese Generiche CC" sheetId="2" r:id="rId4"/>
    <sheet name="Spese Generiche BANCOMAT " sheetId="12" r:id="rId5"/>
    <sheet name="Analisi Spese Generiche CC" sheetId="3" r:id="rId6"/>
    <sheet name="Analisi Spese Generiche CC 2" sheetId="18" state="hidden" r:id="rId7"/>
    <sheet name="Analisi Spese Generiche Carta" sheetId="19" r:id="rId8"/>
    <sheet name="Analisi Spese Generiche Conto" sheetId="27" r:id="rId9"/>
    <sheet name="Valutazione Spese e Risparmi" sheetId="41" state="hidden" r:id="rId10"/>
    <sheet name="Abbonamenti Mensili" sheetId="40" state="hidden" r:id="rId11"/>
    <sheet name="Dettaglio Spese puntuale" sheetId="22" state="hidden" r:id="rId12"/>
    <sheet name="Valutazioni" sheetId="10" state="hidden" r:id="rId13"/>
    <sheet name="Gestione finanziamenti" sheetId="9" r:id="rId14"/>
    <sheet name="Valutazione Rientro Prestiti" sheetId="42" r:id="rId15"/>
    <sheet name="ANALISI CONSUMI GAS ENERGIA" sheetId="11" r:id="rId16"/>
    <sheet name="Analisi Spese Cointestato" sheetId="8" r:id="rId17"/>
    <sheet name="SPESE COINTESTATO" sheetId="6" r:id="rId18"/>
    <sheet name="SPESE MENSILI MACCHINA" sheetId="5" state="hidden" r:id="rId19"/>
    <sheet name="DATE" sheetId="4" state="hidden" r:id="rId20"/>
    <sheet name="Riepilogo Spese BANCOMAT" sheetId="29" state="hidden" r:id="rId21"/>
    <sheet name="Riepilogo Mensile BANCOMAT" sheetId="33" state="hidden" r:id="rId22"/>
    <sheet name="Riepilogo Mensile Spese CC" sheetId="35" state="hidden" r:id="rId23"/>
    <sheet name="Riepilogo Saldo LUCA" sheetId="38" state="hidden" r:id="rId24"/>
  </sheets>
  <definedNames>
    <definedName name="_xlnm._FilterDatabase" localSheetId="7" hidden="1">'Analisi Spese Generiche Carta'!$L$4:$Q$4</definedName>
    <definedName name="_xlnm._FilterDatabase" localSheetId="3" hidden="1">'Dettaglio Spese Generiche CC'!$A$1:$L$2795</definedName>
    <definedName name="_xlnm._FilterDatabase" localSheetId="17" hidden="1">'SPESE COINTESTATO'!$A$1:$AD$464</definedName>
    <definedName name="_xlnm._FilterDatabase" localSheetId="4" hidden="1">'Spese Generiche BANCOMAT '!$A$1:$L$315</definedName>
    <definedName name="_xlnm.Print_Area" localSheetId="13">'Gestione finanziamenti'!#REF!</definedName>
    <definedName name="DATA">DATE!$D$2:$D$110</definedName>
    <definedName name="DettagliospesegenericheBA">'Spese Generiche BANCOMAT '!$A:$G</definedName>
    <definedName name="DettagliospesegenericheCC">'Dettaglio Spese Generiche CC'!$A:$G</definedName>
    <definedName name="TabellaColori">CATEGORIE!$D$6:$E$17</definedName>
    <definedName name="TABELLASPESE" localSheetId="4">'Spese Generiche BANCOMAT '!#REF!</definedName>
    <definedName name="TABELLASPESE">'Dettaglio Spese Generiche CC'!#REF!</definedName>
    <definedName name="TAGLIARIFORNIMENTO">'SPESE MENSILI MACCHINA'!$C$37:$C$58</definedName>
  </definedNames>
  <calcPr calcId="191028"/>
  <pivotCaches>
    <pivotCache cacheId="0" r:id="rId25"/>
    <pivotCache cacheId="10" r:id="rId26"/>
    <pivotCache cacheId="17" r:id="rId27"/>
    <pivotCache cacheId="23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25" i="1" l="1"/>
  <c r="DA25" i="1"/>
  <c r="CZ25" i="1"/>
  <c r="CY25" i="1"/>
  <c r="CY28" i="1"/>
  <c r="CX28" i="1"/>
  <c r="CW28" i="1"/>
  <c r="CX25" i="1"/>
  <c r="H8" i="12"/>
  <c r="H2" i="12"/>
  <c r="E2" i="12"/>
  <c r="D2" i="12"/>
  <c r="F2" i="12" s="1"/>
  <c r="H3" i="12"/>
  <c r="E3" i="12"/>
  <c r="D3" i="12"/>
  <c r="H4" i="12"/>
  <c r="E4" i="12"/>
  <c r="D4" i="12"/>
  <c r="H5" i="12"/>
  <c r="E5" i="12"/>
  <c r="D5" i="12"/>
  <c r="H6" i="12"/>
  <c r="E6" i="12"/>
  <c r="D6" i="12"/>
  <c r="CX24" i="1"/>
  <c r="H7" i="12"/>
  <c r="E7" i="12"/>
  <c r="D7" i="12"/>
  <c r="E8" i="12"/>
  <c r="D8" i="12"/>
  <c r="H9" i="12"/>
  <c r="E9" i="12"/>
  <c r="D9" i="12"/>
  <c r="H10" i="12"/>
  <c r="E10" i="12"/>
  <c r="D10" i="12"/>
  <c r="H11" i="12"/>
  <c r="E11" i="12"/>
  <c r="D11" i="12"/>
  <c r="H12" i="12"/>
  <c r="E12" i="12"/>
  <c r="D12" i="12"/>
  <c r="CY11" i="1"/>
  <c r="CX16" i="1"/>
  <c r="H13" i="12"/>
  <c r="E13" i="12"/>
  <c r="D13" i="12"/>
  <c r="H20" i="2"/>
  <c r="CY30" i="1"/>
  <c r="H8" i="2"/>
  <c r="E8" i="2"/>
  <c r="D8" i="2"/>
  <c r="F8" i="2" s="1"/>
  <c r="H2" i="2"/>
  <c r="E2" i="2"/>
  <c r="D2" i="2"/>
  <c r="F2" i="2" s="1"/>
  <c r="H3" i="2"/>
  <c r="E3" i="2"/>
  <c r="D3" i="2"/>
  <c r="F3" i="2" s="1"/>
  <c r="H4" i="2"/>
  <c r="E4" i="2"/>
  <c r="D4" i="2"/>
  <c r="F4" i="2" s="1"/>
  <c r="H5" i="2"/>
  <c r="E5" i="2"/>
  <c r="D5" i="2"/>
  <c r="H6" i="2"/>
  <c r="E6" i="2"/>
  <c r="D6" i="2"/>
  <c r="F6" i="2" s="1"/>
  <c r="H7" i="2"/>
  <c r="E7" i="2"/>
  <c r="D7" i="2"/>
  <c r="F7" i="2" s="1"/>
  <c r="H9" i="2"/>
  <c r="E9" i="2"/>
  <c r="D9" i="2"/>
  <c r="F9" i="2" s="1"/>
  <c r="H10" i="2"/>
  <c r="E10" i="2"/>
  <c r="D10" i="2"/>
  <c r="F10" i="2" s="1"/>
  <c r="H11" i="2"/>
  <c r="E11" i="2"/>
  <c r="D11" i="2"/>
  <c r="F11" i="2" s="1"/>
  <c r="H12" i="2"/>
  <c r="E12" i="2"/>
  <c r="D12" i="2"/>
  <c r="F12" i="2" s="1"/>
  <c r="H13" i="2"/>
  <c r="E13" i="2"/>
  <c r="D13" i="2"/>
  <c r="F13" i="2" s="1"/>
  <c r="H14" i="2"/>
  <c r="E14" i="2"/>
  <c r="D14" i="2"/>
  <c r="F14" i="2" s="1"/>
  <c r="H15" i="2"/>
  <c r="E15" i="2"/>
  <c r="D15" i="2"/>
  <c r="F15" i="2" s="1"/>
  <c r="H16" i="2"/>
  <c r="E16" i="2"/>
  <c r="D16" i="2"/>
  <c r="F16" i="2" s="1"/>
  <c r="H17" i="2"/>
  <c r="E17" i="2"/>
  <c r="D17" i="2"/>
  <c r="F17" i="2" s="1"/>
  <c r="H18" i="2"/>
  <c r="E18" i="2"/>
  <c r="D18" i="2"/>
  <c r="F18" i="2" s="1"/>
  <c r="H19" i="2"/>
  <c r="E19" i="2"/>
  <c r="D19" i="2"/>
  <c r="F19" i="2" s="1"/>
  <c r="E20" i="2"/>
  <c r="D20" i="2"/>
  <c r="H21" i="2"/>
  <c r="E21" i="2"/>
  <c r="D21" i="2"/>
  <c r="H22" i="2"/>
  <c r="E22" i="2"/>
  <c r="D22" i="2"/>
  <c r="H23" i="2"/>
  <c r="E23" i="2"/>
  <c r="D23" i="2"/>
  <c r="H24" i="2"/>
  <c r="E24" i="2"/>
  <c r="D24" i="2"/>
  <c r="H26" i="2"/>
  <c r="E26" i="2"/>
  <c r="D26" i="2"/>
  <c r="H27" i="2"/>
  <c r="E27" i="2"/>
  <c r="D27" i="2"/>
  <c r="H28" i="2"/>
  <c r="E28" i="2"/>
  <c r="D28" i="2"/>
  <c r="H29" i="2"/>
  <c r="E29" i="2"/>
  <c r="D29" i="2"/>
  <c r="H30" i="2"/>
  <c r="E30" i="2"/>
  <c r="D30" i="2"/>
  <c r="H25" i="2"/>
  <c r="E25" i="2"/>
  <c r="D25" i="2"/>
  <c r="CW16" i="1"/>
  <c r="H14" i="12"/>
  <c r="E14" i="12"/>
  <c r="D14" i="12"/>
  <c r="H15" i="12"/>
  <c r="E15" i="12"/>
  <c r="D15" i="12"/>
  <c r="H16" i="12"/>
  <c r="E16" i="12"/>
  <c r="D16" i="12"/>
  <c r="H17" i="12"/>
  <c r="E17" i="12"/>
  <c r="D17" i="12"/>
  <c r="H18" i="12"/>
  <c r="E18" i="12"/>
  <c r="D18" i="12"/>
  <c r="CW24" i="1"/>
  <c r="H31" i="2"/>
  <c r="E31" i="2"/>
  <c r="D31" i="2"/>
  <c r="H32" i="2"/>
  <c r="E32" i="2"/>
  <c r="D32" i="2"/>
  <c r="H33" i="2"/>
  <c r="E33" i="2"/>
  <c r="D33" i="2"/>
  <c r="H34" i="2"/>
  <c r="E34" i="2"/>
  <c r="D34" i="2"/>
  <c r="H35" i="2"/>
  <c r="E35" i="2"/>
  <c r="D35" i="2"/>
  <c r="H36" i="2"/>
  <c r="E36" i="2"/>
  <c r="D36" i="2"/>
  <c r="H37" i="2"/>
  <c r="E37" i="2"/>
  <c r="D37" i="2"/>
  <c r="H38" i="2"/>
  <c r="E38" i="2"/>
  <c r="D38" i="2"/>
  <c r="H39" i="2"/>
  <c r="E39" i="2"/>
  <c r="D39" i="2"/>
  <c r="H40" i="2"/>
  <c r="E40" i="2"/>
  <c r="D40" i="2"/>
  <c r="H41" i="2"/>
  <c r="E41" i="2"/>
  <c r="D41" i="2"/>
  <c r="H42" i="2"/>
  <c r="E42" i="2"/>
  <c r="D42" i="2"/>
  <c r="H43" i="2"/>
  <c r="E43" i="2"/>
  <c r="D43" i="2"/>
  <c r="H44" i="2"/>
  <c r="E44" i="2"/>
  <c r="D44" i="2"/>
  <c r="H45" i="2"/>
  <c r="E45" i="2"/>
  <c r="D45" i="2"/>
  <c r="H46" i="2"/>
  <c r="E46" i="2"/>
  <c r="D46" i="2"/>
  <c r="H47" i="2"/>
  <c r="E47" i="2"/>
  <c r="D47" i="2"/>
  <c r="H19" i="12"/>
  <c r="E19" i="12"/>
  <c r="D19" i="12"/>
  <c r="H20" i="12"/>
  <c r="E20" i="12"/>
  <c r="D20" i="12"/>
  <c r="H21" i="12"/>
  <c r="E21" i="12"/>
  <c r="D21" i="12"/>
  <c r="H22" i="12"/>
  <c r="E22" i="12"/>
  <c r="D22" i="12"/>
  <c r="H23" i="12"/>
  <c r="E23" i="12"/>
  <c r="D23" i="12"/>
  <c r="H24" i="12"/>
  <c r="E24" i="12"/>
  <c r="D24" i="12"/>
  <c r="H25" i="12"/>
  <c r="E25" i="12"/>
  <c r="D25" i="12"/>
  <c r="H26" i="12"/>
  <c r="E26" i="12"/>
  <c r="D26" i="12"/>
  <c r="H27" i="12"/>
  <c r="E27" i="12"/>
  <c r="D27" i="12"/>
  <c r="H28" i="12"/>
  <c r="E28" i="12"/>
  <c r="D28" i="12"/>
  <c r="H29" i="12"/>
  <c r="E29" i="12"/>
  <c r="D29" i="12"/>
  <c r="H30" i="12"/>
  <c r="E30" i="12"/>
  <c r="D30" i="12"/>
  <c r="H48" i="2"/>
  <c r="E48" i="2"/>
  <c r="D48" i="2"/>
  <c r="H49" i="2"/>
  <c r="E49" i="2"/>
  <c r="D49" i="2"/>
  <c r="H50" i="2"/>
  <c r="E50" i="2"/>
  <c r="D50" i="2"/>
  <c r="F50" i="2" s="1"/>
  <c r="H51" i="2"/>
  <c r="E51" i="2"/>
  <c r="D51" i="2"/>
  <c r="H52" i="2"/>
  <c r="E52" i="2"/>
  <c r="D52" i="2"/>
  <c r="H53" i="2"/>
  <c r="E53" i="2"/>
  <c r="D53" i="2"/>
  <c r="H54" i="2"/>
  <c r="E54" i="2"/>
  <c r="D54" i="2"/>
  <c r="H55" i="2"/>
  <c r="E55" i="2"/>
  <c r="D55" i="2"/>
  <c r="H56" i="2"/>
  <c r="E56" i="2"/>
  <c r="D56" i="2"/>
  <c r="H57" i="2"/>
  <c r="E57" i="2"/>
  <c r="D57" i="2"/>
  <c r="H58" i="2"/>
  <c r="E58" i="2"/>
  <c r="D58" i="2"/>
  <c r="H59" i="2"/>
  <c r="E59" i="2"/>
  <c r="D59" i="2"/>
  <c r="H60" i="2"/>
  <c r="E60" i="2"/>
  <c r="D60" i="2"/>
  <c r="H67" i="2"/>
  <c r="H61" i="2"/>
  <c r="E61" i="2"/>
  <c r="D61" i="2"/>
  <c r="H62" i="2"/>
  <c r="E62" i="2"/>
  <c r="D62" i="2"/>
  <c r="H63" i="2"/>
  <c r="E63" i="2"/>
  <c r="D63" i="2"/>
  <c r="H64" i="2"/>
  <c r="E64" i="2"/>
  <c r="D64" i="2"/>
  <c r="H65" i="2"/>
  <c r="E65" i="2"/>
  <c r="D65" i="2"/>
  <c r="H66" i="2"/>
  <c r="E66" i="2"/>
  <c r="D66" i="2"/>
  <c r="E67" i="2"/>
  <c r="D67" i="2"/>
  <c r="S19" i="9"/>
  <c r="H34" i="12"/>
  <c r="E34" i="12"/>
  <c r="D34" i="12"/>
  <c r="H38" i="12"/>
  <c r="E38" i="12"/>
  <c r="D38" i="12"/>
  <c r="CV41" i="1"/>
  <c r="CW25" i="1"/>
  <c r="H31" i="12"/>
  <c r="E31" i="12"/>
  <c r="D31" i="12"/>
  <c r="H32" i="12"/>
  <c r="E32" i="12"/>
  <c r="D32" i="12"/>
  <c r="H68" i="2"/>
  <c r="E68" i="2"/>
  <c r="D68" i="2"/>
  <c r="H69" i="2"/>
  <c r="E69" i="2"/>
  <c r="D69" i="2"/>
  <c r="H70" i="2"/>
  <c r="E70" i="2"/>
  <c r="D70" i="2"/>
  <c r="H71" i="2"/>
  <c r="E71" i="2"/>
  <c r="D71" i="2"/>
  <c r="H72" i="2"/>
  <c r="E72" i="2"/>
  <c r="D72" i="2"/>
  <c r="H73" i="2"/>
  <c r="E73" i="2"/>
  <c r="D73" i="2"/>
  <c r="H74" i="2"/>
  <c r="E74" i="2"/>
  <c r="D74" i="2"/>
  <c r="H75" i="2"/>
  <c r="E75" i="2"/>
  <c r="D75" i="2"/>
  <c r="H76" i="2"/>
  <c r="E76" i="2"/>
  <c r="D76" i="2"/>
  <c r="H77" i="2"/>
  <c r="E77" i="2"/>
  <c r="D77" i="2"/>
  <c r="H78" i="2"/>
  <c r="E78" i="2"/>
  <c r="D78" i="2"/>
  <c r="H79" i="2"/>
  <c r="E79" i="2"/>
  <c r="D79" i="2"/>
  <c r="H80" i="2"/>
  <c r="E80" i="2"/>
  <c r="D80" i="2"/>
  <c r="H81" i="2"/>
  <c r="E81" i="2"/>
  <c r="D81" i="2"/>
  <c r="H83" i="2"/>
  <c r="E83" i="2"/>
  <c r="D83" i="2"/>
  <c r="H82" i="2"/>
  <c r="E82" i="2"/>
  <c r="D82" i="2"/>
  <c r="H84" i="2"/>
  <c r="E84" i="2"/>
  <c r="D84" i="2"/>
  <c r="H85" i="2"/>
  <c r="E85" i="2"/>
  <c r="D85" i="2"/>
  <c r="H86" i="2"/>
  <c r="E86" i="2"/>
  <c r="D86" i="2"/>
  <c r="H87" i="2"/>
  <c r="E87" i="2"/>
  <c r="D87" i="2"/>
  <c r="H88" i="2"/>
  <c r="E88" i="2"/>
  <c r="D88" i="2"/>
  <c r="F88" i="2" s="1"/>
  <c r="H89" i="2"/>
  <c r="E89" i="2"/>
  <c r="D89" i="2"/>
  <c r="H90" i="2"/>
  <c r="E90" i="2"/>
  <c r="D90" i="2"/>
  <c r="H91" i="2"/>
  <c r="E91" i="2"/>
  <c r="D91" i="2"/>
  <c r="H92" i="2"/>
  <c r="E92" i="2"/>
  <c r="D92" i="2"/>
  <c r="H93" i="2"/>
  <c r="E93" i="2"/>
  <c r="D93" i="2"/>
  <c r="H94" i="2"/>
  <c r="E94" i="2"/>
  <c r="D94" i="2"/>
  <c r="H95" i="2"/>
  <c r="E95" i="2"/>
  <c r="D95" i="2"/>
  <c r="H96" i="2"/>
  <c r="E96" i="2"/>
  <c r="D96" i="2"/>
  <c r="H97" i="2"/>
  <c r="E97" i="2"/>
  <c r="D97" i="2"/>
  <c r="H98" i="2"/>
  <c r="E98" i="2"/>
  <c r="D98" i="2"/>
  <c r="H99" i="2"/>
  <c r="E99" i="2"/>
  <c r="D99" i="2"/>
  <c r="H137" i="2"/>
  <c r="E137" i="2"/>
  <c r="D137" i="2"/>
  <c r="H132" i="2"/>
  <c r="E132" i="2"/>
  <c r="D132" i="2"/>
  <c r="H35" i="12"/>
  <c r="E35" i="12"/>
  <c r="D35" i="12"/>
  <c r="H33" i="12"/>
  <c r="E33" i="12"/>
  <c r="D33" i="12"/>
  <c r="H36" i="12"/>
  <c r="E36" i="12"/>
  <c r="D36" i="12"/>
  <c r="H39" i="12"/>
  <c r="E39" i="12"/>
  <c r="D39" i="12"/>
  <c r="CU24" i="1"/>
  <c r="H37" i="12"/>
  <c r="E37" i="12"/>
  <c r="D37" i="12"/>
  <c r="CV11" i="1"/>
  <c r="H100" i="2"/>
  <c r="E100" i="2"/>
  <c r="D100" i="2"/>
  <c r="H101" i="2"/>
  <c r="E101" i="2"/>
  <c r="D101" i="2"/>
  <c r="H102" i="2"/>
  <c r="E102" i="2"/>
  <c r="D102" i="2"/>
  <c r="H103" i="2"/>
  <c r="E103" i="2"/>
  <c r="D103" i="2"/>
  <c r="H104" i="2"/>
  <c r="E104" i="2"/>
  <c r="D104" i="2"/>
  <c r="H105" i="2"/>
  <c r="E105" i="2"/>
  <c r="D105" i="2"/>
  <c r="H106" i="2"/>
  <c r="E106" i="2"/>
  <c r="D106" i="2"/>
  <c r="H107" i="2"/>
  <c r="E107" i="2"/>
  <c r="D107" i="2"/>
  <c r="H108" i="2"/>
  <c r="E108" i="2"/>
  <c r="D108" i="2"/>
  <c r="H109" i="2"/>
  <c r="E109" i="2"/>
  <c r="D109" i="2"/>
  <c r="H110" i="2"/>
  <c r="E110" i="2"/>
  <c r="D110" i="2"/>
  <c r="H111" i="2"/>
  <c r="E111" i="2"/>
  <c r="D111" i="2"/>
  <c r="H112" i="2"/>
  <c r="E112" i="2"/>
  <c r="D112" i="2"/>
  <c r="H113" i="2"/>
  <c r="E113" i="2"/>
  <c r="D113" i="2"/>
  <c r="H114" i="2"/>
  <c r="E114" i="2"/>
  <c r="D114" i="2"/>
  <c r="H115" i="2"/>
  <c r="E115" i="2"/>
  <c r="D115" i="2"/>
  <c r="H116" i="2"/>
  <c r="E116" i="2"/>
  <c r="D116" i="2"/>
  <c r="H117" i="2"/>
  <c r="E117" i="2"/>
  <c r="D117" i="2"/>
  <c r="H118" i="2"/>
  <c r="E118" i="2"/>
  <c r="D118" i="2"/>
  <c r="H119" i="2"/>
  <c r="E119" i="2"/>
  <c r="D119" i="2"/>
  <c r="H120" i="2"/>
  <c r="E120" i="2"/>
  <c r="D120" i="2"/>
  <c r="H121" i="2"/>
  <c r="E121" i="2"/>
  <c r="D121" i="2"/>
  <c r="H122" i="2"/>
  <c r="E122" i="2"/>
  <c r="D122" i="2"/>
  <c r="H123" i="2"/>
  <c r="E123" i="2"/>
  <c r="D123" i="2"/>
  <c r="H124" i="2"/>
  <c r="E124" i="2"/>
  <c r="D124" i="2"/>
  <c r="H125" i="2"/>
  <c r="E125" i="2"/>
  <c r="D125" i="2"/>
  <c r="H126" i="2"/>
  <c r="E126" i="2"/>
  <c r="D126" i="2"/>
  <c r="H127" i="2"/>
  <c r="E127" i="2"/>
  <c r="D127" i="2"/>
  <c r="H128" i="2"/>
  <c r="E128" i="2"/>
  <c r="D128" i="2"/>
  <c r="F128" i="2" s="1"/>
  <c r="H129" i="2"/>
  <c r="E129" i="2"/>
  <c r="D129" i="2"/>
  <c r="H131" i="2"/>
  <c r="E131" i="2"/>
  <c r="D131" i="2"/>
  <c r="H130" i="2"/>
  <c r="E130" i="2"/>
  <c r="D130" i="2"/>
  <c r="H133" i="2"/>
  <c r="E133" i="2"/>
  <c r="D133" i="2"/>
  <c r="H134" i="2"/>
  <c r="E134" i="2"/>
  <c r="D134" i="2"/>
  <c r="H40" i="12"/>
  <c r="E40" i="12"/>
  <c r="D40" i="12"/>
  <c r="H41" i="12"/>
  <c r="E41" i="12"/>
  <c r="D41" i="12"/>
  <c r="H42" i="12"/>
  <c r="E42" i="12"/>
  <c r="D42" i="12"/>
  <c r="H43" i="12"/>
  <c r="E43" i="12"/>
  <c r="D43" i="12"/>
  <c r="H44" i="12"/>
  <c r="E44" i="12"/>
  <c r="D44" i="12"/>
  <c r="H45" i="12"/>
  <c r="E45" i="12"/>
  <c r="D45" i="12"/>
  <c r="H135" i="2"/>
  <c r="E135" i="2"/>
  <c r="D135" i="2"/>
  <c r="H136" i="2"/>
  <c r="E136" i="2"/>
  <c r="D136" i="2"/>
  <c r="H138" i="2"/>
  <c r="E138" i="2"/>
  <c r="D138" i="2"/>
  <c r="H139" i="2"/>
  <c r="E139" i="2"/>
  <c r="D139" i="2"/>
  <c r="H143" i="2"/>
  <c r="H140" i="2"/>
  <c r="E140" i="2"/>
  <c r="D140" i="2"/>
  <c r="H141" i="2"/>
  <c r="E141" i="2"/>
  <c r="D141" i="2"/>
  <c r="CJ70" i="11"/>
  <c r="CJ69" i="11"/>
  <c r="CJ66" i="11"/>
  <c r="CJ59" i="11"/>
  <c r="CJ57" i="11"/>
  <c r="CJ56" i="11"/>
  <c r="CJ55" i="11"/>
  <c r="CJ54" i="11"/>
  <c r="CJ53" i="11"/>
  <c r="CJ52" i="11"/>
  <c r="CJ36" i="11"/>
  <c r="CJ34" i="11"/>
  <c r="CJ31" i="11"/>
  <c r="CJ22" i="11"/>
  <c r="CJ15" i="11"/>
  <c r="CJ14" i="11"/>
  <c r="CJ13" i="11"/>
  <c r="CJ12" i="11"/>
  <c r="CJ11" i="11"/>
  <c r="CJ10" i="11"/>
  <c r="CJ9" i="11"/>
  <c r="CJ8" i="11"/>
  <c r="CJ7" i="11"/>
  <c r="CJ2" i="11"/>
  <c r="CF9" i="11"/>
  <c r="CF8" i="11"/>
  <c r="CF7" i="11"/>
  <c r="CF66" i="11"/>
  <c r="CF59" i="11"/>
  <c r="CF31" i="11"/>
  <c r="CF22" i="11"/>
  <c r="CF2" i="11"/>
  <c r="H50" i="12"/>
  <c r="E50" i="12"/>
  <c r="D50" i="12"/>
  <c r="H47" i="12"/>
  <c r="E47" i="12"/>
  <c r="D47" i="12"/>
  <c r="CU28" i="1"/>
  <c r="CU25" i="1"/>
  <c r="H46" i="12"/>
  <c r="E46" i="12"/>
  <c r="D46" i="12"/>
  <c r="H48" i="12"/>
  <c r="E48" i="12"/>
  <c r="D48" i="12"/>
  <c r="H49" i="12"/>
  <c r="E49" i="12"/>
  <c r="D49" i="12"/>
  <c r="H51" i="12"/>
  <c r="E51" i="12"/>
  <c r="D51" i="12"/>
  <c r="H52" i="12"/>
  <c r="E52" i="12"/>
  <c r="D52" i="12"/>
  <c r="H53" i="12"/>
  <c r="E53" i="12"/>
  <c r="D53" i="12"/>
  <c r="H54" i="12"/>
  <c r="E54" i="12"/>
  <c r="D54" i="12"/>
  <c r="CT24" i="1"/>
  <c r="H142" i="2"/>
  <c r="E142" i="2"/>
  <c r="D142" i="2"/>
  <c r="E143" i="2"/>
  <c r="D143" i="2"/>
  <c r="H144" i="2"/>
  <c r="E144" i="2"/>
  <c r="D144" i="2"/>
  <c r="H145" i="2"/>
  <c r="E145" i="2"/>
  <c r="D145" i="2"/>
  <c r="H146" i="2"/>
  <c r="E146" i="2"/>
  <c r="D146" i="2"/>
  <c r="H147" i="2"/>
  <c r="E147" i="2"/>
  <c r="D147" i="2"/>
  <c r="H148" i="2"/>
  <c r="E148" i="2"/>
  <c r="D148" i="2"/>
  <c r="H149" i="2"/>
  <c r="E149" i="2"/>
  <c r="D149" i="2"/>
  <c r="H150" i="2"/>
  <c r="E150" i="2"/>
  <c r="D150" i="2"/>
  <c r="H151" i="2"/>
  <c r="E151" i="2"/>
  <c r="D151" i="2"/>
  <c r="H152" i="2"/>
  <c r="E152" i="2"/>
  <c r="D152" i="2"/>
  <c r="H153" i="2"/>
  <c r="E153" i="2"/>
  <c r="D153" i="2"/>
  <c r="H154" i="2"/>
  <c r="E154" i="2"/>
  <c r="D154" i="2"/>
  <c r="H155" i="2"/>
  <c r="E155" i="2"/>
  <c r="D155" i="2"/>
  <c r="H156" i="2"/>
  <c r="E156" i="2"/>
  <c r="D156" i="2"/>
  <c r="H157" i="2"/>
  <c r="E157" i="2"/>
  <c r="D157" i="2"/>
  <c r="H158" i="2"/>
  <c r="E158" i="2"/>
  <c r="D158" i="2"/>
  <c r="H159" i="2"/>
  <c r="E159" i="2"/>
  <c r="D159" i="2"/>
  <c r="H160" i="2"/>
  <c r="E160" i="2"/>
  <c r="D160" i="2"/>
  <c r="H161" i="2"/>
  <c r="E161" i="2"/>
  <c r="D161" i="2"/>
  <c r="H162" i="2"/>
  <c r="E162" i="2"/>
  <c r="D162" i="2"/>
  <c r="H163" i="2"/>
  <c r="E163" i="2"/>
  <c r="D163" i="2"/>
  <c r="H164" i="2"/>
  <c r="E164" i="2"/>
  <c r="D164" i="2"/>
  <c r="H165" i="2"/>
  <c r="E165" i="2"/>
  <c r="D165" i="2"/>
  <c r="H166" i="2"/>
  <c r="E166" i="2"/>
  <c r="D166" i="2"/>
  <c r="H167" i="2"/>
  <c r="E167" i="2"/>
  <c r="D167" i="2"/>
  <c r="H168" i="2"/>
  <c r="E168" i="2"/>
  <c r="D168" i="2"/>
  <c r="H169" i="2"/>
  <c r="E169" i="2"/>
  <c r="D169" i="2"/>
  <c r="H170" i="2"/>
  <c r="E170" i="2"/>
  <c r="D170" i="2"/>
  <c r="H171" i="2"/>
  <c r="E171" i="2"/>
  <c r="D171" i="2"/>
  <c r="E172" i="2"/>
  <c r="D172" i="2"/>
  <c r="E173" i="2"/>
  <c r="D173" i="2"/>
  <c r="H174" i="2"/>
  <c r="E174" i="2"/>
  <c r="D174" i="2"/>
  <c r="H176" i="2"/>
  <c r="E176" i="2"/>
  <c r="D176" i="2"/>
  <c r="H175" i="2"/>
  <c r="E175" i="2"/>
  <c r="D175" i="2"/>
  <c r="H194" i="2"/>
  <c r="E194" i="2"/>
  <c r="D194" i="2"/>
  <c r="H222" i="2"/>
  <c r="E222" i="2"/>
  <c r="D222" i="2"/>
  <c r="H177" i="2"/>
  <c r="E177" i="2"/>
  <c r="D177" i="2"/>
  <c r="H178" i="2"/>
  <c r="E178" i="2"/>
  <c r="D178" i="2"/>
  <c r="H179" i="2"/>
  <c r="E179" i="2"/>
  <c r="D179" i="2"/>
  <c r="H180" i="2"/>
  <c r="E180" i="2"/>
  <c r="D180" i="2"/>
  <c r="H181" i="2"/>
  <c r="E181" i="2"/>
  <c r="D181" i="2"/>
  <c r="H182" i="2"/>
  <c r="E182" i="2"/>
  <c r="D182" i="2"/>
  <c r="H183" i="2"/>
  <c r="E183" i="2"/>
  <c r="D183" i="2"/>
  <c r="H184" i="2"/>
  <c r="E184" i="2"/>
  <c r="D184" i="2"/>
  <c r="H185" i="2"/>
  <c r="E185" i="2"/>
  <c r="D185" i="2"/>
  <c r="H186" i="2"/>
  <c r="E186" i="2"/>
  <c r="D186" i="2"/>
  <c r="H187" i="2"/>
  <c r="E187" i="2"/>
  <c r="D187" i="2"/>
  <c r="O12" i="9"/>
  <c r="BZ7" i="11"/>
  <c r="CB57" i="11"/>
  <c r="CB56" i="11"/>
  <c r="CB53" i="11"/>
  <c r="BZ54" i="11"/>
  <c r="CB54" i="11" s="1"/>
  <c r="CT12" i="1"/>
  <c r="CT16" i="1"/>
  <c r="H55" i="12"/>
  <c r="E55" i="12"/>
  <c r="D55" i="12"/>
  <c r="E56" i="12"/>
  <c r="D56" i="12"/>
  <c r="H188" i="2"/>
  <c r="E188" i="2"/>
  <c r="D188" i="2"/>
  <c r="H189" i="2"/>
  <c r="E189" i="2"/>
  <c r="D189" i="2"/>
  <c r="F189" i="2" s="1"/>
  <c r="H190" i="2"/>
  <c r="E190" i="2"/>
  <c r="D190" i="2"/>
  <c r="H191" i="2"/>
  <c r="E191" i="2"/>
  <c r="D191" i="2"/>
  <c r="H192" i="2"/>
  <c r="E192" i="2"/>
  <c r="D192" i="2"/>
  <c r="F192" i="2" s="1"/>
  <c r="H193" i="2"/>
  <c r="E193" i="2"/>
  <c r="D193" i="2"/>
  <c r="H195" i="2"/>
  <c r="E195" i="2"/>
  <c r="D195" i="2"/>
  <c r="H196" i="2"/>
  <c r="E196" i="2"/>
  <c r="D196" i="2"/>
  <c r="H197" i="2"/>
  <c r="E197" i="2"/>
  <c r="D197" i="2"/>
  <c r="F197" i="2" s="1"/>
  <c r="H198" i="2"/>
  <c r="E198" i="2"/>
  <c r="D198" i="2"/>
  <c r="F198" i="2" s="1"/>
  <c r="CU61" i="1"/>
  <c r="CU60" i="1"/>
  <c r="H199" i="2"/>
  <c r="E199" i="2"/>
  <c r="D199" i="2"/>
  <c r="F199" i="2" s="1"/>
  <c r="H200" i="2"/>
  <c r="E200" i="2"/>
  <c r="D200" i="2"/>
  <c r="F200" i="2" s="1"/>
  <c r="H201" i="2"/>
  <c r="E201" i="2"/>
  <c r="D201" i="2"/>
  <c r="H202" i="2"/>
  <c r="E202" i="2"/>
  <c r="D202" i="2"/>
  <c r="H203" i="2"/>
  <c r="E203" i="2"/>
  <c r="D203" i="2"/>
  <c r="H204" i="2"/>
  <c r="E204" i="2"/>
  <c r="D204" i="2"/>
  <c r="H205" i="2"/>
  <c r="E205" i="2"/>
  <c r="D205" i="2"/>
  <c r="CT25" i="1"/>
  <c r="H249" i="2"/>
  <c r="E249" i="2"/>
  <c r="D249" i="2"/>
  <c r="H206" i="2"/>
  <c r="E206" i="2"/>
  <c r="D206" i="2"/>
  <c r="H207" i="2"/>
  <c r="E207" i="2"/>
  <c r="D207" i="2"/>
  <c r="H208" i="2"/>
  <c r="E208" i="2"/>
  <c r="D208" i="2"/>
  <c r="H209" i="2"/>
  <c r="E209" i="2"/>
  <c r="D209" i="2"/>
  <c r="F209" i="2" s="1"/>
  <c r="H210" i="2"/>
  <c r="E210" i="2"/>
  <c r="D210" i="2"/>
  <c r="H211" i="2"/>
  <c r="E211" i="2"/>
  <c r="D211" i="2"/>
  <c r="H212" i="2"/>
  <c r="E212" i="2"/>
  <c r="D212" i="2"/>
  <c r="H213" i="2"/>
  <c r="E213" i="2"/>
  <c r="D213" i="2"/>
  <c r="H214" i="2"/>
  <c r="E214" i="2"/>
  <c r="D214" i="2"/>
  <c r="H215" i="2"/>
  <c r="E215" i="2"/>
  <c r="D215" i="2"/>
  <c r="H216" i="2"/>
  <c r="E216" i="2"/>
  <c r="D216" i="2"/>
  <c r="H217" i="2"/>
  <c r="E217" i="2"/>
  <c r="D217" i="2"/>
  <c r="H218" i="2"/>
  <c r="E218" i="2"/>
  <c r="D218" i="2"/>
  <c r="H219" i="2"/>
  <c r="E219" i="2"/>
  <c r="D219" i="2"/>
  <c r="H220" i="2"/>
  <c r="E220" i="2"/>
  <c r="D220" i="2"/>
  <c r="H227" i="2"/>
  <c r="E227" i="2"/>
  <c r="D227" i="2"/>
  <c r="I226" i="2"/>
  <c r="H226" i="2"/>
  <c r="E226" i="2"/>
  <c r="D226" i="2"/>
  <c r="H221" i="2"/>
  <c r="E221" i="2"/>
  <c r="D221" i="2"/>
  <c r="H223" i="2"/>
  <c r="E223" i="2"/>
  <c r="D223" i="2"/>
  <c r="H224" i="2"/>
  <c r="E224" i="2"/>
  <c r="D224" i="2"/>
  <c r="H225" i="2"/>
  <c r="E225" i="2"/>
  <c r="D225" i="2"/>
  <c r="H228" i="2"/>
  <c r="E228" i="2"/>
  <c r="D228" i="2"/>
  <c r="H229" i="2"/>
  <c r="E229" i="2"/>
  <c r="D229" i="2"/>
  <c r="H230" i="2"/>
  <c r="E230" i="2"/>
  <c r="D230" i="2"/>
  <c r="H231" i="2"/>
  <c r="E231" i="2"/>
  <c r="D231" i="2"/>
  <c r="H232" i="2"/>
  <c r="E232" i="2"/>
  <c r="D232" i="2"/>
  <c r="H233" i="2"/>
  <c r="E233" i="2"/>
  <c r="D233" i="2"/>
  <c r="CS18" i="1"/>
  <c r="CT18" i="1"/>
  <c r="CS63" i="1"/>
  <c r="H284" i="2"/>
  <c r="H314" i="2"/>
  <c r="E314" i="2"/>
  <c r="D314" i="2"/>
  <c r="H317" i="2"/>
  <c r="E317" i="2"/>
  <c r="D317" i="2"/>
  <c r="H316" i="2"/>
  <c r="E316" i="2"/>
  <c r="D316" i="2"/>
  <c r="H315" i="2"/>
  <c r="E315" i="2"/>
  <c r="D315" i="2"/>
  <c r="H313" i="2"/>
  <c r="E313" i="2"/>
  <c r="D313" i="2"/>
  <c r="H305" i="2"/>
  <c r="E305" i="2"/>
  <c r="D305" i="2"/>
  <c r="E284" i="2"/>
  <c r="D284" i="2"/>
  <c r="E557" i="2"/>
  <c r="H234" i="2"/>
  <c r="E234" i="2"/>
  <c r="D234" i="2"/>
  <c r="H235" i="2"/>
  <c r="E235" i="2"/>
  <c r="D235" i="2"/>
  <c r="H236" i="2"/>
  <c r="E236" i="2"/>
  <c r="D236" i="2"/>
  <c r="H237" i="2"/>
  <c r="E237" i="2"/>
  <c r="D237" i="2"/>
  <c r="H238" i="2"/>
  <c r="E238" i="2"/>
  <c r="D238" i="2"/>
  <c r="H239" i="2"/>
  <c r="E239" i="2"/>
  <c r="D239" i="2"/>
  <c r="H240" i="2"/>
  <c r="E240" i="2"/>
  <c r="D240" i="2"/>
  <c r="H241" i="2"/>
  <c r="E241" i="2"/>
  <c r="D241" i="2"/>
  <c r="H242" i="2"/>
  <c r="E242" i="2"/>
  <c r="D242" i="2"/>
  <c r="H243" i="2"/>
  <c r="E243" i="2"/>
  <c r="D243" i="2"/>
  <c r="H244" i="2"/>
  <c r="E244" i="2"/>
  <c r="D244" i="2"/>
  <c r="H245" i="2"/>
  <c r="E245" i="2"/>
  <c r="D245" i="2"/>
  <c r="H246" i="2"/>
  <c r="E246" i="2"/>
  <c r="D246" i="2"/>
  <c r="H247" i="2"/>
  <c r="E247" i="2"/>
  <c r="D247" i="2"/>
  <c r="H57" i="12"/>
  <c r="E57" i="12"/>
  <c r="D57" i="12"/>
  <c r="H58" i="12"/>
  <c r="E58" i="12"/>
  <c r="D58" i="12"/>
  <c r="H59" i="12"/>
  <c r="E59" i="12"/>
  <c r="D59" i="12"/>
  <c r="H60" i="12"/>
  <c r="E60" i="12"/>
  <c r="D60" i="12"/>
  <c r="H61" i="12"/>
  <c r="E61" i="12"/>
  <c r="D61" i="12"/>
  <c r="H62" i="12"/>
  <c r="E62" i="12"/>
  <c r="D62" i="12"/>
  <c r="H63" i="12"/>
  <c r="E63" i="12"/>
  <c r="D63" i="12"/>
  <c r="E64" i="12"/>
  <c r="D64" i="12"/>
  <c r="H248" i="2"/>
  <c r="E248" i="2"/>
  <c r="D248" i="2"/>
  <c r="H250" i="2"/>
  <c r="E250" i="2"/>
  <c r="D250" i="2"/>
  <c r="H251" i="2"/>
  <c r="E251" i="2"/>
  <c r="D251" i="2"/>
  <c r="H65" i="12"/>
  <c r="E65" i="12"/>
  <c r="D65" i="12"/>
  <c r="H66" i="12"/>
  <c r="E66" i="12"/>
  <c r="D66" i="12"/>
  <c r="H67" i="12"/>
  <c r="E67" i="12"/>
  <c r="D67" i="12"/>
  <c r="H68" i="12"/>
  <c r="E68" i="12"/>
  <c r="D68" i="12"/>
  <c r="CS28" i="1"/>
  <c r="H252" i="2"/>
  <c r="E252" i="2"/>
  <c r="D252" i="2"/>
  <c r="H253" i="2"/>
  <c r="E253" i="2"/>
  <c r="D253" i="2"/>
  <c r="H254" i="2"/>
  <c r="E254" i="2"/>
  <c r="D254" i="2"/>
  <c r="H255" i="2"/>
  <c r="E255" i="2"/>
  <c r="D255" i="2"/>
  <c r="CS16" i="1"/>
  <c r="BY57" i="11"/>
  <c r="BY53" i="11"/>
  <c r="BX54" i="11"/>
  <c r="BY54" i="11" s="1"/>
  <c r="H69" i="12"/>
  <c r="E69" i="12"/>
  <c r="D69" i="12"/>
  <c r="CS25" i="1"/>
  <c r="H70" i="12"/>
  <c r="E70" i="12"/>
  <c r="D70" i="12"/>
  <c r="H256" i="2"/>
  <c r="E256" i="2"/>
  <c r="D256" i="2"/>
  <c r="H257" i="2"/>
  <c r="E257" i="2"/>
  <c r="D257" i="2"/>
  <c r="H258" i="2"/>
  <c r="E258" i="2"/>
  <c r="D258" i="2"/>
  <c r="H259" i="2"/>
  <c r="E259" i="2"/>
  <c r="D259" i="2"/>
  <c r="H260" i="2"/>
  <c r="E260" i="2"/>
  <c r="D260" i="2"/>
  <c r="H261" i="2"/>
  <c r="E261" i="2"/>
  <c r="D261" i="2"/>
  <c r="H262" i="2"/>
  <c r="E262" i="2"/>
  <c r="D262" i="2"/>
  <c r="CT61" i="1"/>
  <c r="CT60" i="1"/>
  <c r="H263" i="2"/>
  <c r="E263" i="2"/>
  <c r="D263" i="2"/>
  <c r="H265" i="2"/>
  <c r="E265" i="2"/>
  <c r="D265" i="2"/>
  <c r="F265" i="2" s="1"/>
  <c r="H264" i="2"/>
  <c r="E264" i="2"/>
  <c r="D264" i="2"/>
  <c r="F264" i="2" s="1"/>
  <c r="H266" i="2"/>
  <c r="E266" i="2"/>
  <c r="D266" i="2"/>
  <c r="H267" i="2"/>
  <c r="E267" i="2"/>
  <c r="D267" i="2"/>
  <c r="H268" i="2"/>
  <c r="E268" i="2"/>
  <c r="D268" i="2"/>
  <c r="E269" i="2"/>
  <c r="H269" i="2"/>
  <c r="H71" i="12"/>
  <c r="E71" i="12"/>
  <c r="D71" i="12"/>
  <c r="D269" i="2"/>
  <c r="I63" i="1"/>
  <c r="I61" i="1"/>
  <c r="I60" i="1"/>
  <c r="I59" i="1"/>
  <c r="I58" i="1"/>
  <c r="I57" i="1"/>
  <c r="I52" i="1"/>
  <c r="I51" i="1"/>
  <c r="I50" i="1"/>
  <c r="I49" i="1"/>
  <c r="I47" i="1"/>
  <c r="I46" i="1"/>
  <c r="I45" i="1"/>
  <c r="I44" i="1"/>
  <c r="I43" i="1"/>
  <c r="I42" i="1"/>
  <c r="I41" i="1"/>
  <c r="H63" i="1"/>
  <c r="H61" i="1"/>
  <c r="P61" i="1" s="1"/>
  <c r="H60" i="1"/>
  <c r="P60" i="1" s="1"/>
  <c r="H59" i="1"/>
  <c r="P59" i="1" s="1"/>
  <c r="H58" i="1"/>
  <c r="P58" i="1" s="1"/>
  <c r="H57" i="1"/>
  <c r="P57" i="1" s="1"/>
  <c r="H52" i="1"/>
  <c r="H51" i="1"/>
  <c r="H50" i="1"/>
  <c r="H49" i="1"/>
  <c r="H47" i="1"/>
  <c r="H46" i="1"/>
  <c r="H45" i="1"/>
  <c r="H44" i="1"/>
  <c r="H43" i="1"/>
  <c r="H42" i="1"/>
  <c r="H41" i="1"/>
  <c r="G63" i="1"/>
  <c r="G61" i="1"/>
  <c r="G60" i="1"/>
  <c r="G59" i="1"/>
  <c r="G58" i="1"/>
  <c r="O58" i="1" s="1"/>
  <c r="G57" i="1"/>
  <c r="G52" i="1"/>
  <c r="G51" i="1"/>
  <c r="G50" i="1"/>
  <c r="G49" i="1"/>
  <c r="G48" i="1"/>
  <c r="G47" i="1"/>
  <c r="G46" i="1"/>
  <c r="G45" i="1"/>
  <c r="G44" i="1"/>
  <c r="G43" i="1"/>
  <c r="G42" i="1"/>
  <c r="G41" i="1"/>
  <c r="F63" i="1"/>
  <c r="F61" i="1"/>
  <c r="N61" i="1" s="1"/>
  <c r="F60" i="1"/>
  <c r="N60" i="1" s="1"/>
  <c r="F59" i="1"/>
  <c r="N59" i="1" s="1"/>
  <c r="F58" i="1"/>
  <c r="N58" i="1" s="1"/>
  <c r="F57" i="1"/>
  <c r="F52" i="1"/>
  <c r="F51" i="1"/>
  <c r="F50" i="1"/>
  <c r="F49" i="1"/>
  <c r="F48" i="1"/>
  <c r="F47" i="1"/>
  <c r="F46" i="1"/>
  <c r="F45" i="1"/>
  <c r="F44" i="1"/>
  <c r="F43" i="1"/>
  <c r="F42" i="1"/>
  <c r="F41" i="1"/>
  <c r="E63" i="1"/>
  <c r="E61" i="1"/>
  <c r="E60" i="1"/>
  <c r="E59" i="1"/>
  <c r="E58" i="1"/>
  <c r="E57" i="1"/>
  <c r="E52" i="1"/>
  <c r="E51" i="1"/>
  <c r="E50" i="1"/>
  <c r="E49" i="1"/>
  <c r="E48" i="1"/>
  <c r="E47" i="1"/>
  <c r="E46" i="1"/>
  <c r="E45" i="1"/>
  <c r="E44" i="1"/>
  <c r="E43" i="1"/>
  <c r="E42" i="1"/>
  <c r="E41" i="1"/>
  <c r="D59" i="1"/>
  <c r="D63" i="1"/>
  <c r="D61" i="1"/>
  <c r="D60" i="1"/>
  <c r="D58" i="1"/>
  <c r="D57" i="1"/>
  <c r="D52" i="1"/>
  <c r="D51" i="1"/>
  <c r="D50" i="1"/>
  <c r="D49" i="1"/>
  <c r="D48" i="1"/>
  <c r="D47" i="1"/>
  <c r="D46" i="1"/>
  <c r="D45" i="1"/>
  <c r="D44" i="1"/>
  <c r="D43" i="1"/>
  <c r="D42" i="1"/>
  <c r="D41" i="1"/>
  <c r="C63" i="1"/>
  <c r="C52" i="1"/>
  <c r="C51" i="1"/>
  <c r="C50" i="1"/>
  <c r="C49" i="1"/>
  <c r="C48" i="1"/>
  <c r="C47" i="1"/>
  <c r="C46" i="1"/>
  <c r="C45" i="1"/>
  <c r="C44" i="1"/>
  <c r="C43" i="1"/>
  <c r="C42" i="1"/>
  <c r="C41" i="1"/>
  <c r="C61" i="1"/>
  <c r="C60" i="1"/>
  <c r="C59" i="1"/>
  <c r="C58" i="1"/>
  <c r="C57" i="1"/>
  <c r="L15" i="19"/>
  <c r="M15" i="19"/>
  <c r="N15" i="19"/>
  <c r="O15" i="19"/>
  <c r="P15" i="19"/>
  <c r="Q15" i="19"/>
  <c r="R15" i="19"/>
  <c r="S15" i="19"/>
  <c r="P63" i="1"/>
  <c r="O63" i="1"/>
  <c r="O61" i="1"/>
  <c r="O60" i="1"/>
  <c r="O59" i="1"/>
  <c r="O57" i="1"/>
  <c r="N63" i="1"/>
  <c r="N57" i="1"/>
  <c r="P30" i="1"/>
  <c r="P29" i="1"/>
  <c r="P28" i="1"/>
  <c r="P25" i="1"/>
  <c r="P24" i="1"/>
  <c r="P21" i="1"/>
  <c r="P20" i="1"/>
  <c r="P19" i="1"/>
  <c r="P18" i="1"/>
  <c r="P16" i="1"/>
  <c r="S15" i="27"/>
  <c r="S14" i="27"/>
  <c r="S13" i="27"/>
  <c r="S12" i="27"/>
  <c r="S11" i="27"/>
  <c r="S10" i="27"/>
  <c r="S9" i="27"/>
  <c r="S8" i="27"/>
  <c r="S7" i="27"/>
  <c r="S6" i="27"/>
  <c r="S5" i="27"/>
  <c r="L14" i="27"/>
  <c r="M14" i="27"/>
  <c r="B12" i="41" s="1"/>
  <c r="N14" i="27"/>
  <c r="C12" i="41" s="1"/>
  <c r="O14" i="27"/>
  <c r="D12" i="41" s="1"/>
  <c r="P14" i="27"/>
  <c r="E12" i="41" s="1"/>
  <c r="Q14" i="27"/>
  <c r="F12" i="41" s="1"/>
  <c r="R14" i="27"/>
  <c r="R15" i="27"/>
  <c r="Q15" i="27"/>
  <c r="P15" i="27"/>
  <c r="O15" i="27"/>
  <c r="N15" i="27"/>
  <c r="M15" i="27"/>
  <c r="L15" i="27"/>
  <c r="S14" i="19"/>
  <c r="R14" i="19"/>
  <c r="Q14" i="19"/>
  <c r="P14" i="19"/>
  <c r="O14" i="19"/>
  <c r="N14" i="19"/>
  <c r="M14" i="19"/>
  <c r="L14" i="19"/>
  <c r="R7" i="19"/>
  <c r="L13" i="27"/>
  <c r="L12" i="27"/>
  <c r="L11" i="27"/>
  <c r="L10" i="27"/>
  <c r="L9" i="27"/>
  <c r="L8" i="27"/>
  <c r="L7" i="27"/>
  <c r="L6" i="27"/>
  <c r="L5" i="27"/>
  <c r="R13" i="27"/>
  <c r="Q13" i="27"/>
  <c r="P13" i="27"/>
  <c r="O13" i="27"/>
  <c r="N13" i="27"/>
  <c r="R12" i="27"/>
  <c r="Q12" i="27"/>
  <c r="P12" i="27"/>
  <c r="O12" i="27"/>
  <c r="N12" i="27"/>
  <c r="R11" i="27"/>
  <c r="Q11" i="27"/>
  <c r="P11" i="27"/>
  <c r="O11" i="27"/>
  <c r="N11" i="27"/>
  <c r="R10" i="27"/>
  <c r="Q10" i="27"/>
  <c r="P10" i="27"/>
  <c r="O10" i="27"/>
  <c r="N10" i="27"/>
  <c r="R9" i="27"/>
  <c r="Q9" i="27"/>
  <c r="P9" i="27"/>
  <c r="O9" i="27"/>
  <c r="N9" i="27"/>
  <c r="R8" i="27"/>
  <c r="Q8" i="27"/>
  <c r="P8" i="27"/>
  <c r="O8" i="27"/>
  <c r="N8" i="27"/>
  <c r="R7" i="27"/>
  <c r="Q7" i="27"/>
  <c r="P7" i="27"/>
  <c r="O7" i="27"/>
  <c r="N7" i="27"/>
  <c r="R6" i="27"/>
  <c r="Q6" i="27"/>
  <c r="P6" i="27"/>
  <c r="O6" i="27"/>
  <c r="N6" i="27"/>
  <c r="R5" i="27"/>
  <c r="Q5" i="27"/>
  <c r="P5" i="27"/>
  <c r="O5" i="27"/>
  <c r="N5" i="27"/>
  <c r="M13" i="27"/>
  <c r="M12" i="27"/>
  <c r="M11" i="27"/>
  <c r="M10" i="27"/>
  <c r="M9" i="27"/>
  <c r="M8" i="27"/>
  <c r="M7" i="27"/>
  <c r="M6" i="27"/>
  <c r="M5" i="27"/>
  <c r="AW24" i="1"/>
  <c r="I271" i="2"/>
  <c r="I383" i="2"/>
  <c r="I742" i="2"/>
  <c r="I743" i="2"/>
  <c r="I792" i="2"/>
  <c r="I793" i="2"/>
  <c r="I794" i="2"/>
  <c r="I795" i="2"/>
  <c r="I1587" i="2"/>
  <c r="I1659" i="2"/>
  <c r="I1703" i="2"/>
  <c r="I2291" i="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72" i="12"/>
  <c r="H270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563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6" i="2"/>
  <c r="H307" i="2"/>
  <c r="H308" i="2"/>
  <c r="H309" i="2"/>
  <c r="H310" i="2"/>
  <c r="H311" i="2"/>
  <c r="H312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E272" i="2"/>
  <c r="D272" i="2"/>
  <c r="E271" i="2"/>
  <c r="D271" i="2"/>
  <c r="E270" i="2"/>
  <c r="D270" i="2"/>
  <c r="E273" i="2"/>
  <c r="D273" i="2"/>
  <c r="E274" i="2"/>
  <c r="D274" i="2"/>
  <c r="E275" i="2"/>
  <c r="D275" i="2"/>
  <c r="E276" i="2"/>
  <c r="D276" i="2"/>
  <c r="E277" i="2"/>
  <c r="D277" i="2"/>
  <c r="E278" i="2"/>
  <c r="D278" i="2"/>
  <c r="E279" i="2"/>
  <c r="D279" i="2"/>
  <c r="E280" i="2"/>
  <c r="D280" i="2"/>
  <c r="C47" i="10"/>
  <c r="E8" i="10"/>
  <c r="C5" i="10"/>
  <c r="E6" i="10"/>
  <c r="E5" i="10"/>
  <c r="E281" i="2"/>
  <c r="D281" i="2"/>
  <c r="E282" i="2"/>
  <c r="D282" i="2"/>
  <c r="E283" i="2"/>
  <c r="D283" i="2"/>
  <c r="E285" i="2"/>
  <c r="D285" i="2"/>
  <c r="E286" i="2"/>
  <c r="D286" i="2"/>
  <c r="E287" i="2"/>
  <c r="D287" i="2"/>
  <c r="E288" i="2"/>
  <c r="D288" i="2"/>
  <c r="E289" i="2"/>
  <c r="D289" i="2"/>
  <c r="E290" i="2"/>
  <c r="D290" i="2"/>
  <c r="E291" i="2"/>
  <c r="D291" i="2"/>
  <c r="E293" i="2"/>
  <c r="D293" i="2"/>
  <c r="E294" i="2"/>
  <c r="D294" i="2"/>
  <c r="AU18" i="1"/>
  <c r="BC16" i="1"/>
  <c r="BB16" i="1"/>
  <c r="E292" i="2"/>
  <c r="D292" i="2"/>
  <c r="F6" i="12" l="1"/>
  <c r="F3" i="12"/>
  <c r="F9" i="12"/>
  <c r="F4" i="12"/>
  <c r="F5" i="12"/>
  <c r="F14" i="12"/>
  <c r="F7" i="12"/>
  <c r="F8" i="12"/>
  <c r="F13" i="12"/>
  <c r="F10" i="12"/>
  <c r="F12" i="12"/>
  <c r="F11" i="12"/>
  <c r="F18" i="12"/>
  <c r="F278" i="2"/>
  <c r="F191" i="2"/>
  <c r="F60" i="2"/>
  <c r="F277" i="2"/>
  <c r="F5" i="2"/>
  <c r="F20" i="2"/>
  <c r="F22" i="2"/>
  <c r="F32" i="2"/>
  <c r="F25" i="2"/>
  <c r="F23" i="2"/>
  <c r="F21" i="2"/>
  <c r="F26" i="2"/>
  <c r="F24" i="2"/>
  <c r="F27" i="2"/>
  <c r="F29" i="2"/>
  <c r="F28" i="2"/>
  <c r="F30" i="2"/>
  <c r="F33" i="2"/>
  <c r="F31" i="2"/>
  <c r="F16" i="12"/>
  <c r="F17" i="12"/>
  <c r="F15" i="12"/>
  <c r="F20" i="12"/>
  <c r="F23" i="12"/>
  <c r="F22" i="12"/>
  <c r="F19" i="12"/>
  <c r="F34" i="2"/>
  <c r="F35" i="2"/>
  <c r="F36" i="2"/>
  <c r="F37" i="2"/>
  <c r="F38" i="2"/>
  <c r="F39" i="2"/>
  <c r="F45" i="2"/>
  <c r="F40" i="2"/>
  <c r="F41" i="2"/>
  <c r="F43" i="2"/>
  <c r="F42" i="2"/>
  <c r="F76" i="2"/>
  <c r="F67" i="2"/>
  <c r="F62" i="2"/>
  <c r="F53" i="2"/>
  <c r="F44" i="2"/>
  <c r="F97" i="2"/>
  <c r="F46" i="2"/>
  <c r="F78" i="2"/>
  <c r="F64" i="2"/>
  <c r="F95" i="2"/>
  <c r="F58" i="2"/>
  <c r="F47" i="2"/>
  <c r="F75" i="2"/>
  <c r="F61" i="2"/>
  <c r="F52" i="2"/>
  <c r="F65" i="2"/>
  <c r="F56" i="2"/>
  <c r="F55" i="2"/>
  <c r="F63" i="2"/>
  <c r="F54" i="2"/>
  <c r="F71" i="2"/>
  <c r="F69" i="2"/>
  <c r="F73" i="2"/>
  <c r="F68" i="2"/>
  <c r="F59" i="2"/>
  <c r="F137" i="2"/>
  <c r="F72" i="2"/>
  <c r="F49" i="2"/>
  <c r="F48" i="2"/>
  <c r="F66" i="2"/>
  <c r="F57" i="2"/>
  <c r="F70" i="2"/>
  <c r="F74" i="2"/>
  <c r="F51" i="2"/>
  <c r="F21" i="12"/>
  <c r="F25" i="12"/>
  <c r="F24" i="12"/>
  <c r="F36" i="12"/>
  <c r="F27" i="12"/>
  <c r="F26" i="12"/>
  <c r="F35" i="12"/>
  <c r="F28" i="12"/>
  <c r="F33" i="12"/>
  <c r="F29" i="12"/>
  <c r="F30" i="12"/>
  <c r="F34" i="12"/>
  <c r="F39" i="12"/>
  <c r="F31" i="12"/>
  <c r="F77" i="2"/>
  <c r="F38" i="12"/>
  <c r="F32" i="12"/>
  <c r="F85" i="2"/>
  <c r="F91" i="2"/>
  <c r="F92" i="2"/>
  <c r="F99" i="2"/>
  <c r="F94" i="2"/>
  <c r="F93" i="2"/>
  <c r="F90" i="2"/>
  <c r="F96" i="2"/>
  <c r="F81" i="2"/>
  <c r="F89" i="2"/>
  <c r="F98" i="2"/>
  <c r="F83" i="2"/>
  <c r="F86" i="2"/>
  <c r="F82" i="2"/>
  <c r="F79" i="2"/>
  <c r="F87" i="2"/>
  <c r="F80" i="2"/>
  <c r="F84" i="2"/>
  <c r="F103" i="2"/>
  <c r="F132" i="2"/>
  <c r="F101" i="2"/>
  <c r="F110" i="2"/>
  <c r="F102" i="2"/>
  <c r="F100" i="2"/>
  <c r="F46" i="12"/>
  <c r="F50" i="12"/>
  <c r="F37" i="12"/>
  <c r="F54" i="12"/>
  <c r="F106" i="2"/>
  <c r="F105" i="2"/>
  <c r="F112" i="2"/>
  <c r="F104" i="2"/>
  <c r="F107" i="2"/>
  <c r="F108" i="2"/>
  <c r="F109" i="2"/>
  <c r="F118" i="2"/>
  <c r="F111" i="2"/>
  <c r="F122" i="2"/>
  <c r="F114" i="2"/>
  <c r="F123" i="2"/>
  <c r="F115" i="2"/>
  <c r="F113" i="2"/>
  <c r="F117" i="2"/>
  <c r="F119" i="2"/>
  <c r="F116" i="2"/>
  <c r="F120" i="2"/>
  <c r="F183" i="2"/>
  <c r="F161" i="2"/>
  <c r="F147" i="2"/>
  <c r="F142" i="2"/>
  <c r="F131" i="2"/>
  <c r="F121" i="2"/>
  <c r="F125" i="2"/>
  <c r="F134" i="2"/>
  <c r="F126" i="2"/>
  <c r="F127" i="2"/>
  <c r="F124" i="2"/>
  <c r="F193" i="2"/>
  <c r="F175" i="2"/>
  <c r="F166" i="2"/>
  <c r="F152" i="2"/>
  <c r="F130" i="2"/>
  <c r="F133" i="2"/>
  <c r="F129" i="2"/>
  <c r="F169" i="2"/>
  <c r="F155" i="2"/>
  <c r="F178" i="2"/>
  <c r="F170" i="2"/>
  <c r="F187" i="2"/>
  <c r="F144" i="2"/>
  <c r="F194" i="2"/>
  <c r="F172" i="2"/>
  <c r="F167" i="2"/>
  <c r="F153" i="2"/>
  <c r="F222" i="2"/>
  <c r="F168" i="2"/>
  <c r="F154" i="2"/>
  <c r="F180" i="2"/>
  <c r="F158" i="2"/>
  <c r="F156" i="2"/>
  <c r="F184" i="2"/>
  <c r="F162" i="2"/>
  <c r="F148" i="2"/>
  <c r="F171" i="2"/>
  <c r="F157" i="2"/>
  <c r="F143" i="2"/>
  <c r="F176" i="2"/>
  <c r="F165" i="2"/>
  <c r="F151" i="2"/>
  <c r="F182" i="2"/>
  <c r="F160" i="2"/>
  <c r="F146" i="2"/>
  <c r="F186" i="2"/>
  <c r="F174" i="2"/>
  <c r="F164" i="2"/>
  <c r="F150" i="2"/>
  <c r="F181" i="2"/>
  <c r="F159" i="2"/>
  <c r="F145" i="2"/>
  <c r="F185" i="2"/>
  <c r="F173" i="2"/>
  <c r="F163" i="2"/>
  <c r="F149" i="2"/>
  <c r="F40" i="12"/>
  <c r="F41" i="12"/>
  <c r="F42" i="12"/>
  <c r="F47" i="12"/>
  <c r="F43" i="12"/>
  <c r="F44" i="12"/>
  <c r="F45" i="12"/>
  <c r="F53" i="12"/>
  <c r="F135" i="2"/>
  <c r="F136" i="2"/>
  <c r="F177" i="2"/>
  <c r="F138" i="2"/>
  <c r="F139" i="2"/>
  <c r="F140" i="2"/>
  <c r="F141" i="2"/>
  <c r="CJ71" i="11"/>
  <c r="F49" i="12"/>
  <c r="F51" i="12"/>
  <c r="F48" i="12"/>
  <c r="F52" i="12"/>
  <c r="F179" i="2"/>
  <c r="F188" i="2"/>
  <c r="F190" i="2"/>
  <c r="F55" i="12"/>
  <c r="F56" i="12"/>
  <c r="F196" i="2"/>
  <c r="F195" i="2"/>
  <c r="F201" i="2"/>
  <c r="F204" i="2"/>
  <c r="F203" i="2"/>
  <c r="F205" i="2"/>
  <c r="F202" i="2"/>
  <c r="F249" i="2"/>
  <c r="F207" i="2"/>
  <c r="F211" i="2"/>
  <c r="F206" i="2"/>
  <c r="F212" i="2"/>
  <c r="F208" i="2"/>
  <c r="F215" i="2"/>
  <c r="F213" i="2"/>
  <c r="F210" i="2"/>
  <c r="F214" i="2"/>
  <c r="F216" i="2"/>
  <c r="F218" i="2"/>
  <c r="F217" i="2"/>
  <c r="F219" i="2"/>
  <c r="F220" i="2"/>
  <c r="F226" i="2"/>
  <c r="F227" i="2"/>
  <c r="F221" i="2"/>
  <c r="F225" i="2"/>
  <c r="F223" i="2"/>
  <c r="F224" i="2"/>
  <c r="F228" i="2"/>
  <c r="F230" i="2"/>
  <c r="F229" i="2"/>
  <c r="F231" i="2"/>
  <c r="F232" i="2"/>
  <c r="F233" i="2"/>
  <c r="F59" i="12"/>
  <c r="F58" i="12"/>
  <c r="F57" i="12"/>
  <c r="F314" i="2"/>
  <c r="F313" i="2"/>
  <c r="F315" i="2"/>
  <c r="F316" i="2"/>
  <c r="F317" i="2"/>
  <c r="F305" i="2"/>
  <c r="F284" i="2"/>
  <c r="F241" i="2"/>
  <c r="F235" i="2"/>
  <c r="F234" i="2"/>
  <c r="F240" i="2"/>
  <c r="F238" i="2"/>
  <c r="F236" i="2"/>
  <c r="F239" i="2"/>
  <c r="F237" i="2"/>
  <c r="F243" i="2"/>
  <c r="F245" i="2"/>
  <c r="F242" i="2"/>
  <c r="F246" i="2"/>
  <c r="F244" i="2"/>
  <c r="F247" i="2"/>
  <c r="F248" i="2"/>
  <c r="F250" i="2"/>
  <c r="F62" i="12"/>
  <c r="F65" i="12"/>
  <c r="F61" i="12"/>
  <c r="F60" i="12"/>
  <c r="F63" i="12"/>
  <c r="F66" i="12"/>
  <c r="F67" i="12"/>
  <c r="F64" i="12"/>
  <c r="F251" i="2"/>
  <c r="F252" i="2"/>
  <c r="F256" i="2"/>
  <c r="F255" i="2"/>
  <c r="F254" i="2"/>
  <c r="F69" i="12"/>
  <c r="F68" i="12"/>
  <c r="F70" i="12"/>
  <c r="F253" i="2"/>
  <c r="F257" i="2"/>
  <c r="F258" i="2"/>
  <c r="F259" i="2"/>
  <c r="F260" i="2"/>
  <c r="F261" i="2"/>
  <c r="F262" i="2"/>
  <c r="F263" i="2"/>
  <c r="F267" i="2"/>
  <c r="F266" i="2"/>
  <c r="F268" i="2"/>
  <c r="F269" i="2"/>
  <c r="F71" i="12"/>
  <c r="C53" i="1"/>
  <c r="G12" i="41"/>
  <c r="F275" i="2"/>
  <c r="F270" i="2"/>
  <c r="F271" i="2"/>
  <c r="F276" i="2"/>
  <c r="F272" i="2"/>
  <c r="F274" i="2"/>
  <c r="F273" i="2"/>
  <c r="F287" i="2"/>
  <c r="F289" i="2"/>
  <c r="F283" i="2"/>
  <c r="F281" i="2"/>
  <c r="F279" i="2"/>
  <c r="F282" i="2"/>
  <c r="F285" i="2"/>
  <c r="F280" i="2"/>
  <c r="F286" i="2"/>
  <c r="F292" i="2"/>
  <c r="F288" i="2"/>
  <c r="F291" i="2"/>
  <c r="F290" i="2"/>
  <c r="F293" i="2"/>
  <c r="F294" i="2"/>
  <c r="B36" i="42" l="1"/>
  <c r="CS30" i="1"/>
  <c r="B1" i="42"/>
  <c r="B8" i="42"/>
  <c r="CR24" i="1"/>
  <c r="E295" i="2"/>
  <c r="D295" i="2"/>
  <c r="CN29" i="11"/>
  <c r="CK29" i="11"/>
  <c r="CG29" i="11"/>
  <c r="CC29" i="11"/>
  <c r="BZ29" i="11"/>
  <c r="BV24" i="11"/>
  <c r="BU24" i="11"/>
  <c r="BX15" i="11"/>
  <c r="BX7" i="11"/>
  <c r="D72" i="12"/>
  <c r="E72" i="12"/>
  <c r="D296" i="2"/>
  <c r="D297" i="2"/>
  <c r="D298" i="2"/>
  <c r="D299" i="2"/>
  <c r="D300" i="2"/>
  <c r="D301" i="2"/>
  <c r="D302" i="2"/>
  <c r="D303" i="2"/>
  <c r="E303" i="2"/>
  <c r="E302" i="2"/>
  <c r="E301" i="2"/>
  <c r="E300" i="2"/>
  <c r="E299" i="2"/>
  <c r="E298" i="2"/>
  <c r="E297" i="2"/>
  <c r="E296" i="2"/>
  <c r="BX29" i="11" l="1"/>
  <c r="F72" i="12"/>
  <c r="F297" i="2"/>
  <c r="F298" i="2"/>
  <c r="C12" i="42"/>
  <c r="C8" i="42"/>
  <c r="F301" i="2"/>
  <c r="F295" i="2"/>
  <c r="F300" i="2"/>
  <c r="F299" i="2"/>
  <c r="F296" i="2"/>
  <c r="F303" i="2"/>
  <c r="F302" i="2"/>
  <c r="C36" i="42" l="1"/>
  <c r="B37" i="42"/>
  <c r="C37" i="42"/>
  <c r="D37" i="42"/>
  <c r="B40" i="42"/>
  <c r="C40" i="42"/>
  <c r="D40" i="42"/>
  <c r="B41" i="42"/>
  <c r="C41" i="42"/>
  <c r="D41" i="42"/>
  <c r="B21" i="42"/>
  <c r="C21" i="42"/>
  <c r="D21" i="42"/>
  <c r="B24" i="42"/>
  <c r="C24" i="42"/>
  <c r="D24" i="42"/>
  <c r="B25" i="42"/>
  <c r="C25" i="42"/>
  <c r="D25" i="42"/>
  <c r="B14" i="42"/>
  <c r="C14" i="42"/>
  <c r="D12" i="42"/>
  <c r="B9" i="42"/>
  <c r="D8" i="42"/>
  <c r="D14" i="42" l="1"/>
  <c r="C42" i="42" s="1"/>
  <c r="D26" i="42"/>
  <c r="C26" i="42"/>
  <c r="B26" i="42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1" i="15"/>
  <c r="D22" i="15"/>
  <c r="D28" i="15"/>
  <c r="D30" i="15"/>
  <c r="D36" i="15"/>
  <c r="D39" i="15"/>
  <c r="D40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69" i="15"/>
  <c r="E68" i="15"/>
  <c r="E66" i="15"/>
  <c r="E64" i="15"/>
  <c r="E25" i="15"/>
  <c r="E22" i="15"/>
  <c r="E21" i="15"/>
  <c r="E20" i="15"/>
  <c r="E18" i="15"/>
  <c r="E17" i="15"/>
  <c r="E10" i="15"/>
  <c r="E9" i="15"/>
  <c r="E8" i="15"/>
  <c r="G18" i="15"/>
  <c r="G22" i="15"/>
  <c r="E125" i="15"/>
  <c r="G2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D103" i="15"/>
  <c r="F103" i="15"/>
  <c r="D104" i="15"/>
  <c r="F104" i="15"/>
  <c r="D105" i="15"/>
  <c r="F105" i="15"/>
  <c r="D106" i="15"/>
  <c r="G106" i="15" s="1"/>
  <c r="F106" i="15"/>
  <c r="D107" i="15"/>
  <c r="F107" i="15"/>
  <c r="D108" i="15"/>
  <c r="F108" i="15"/>
  <c r="D109" i="15"/>
  <c r="F109" i="15"/>
  <c r="D110" i="15"/>
  <c r="F110" i="15"/>
  <c r="D111" i="15"/>
  <c r="F111" i="15"/>
  <c r="D112" i="15"/>
  <c r="F112" i="15"/>
  <c r="D113" i="15"/>
  <c r="F113" i="15"/>
  <c r="D114" i="15"/>
  <c r="F114" i="15"/>
  <c r="D115" i="15"/>
  <c r="F115" i="15"/>
  <c r="D116" i="15"/>
  <c r="F116" i="15"/>
  <c r="D117" i="15"/>
  <c r="F117" i="15"/>
  <c r="D118" i="15"/>
  <c r="F118" i="15"/>
  <c r="D119" i="15"/>
  <c r="F119" i="15"/>
  <c r="D120" i="15"/>
  <c r="F120" i="15"/>
  <c r="D121" i="15"/>
  <c r="F121" i="15"/>
  <c r="D122" i="15"/>
  <c r="F122" i="15"/>
  <c r="D123" i="15"/>
  <c r="F123" i="15"/>
  <c r="D124" i="15"/>
  <c r="F124" i="15"/>
  <c r="D125" i="15"/>
  <c r="F125" i="15"/>
  <c r="H15" i="38"/>
  <c r="G15" i="38"/>
  <c r="F15" i="38"/>
  <c r="E15" i="38"/>
  <c r="D15" i="38"/>
  <c r="C15" i="38"/>
  <c r="B15" i="38"/>
  <c r="H14" i="38"/>
  <c r="G14" i="38"/>
  <c r="F14" i="38"/>
  <c r="E14" i="38"/>
  <c r="D14" i="38"/>
  <c r="C14" i="38"/>
  <c r="B14" i="38"/>
  <c r="H13" i="38"/>
  <c r="G13" i="38"/>
  <c r="F13" i="38"/>
  <c r="E13" i="38"/>
  <c r="D13" i="38"/>
  <c r="C13" i="38"/>
  <c r="B13" i="38"/>
  <c r="H12" i="38"/>
  <c r="G12" i="38"/>
  <c r="F12" i="38"/>
  <c r="E12" i="38"/>
  <c r="D12" i="38"/>
  <c r="C12" i="38"/>
  <c r="B12" i="38"/>
  <c r="H11" i="38"/>
  <c r="G11" i="38"/>
  <c r="F11" i="38"/>
  <c r="E11" i="38"/>
  <c r="D11" i="38"/>
  <c r="C11" i="38"/>
  <c r="B11" i="38"/>
  <c r="H10" i="38"/>
  <c r="G10" i="38"/>
  <c r="F10" i="38"/>
  <c r="E10" i="38"/>
  <c r="D10" i="38"/>
  <c r="C10" i="38"/>
  <c r="B10" i="38"/>
  <c r="H9" i="38"/>
  <c r="G9" i="38"/>
  <c r="F9" i="38"/>
  <c r="E9" i="38"/>
  <c r="D9" i="38"/>
  <c r="C9" i="38"/>
  <c r="B9" i="38"/>
  <c r="H8" i="38"/>
  <c r="G8" i="38"/>
  <c r="F8" i="38"/>
  <c r="E8" i="38"/>
  <c r="D8" i="38"/>
  <c r="C8" i="38"/>
  <c r="B8" i="38"/>
  <c r="H7" i="38"/>
  <c r="G7" i="38"/>
  <c r="F7" i="38"/>
  <c r="E7" i="38"/>
  <c r="D7" i="38"/>
  <c r="C7" i="38"/>
  <c r="B7" i="38"/>
  <c r="H6" i="38"/>
  <c r="G6" i="38"/>
  <c r="F6" i="38"/>
  <c r="E6" i="38"/>
  <c r="D6" i="38"/>
  <c r="C6" i="38"/>
  <c r="B6" i="38"/>
  <c r="H5" i="38"/>
  <c r="G5" i="38"/>
  <c r="F5" i="38"/>
  <c r="E5" i="38"/>
  <c r="D5" i="38"/>
  <c r="C5" i="38"/>
  <c r="B5" i="38"/>
  <c r="H4" i="38"/>
  <c r="G4" i="38"/>
  <c r="F4" i="38"/>
  <c r="E4" i="38"/>
  <c r="D4" i="38"/>
  <c r="C4" i="38"/>
  <c r="B4" i="38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304" i="2"/>
  <c r="D306" i="2"/>
  <c r="D307" i="2"/>
  <c r="D308" i="2"/>
  <c r="D309" i="2"/>
  <c r="D310" i="2"/>
  <c r="D311" i="2"/>
  <c r="D312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I10" i="38" l="1"/>
  <c r="I8" i="38"/>
  <c r="D16" i="38"/>
  <c r="I9" i="38"/>
  <c r="B16" i="38"/>
  <c r="G16" i="38"/>
  <c r="I14" i="38"/>
  <c r="I12" i="38"/>
  <c r="I11" i="38"/>
  <c r="E16" i="38"/>
  <c r="I6" i="38"/>
  <c r="F16" i="38"/>
  <c r="H16" i="38"/>
  <c r="I7" i="38"/>
  <c r="I13" i="38"/>
  <c r="I15" i="38"/>
  <c r="I5" i="38"/>
  <c r="C16" i="38"/>
  <c r="I4" i="38"/>
  <c r="G115" i="15"/>
  <c r="G120" i="15"/>
  <c r="G17" i="15"/>
  <c r="B42" i="42"/>
  <c r="D42" i="42"/>
  <c r="G9" i="15"/>
  <c r="G8" i="15"/>
  <c r="G10" i="15"/>
  <c r="G109" i="15"/>
  <c r="G105" i="15"/>
  <c r="J13" i="15"/>
  <c r="G118" i="15"/>
  <c r="G104" i="15"/>
  <c r="G103" i="15"/>
  <c r="G116" i="15"/>
  <c r="G124" i="15"/>
  <c r="G114" i="15"/>
  <c r="G113" i="15"/>
  <c r="G112" i="15"/>
  <c r="L13" i="15"/>
  <c r="G125" i="15"/>
  <c r="G111" i="15"/>
  <c r="K13" i="15"/>
  <c r="G123" i="15"/>
  <c r="G122" i="15"/>
  <c r="G108" i="15"/>
  <c r="G110" i="15"/>
  <c r="G121" i="15"/>
  <c r="G107" i="15"/>
  <c r="L4" i="15"/>
  <c r="G119" i="15"/>
  <c r="L3" i="15"/>
  <c r="G117" i="15"/>
  <c r="E200" i="12"/>
  <c r="F200" i="12" s="1"/>
  <c r="E201" i="12"/>
  <c r="F201" i="12" s="1"/>
  <c r="E202" i="12"/>
  <c r="E203" i="12"/>
  <c r="E204" i="12"/>
  <c r="E205" i="12"/>
  <c r="F205" i="12" s="1"/>
  <c r="E206" i="12"/>
  <c r="F206" i="12" s="1"/>
  <c r="E207" i="12"/>
  <c r="F207" i="12" s="1"/>
  <c r="E208" i="12"/>
  <c r="F208" i="12" s="1"/>
  <c r="E209" i="12"/>
  <c r="F209" i="12" s="1"/>
  <c r="E210" i="12"/>
  <c r="F210" i="12" s="1"/>
  <c r="E211" i="12"/>
  <c r="F211" i="12" s="1"/>
  <c r="E212" i="12"/>
  <c r="F212" i="12" s="1"/>
  <c r="E213" i="12"/>
  <c r="F213" i="12" s="1"/>
  <c r="E214" i="12"/>
  <c r="F214" i="12" s="1"/>
  <c r="E215" i="12"/>
  <c r="F215" i="12" s="1"/>
  <c r="E216" i="12"/>
  <c r="F216" i="12" s="1"/>
  <c r="E217" i="12"/>
  <c r="F217" i="12" s="1"/>
  <c r="E218" i="12"/>
  <c r="F218" i="12" s="1"/>
  <c r="E219" i="12"/>
  <c r="F219" i="12" s="1"/>
  <c r="E220" i="12"/>
  <c r="F220" i="12" s="1"/>
  <c r="E221" i="12"/>
  <c r="F221" i="12" s="1"/>
  <c r="E222" i="12"/>
  <c r="F222" i="12" s="1"/>
  <c r="E223" i="12"/>
  <c r="F223" i="12" s="1"/>
  <c r="E224" i="12"/>
  <c r="F224" i="12" s="1"/>
  <c r="E225" i="12"/>
  <c r="F225" i="12" s="1"/>
  <c r="E226" i="12"/>
  <c r="F226" i="12" s="1"/>
  <c r="E227" i="12"/>
  <c r="F227" i="12" s="1"/>
  <c r="E228" i="12"/>
  <c r="F228" i="12" s="1"/>
  <c r="E229" i="12"/>
  <c r="F229" i="12" s="1"/>
  <c r="E230" i="12"/>
  <c r="F230" i="12" s="1"/>
  <c r="E231" i="12"/>
  <c r="F231" i="12" s="1"/>
  <c r="E232" i="12"/>
  <c r="F232" i="12" s="1"/>
  <c r="E233" i="12"/>
  <c r="F233" i="12" s="1"/>
  <c r="E234" i="12"/>
  <c r="F234" i="12" s="1"/>
  <c r="E235" i="12"/>
  <c r="F235" i="12" s="1"/>
  <c r="E236" i="12"/>
  <c r="F236" i="12" s="1"/>
  <c r="E237" i="12"/>
  <c r="F237" i="12" s="1"/>
  <c r="E238" i="12"/>
  <c r="F238" i="12" s="1"/>
  <c r="E239" i="12"/>
  <c r="F239" i="12" s="1"/>
  <c r="E240" i="12"/>
  <c r="F240" i="12" s="1"/>
  <c r="E241" i="12"/>
  <c r="F241" i="12" s="1"/>
  <c r="E242" i="12"/>
  <c r="F242" i="12" s="1"/>
  <c r="E243" i="12"/>
  <c r="F243" i="12" s="1"/>
  <c r="E244" i="12"/>
  <c r="F244" i="12" s="1"/>
  <c r="E245" i="12"/>
  <c r="F245" i="12" s="1"/>
  <c r="E246" i="12"/>
  <c r="F246" i="12" s="1"/>
  <c r="E247" i="12"/>
  <c r="F247" i="12" s="1"/>
  <c r="E248" i="12"/>
  <c r="F248" i="12" s="1"/>
  <c r="E249" i="12"/>
  <c r="F249" i="12" s="1"/>
  <c r="E250" i="12"/>
  <c r="F250" i="12" s="1"/>
  <c r="E251" i="12"/>
  <c r="F251" i="12" s="1"/>
  <c r="E252" i="12"/>
  <c r="F252" i="12" s="1"/>
  <c r="E253" i="12"/>
  <c r="F253" i="12" s="1"/>
  <c r="E254" i="12"/>
  <c r="F254" i="12" s="1"/>
  <c r="E255" i="12"/>
  <c r="F255" i="12" s="1"/>
  <c r="E256" i="12"/>
  <c r="F256" i="12" s="1"/>
  <c r="E257" i="12"/>
  <c r="F257" i="12" s="1"/>
  <c r="E258" i="12"/>
  <c r="F258" i="12" s="1"/>
  <c r="E259" i="12"/>
  <c r="F259" i="12" s="1"/>
  <c r="E260" i="12"/>
  <c r="F260" i="12" s="1"/>
  <c r="E261" i="12"/>
  <c r="F261" i="12" s="1"/>
  <c r="E262" i="12"/>
  <c r="F262" i="12" s="1"/>
  <c r="E263" i="12"/>
  <c r="F263" i="12" s="1"/>
  <c r="E264" i="12"/>
  <c r="F264" i="12" s="1"/>
  <c r="E265" i="12"/>
  <c r="F265" i="12" s="1"/>
  <c r="E266" i="12"/>
  <c r="F266" i="12" s="1"/>
  <c r="E267" i="12"/>
  <c r="F267" i="12" s="1"/>
  <c r="E268" i="12"/>
  <c r="F268" i="12" s="1"/>
  <c r="E269" i="12"/>
  <c r="F269" i="12" s="1"/>
  <c r="E270" i="12"/>
  <c r="F270" i="12" s="1"/>
  <c r="E271" i="12"/>
  <c r="F271" i="12" s="1"/>
  <c r="E272" i="12"/>
  <c r="F272" i="12" s="1"/>
  <c r="E273" i="12"/>
  <c r="F273" i="12" s="1"/>
  <c r="E274" i="12"/>
  <c r="F274" i="12" s="1"/>
  <c r="E275" i="12"/>
  <c r="F275" i="12" s="1"/>
  <c r="E276" i="12"/>
  <c r="F276" i="12" s="1"/>
  <c r="E277" i="12"/>
  <c r="F277" i="12" s="1"/>
  <c r="E278" i="12"/>
  <c r="F278" i="12" s="1"/>
  <c r="E279" i="12"/>
  <c r="F279" i="12" s="1"/>
  <c r="E280" i="12"/>
  <c r="F280" i="12" s="1"/>
  <c r="E281" i="12"/>
  <c r="F281" i="12" s="1"/>
  <c r="E282" i="12"/>
  <c r="F282" i="12" s="1"/>
  <c r="E283" i="12"/>
  <c r="F283" i="12" s="1"/>
  <c r="E284" i="12"/>
  <c r="F284" i="12" s="1"/>
  <c r="E285" i="12"/>
  <c r="F285" i="12" s="1"/>
  <c r="E286" i="12"/>
  <c r="F286" i="12" s="1"/>
  <c r="E287" i="12"/>
  <c r="F287" i="12" s="1"/>
  <c r="E288" i="12"/>
  <c r="F288" i="12" s="1"/>
  <c r="E289" i="12"/>
  <c r="F289" i="12" s="1"/>
  <c r="E290" i="12"/>
  <c r="F290" i="12" s="1"/>
  <c r="E291" i="12"/>
  <c r="F291" i="12" s="1"/>
  <c r="E292" i="12"/>
  <c r="F292" i="12" s="1"/>
  <c r="E293" i="12"/>
  <c r="F293" i="12" s="1"/>
  <c r="E294" i="12"/>
  <c r="F294" i="12" s="1"/>
  <c r="E295" i="12"/>
  <c r="F295" i="12" s="1"/>
  <c r="E296" i="12"/>
  <c r="F296" i="12" s="1"/>
  <c r="E297" i="12"/>
  <c r="F297" i="12" s="1"/>
  <c r="E298" i="12"/>
  <c r="F298" i="12" s="1"/>
  <c r="E299" i="12"/>
  <c r="F299" i="12" s="1"/>
  <c r="E300" i="12"/>
  <c r="F300" i="12" s="1"/>
  <c r="E301" i="12"/>
  <c r="F301" i="12" s="1"/>
  <c r="E302" i="12"/>
  <c r="F302" i="12" s="1"/>
  <c r="E303" i="12"/>
  <c r="F303" i="12" s="1"/>
  <c r="E304" i="12"/>
  <c r="F304" i="12" s="1"/>
  <c r="E305" i="12"/>
  <c r="F305" i="12" s="1"/>
  <c r="E306" i="12"/>
  <c r="F306" i="12" s="1"/>
  <c r="E307" i="12"/>
  <c r="F307" i="12" s="1"/>
  <c r="E308" i="12"/>
  <c r="F308" i="12" s="1"/>
  <c r="E309" i="12"/>
  <c r="F309" i="12" s="1"/>
  <c r="E310" i="12"/>
  <c r="F310" i="12" s="1"/>
  <c r="E311" i="12"/>
  <c r="F311" i="12" s="1"/>
  <c r="E312" i="12"/>
  <c r="F312" i="12" s="1"/>
  <c r="E313" i="12"/>
  <c r="F313" i="12" s="1"/>
  <c r="E314" i="12"/>
  <c r="F314" i="12" s="1"/>
  <c r="E315" i="12"/>
  <c r="F315" i="12" s="1"/>
  <c r="E304" i="2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E312" i="2"/>
  <c r="E319" i="2"/>
  <c r="F319" i="2" s="1"/>
  <c r="E318" i="2"/>
  <c r="E322" i="2"/>
  <c r="E321" i="2"/>
  <c r="E320" i="2"/>
  <c r="BU71" i="11"/>
  <c r="CJ73" i="11" s="1"/>
  <c r="BV71" i="11"/>
  <c r="E323" i="2"/>
  <c r="F323" i="2" s="1"/>
  <c r="I16" i="38" l="1"/>
  <c r="M13" i="15"/>
  <c r="F204" i="12"/>
  <c r="F202" i="12"/>
  <c r="F203" i="12"/>
  <c r="F304" i="2"/>
  <c r="F312" i="2"/>
  <c r="F311" i="2"/>
  <c r="F322" i="2"/>
  <c r="F318" i="2"/>
  <c r="F320" i="2"/>
  <c r="F321" i="2"/>
  <c r="E324" i="2"/>
  <c r="E325" i="2"/>
  <c r="F325" i="2" s="1"/>
  <c r="E329" i="2"/>
  <c r="E328" i="2"/>
  <c r="E327" i="2"/>
  <c r="E326" i="2"/>
  <c r="E330" i="2"/>
  <c r="E331" i="2"/>
  <c r="E332" i="2"/>
  <c r="E333" i="2"/>
  <c r="E334" i="2"/>
  <c r="BX72" i="11"/>
  <c r="CT13" i="1"/>
  <c r="CR25" i="1"/>
  <c r="E335" i="2"/>
  <c r="E336" i="2"/>
  <c r="E337" i="2"/>
  <c r="E338" i="2"/>
  <c r="E339" i="2"/>
  <c r="E344" i="2"/>
  <c r="E345" i="2"/>
  <c r="E340" i="2"/>
  <c r="E341" i="2"/>
  <c r="E342" i="2"/>
  <c r="E343" i="2"/>
  <c r="E348" i="2"/>
  <c r="E347" i="2"/>
  <c r="E346" i="2"/>
  <c r="E349" i="2"/>
  <c r="E350" i="2"/>
  <c r="E351" i="2"/>
  <c r="E352" i="2"/>
  <c r="E353" i="2"/>
  <c r="E354" i="2"/>
  <c r="E355" i="2"/>
  <c r="E356" i="2"/>
  <c r="E357" i="2"/>
  <c r="E358" i="2"/>
  <c r="E359" i="2"/>
  <c r="CR63" i="1"/>
  <c r="E360" i="2"/>
  <c r="E368" i="2"/>
  <c r="E361" i="2"/>
  <c r="E362" i="2"/>
  <c r="E363" i="2"/>
  <c r="E364" i="2"/>
  <c r="E365" i="2"/>
  <c r="E366" i="2"/>
  <c r="E367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CQ28" i="1"/>
  <c r="CS48" i="1"/>
  <c r="CR48" i="1"/>
  <c r="E383" i="2"/>
  <c r="E384" i="2"/>
  <c r="E385" i="2"/>
  <c r="E386" i="2"/>
  <c r="E387" i="2"/>
  <c r="E388" i="2"/>
  <c r="E389" i="2"/>
  <c r="E390" i="2"/>
  <c r="E392" i="2"/>
  <c r="E391" i="2"/>
  <c r="E393" i="2"/>
  <c r="E395" i="2"/>
  <c r="E394" i="2"/>
  <c r="E397" i="2"/>
  <c r="E396" i="2"/>
  <c r="E398" i="2"/>
  <c r="E399" i="2"/>
  <c r="E400" i="2"/>
  <c r="CQ25" i="1"/>
  <c r="CP25" i="1"/>
  <c r="E408" i="2"/>
  <c r="E401" i="2"/>
  <c r="E402" i="2"/>
  <c r="E403" i="2"/>
  <c r="E404" i="2"/>
  <c r="E405" i="2"/>
  <c r="E406" i="2"/>
  <c r="E407" i="2"/>
  <c r="E409" i="2"/>
  <c r="E410" i="2"/>
  <c r="E411" i="2"/>
  <c r="E412" i="2"/>
  <c r="E413" i="2"/>
  <c r="E415" i="2"/>
  <c r="E414" i="2"/>
  <c r="E416" i="2"/>
  <c r="E418" i="2"/>
  <c r="CP28" i="1"/>
  <c r="E417" i="2"/>
  <c r="H47" i="6"/>
  <c r="E426" i="2"/>
  <c r="E419" i="2"/>
  <c r="E420" i="2"/>
  <c r="E421" i="2"/>
  <c r="E422" i="2"/>
  <c r="E73" i="12"/>
  <c r="E423" i="2"/>
  <c r="E424" i="2"/>
  <c r="E425" i="2"/>
  <c r="C36" i="11"/>
  <c r="BV12" i="11"/>
  <c r="BV7" i="11"/>
  <c r="BV14" i="11"/>
  <c r="BR11" i="11"/>
  <c r="BT11" i="11"/>
  <c r="BT12" i="11"/>
  <c r="BW57" i="11"/>
  <c r="BW56" i="11"/>
  <c r="BW55" i="11"/>
  <c r="BW53" i="11"/>
  <c r="BV54" i="11"/>
  <c r="BW54" i="11" s="1"/>
  <c r="F73" i="12" l="1"/>
  <c r="F324" i="2"/>
  <c r="F327" i="2"/>
  <c r="F329" i="2"/>
  <c r="F326" i="2"/>
  <c r="F339" i="2"/>
  <c r="F328" i="2"/>
  <c r="F330" i="2"/>
  <c r="F333" i="2"/>
  <c r="F331" i="2"/>
  <c r="F334" i="2"/>
  <c r="F335" i="2"/>
  <c r="F332" i="2"/>
  <c r="F345" i="2"/>
  <c r="F338" i="2"/>
  <c r="F336" i="2"/>
  <c r="F348" i="2"/>
  <c r="F337" i="2"/>
  <c r="F344" i="2"/>
  <c r="F350" i="2"/>
  <c r="F343" i="2"/>
  <c r="F340" i="2"/>
  <c r="F342" i="2"/>
  <c r="F341" i="2"/>
  <c r="F347" i="2"/>
  <c r="F352" i="2"/>
  <c r="F346" i="2"/>
  <c r="F349" i="2"/>
  <c r="F358" i="2"/>
  <c r="F351" i="2"/>
  <c r="F353" i="2"/>
  <c r="F363" i="2"/>
  <c r="F354" i="2"/>
  <c r="F355" i="2"/>
  <c r="F364" i="2"/>
  <c r="F356" i="2"/>
  <c r="F357" i="2"/>
  <c r="F369" i="2"/>
  <c r="F362" i="2"/>
  <c r="F359" i="2"/>
  <c r="F360" i="2"/>
  <c r="F366" i="2"/>
  <c r="F368" i="2"/>
  <c r="F365" i="2"/>
  <c r="F361" i="2"/>
  <c r="F382" i="2"/>
  <c r="F375" i="2"/>
  <c r="F367" i="2"/>
  <c r="F377" i="2"/>
  <c r="F370" i="2"/>
  <c r="F373" i="2"/>
  <c r="F378" i="2"/>
  <c r="F372" i="2"/>
  <c r="F381" i="2"/>
  <c r="F374" i="2"/>
  <c r="F371" i="2"/>
  <c r="F376" i="2"/>
  <c r="F379" i="2"/>
  <c r="F380" i="2"/>
  <c r="F383" i="2"/>
  <c r="F384" i="2"/>
  <c r="F385" i="2"/>
  <c r="F397" i="2"/>
  <c r="F389" i="2"/>
  <c r="F392" i="2"/>
  <c r="F386" i="2"/>
  <c r="F390" i="2"/>
  <c r="F387" i="2"/>
  <c r="F408" i="2"/>
  <c r="F394" i="2"/>
  <c r="F388" i="2"/>
  <c r="F391" i="2"/>
  <c r="F396" i="2"/>
  <c r="F393" i="2"/>
  <c r="F395" i="2"/>
  <c r="F400" i="2"/>
  <c r="F398" i="2"/>
  <c r="F399" i="2"/>
  <c r="F403" i="2"/>
  <c r="F404" i="2"/>
  <c r="F402" i="2"/>
  <c r="F401" i="2"/>
  <c r="F405" i="2"/>
  <c r="F406" i="2"/>
  <c r="F407" i="2"/>
  <c r="F410" i="2"/>
  <c r="F409" i="2"/>
  <c r="F412" i="2"/>
  <c r="F411" i="2"/>
  <c r="F413" i="2"/>
  <c r="F415" i="2"/>
  <c r="F414" i="2"/>
  <c r="F416" i="2"/>
  <c r="F418" i="2"/>
  <c r="F420" i="2"/>
  <c r="F417" i="2"/>
  <c r="F426" i="2"/>
  <c r="F419" i="2"/>
  <c r="F422" i="2"/>
  <c r="F421" i="2"/>
  <c r="F423" i="2"/>
  <c r="F424" i="2"/>
  <c r="F425" i="2"/>
  <c r="BT51" i="11"/>
  <c r="BT54" i="11"/>
  <c r="BU54" i="11" s="1"/>
  <c r="E427" i="2"/>
  <c r="E428" i="2"/>
  <c r="E429" i="2"/>
  <c r="E430" i="2"/>
  <c r="E431" i="2"/>
  <c r="K11" i="9"/>
  <c r="J43" i="9"/>
  <c r="F427" i="2" l="1"/>
  <c r="F428" i="2"/>
  <c r="BU57" i="11"/>
  <c r="BU56" i="11"/>
  <c r="BU55" i="11"/>
  <c r="BU53" i="11"/>
  <c r="F431" i="2"/>
  <c r="F429" i="2"/>
  <c r="F430" i="2"/>
  <c r="J11" i="9"/>
  <c r="DA30" i="1"/>
  <c r="D35" i="10"/>
  <c r="Q61" i="1"/>
  <c r="Q60" i="1"/>
  <c r="Q59" i="1"/>
  <c r="Q58" i="1"/>
  <c r="Q57" i="1"/>
  <c r="R13" i="19"/>
  <c r="R12" i="19"/>
  <c r="R11" i="19"/>
  <c r="R10" i="19"/>
  <c r="R9" i="19"/>
  <c r="R8" i="19"/>
  <c r="G4" i="41"/>
  <c r="R6" i="19"/>
  <c r="R5" i="19"/>
  <c r="S13" i="19"/>
  <c r="S12" i="19"/>
  <c r="H11" i="41" s="1"/>
  <c r="S11" i="19"/>
  <c r="S10" i="19"/>
  <c r="H6" i="41" s="1"/>
  <c r="S9" i="19"/>
  <c r="S8" i="19"/>
  <c r="S7" i="19"/>
  <c r="H4" i="41" s="1"/>
  <c r="S6" i="19"/>
  <c r="S5" i="19"/>
  <c r="E432" i="2"/>
  <c r="E433" i="2"/>
  <c r="E434" i="2"/>
  <c r="C29" i="10" l="1"/>
  <c r="E29" i="10" s="1"/>
  <c r="G6" i="41"/>
  <c r="G2" i="41"/>
  <c r="G7" i="41"/>
  <c r="G11" i="41"/>
  <c r="G8" i="41"/>
  <c r="H8" i="41"/>
  <c r="C18" i="10"/>
  <c r="F432" i="2"/>
  <c r="F433" i="2"/>
  <c r="F434" i="2"/>
  <c r="E435" i="2"/>
  <c r="E437" i="2"/>
  <c r="E436" i="2"/>
  <c r="E438" i="2"/>
  <c r="E439" i="2"/>
  <c r="E440" i="2"/>
  <c r="E441" i="2"/>
  <c r="CQ13" i="1"/>
  <c r="E74" i="12"/>
  <c r="E75" i="12"/>
  <c r="F75" i="12" s="1"/>
  <c r="E76" i="12"/>
  <c r="F76" i="12" s="1"/>
  <c r="E77" i="12"/>
  <c r="F77" i="12" s="1"/>
  <c r="E442" i="2"/>
  <c r="F442" i="2" s="1"/>
  <c r="E443" i="2"/>
  <c r="E444" i="2"/>
  <c r="E445" i="2"/>
  <c r="F445" i="2" s="1"/>
  <c r="E446" i="2"/>
  <c r="E447" i="2"/>
  <c r="F447" i="2" s="1"/>
  <c r="E448" i="2"/>
  <c r="F448" i="2" s="1"/>
  <c r="E449" i="2"/>
  <c r="E450" i="2"/>
  <c r="E468" i="2"/>
  <c r="E470" i="2"/>
  <c r="E471" i="2"/>
  <c r="E472" i="2"/>
  <c r="BT71" i="11"/>
  <c r="BT24" i="11"/>
  <c r="E88" i="12"/>
  <c r="F88" i="12" s="1"/>
  <c r="CO25" i="1"/>
  <c r="CO24" i="1"/>
  <c r="D77" i="15" s="1"/>
  <c r="E78" i="12"/>
  <c r="F78" i="12" s="1"/>
  <c r="E79" i="12"/>
  <c r="F79" i="12" s="1"/>
  <c r="E80" i="12"/>
  <c r="F80" i="12" s="1"/>
  <c r="E81" i="12"/>
  <c r="F81" i="12" s="1"/>
  <c r="E452" i="2"/>
  <c r="E451" i="2"/>
  <c r="E453" i="2"/>
  <c r="E454" i="2"/>
  <c r="E455" i="2"/>
  <c r="E456" i="2"/>
  <c r="E457" i="2"/>
  <c r="E458" i="2"/>
  <c r="E459" i="2"/>
  <c r="E460" i="2"/>
  <c r="E461" i="2"/>
  <c r="E82" i="12"/>
  <c r="F82" i="12" s="1"/>
  <c r="E90" i="12"/>
  <c r="F90" i="12" s="1"/>
  <c r="E91" i="12"/>
  <c r="F91" i="12" s="1"/>
  <c r="E92" i="12"/>
  <c r="F92" i="12" s="1"/>
  <c r="E93" i="12"/>
  <c r="F93" i="12" s="1"/>
  <c r="E94" i="12"/>
  <c r="F94" i="12" s="1"/>
  <c r="E95" i="12"/>
  <c r="F95" i="12" s="1"/>
  <c r="E96" i="12"/>
  <c r="F96" i="12" s="1"/>
  <c r="E97" i="12"/>
  <c r="F97" i="12" s="1"/>
  <c r="E98" i="12"/>
  <c r="F98" i="12" s="1"/>
  <c r="E99" i="12"/>
  <c r="F99" i="12" s="1"/>
  <c r="E100" i="12"/>
  <c r="F100" i="12" s="1"/>
  <c r="E101" i="12"/>
  <c r="F101" i="12" s="1"/>
  <c r="E102" i="12"/>
  <c r="F102" i="12" s="1"/>
  <c r="E103" i="12"/>
  <c r="F103" i="12" s="1"/>
  <c r="E104" i="12"/>
  <c r="F104" i="12" s="1"/>
  <c r="E105" i="12"/>
  <c r="F105" i="12" s="1"/>
  <c r="E106" i="12"/>
  <c r="F106" i="12" s="1"/>
  <c r="E107" i="12"/>
  <c r="F107" i="12" s="1"/>
  <c r="E108" i="12"/>
  <c r="F108" i="12" s="1"/>
  <c r="E109" i="12"/>
  <c r="F109" i="12" s="1"/>
  <c r="E110" i="12"/>
  <c r="F110" i="12" s="1"/>
  <c r="E111" i="12"/>
  <c r="F111" i="12" s="1"/>
  <c r="E112" i="12"/>
  <c r="F112" i="12" s="1"/>
  <c r="E113" i="12"/>
  <c r="F113" i="12" s="1"/>
  <c r="E114" i="12"/>
  <c r="F114" i="12" s="1"/>
  <c r="E115" i="12"/>
  <c r="F115" i="12" s="1"/>
  <c r="E116" i="12"/>
  <c r="F116" i="12" s="1"/>
  <c r="E117" i="12"/>
  <c r="F117" i="12" s="1"/>
  <c r="E118" i="12"/>
  <c r="F118" i="12" s="1"/>
  <c r="E119" i="12"/>
  <c r="F119" i="12" s="1"/>
  <c r="E120" i="12"/>
  <c r="F120" i="12" s="1"/>
  <c r="E121" i="12"/>
  <c r="F121" i="12" s="1"/>
  <c r="E122" i="12"/>
  <c r="F122" i="12" s="1"/>
  <c r="E123" i="12"/>
  <c r="F123" i="12" s="1"/>
  <c r="E124" i="12"/>
  <c r="F124" i="12" s="1"/>
  <c r="E125" i="12"/>
  <c r="F125" i="12" s="1"/>
  <c r="E126" i="12"/>
  <c r="F126" i="12" s="1"/>
  <c r="E127" i="12"/>
  <c r="F127" i="12" s="1"/>
  <c r="E128" i="12"/>
  <c r="F128" i="12" s="1"/>
  <c r="E129" i="12"/>
  <c r="F129" i="12" s="1"/>
  <c r="E130" i="12"/>
  <c r="F130" i="12" s="1"/>
  <c r="E131" i="12"/>
  <c r="F131" i="12" s="1"/>
  <c r="E132" i="12"/>
  <c r="F132" i="12" s="1"/>
  <c r="E133" i="12"/>
  <c r="F133" i="12" s="1"/>
  <c r="E134" i="12"/>
  <c r="F134" i="12" s="1"/>
  <c r="E135" i="12"/>
  <c r="F135" i="12" s="1"/>
  <c r="E136" i="12"/>
  <c r="F136" i="12" s="1"/>
  <c r="E137" i="12"/>
  <c r="F137" i="12" s="1"/>
  <c r="E138" i="12"/>
  <c r="F138" i="12" s="1"/>
  <c r="E139" i="12"/>
  <c r="F139" i="12" s="1"/>
  <c r="E140" i="12"/>
  <c r="F140" i="12" s="1"/>
  <c r="E141" i="12"/>
  <c r="F141" i="12" s="1"/>
  <c r="E142" i="12"/>
  <c r="F142" i="12" s="1"/>
  <c r="E143" i="12"/>
  <c r="F143" i="12" s="1"/>
  <c r="E144" i="12"/>
  <c r="F144" i="12" s="1"/>
  <c r="E145" i="12"/>
  <c r="F145" i="12" s="1"/>
  <c r="E146" i="12"/>
  <c r="F146" i="12" s="1"/>
  <c r="E147" i="12"/>
  <c r="F147" i="12" s="1"/>
  <c r="E148" i="12"/>
  <c r="F148" i="12" s="1"/>
  <c r="E149" i="12"/>
  <c r="F149" i="12" s="1"/>
  <c r="E150" i="12"/>
  <c r="F150" i="12" s="1"/>
  <c r="E151" i="12"/>
  <c r="F151" i="12" s="1"/>
  <c r="E152" i="12"/>
  <c r="F152" i="12" s="1"/>
  <c r="E153" i="12"/>
  <c r="F153" i="12" s="1"/>
  <c r="E154" i="12"/>
  <c r="F154" i="12" s="1"/>
  <c r="E155" i="12"/>
  <c r="F155" i="12" s="1"/>
  <c r="E156" i="12"/>
  <c r="F156" i="12" s="1"/>
  <c r="E157" i="12"/>
  <c r="F157" i="12" s="1"/>
  <c r="E158" i="12"/>
  <c r="F158" i="12" s="1"/>
  <c r="E159" i="12"/>
  <c r="F159" i="12" s="1"/>
  <c r="E160" i="12"/>
  <c r="F160" i="12" s="1"/>
  <c r="E161" i="12"/>
  <c r="F161" i="12" s="1"/>
  <c r="E162" i="12"/>
  <c r="F162" i="12" s="1"/>
  <c r="E163" i="12"/>
  <c r="F163" i="12" s="1"/>
  <c r="E164" i="12"/>
  <c r="F164" i="12" s="1"/>
  <c r="E165" i="12"/>
  <c r="F165" i="12" s="1"/>
  <c r="E166" i="12"/>
  <c r="F166" i="12" s="1"/>
  <c r="E167" i="12"/>
  <c r="F167" i="12" s="1"/>
  <c r="E168" i="12"/>
  <c r="F168" i="12" s="1"/>
  <c r="E169" i="12"/>
  <c r="F169" i="12" s="1"/>
  <c r="E170" i="12"/>
  <c r="F170" i="12" s="1"/>
  <c r="E171" i="12"/>
  <c r="F171" i="12" s="1"/>
  <c r="E172" i="12"/>
  <c r="F172" i="12" s="1"/>
  <c r="E173" i="12"/>
  <c r="F173" i="12" s="1"/>
  <c r="E174" i="12"/>
  <c r="F174" i="12" s="1"/>
  <c r="E175" i="12"/>
  <c r="F175" i="12" s="1"/>
  <c r="E176" i="12"/>
  <c r="F176" i="12" s="1"/>
  <c r="E177" i="12"/>
  <c r="F177" i="12" s="1"/>
  <c r="E178" i="12"/>
  <c r="F178" i="12" s="1"/>
  <c r="E179" i="12"/>
  <c r="F179" i="12" s="1"/>
  <c r="E180" i="12"/>
  <c r="F180" i="12" s="1"/>
  <c r="E181" i="12"/>
  <c r="F181" i="12" s="1"/>
  <c r="E182" i="12"/>
  <c r="F182" i="12" s="1"/>
  <c r="E183" i="12"/>
  <c r="F183" i="12" s="1"/>
  <c r="E184" i="12"/>
  <c r="F184" i="12" s="1"/>
  <c r="E185" i="12"/>
  <c r="F185" i="12" s="1"/>
  <c r="E186" i="12"/>
  <c r="F186" i="12" s="1"/>
  <c r="E187" i="12"/>
  <c r="F187" i="12" s="1"/>
  <c r="E188" i="12"/>
  <c r="F188" i="12" s="1"/>
  <c r="E189" i="12"/>
  <c r="F189" i="12" s="1"/>
  <c r="E190" i="12"/>
  <c r="F190" i="12" s="1"/>
  <c r="E191" i="12"/>
  <c r="F191" i="12" s="1"/>
  <c r="E192" i="12"/>
  <c r="F192" i="12" s="1"/>
  <c r="E193" i="12"/>
  <c r="F193" i="12" s="1"/>
  <c r="E194" i="12"/>
  <c r="F194" i="12" s="1"/>
  <c r="E195" i="12"/>
  <c r="F195" i="12" s="1"/>
  <c r="E196" i="12"/>
  <c r="F196" i="12" s="1"/>
  <c r="E197" i="12"/>
  <c r="F197" i="12" s="1"/>
  <c r="E198" i="12"/>
  <c r="F198" i="12" s="1"/>
  <c r="E199" i="12"/>
  <c r="F199" i="12" s="1"/>
  <c r="E83" i="12"/>
  <c r="F83" i="12" s="1"/>
  <c r="E528" i="2"/>
  <c r="E576" i="2"/>
  <c r="E462" i="2"/>
  <c r="E463" i="2"/>
  <c r="E464" i="2"/>
  <c r="E84" i="12"/>
  <c r="F84" i="12" s="1"/>
  <c r="E85" i="12"/>
  <c r="F85" i="12" s="1"/>
  <c r="E89" i="12"/>
  <c r="F89" i="12" s="1"/>
  <c r="E86" i="12"/>
  <c r="F86" i="12" s="1"/>
  <c r="E87" i="12"/>
  <c r="F87" i="12" s="1"/>
  <c r="E465" i="2"/>
  <c r="E466" i="2"/>
  <c r="E467" i="2"/>
  <c r="E469" i="2"/>
  <c r="E474" i="2"/>
  <c r="E473" i="2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2" i="15"/>
  <c r="D83" i="15"/>
  <c r="D89" i="15"/>
  <c r="D88" i="15"/>
  <c r="D87" i="15"/>
  <c r="D86" i="15"/>
  <c r="D85" i="15"/>
  <c r="D84" i="15"/>
  <c r="D81" i="15"/>
  <c r="D80" i="15"/>
  <c r="U4" i="5"/>
  <c r="Q14" i="5"/>
  <c r="Q11" i="5"/>
  <c r="P10" i="5"/>
  <c r="P14" i="5"/>
  <c r="P12" i="5"/>
  <c r="P11" i="5"/>
  <c r="Q10" i="5"/>
  <c r="E475" i="2"/>
  <c r="E476" i="2"/>
  <c r="E477" i="2"/>
  <c r="E478" i="2"/>
  <c r="CI49" i="1"/>
  <c r="P12" i="1"/>
  <c r="H56" i="6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CO30" i="1"/>
  <c r="E500" i="2"/>
  <c r="E499" i="2"/>
  <c r="E501" i="2"/>
  <c r="E502" i="2"/>
  <c r="E503" i="2"/>
  <c r="E508" i="2"/>
  <c r="E504" i="2"/>
  <c r="BR51" i="11"/>
  <c r="E505" i="2"/>
  <c r="CO21" i="1"/>
  <c r="E506" i="2"/>
  <c r="E507" i="2"/>
  <c r="E511" i="2"/>
  <c r="E509" i="2"/>
  <c r="E510" i="2"/>
  <c r="E513" i="2"/>
  <c r="E512" i="2"/>
  <c r="E516" i="2"/>
  <c r="E515" i="2"/>
  <c r="E514" i="2"/>
  <c r="E517" i="2"/>
  <c r="E518" i="2"/>
  <c r="E519" i="2"/>
  <c r="E520" i="2"/>
  <c r="E521" i="2"/>
  <c r="F6" i="10"/>
  <c r="G6" i="10" s="1"/>
  <c r="E529" i="2"/>
  <c r="E530" i="2"/>
  <c r="E522" i="2"/>
  <c r="E526" i="2"/>
  <c r="E523" i="2"/>
  <c r="E524" i="2"/>
  <c r="E525" i="2"/>
  <c r="E531" i="2"/>
  <c r="E532" i="2"/>
  <c r="E533" i="2"/>
  <c r="E534" i="2"/>
  <c r="E535" i="2"/>
  <c r="E536" i="2"/>
  <c r="CN30" i="1"/>
  <c r="I25" i="1"/>
  <c r="Q25" i="1" s="1"/>
  <c r="H12" i="41" s="1"/>
  <c r="H25" i="1"/>
  <c r="E538" i="2"/>
  <c r="E537" i="2"/>
  <c r="BT14" i="11"/>
  <c r="BT15" i="11"/>
  <c r="BS24" i="11"/>
  <c r="BV29" i="11" s="1"/>
  <c r="E541" i="2"/>
  <c r="E540" i="2"/>
  <c r="E539" i="2"/>
  <c r="E544" i="2"/>
  <c r="E543" i="2"/>
  <c r="E542" i="2"/>
  <c r="E546" i="2"/>
  <c r="E547" i="2"/>
  <c r="E548" i="2"/>
  <c r="E527" i="2"/>
  <c r="E545" i="2"/>
  <c r="E549" i="2"/>
  <c r="E550" i="2"/>
  <c r="E551" i="2"/>
  <c r="E552" i="2"/>
  <c r="E553" i="2"/>
  <c r="E554" i="2"/>
  <c r="E559" i="2"/>
  <c r="E555" i="2"/>
  <c r="E556" i="2"/>
  <c r="E558" i="2"/>
  <c r="E560" i="2"/>
  <c r="E561" i="2"/>
  <c r="E562" i="2"/>
  <c r="E563" i="2"/>
  <c r="CD63" i="1"/>
  <c r="CD45" i="1"/>
  <c r="CD46" i="1"/>
  <c r="CO63" i="1"/>
  <c r="E564" i="2"/>
  <c r="E565" i="2"/>
  <c r="E566" i="2"/>
  <c r="BT9" i="11"/>
  <c r="E567" i="2"/>
  <c r="E568" i="2"/>
  <c r="E569" i="2"/>
  <c r="E570" i="2"/>
  <c r="E571" i="2"/>
  <c r="H28" i="9"/>
  <c r="E572" i="2"/>
  <c r="E573" i="2"/>
  <c r="E574" i="2"/>
  <c r="E575" i="2"/>
  <c r="E577" i="2"/>
  <c r="E578" i="2"/>
  <c r="F578" i="2" s="1"/>
  <c r="D72" i="11"/>
  <c r="I67" i="11"/>
  <c r="I59" i="11"/>
  <c r="E579" i="2"/>
  <c r="CR30" i="1"/>
  <c r="CR69" i="1" s="1"/>
  <c r="CW30" i="1"/>
  <c r="CW69" i="1" s="1"/>
  <c r="E580" i="2"/>
  <c r="E581" i="2"/>
  <c r="E582" i="2"/>
  <c r="E583" i="2"/>
  <c r="E584" i="2"/>
  <c r="E585" i="2"/>
  <c r="E586" i="2"/>
  <c r="BR24" i="11"/>
  <c r="BQ27" i="11" s="1"/>
  <c r="BQ24" i="11"/>
  <c r="BP24" i="11"/>
  <c r="B69" i="1"/>
  <c r="I29" i="1"/>
  <c r="I12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U69" i="1"/>
  <c r="BC69" i="1"/>
  <c r="CM13" i="1"/>
  <c r="CL13" i="1"/>
  <c r="CK13" i="1"/>
  <c r="CJ13" i="1"/>
  <c r="CI13" i="1"/>
  <c r="CH13" i="1"/>
  <c r="CG13" i="1"/>
  <c r="CE13" i="1"/>
  <c r="CD13" i="1"/>
  <c r="CB13" i="1"/>
  <c r="Q12" i="1"/>
  <c r="Q29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CZ30" i="1"/>
  <c r="CX30" i="1"/>
  <c r="CV30" i="1"/>
  <c r="CU30" i="1"/>
  <c r="CT30" i="1"/>
  <c r="CT69" i="1" s="1"/>
  <c r="CQ30" i="1"/>
  <c r="CP30" i="1"/>
  <c r="CJ30" i="1"/>
  <c r="CJ69" i="1"/>
  <c r="CI30" i="1"/>
  <c r="CI69" i="1"/>
  <c r="CH30" i="1"/>
  <c r="CH69" i="1"/>
  <c r="CE30" i="1"/>
  <c r="CE69" i="1"/>
  <c r="BX30" i="1"/>
  <c r="BX69" i="1"/>
  <c r="BW30" i="1"/>
  <c r="BV30" i="1"/>
  <c r="BU30" i="1"/>
  <c r="BU69" i="1"/>
  <c r="BT30" i="1"/>
  <c r="BT69" i="1"/>
  <c r="BS30" i="1"/>
  <c r="BR30" i="1"/>
  <c r="BR69" i="1" s="1"/>
  <c r="BQ30" i="1"/>
  <c r="BP30" i="1"/>
  <c r="BP69" i="1"/>
  <c r="BO30" i="1"/>
  <c r="BN30" i="1"/>
  <c r="BN69" i="1"/>
  <c r="BM30" i="1"/>
  <c r="BM69" i="1" s="1"/>
  <c r="BL30" i="1"/>
  <c r="BL69" i="1" s="1"/>
  <c r="BK30" i="1"/>
  <c r="BK69" i="1" s="1"/>
  <c r="BI30" i="1"/>
  <c r="BI69" i="1" s="1"/>
  <c r="BH30" i="1"/>
  <c r="BH69" i="1" s="1"/>
  <c r="BG30" i="1"/>
  <c r="BF30" i="1"/>
  <c r="F30" i="1" s="1"/>
  <c r="N30" i="1" s="1"/>
  <c r="BE30" i="1"/>
  <c r="BD30" i="1"/>
  <c r="E30" i="1" s="1"/>
  <c r="M30" i="1" s="1"/>
  <c r="BC30" i="1"/>
  <c r="AY30" i="1"/>
  <c r="AY69" i="1" s="1"/>
  <c r="AX30" i="1"/>
  <c r="AX69" i="1" s="1"/>
  <c r="AW30" i="1"/>
  <c r="AW69" i="1" s="1"/>
  <c r="AV30" i="1"/>
  <c r="AV69" i="1" s="1"/>
  <c r="AU30" i="1"/>
  <c r="AU69" i="1" s="1"/>
  <c r="AS30" i="1"/>
  <c r="AS69" i="1" s="1"/>
  <c r="AQ30" i="1"/>
  <c r="AQ69" i="1"/>
  <c r="AP30" i="1"/>
  <c r="AO30" i="1"/>
  <c r="AL30" i="1"/>
  <c r="AL69" i="1"/>
  <c r="AK30" i="1"/>
  <c r="AK69" i="1"/>
  <c r="AH30" i="1"/>
  <c r="AH69" i="1"/>
  <c r="AE30" i="1"/>
  <c r="AE69" i="1"/>
  <c r="AD30" i="1"/>
  <c r="AD69" i="1" s="1"/>
  <c r="AC30" i="1"/>
  <c r="AC69" i="1"/>
  <c r="AB30" i="1"/>
  <c r="AB69" i="1"/>
  <c r="AA30" i="1"/>
  <c r="AA69" i="1"/>
  <c r="Z30" i="1"/>
  <c r="Z69" i="1"/>
  <c r="Y30" i="1"/>
  <c r="Y69" i="1"/>
  <c r="X30" i="1"/>
  <c r="X69" i="1"/>
  <c r="V30" i="1"/>
  <c r="V69" i="1" s="1"/>
  <c r="T30" i="1"/>
  <c r="T69" i="1"/>
  <c r="S30" i="1"/>
  <c r="S69" i="1"/>
  <c r="AG12" i="1"/>
  <c r="C12" i="1"/>
  <c r="K12" i="1" s="1"/>
  <c r="G12" i="1"/>
  <c r="O12" i="1" s="1"/>
  <c r="F12" i="1"/>
  <c r="N12" i="1" s="1"/>
  <c r="E12" i="1"/>
  <c r="M12" i="1"/>
  <c r="D12" i="1"/>
  <c r="L12" i="1" s="1"/>
  <c r="H29" i="1"/>
  <c r="G29" i="1"/>
  <c r="O29" i="1"/>
  <c r="F29" i="1"/>
  <c r="N29" i="1"/>
  <c r="E29" i="1"/>
  <c r="M29" i="1"/>
  <c r="D29" i="1"/>
  <c r="L29" i="1"/>
  <c r="C29" i="1"/>
  <c r="K29" i="1"/>
  <c r="CK28" i="1"/>
  <c r="CK30" i="1"/>
  <c r="CK69" i="1" s="1"/>
  <c r="CF28" i="1"/>
  <c r="CF30" i="1" s="1"/>
  <c r="BY28" i="1"/>
  <c r="CC28" i="1"/>
  <c r="CC30" i="1" s="1"/>
  <c r="CC69" i="1" s="1"/>
  <c r="BA28" i="1"/>
  <c r="BA30" i="1" s="1"/>
  <c r="BA69" i="1"/>
  <c r="AG28" i="1"/>
  <c r="AG80" i="1" s="1"/>
  <c r="AG30" i="1"/>
  <c r="AG69" i="1" s="1"/>
  <c r="U11" i="1"/>
  <c r="D31" i="10"/>
  <c r="Q20" i="1"/>
  <c r="Q24" i="1"/>
  <c r="Q28" i="1"/>
  <c r="CB71" i="11"/>
  <c r="I68" i="11"/>
  <c r="I27" i="11"/>
  <c r="F28" i="11"/>
  <c r="E28" i="11"/>
  <c r="D28" i="11"/>
  <c r="I16" i="11"/>
  <c r="I8" i="11"/>
  <c r="H70" i="11"/>
  <c r="G70" i="11"/>
  <c r="F70" i="11"/>
  <c r="E70" i="11"/>
  <c r="H69" i="11"/>
  <c r="G69" i="11"/>
  <c r="F69" i="11"/>
  <c r="E69" i="11"/>
  <c r="D69" i="11"/>
  <c r="H68" i="11"/>
  <c r="G68" i="11"/>
  <c r="F68" i="11"/>
  <c r="E68" i="11"/>
  <c r="D68" i="11"/>
  <c r="H67" i="11"/>
  <c r="G67" i="11"/>
  <c r="F67" i="11"/>
  <c r="E67" i="11"/>
  <c r="D67" i="11"/>
  <c r="F27" i="11"/>
  <c r="E27" i="11"/>
  <c r="D26" i="10"/>
  <c r="E587" i="2"/>
  <c r="E588" i="2"/>
  <c r="E589" i="2"/>
  <c r="E590" i="2"/>
  <c r="E591" i="2"/>
  <c r="D18" i="10"/>
  <c r="E592" i="2"/>
  <c r="E595" i="2"/>
  <c r="E594" i="2"/>
  <c r="E593" i="2"/>
  <c r="CM24" i="1"/>
  <c r="D75" i="15" s="1"/>
  <c r="E598" i="2"/>
  <c r="E597" i="2"/>
  <c r="E596" i="2"/>
  <c r="E599" i="2"/>
  <c r="E600" i="2"/>
  <c r="E601" i="2"/>
  <c r="BS71" i="11"/>
  <c r="CF73" i="11" s="1"/>
  <c r="BR71" i="11"/>
  <c r="CG73" i="11"/>
  <c r="BQ71" i="11"/>
  <c r="E607" i="2"/>
  <c r="CM16" i="1"/>
  <c r="CL28" i="1"/>
  <c r="CM28" i="1"/>
  <c r="CM30" i="1"/>
  <c r="CM69" i="1" s="1"/>
  <c r="E602" i="2"/>
  <c r="E603" i="2"/>
  <c r="E604" i="2"/>
  <c r="E605" i="2"/>
  <c r="E606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1" i="2"/>
  <c r="E622" i="2"/>
  <c r="E623" i="2"/>
  <c r="E620" i="2"/>
  <c r="E624" i="2"/>
  <c r="E625" i="2"/>
  <c r="E626" i="2"/>
  <c r="E627" i="2"/>
  <c r="E628" i="2"/>
  <c r="E629" i="2"/>
  <c r="E630" i="2"/>
  <c r="E631" i="2"/>
  <c r="E633" i="2"/>
  <c r="E634" i="2"/>
  <c r="E632" i="2"/>
  <c r="E635" i="2"/>
  <c r="E656" i="2"/>
  <c r="E657" i="2"/>
  <c r="E636" i="2"/>
  <c r="E637" i="2"/>
  <c r="E638" i="2"/>
  <c r="E639" i="2"/>
  <c r="E640" i="2"/>
  <c r="Q8" i="1"/>
  <c r="Q7" i="1"/>
  <c r="P8" i="1"/>
  <c r="P7" i="1"/>
  <c r="O8" i="1"/>
  <c r="O7" i="1"/>
  <c r="N8" i="1"/>
  <c r="N7" i="1"/>
  <c r="M8" i="1"/>
  <c r="M7" i="1"/>
  <c r="L8" i="1"/>
  <c r="L7" i="1"/>
  <c r="K8" i="1"/>
  <c r="K7" i="1"/>
  <c r="I8" i="1"/>
  <c r="G8" i="1"/>
  <c r="F8" i="1"/>
  <c r="E8" i="1"/>
  <c r="D8" i="1"/>
  <c r="C8" i="1"/>
  <c r="I7" i="1"/>
  <c r="G7" i="1"/>
  <c r="F7" i="1"/>
  <c r="E7" i="1"/>
  <c r="D7" i="1"/>
  <c r="C7" i="1"/>
  <c r="H7" i="1"/>
  <c r="H8" i="1"/>
  <c r="E641" i="2"/>
  <c r="Q17" i="1"/>
  <c r="Q19" i="1"/>
  <c r="Q21" i="1"/>
  <c r="C20" i="10" s="1"/>
  <c r="E20" i="10" s="1"/>
  <c r="Q63" i="1"/>
  <c r="R4" i="10"/>
  <c r="R2" i="10"/>
  <c r="Q52" i="1"/>
  <c r="H10" i="41" s="1"/>
  <c r="Q51" i="1"/>
  <c r="Q50" i="1"/>
  <c r="H6" i="40" s="1"/>
  <c r="Q49" i="1"/>
  <c r="Q47" i="1"/>
  <c r="H14" i="40" s="1"/>
  <c r="Q46" i="1"/>
  <c r="H5" i="40" s="1"/>
  <c r="Q45" i="1"/>
  <c r="H13" i="40" s="1"/>
  <c r="Q44" i="1"/>
  <c r="H12" i="40" s="1"/>
  <c r="Q43" i="1"/>
  <c r="H11" i="40" s="1"/>
  <c r="Q42" i="1"/>
  <c r="H10" i="40" s="1"/>
  <c r="Q41" i="1"/>
  <c r="H4" i="40" s="1"/>
  <c r="I28" i="1"/>
  <c r="I24" i="1"/>
  <c r="R3" i="10" s="1"/>
  <c r="I21" i="1"/>
  <c r="I20" i="1"/>
  <c r="I19" i="1"/>
  <c r="I15" i="1"/>
  <c r="I17" i="1"/>
  <c r="BQ11" i="1"/>
  <c r="BQ69" i="1" s="1"/>
  <c r="BE11" i="1"/>
  <c r="BE69" i="1"/>
  <c r="AS11" i="1"/>
  <c r="AG11" i="1"/>
  <c r="CC11" i="1"/>
  <c r="CC76" i="1" s="1"/>
  <c r="E642" i="2"/>
  <c r="BR54" i="11"/>
  <c r="BR63" i="11" s="1"/>
  <c r="BR9" i="11"/>
  <c r="BO71" i="11"/>
  <c r="BP71" i="11"/>
  <c r="E643" i="2"/>
  <c r="E644" i="2"/>
  <c r="E645" i="2"/>
  <c r="CO71" i="11"/>
  <c r="CN71" i="11"/>
  <c r="CN73" i="11" s="1"/>
  <c r="CM71" i="11"/>
  <c r="CP72" i="11" s="1"/>
  <c r="CN79" i="11"/>
  <c r="CM79" i="11"/>
  <c r="CX73" i="11"/>
  <c r="CV73" i="11"/>
  <c r="CU73" i="11"/>
  <c r="CX72" i="11"/>
  <c r="CV72" i="11"/>
  <c r="CR71" i="11"/>
  <c r="CQ71" i="11"/>
  <c r="CP71" i="11"/>
  <c r="CK72" i="11"/>
  <c r="BZ71" i="11"/>
  <c r="CR73" i="11" s="1"/>
  <c r="BY71" i="11"/>
  <c r="CC72" i="11" s="1"/>
  <c r="BX71" i="11"/>
  <c r="BW71" i="11"/>
  <c r="BZ72" i="11" s="1"/>
  <c r="CH70" i="11"/>
  <c r="CC70" i="11"/>
  <c r="CT70" i="11" s="1"/>
  <c r="CH69" i="11"/>
  <c r="CW69" i="11" s="1"/>
  <c r="CC69" i="11"/>
  <c r="I69" i="11" s="1"/>
  <c r="CN36" i="11"/>
  <c r="CM36" i="11"/>
  <c r="CM34" i="11"/>
  <c r="CN34" i="11"/>
  <c r="CN31" i="11"/>
  <c r="CM31" i="11"/>
  <c r="CN28" i="11"/>
  <c r="CN30" i="11" s="1"/>
  <c r="BW31" i="11"/>
  <c r="CK31" i="11"/>
  <c r="CH31" i="11"/>
  <c r="CG31" i="11"/>
  <c r="BZ31" i="11"/>
  <c r="BX31" i="11"/>
  <c r="CK28" i="11"/>
  <c r="CK30" i="11" s="1"/>
  <c r="CG28" i="11"/>
  <c r="CG30" i="11" s="1"/>
  <c r="CC28" i="11"/>
  <c r="CC30" i="11" s="1"/>
  <c r="BZ28" i="11"/>
  <c r="BZ30" i="11" s="1"/>
  <c r="BX28" i="11"/>
  <c r="BX30" i="11" s="1"/>
  <c r="F25" i="6"/>
  <c r="E25" i="6"/>
  <c r="F42" i="6"/>
  <c r="E42" i="6"/>
  <c r="E646" i="2"/>
  <c r="E647" i="2"/>
  <c r="E648" i="2"/>
  <c r="E649" i="2"/>
  <c r="E664" i="2"/>
  <c r="E650" i="2"/>
  <c r="E651" i="2"/>
  <c r="E652" i="2"/>
  <c r="E653" i="2"/>
  <c r="E654" i="2"/>
  <c r="E655" i="2"/>
  <c r="E658" i="2"/>
  <c r="E665" i="2"/>
  <c r="E659" i="2"/>
  <c r="E660" i="2"/>
  <c r="E661" i="2"/>
  <c r="E662" i="2"/>
  <c r="E663" i="2"/>
  <c r="E666" i="2"/>
  <c r="E668" i="2"/>
  <c r="E667" i="2"/>
  <c r="L13" i="9"/>
  <c r="L7" i="9"/>
  <c r="T12" i="9"/>
  <c r="T14" i="9" s="1"/>
  <c r="T15" i="9" s="1"/>
  <c r="E670" i="2"/>
  <c r="E669" i="2"/>
  <c r="E671" i="2"/>
  <c r="E672" i="2"/>
  <c r="E673" i="2"/>
  <c r="E675" i="2"/>
  <c r="E674" i="2"/>
  <c r="E676" i="2"/>
  <c r="E677" i="2"/>
  <c r="E678" i="2"/>
  <c r="E679" i="2"/>
  <c r="E680" i="2"/>
  <c r="E681" i="2"/>
  <c r="E682" i="2"/>
  <c r="E683" i="2"/>
  <c r="E684" i="2"/>
  <c r="E685" i="2"/>
  <c r="E686" i="2"/>
  <c r="CM63" i="1"/>
  <c r="CM80" i="1" s="1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CM59" i="1"/>
  <c r="CM58" i="1"/>
  <c r="E74" i="15" s="1"/>
  <c r="CL16" i="1"/>
  <c r="E712" i="2"/>
  <c r="E713" i="2"/>
  <c r="E714" i="2"/>
  <c r="E715" i="2"/>
  <c r="E716" i="2"/>
  <c r="CK24" i="1"/>
  <c r="D73" i="15" s="1"/>
  <c r="E717" i="2"/>
  <c r="E718" i="2"/>
  <c r="E719" i="2"/>
  <c r="E720" i="2"/>
  <c r="E721" i="2"/>
  <c r="E724" i="2"/>
  <c r="E723" i="2"/>
  <c r="E725" i="2"/>
  <c r="E722" i="2"/>
  <c r="F55" i="6"/>
  <c r="E55" i="6"/>
  <c r="G55" i="6" s="1"/>
  <c r="F54" i="6"/>
  <c r="E54" i="6"/>
  <c r="F53" i="6"/>
  <c r="E53" i="6"/>
  <c r="G53" i="6" s="1"/>
  <c r="F52" i="6"/>
  <c r="E52" i="6"/>
  <c r="G52" i="6" s="1"/>
  <c r="F51" i="6"/>
  <c r="E51" i="6"/>
  <c r="F50" i="6"/>
  <c r="E50" i="6"/>
  <c r="F49" i="6"/>
  <c r="E49" i="6"/>
  <c r="G49" i="6" s="1"/>
  <c r="F48" i="6"/>
  <c r="E48" i="6"/>
  <c r="F47" i="6"/>
  <c r="E47" i="6"/>
  <c r="F46" i="6"/>
  <c r="E46" i="6"/>
  <c r="G46" i="6" s="1"/>
  <c r="F45" i="6"/>
  <c r="E45" i="6"/>
  <c r="F44" i="6"/>
  <c r="E44" i="6"/>
  <c r="F43" i="6"/>
  <c r="G43" i="6" s="1"/>
  <c r="E43" i="6"/>
  <c r="F41" i="6"/>
  <c r="E41" i="6"/>
  <c r="G41" i="6" s="1"/>
  <c r="F40" i="6"/>
  <c r="E40" i="6"/>
  <c r="F39" i="6"/>
  <c r="E39" i="6"/>
  <c r="F38" i="6"/>
  <c r="E38" i="6"/>
  <c r="G38" i="6" s="1"/>
  <c r="F37" i="6"/>
  <c r="E37" i="6"/>
  <c r="G37" i="6" s="1"/>
  <c r="F36" i="6"/>
  <c r="E36" i="6"/>
  <c r="F35" i="6"/>
  <c r="E35" i="6"/>
  <c r="F34" i="6"/>
  <c r="E34" i="6"/>
  <c r="F33" i="6"/>
  <c r="E33" i="6"/>
  <c r="F32" i="6"/>
  <c r="G32" i="6" s="1"/>
  <c r="E32" i="6"/>
  <c r="F31" i="6"/>
  <c r="E31" i="6"/>
  <c r="G31" i="6" s="1"/>
  <c r="F30" i="6"/>
  <c r="E30" i="6"/>
  <c r="G30" i="6" s="1"/>
  <c r="F29" i="6"/>
  <c r="E29" i="6"/>
  <c r="F28" i="6"/>
  <c r="E28" i="6"/>
  <c r="F27" i="6"/>
  <c r="E27" i="6"/>
  <c r="F26" i="6"/>
  <c r="E26" i="6"/>
  <c r="F24" i="6"/>
  <c r="E24" i="6"/>
  <c r="F23" i="6"/>
  <c r="E23" i="6"/>
  <c r="G23" i="6" s="1"/>
  <c r="F22" i="6"/>
  <c r="E22" i="6"/>
  <c r="G22" i="6" s="1"/>
  <c r="F21" i="6"/>
  <c r="E21" i="6"/>
  <c r="F20" i="6"/>
  <c r="E20" i="6"/>
  <c r="F19" i="6"/>
  <c r="E19" i="6"/>
  <c r="F18" i="6"/>
  <c r="E18" i="6"/>
  <c r="F17" i="6"/>
  <c r="E17" i="6"/>
  <c r="F16" i="6"/>
  <c r="E16" i="6"/>
  <c r="G16" i="6" s="1"/>
  <c r="F15" i="6"/>
  <c r="E15" i="6"/>
  <c r="G15" i="6" s="1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2" i="6"/>
  <c r="E2" i="6"/>
  <c r="E726" i="2"/>
  <c r="CL59" i="1"/>
  <c r="F72" i="15" s="1"/>
  <c r="CL58" i="1"/>
  <c r="E73" i="15" s="1"/>
  <c r="S9" i="9"/>
  <c r="E773" i="2"/>
  <c r="CL61" i="1"/>
  <c r="E779" i="2"/>
  <c r="E780" i="2"/>
  <c r="E763" i="2"/>
  <c r="E764" i="2"/>
  <c r="E782" i="2"/>
  <c r="E781" i="2"/>
  <c r="E778" i="2"/>
  <c r="E727" i="2"/>
  <c r="E728" i="2"/>
  <c r="CK59" i="1"/>
  <c r="F71" i="15" s="1"/>
  <c r="CK58" i="1"/>
  <c r="E72" i="15" s="1"/>
  <c r="E729" i="2"/>
  <c r="E730" i="2"/>
  <c r="E731" i="2"/>
  <c r="E732" i="2"/>
  <c r="E733" i="2"/>
  <c r="E742" i="2"/>
  <c r="E734" i="2"/>
  <c r="E735" i="2"/>
  <c r="E736" i="2"/>
  <c r="E737" i="2"/>
  <c r="E738" i="2"/>
  <c r="E739" i="2"/>
  <c r="E740" i="2"/>
  <c r="E741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5" i="2"/>
  <c r="E766" i="2"/>
  <c r="E767" i="2"/>
  <c r="E768" i="2"/>
  <c r="E769" i="2"/>
  <c r="E770" i="2"/>
  <c r="E771" i="2"/>
  <c r="E772" i="2"/>
  <c r="E774" i="2"/>
  <c r="E775" i="2"/>
  <c r="E776" i="2"/>
  <c r="E777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8" i="2"/>
  <c r="E797" i="2"/>
  <c r="E799" i="2"/>
  <c r="BO24" i="11"/>
  <c r="BN24" i="11"/>
  <c r="BM24" i="11"/>
  <c r="BL24" i="11"/>
  <c r="BL25" i="11" s="1"/>
  <c r="BK24" i="11"/>
  <c r="BJ24" i="11"/>
  <c r="BJ25" i="11" s="1"/>
  <c r="BI24" i="11"/>
  <c r="BO15" i="11"/>
  <c r="BO14" i="11"/>
  <c r="BO12" i="11"/>
  <c r="BO11" i="11"/>
  <c r="BO10" i="11"/>
  <c r="BQ15" i="11"/>
  <c r="BQ14" i="11"/>
  <c r="BQ12" i="11"/>
  <c r="BQ11" i="11"/>
  <c r="BQ10" i="11"/>
  <c r="BN9" i="11"/>
  <c r="BO9" i="11" s="1"/>
  <c r="E800" i="2"/>
  <c r="E801" i="2"/>
  <c r="E802" i="2"/>
  <c r="E803" i="2"/>
  <c r="E804" i="2"/>
  <c r="CI80" i="1"/>
  <c r="E805" i="2"/>
  <c r="E806" i="2"/>
  <c r="E869" i="2"/>
  <c r="E863" i="2"/>
  <c r="E865" i="2"/>
  <c r="E853" i="2"/>
  <c r="E807" i="2"/>
  <c r="E808" i="2"/>
  <c r="E809" i="2"/>
  <c r="E810" i="2"/>
  <c r="E811" i="2"/>
  <c r="E812" i="2"/>
  <c r="E813" i="2"/>
  <c r="S12" i="9"/>
  <c r="S14" i="9" s="1"/>
  <c r="S15" i="9" s="1"/>
  <c r="E814" i="2"/>
  <c r="CK16" i="1"/>
  <c r="E815" i="2"/>
  <c r="E816" i="2"/>
  <c r="E817" i="2"/>
  <c r="E818" i="2"/>
  <c r="E819" i="2"/>
  <c r="E820" i="2"/>
  <c r="E821" i="2"/>
  <c r="E822" i="2"/>
  <c r="E823" i="2"/>
  <c r="E824" i="2"/>
  <c r="E825" i="2"/>
  <c r="E838" i="2"/>
  <c r="E826" i="2"/>
  <c r="E827" i="2"/>
  <c r="BN28" i="11"/>
  <c r="E828" i="2"/>
  <c r="CJ16" i="1"/>
  <c r="T9" i="9"/>
  <c r="T19" i="9"/>
  <c r="E829" i="2"/>
  <c r="E830" i="2"/>
  <c r="E831" i="2"/>
  <c r="E832" i="2"/>
  <c r="E833" i="2"/>
  <c r="E834" i="2"/>
  <c r="E835" i="2"/>
  <c r="E836" i="2"/>
  <c r="E837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4" i="2"/>
  <c r="E855" i="2"/>
  <c r="E856" i="2"/>
  <c r="CJ59" i="1"/>
  <c r="CJ58" i="1"/>
  <c r="E71" i="15" s="1"/>
  <c r="E857" i="2"/>
  <c r="V84" i="9"/>
  <c r="CI59" i="1"/>
  <c r="F69" i="15" s="1"/>
  <c r="E858" i="2"/>
  <c r="E859" i="2"/>
  <c r="E860" i="2"/>
  <c r="CI16" i="1"/>
  <c r="E861" i="2"/>
  <c r="E862" i="2"/>
  <c r="E864" i="2"/>
  <c r="E882" i="2"/>
  <c r="E880" i="2"/>
  <c r="E866" i="2"/>
  <c r="E867" i="2"/>
  <c r="E868" i="2"/>
  <c r="E870" i="2"/>
  <c r="E871" i="2"/>
  <c r="E872" i="2"/>
  <c r="E887" i="2"/>
  <c r="E873" i="2"/>
  <c r="E874" i="2"/>
  <c r="E875" i="2"/>
  <c r="E876" i="2"/>
  <c r="E877" i="2"/>
  <c r="E878" i="2"/>
  <c r="E881" i="2"/>
  <c r="E888" i="2"/>
  <c r="E886" i="2"/>
  <c r="E889" i="2"/>
  <c r="E885" i="2"/>
  <c r="E884" i="2"/>
  <c r="E883" i="2"/>
  <c r="E879" i="2"/>
  <c r="E908" i="2"/>
  <c r="E891" i="2"/>
  <c r="E892" i="2"/>
  <c r="E893" i="2"/>
  <c r="E894" i="2"/>
  <c r="E895" i="2"/>
  <c r="E896" i="2"/>
  <c r="E897" i="2"/>
  <c r="E899" i="2"/>
  <c r="E900" i="2"/>
  <c r="E901" i="2"/>
  <c r="E898" i="2"/>
  <c r="E902" i="2"/>
  <c r="E903" i="2"/>
  <c r="E904" i="2"/>
  <c r="E905" i="2"/>
  <c r="E906" i="2"/>
  <c r="E907" i="2"/>
  <c r="E909" i="2"/>
  <c r="E910" i="2"/>
  <c r="CA28" i="1"/>
  <c r="CA80" i="1" s="1"/>
  <c r="E911" i="2"/>
  <c r="E912" i="2"/>
  <c r="E913" i="2"/>
  <c r="E914" i="2"/>
  <c r="CI58" i="1"/>
  <c r="E70" i="15" s="1"/>
  <c r="E915" i="2"/>
  <c r="E916" i="2"/>
  <c r="E928" i="2"/>
  <c r="E920" i="2"/>
  <c r="E917" i="2"/>
  <c r="E918" i="2"/>
  <c r="E919" i="2"/>
  <c r="E921" i="2"/>
  <c r="E922" i="2"/>
  <c r="E923" i="2"/>
  <c r="E924" i="2"/>
  <c r="E925" i="2"/>
  <c r="E926" i="2"/>
  <c r="E933" i="2"/>
  <c r="E890" i="2"/>
  <c r="E927" i="2"/>
  <c r="E929" i="2"/>
  <c r="P49" i="1"/>
  <c r="G19" i="40" s="1"/>
  <c r="E930" i="2"/>
  <c r="E931" i="2"/>
  <c r="E932" i="2"/>
  <c r="E934" i="2"/>
  <c r="E935" i="2"/>
  <c r="E936" i="2"/>
  <c r="E937" i="2"/>
  <c r="BK36" i="11"/>
  <c r="M30" i="11"/>
  <c r="W30" i="11"/>
  <c r="BI25" i="11"/>
  <c r="AC25" i="11"/>
  <c r="E938" i="2"/>
  <c r="E939" i="2"/>
  <c r="E940" i="2"/>
  <c r="CG28" i="1"/>
  <c r="CG30" i="1" s="1"/>
  <c r="CG69" i="1" s="1"/>
  <c r="E941" i="2"/>
  <c r="CH63" i="1"/>
  <c r="CH80" i="1" s="1"/>
  <c r="E942" i="2"/>
  <c r="E943" i="2"/>
  <c r="E944" i="2"/>
  <c r="E945" i="2"/>
  <c r="E946" i="2"/>
  <c r="E947" i="2"/>
  <c r="E948" i="2"/>
  <c r="E949" i="2"/>
  <c r="E950" i="2"/>
  <c r="E951" i="2"/>
  <c r="E952" i="2"/>
  <c r="E954" i="2"/>
  <c r="E953" i="2"/>
  <c r="E955" i="2"/>
  <c r="E956" i="2"/>
  <c r="E957" i="2"/>
  <c r="E958" i="2"/>
  <c r="E959" i="2"/>
  <c r="E960" i="2"/>
  <c r="E961" i="2"/>
  <c r="E964" i="2"/>
  <c r="E962" i="2"/>
  <c r="E963" i="2"/>
  <c r="E965" i="2"/>
  <c r="E966" i="2"/>
  <c r="E967" i="2"/>
  <c r="E968" i="2"/>
  <c r="E969" i="2"/>
  <c r="E970" i="2"/>
  <c r="E971" i="2"/>
  <c r="E973" i="2"/>
  <c r="E974" i="2"/>
  <c r="E972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BL9" i="11"/>
  <c r="BJ9" i="11"/>
  <c r="BH36" i="11" s="1"/>
  <c r="C52" i="10"/>
  <c r="E1003" i="2"/>
  <c r="E1004" i="2"/>
  <c r="E1005" i="2"/>
  <c r="E1006" i="2"/>
  <c r="E1007" i="2"/>
  <c r="E1008" i="2"/>
  <c r="E1000" i="2"/>
  <c r="H90" i="6"/>
  <c r="E1001" i="2"/>
  <c r="E1002" i="2"/>
  <c r="E1009" i="2"/>
  <c r="E1010" i="2"/>
  <c r="E1011" i="2"/>
  <c r="E1012" i="2"/>
  <c r="CF77" i="1"/>
  <c r="E1013" i="2"/>
  <c r="F1013" i="2" s="1"/>
  <c r="E1014" i="2"/>
  <c r="E1015" i="2"/>
  <c r="E1016" i="2"/>
  <c r="E1017" i="2"/>
  <c r="E1018" i="2"/>
  <c r="F1018" i="2" s="1"/>
  <c r="E1019" i="2"/>
  <c r="E1020" i="2"/>
  <c r="E1021" i="2"/>
  <c r="E1022" i="2"/>
  <c r="E1023" i="2"/>
  <c r="E1024" i="2"/>
  <c r="E1025" i="2"/>
  <c r="E1026" i="2"/>
  <c r="E1027" i="2"/>
  <c r="F1027" i="2" s="1"/>
  <c r="E1028" i="2"/>
  <c r="E1029" i="2"/>
  <c r="E1043" i="2"/>
  <c r="E1030" i="2"/>
  <c r="E1031" i="2"/>
  <c r="E1032" i="2"/>
  <c r="E1033" i="2"/>
  <c r="E1034" i="2"/>
  <c r="E1035" i="2"/>
  <c r="E1036" i="2"/>
  <c r="E1037" i="2"/>
  <c r="F170" i="6"/>
  <c r="E170" i="6"/>
  <c r="F103" i="6"/>
  <c r="E103" i="6"/>
  <c r="E97" i="6"/>
  <c r="G97" i="6" s="1"/>
  <c r="F97" i="6"/>
  <c r="CE25" i="1"/>
  <c r="GE335" i="10"/>
  <c r="GF335" i="10"/>
  <c r="GG335" i="10"/>
  <c r="GH335" i="10"/>
  <c r="GI335" i="10"/>
  <c r="GJ335" i="10"/>
  <c r="GK335" i="10"/>
  <c r="GL335" i="10"/>
  <c r="GM335" i="10"/>
  <c r="GN335" i="10"/>
  <c r="GO335" i="10"/>
  <c r="GP335" i="10"/>
  <c r="GQ335" i="10"/>
  <c r="GR335" i="10"/>
  <c r="GS335" i="10"/>
  <c r="GT335" i="10"/>
  <c r="GU335" i="10"/>
  <c r="GV335" i="10"/>
  <c r="GW335" i="10"/>
  <c r="GX335" i="10"/>
  <c r="GY335" i="10"/>
  <c r="GZ335" i="10"/>
  <c r="HA335" i="10"/>
  <c r="HB335" i="10"/>
  <c r="HC335" i="10"/>
  <c r="HD335" i="10"/>
  <c r="HE335" i="10"/>
  <c r="HF335" i="10"/>
  <c r="HG335" i="10"/>
  <c r="HH335" i="10"/>
  <c r="HI335" i="10"/>
  <c r="HJ335" i="10"/>
  <c r="HK335" i="10"/>
  <c r="HL335" i="10"/>
  <c r="HM335" i="10"/>
  <c r="HN335" i="10"/>
  <c r="HO335" i="10"/>
  <c r="HP335" i="10"/>
  <c r="HQ335" i="10"/>
  <c r="HR335" i="10"/>
  <c r="HS335" i="10"/>
  <c r="HT335" i="10"/>
  <c r="HU335" i="10"/>
  <c r="HV335" i="10"/>
  <c r="HW335" i="10"/>
  <c r="HX335" i="10"/>
  <c r="HY335" i="10"/>
  <c r="HZ335" i="10"/>
  <c r="IA335" i="10"/>
  <c r="IB335" i="10"/>
  <c r="IC335" i="10"/>
  <c r="ID335" i="10"/>
  <c r="IE335" i="10"/>
  <c r="IF335" i="10"/>
  <c r="IG335" i="10"/>
  <c r="IH335" i="10"/>
  <c r="II335" i="10"/>
  <c r="IJ335" i="10"/>
  <c r="IK335" i="10"/>
  <c r="IL335" i="10"/>
  <c r="IM335" i="10"/>
  <c r="IN335" i="10"/>
  <c r="IO335" i="10"/>
  <c r="IP335" i="10"/>
  <c r="IQ335" i="10"/>
  <c r="IR335" i="10"/>
  <c r="IS335" i="10"/>
  <c r="IT335" i="10"/>
  <c r="IU335" i="10"/>
  <c r="IV335" i="10"/>
  <c r="IW335" i="10"/>
  <c r="IX335" i="10"/>
  <c r="IY335" i="10"/>
  <c r="IZ335" i="10"/>
  <c r="JA335" i="10"/>
  <c r="JB335" i="10"/>
  <c r="JC335" i="10"/>
  <c r="JD335" i="10"/>
  <c r="JE335" i="10"/>
  <c r="JF335" i="10"/>
  <c r="JG335" i="10"/>
  <c r="JH335" i="10"/>
  <c r="JI335" i="10"/>
  <c r="JJ335" i="10"/>
  <c r="JK335" i="10"/>
  <c r="JL335" i="10"/>
  <c r="JM335" i="10"/>
  <c r="JN335" i="10"/>
  <c r="JO335" i="10"/>
  <c r="JP335" i="10"/>
  <c r="JQ335" i="10"/>
  <c r="JR335" i="10"/>
  <c r="JS335" i="10"/>
  <c r="JT335" i="10"/>
  <c r="JU335" i="10"/>
  <c r="JV335" i="10"/>
  <c r="JW335" i="10"/>
  <c r="JX335" i="10"/>
  <c r="JY335" i="10"/>
  <c r="JZ335" i="10"/>
  <c r="KA335" i="10"/>
  <c r="KB335" i="10"/>
  <c r="KC335" i="10"/>
  <c r="KD335" i="10"/>
  <c r="KE335" i="10"/>
  <c r="KF335" i="10"/>
  <c r="KG335" i="10"/>
  <c r="KH335" i="10"/>
  <c r="KI335" i="10"/>
  <c r="KJ335" i="10"/>
  <c r="KK335" i="10"/>
  <c r="KL335" i="10"/>
  <c r="KM335" i="10"/>
  <c r="KN335" i="10"/>
  <c r="KO335" i="10"/>
  <c r="KP335" i="10"/>
  <c r="KQ335" i="10"/>
  <c r="KR335" i="10"/>
  <c r="KS335" i="10"/>
  <c r="KT335" i="10"/>
  <c r="KU335" i="10"/>
  <c r="KV335" i="10"/>
  <c r="KW335" i="10"/>
  <c r="KX335" i="10"/>
  <c r="KY335" i="10"/>
  <c r="KZ335" i="10"/>
  <c r="LA335" i="10"/>
  <c r="LB335" i="10"/>
  <c r="LC335" i="10"/>
  <c r="LD335" i="10"/>
  <c r="GE336" i="10"/>
  <c r="GF336" i="10"/>
  <c r="GG336" i="10"/>
  <c r="GH336" i="10"/>
  <c r="GI336" i="10"/>
  <c r="GJ336" i="10"/>
  <c r="GK336" i="10"/>
  <c r="GL336" i="10"/>
  <c r="GM336" i="10"/>
  <c r="GN336" i="10"/>
  <c r="GO336" i="10"/>
  <c r="GP336" i="10"/>
  <c r="GQ336" i="10"/>
  <c r="GR336" i="10"/>
  <c r="GS336" i="10"/>
  <c r="GT336" i="10"/>
  <c r="GU336" i="10"/>
  <c r="GV336" i="10"/>
  <c r="GW336" i="10"/>
  <c r="GX336" i="10"/>
  <c r="GY336" i="10"/>
  <c r="GZ336" i="10"/>
  <c r="HA336" i="10"/>
  <c r="HB336" i="10"/>
  <c r="HC336" i="10"/>
  <c r="HD336" i="10"/>
  <c r="HE336" i="10"/>
  <c r="HF336" i="10"/>
  <c r="HG336" i="10"/>
  <c r="HH336" i="10"/>
  <c r="HI336" i="10"/>
  <c r="HJ336" i="10"/>
  <c r="HK336" i="10"/>
  <c r="HL336" i="10"/>
  <c r="HM336" i="10"/>
  <c r="HN336" i="10"/>
  <c r="HO336" i="10"/>
  <c r="HP336" i="10"/>
  <c r="HQ336" i="10"/>
  <c r="HR336" i="10"/>
  <c r="HS336" i="10"/>
  <c r="HT336" i="10"/>
  <c r="HU336" i="10"/>
  <c r="HV336" i="10"/>
  <c r="HW336" i="10"/>
  <c r="HX336" i="10"/>
  <c r="HY336" i="10"/>
  <c r="HZ336" i="10"/>
  <c r="IA336" i="10"/>
  <c r="IB336" i="10"/>
  <c r="IC336" i="10"/>
  <c r="ID336" i="10"/>
  <c r="IE336" i="10"/>
  <c r="IF336" i="10"/>
  <c r="IG336" i="10"/>
  <c r="IH336" i="10"/>
  <c r="II336" i="10"/>
  <c r="IJ336" i="10"/>
  <c r="IK336" i="10"/>
  <c r="IL336" i="10"/>
  <c r="IM336" i="10"/>
  <c r="IN336" i="10"/>
  <c r="IO336" i="10"/>
  <c r="IP336" i="10"/>
  <c r="IQ336" i="10"/>
  <c r="IR336" i="10"/>
  <c r="IS336" i="10"/>
  <c r="IT336" i="10"/>
  <c r="IU336" i="10"/>
  <c r="IV336" i="10"/>
  <c r="IW336" i="10"/>
  <c r="IX336" i="10"/>
  <c r="IY336" i="10"/>
  <c r="IZ336" i="10"/>
  <c r="JA336" i="10"/>
  <c r="JB336" i="10"/>
  <c r="JC336" i="10"/>
  <c r="JD336" i="10"/>
  <c r="JE336" i="10"/>
  <c r="JF336" i="10"/>
  <c r="JG336" i="10"/>
  <c r="JH336" i="10"/>
  <c r="JI336" i="10"/>
  <c r="JJ336" i="10"/>
  <c r="JK336" i="10"/>
  <c r="JL336" i="10"/>
  <c r="JM336" i="10"/>
  <c r="JN336" i="10"/>
  <c r="JO336" i="10"/>
  <c r="JP336" i="10"/>
  <c r="JQ336" i="10"/>
  <c r="JR336" i="10"/>
  <c r="JS336" i="10"/>
  <c r="JT336" i="10"/>
  <c r="JU336" i="10"/>
  <c r="JV336" i="10"/>
  <c r="JW336" i="10"/>
  <c r="JX336" i="10"/>
  <c r="JY336" i="10"/>
  <c r="JZ336" i="10"/>
  <c r="KA336" i="10"/>
  <c r="KB336" i="10"/>
  <c r="KC336" i="10"/>
  <c r="KD336" i="10"/>
  <c r="KE336" i="10"/>
  <c r="KF336" i="10"/>
  <c r="KG336" i="10"/>
  <c r="KH336" i="10"/>
  <c r="KI336" i="10"/>
  <c r="KJ336" i="10"/>
  <c r="KK336" i="10"/>
  <c r="KL336" i="10"/>
  <c r="KM336" i="10"/>
  <c r="KN336" i="10"/>
  <c r="KO336" i="10"/>
  <c r="KP336" i="10"/>
  <c r="KQ336" i="10"/>
  <c r="KR336" i="10"/>
  <c r="KS336" i="10"/>
  <c r="KT336" i="10"/>
  <c r="KU336" i="10"/>
  <c r="KV336" i="10"/>
  <c r="KW336" i="10"/>
  <c r="KX336" i="10"/>
  <c r="KY336" i="10"/>
  <c r="KZ336" i="10"/>
  <c r="LA336" i="10"/>
  <c r="LB336" i="10"/>
  <c r="LC336" i="10"/>
  <c r="LD336" i="10"/>
  <c r="E1038" i="2"/>
  <c r="E1039" i="2"/>
  <c r="E1040" i="2"/>
  <c r="E1041" i="2"/>
  <c r="E1042" i="2"/>
  <c r="E1045" i="2"/>
  <c r="E1044" i="2"/>
  <c r="E1046" i="2"/>
  <c r="E1047" i="2"/>
  <c r="E1048" i="2"/>
  <c r="H111" i="6"/>
  <c r="E1052" i="2"/>
  <c r="CF59" i="1"/>
  <c r="Q4" i="10" s="1"/>
  <c r="Q9" i="10" s="1"/>
  <c r="E1050" i="2"/>
  <c r="E1051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CF58" i="1"/>
  <c r="E67" i="15" s="1"/>
  <c r="E1049" i="2"/>
  <c r="CF11" i="1"/>
  <c r="H11" i="1" s="1"/>
  <c r="CE16" i="1"/>
  <c r="S21" i="9"/>
  <c r="R21" i="9"/>
  <c r="R12" i="9"/>
  <c r="R14" i="9" s="1"/>
  <c r="R15" i="9" s="1"/>
  <c r="R9" i="9"/>
  <c r="R19" i="9" s="1"/>
  <c r="CD28" i="1"/>
  <c r="G17" i="41" s="1"/>
  <c r="E1100" i="2"/>
  <c r="E1099" i="2"/>
  <c r="CC25" i="1"/>
  <c r="CB28" i="1"/>
  <c r="BZ28" i="1"/>
  <c r="BZ30" i="1"/>
  <c r="BZ69" i="1" s="1"/>
  <c r="CD24" i="1"/>
  <c r="D66" i="15" s="1"/>
  <c r="E1101" i="2"/>
  <c r="BJ28" i="11"/>
  <c r="CE44" i="1"/>
  <c r="P44" i="1"/>
  <c r="G12" i="40" s="1"/>
  <c r="CE7" i="1"/>
  <c r="CE8" i="1"/>
  <c r="CF16" i="1"/>
  <c r="H99" i="6"/>
  <c r="CD16" i="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B22" i="11"/>
  <c r="CC22" i="11"/>
  <c r="CD22" i="11"/>
  <c r="CG22" i="11"/>
  <c r="CH22" i="11"/>
  <c r="CK22" i="11"/>
  <c r="CM22" i="11"/>
  <c r="CN22" i="11"/>
  <c r="CO22" i="11"/>
  <c r="CP22" i="11"/>
  <c r="CQ22" i="11"/>
  <c r="CR22" i="11"/>
  <c r="CS22" i="11"/>
  <c r="CT22" i="11"/>
  <c r="CU22" i="11"/>
  <c r="CV22" i="11"/>
  <c r="CW22" i="11"/>
  <c r="CX22" i="11"/>
  <c r="CY22" i="11"/>
  <c r="CZ22" i="11"/>
  <c r="DA22" i="11"/>
  <c r="DB22" i="11"/>
  <c r="DC22" i="11"/>
  <c r="DD22" i="11"/>
  <c r="DE22" i="11"/>
  <c r="DF22" i="11"/>
  <c r="DG22" i="11"/>
  <c r="DH22" i="11"/>
  <c r="DI22" i="11"/>
  <c r="DJ22" i="11"/>
  <c r="DK22" i="11"/>
  <c r="DL22" i="11"/>
  <c r="DM22" i="11"/>
  <c r="DN22" i="11"/>
  <c r="DO22" i="11"/>
  <c r="DP22" i="11"/>
  <c r="DQ22" i="11"/>
  <c r="DR22" i="11"/>
  <c r="DS22" i="11"/>
  <c r="BJ22" i="11"/>
  <c r="BI22" i="11"/>
  <c r="CX66" i="11"/>
  <c r="CW66" i="11"/>
  <c r="CV66" i="11"/>
  <c r="CU66" i="11"/>
  <c r="CT66" i="11"/>
  <c r="CS66" i="11"/>
  <c r="CR66" i="11"/>
  <c r="CQ66" i="11"/>
  <c r="CP66" i="11"/>
  <c r="CO66" i="11"/>
  <c r="CN66" i="11"/>
  <c r="CM66" i="11"/>
  <c r="CH66" i="11"/>
  <c r="CK66" i="11"/>
  <c r="CG66" i="11"/>
  <c r="CD66" i="11"/>
  <c r="DQ66" i="11"/>
  <c r="DP66" i="11"/>
  <c r="CY66" i="11"/>
  <c r="CZ66" i="11"/>
  <c r="DA66" i="11"/>
  <c r="DB66" i="11"/>
  <c r="DC66" i="11"/>
  <c r="DD66" i="11"/>
  <c r="DE66" i="11"/>
  <c r="DF66" i="11"/>
  <c r="DG66" i="11"/>
  <c r="DH66" i="11"/>
  <c r="DI66" i="11"/>
  <c r="DJ66" i="11"/>
  <c r="DK66" i="11"/>
  <c r="DL66" i="11"/>
  <c r="DM66" i="11"/>
  <c r="DN66" i="11"/>
  <c r="DO66" i="11"/>
  <c r="DR66" i="11"/>
  <c r="DS66" i="11"/>
  <c r="CC66" i="11"/>
  <c r="CB66" i="11"/>
  <c r="BZ66" i="11"/>
  <c r="BY66" i="11"/>
  <c r="BX66" i="11"/>
  <c r="BW66" i="11"/>
  <c r="BV66" i="11"/>
  <c r="BU66" i="11"/>
  <c r="BT66" i="11"/>
  <c r="BS66" i="11"/>
  <c r="BR66" i="11"/>
  <c r="BQ66" i="11"/>
  <c r="BP66" i="11"/>
  <c r="BO66" i="11"/>
  <c r="BN66" i="11"/>
  <c r="BM66" i="11"/>
  <c r="BL66" i="11"/>
  <c r="BK66" i="11"/>
  <c r="BJ66" i="11"/>
  <c r="BI66" i="11"/>
  <c r="BH66" i="11"/>
  <c r="BG66" i="11"/>
  <c r="BF66" i="11"/>
  <c r="BE66" i="11"/>
  <c r="BD66" i="11"/>
  <c r="BC66" i="11"/>
  <c r="BB66" i="11"/>
  <c r="BA66" i="11"/>
  <c r="K66" i="11"/>
  <c r="L22" i="11"/>
  <c r="N22" i="11"/>
  <c r="M22" i="11"/>
  <c r="P22" i="11"/>
  <c r="O22" i="11"/>
  <c r="R22" i="11"/>
  <c r="Q22" i="11"/>
  <c r="T22" i="11"/>
  <c r="S22" i="11"/>
  <c r="V22" i="11"/>
  <c r="U22" i="11"/>
  <c r="X22" i="11"/>
  <c r="W22" i="11"/>
  <c r="Y22" i="11"/>
  <c r="Z22" i="11"/>
  <c r="AB22" i="11"/>
  <c r="AA22" i="11"/>
  <c r="AD22" i="11"/>
  <c r="AC22" i="11"/>
  <c r="AF22" i="11"/>
  <c r="AE22" i="11"/>
  <c r="AH22" i="11"/>
  <c r="AG22" i="11"/>
  <c r="AJ22" i="11"/>
  <c r="AI22" i="11"/>
  <c r="AL22" i="11"/>
  <c r="AK22" i="11"/>
  <c r="AN22" i="11"/>
  <c r="AM22" i="11"/>
  <c r="AP22" i="11"/>
  <c r="AO22" i="11"/>
  <c r="AR22" i="11"/>
  <c r="AQ22" i="11"/>
  <c r="AT22" i="11"/>
  <c r="AS22" i="11"/>
  <c r="AV22" i="11"/>
  <c r="AU22" i="11"/>
  <c r="AX22" i="11"/>
  <c r="AW22" i="11"/>
  <c r="AZ22" i="11"/>
  <c r="AY22" i="11"/>
  <c r="BB22" i="11"/>
  <c r="BA22" i="11"/>
  <c r="BD22" i="11"/>
  <c r="BC22" i="11"/>
  <c r="BF22" i="11"/>
  <c r="BE22" i="11"/>
  <c r="BH22" i="11"/>
  <c r="BG22" i="11"/>
  <c r="K22" i="11"/>
  <c r="BJ2" i="11"/>
  <c r="CB7" i="1"/>
  <c r="CE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S38" i="1"/>
  <c r="BX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C7" i="1"/>
  <c r="CA7" i="1"/>
  <c r="BZ7" i="1"/>
  <c r="BY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CD7" i="1"/>
  <c r="GT8" i="1"/>
  <c r="GT31" i="1" s="1"/>
  <c r="GS8" i="1"/>
  <c r="GS31" i="1" s="1"/>
  <c r="GR8" i="1"/>
  <c r="GR31" i="1" s="1"/>
  <c r="GQ8" i="1"/>
  <c r="GQ31" i="1" s="1"/>
  <c r="GP8" i="1"/>
  <c r="GP31" i="1" s="1"/>
  <c r="GO8" i="1"/>
  <c r="GO31" i="1" s="1"/>
  <c r="GN8" i="1"/>
  <c r="GN31" i="1" s="1"/>
  <c r="GM8" i="1"/>
  <c r="GM31" i="1" s="1"/>
  <c r="GL8" i="1"/>
  <c r="GL31" i="1" s="1"/>
  <c r="GK8" i="1"/>
  <c r="GK31" i="1" s="1"/>
  <c r="GJ8" i="1"/>
  <c r="GJ31" i="1" s="1"/>
  <c r="GI8" i="1"/>
  <c r="GI31" i="1" s="1"/>
  <c r="GH8" i="1"/>
  <c r="GH31" i="1" s="1"/>
  <c r="GG8" i="1"/>
  <c r="GG31" i="1" s="1"/>
  <c r="GF8" i="1"/>
  <c r="GF31" i="1" s="1"/>
  <c r="GE8" i="1"/>
  <c r="GE31" i="1" s="1"/>
  <c r="GD8" i="1"/>
  <c r="GD31" i="1" s="1"/>
  <c r="GC8" i="1"/>
  <c r="GC31" i="1" s="1"/>
  <c r="GB8" i="1"/>
  <c r="GB31" i="1" s="1"/>
  <c r="GA8" i="1"/>
  <c r="GA31" i="1" s="1"/>
  <c r="FZ8" i="1"/>
  <c r="FZ31" i="1" s="1"/>
  <c r="FY8" i="1"/>
  <c r="FY31" i="1" s="1"/>
  <c r="FX8" i="1"/>
  <c r="FX31" i="1" s="1"/>
  <c r="FW8" i="1"/>
  <c r="FW31" i="1" s="1"/>
  <c r="FV8" i="1"/>
  <c r="FV31" i="1" s="1"/>
  <c r="FU8" i="1"/>
  <c r="FU31" i="1" s="1"/>
  <c r="FT8" i="1"/>
  <c r="FT31" i="1" s="1"/>
  <c r="FS8" i="1"/>
  <c r="FS31" i="1" s="1"/>
  <c r="FR8" i="1"/>
  <c r="FR31" i="1" s="1"/>
  <c r="FQ8" i="1"/>
  <c r="FQ31" i="1" s="1"/>
  <c r="FP8" i="1"/>
  <c r="FP31" i="1" s="1"/>
  <c r="FO8" i="1"/>
  <c r="FO31" i="1" s="1"/>
  <c r="FN8" i="1"/>
  <c r="FN31" i="1" s="1"/>
  <c r="FM8" i="1"/>
  <c r="FM31" i="1" s="1"/>
  <c r="FL8" i="1"/>
  <c r="FL31" i="1" s="1"/>
  <c r="FK8" i="1"/>
  <c r="FK31" i="1" s="1"/>
  <c r="FJ8" i="1"/>
  <c r="FJ31" i="1" s="1"/>
  <c r="FI8" i="1"/>
  <c r="FI31" i="1" s="1"/>
  <c r="FH8" i="1"/>
  <c r="FH31" i="1" s="1"/>
  <c r="FG8" i="1"/>
  <c r="FG31" i="1" s="1"/>
  <c r="FF8" i="1"/>
  <c r="FF31" i="1" s="1"/>
  <c r="FE8" i="1"/>
  <c r="FE31" i="1" s="1"/>
  <c r="FD8" i="1"/>
  <c r="FD31" i="1" s="1"/>
  <c r="FC8" i="1"/>
  <c r="FC31" i="1" s="1"/>
  <c r="FB8" i="1"/>
  <c r="FB31" i="1" s="1"/>
  <c r="FA8" i="1"/>
  <c r="FA31" i="1" s="1"/>
  <c r="EZ8" i="1"/>
  <c r="EZ31" i="1" s="1"/>
  <c r="EY8" i="1"/>
  <c r="EY31" i="1" s="1"/>
  <c r="EX8" i="1"/>
  <c r="EX31" i="1" s="1"/>
  <c r="EW8" i="1"/>
  <c r="EW31" i="1" s="1"/>
  <c r="EV8" i="1"/>
  <c r="EV31" i="1" s="1"/>
  <c r="EU8" i="1"/>
  <c r="EU31" i="1" s="1"/>
  <c r="ET8" i="1"/>
  <c r="ET31" i="1"/>
  <c r="ES8" i="1"/>
  <c r="ES31" i="1" s="1"/>
  <c r="ER8" i="1"/>
  <c r="ER31" i="1" s="1"/>
  <c r="EQ8" i="1"/>
  <c r="EQ31" i="1" s="1"/>
  <c r="EP8" i="1"/>
  <c r="EP31" i="1" s="1"/>
  <c r="EO8" i="1"/>
  <c r="EO31" i="1" s="1"/>
  <c r="EN8" i="1"/>
  <c r="EN31" i="1" s="1"/>
  <c r="EM8" i="1"/>
  <c r="EM31" i="1" s="1"/>
  <c r="EL8" i="1"/>
  <c r="EL31" i="1" s="1"/>
  <c r="EK8" i="1"/>
  <c r="EK31" i="1" s="1"/>
  <c r="EJ8" i="1"/>
  <c r="EJ31" i="1" s="1"/>
  <c r="EI8" i="1"/>
  <c r="EI31" i="1" s="1"/>
  <c r="EH8" i="1"/>
  <c r="EH31" i="1" s="1"/>
  <c r="EG8" i="1"/>
  <c r="EG31" i="1" s="1"/>
  <c r="EF8" i="1"/>
  <c r="EF31" i="1" s="1"/>
  <c r="EE8" i="1"/>
  <c r="EE31" i="1" s="1"/>
  <c r="ED8" i="1"/>
  <c r="ED31" i="1" s="1"/>
  <c r="EC8" i="1"/>
  <c r="EC31" i="1" s="1"/>
  <c r="EB8" i="1"/>
  <c r="EB31" i="1" s="1"/>
  <c r="EA8" i="1"/>
  <c r="EA31" i="1" s="1"/>
  <c r="DZ8" i="1"/>
  <c r="DZ31" i="1" s="1"/>
  <c r="DY8" i="1"/>
  <c r="DY31" i="1" s="1"/>
  <c r="DX8" i="1"/>
  <c r="DX31" i="1" s="1"/>
  <c r="DW8" i="1"/>
  <c r="DW31" i="1" s="1"/>
  <c r="DV8" i="1"/>
  <c r="DV31" i="1" s="1"/>
  <c r="DU8" i="1"/>
  <c r="DU31" i="1" s="1"/>
  <c r="DT8" i="1"/>
  <c r="DT31" i="1" s="1"/>
  <c r="DS8" i="1"/>
  <c r="DS31" i="1" s="1"/>
  <c r="DR8" i="1"/>
  <c r="DR31" i="1" s="1"/>
  <c r="DQ8" i="1"/>
  <c r="DQ31" i="1" s="1"/>
  <c r="DP8" i="1"/>
  <c r="DP31" i="1" s="1"/>
  <c r="DO8" i="1"/>
  <c r="DO31" i="1" s="1"/>
  <c r="DN8" i="1"/>
  <c r="DN31" i="1" s="1"/>
  <c r="DM8" i="1"/>
  <c r="DM31" i="1" s="1"/>
  <c r="DL8" i="1"/>
  <c r="DL31" i="1" s="1"/>
  <c r="DK8" i="1"/>
  <c r="DK31" i="1" s="1"/>
  <c r="DJ8" i="1"/>
  <c r="DJ31" i="1" s="1"/>
  <c r="DI8" i="1"/>
  <c r="DI31" i="1" s="1"/>
  <c r="DH8" i="1"/>
  <c r="DH31" i="1" s="1"/>
  <c r="DG8" i="1"/>
  <c r="DG31" i="1" s="1"/>
  <c r="DF8" i="1"/>
  <c r="DF31" i="1" s="1"/>
  <c r="DE8" i="1"/>
  <c r="DE31" i="1" s="1"/>
  <c r="DD8" i="1"/>
  <c r="DD31" i="1" s="1"/>
  <c r="DC8" i="1"/>
  <c r="DC31" i="1" s="1"/>
  <c r="DB8" i="1"/>
  <c r="DB31" i="1" s="1"/>
  <c r="DA8" i="1"/>
  <c r="DA31" i="1" s="1"/>
  <c r="CZ8" i="1"/>
  <c r="CZ31" i="1" s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E1102" i="2"/>
  <c r="AH80" i="11"/>
  <c r="AF80" i="11"/>
  <c r="AB80" i="11"/>
  <c r="Z80" i="11"/>
  <c r="X80" i="11"/>
  <c r="W80" i="11"/>
  <c r="V80" i="11"/>
  <c r="T80" i="11"/>
  <c r="R80" i="11"/>
  <c r="P80" i="11"/>
  <c r="D80" i="11" s="1"/>
  <c r="D97" i="11" s="1"/>
  <c r="AX19" i="11"/>
  <c r="F7" i="11"/>
  <c r="BH9" i="11"/>
  <c r="BF9" i="11"/>
  <c r="BH24" i="11"/>
  <c r="BH25" i="11"/>
  <c r="AX24" i="11"/>
  <c r="AX25" i="11"/>
  <c r="AD72" i="11"/>
  <c r="X71" i="11"/>
  <c r="Y71" i="11"/>
  <c r="H59" i="11"/>
  <c r="E59" i="11"/>
  <c r="D59" i="11"/>
  <c r="F59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D53" i="11"/>
  <c r="F52" i="11"/>
  <c r="E52" i="11"/>
  <c r="D52" i="11"/>
  <c r="F51" i="11"/>
  <c r="E51" i="11"/>
  <c r="D51" i="11"/>
  <c r="V13" i="9"/>
  <c r="V7" i="9"/>
  <c r="V267" i="9"/>
  <c r="V266" i="9"/>
  <c r="V265" i="9"/>
  <c r="V264" i="9"/>
  <c r="V263" i="9"/>
  <c r="V262" i="9"/>
  <c r="V261" i="9"/>
  <c r="V260" i="9"/>
  <c r="V259" i="9"/>
  <c r="V258" i="9"/>
  <c r="V257" i="9"/>
  <c r="V256" i="9"/>
  <c r="V255" i="9"/>
  <c r="V254" i="9"/>
  <c r="V253" i="9"/>
  <c r="V252" i="9"/>
  <c r="V251" i="9"/>
  <c r="V250" i="9"/>
  <c r="V249" i="9"/>
  <c r="V248" i="9"/>
  <c r="V247" i="9"/>
  <c r="V246" i="9"/>
  <c r="V245" i="9"/>
  <c r="V244" i="9"/>
  <c r="V243" i="9"/>
  <c r="V242" i="9"/>
  <c r="V241" i="9"/>
  <c r="V240" i="9"/>
  <c r="V239" i="9"/>
  <c r="V238" i="9"/>
  <c r="V237" i="9"/>
  <c r="V236" i="9"/>
  <c r="V235" i="9"/>
  <c r="V234" i="9"/>
  <c r="V233" i="9"/>
  <c r="V232" i="9"/>
  <c r="V231" i="9"/>
  <c r="V230" i="9"/>
  <c r="V229" i="9"/>
  <c r="V228" i="9"/>
  <c r="V227" i="9"/>
  <c r="V226" i="9"/>
  <c r="V225" i="9"/>
  <c r="V224" i="9"/>
  <c r="V223" i="9"/>
  <c r="V222" i="9"/>
  <c r="V221" i="9"/>
  <c r="V220" i="9"/>
  <c r="V219" i="9"/>
  <c r="V218" i="9"/>
  <c r="V217" i="9"/>
  <c r="V216" i="9"/>
  <c r="V215" i="9"/>
  <c r="V214" i="9"/>
  <c r="V213" i="9"/>
  <c r="V212" i="9"/>
  <c r="V211" i="9"/>
  <c r="V210" i="9"/>
  <c r="V209" i="9"/>
  <c r="V208" i="9"/>
  <c r="V207" i="9"/>
  <c r="V206" i="9"/>
  <c r="V205" i="9"/>
  <c r="V204" i="9"/>
  <c r="V203" i="9"/>
  <c r="V202" i="9"/>
  <c r="V201" i="9"/>
  <c r="V200" i="9"/>
  <c r="V199" i="9"/>
  <c r="V198" i="9"/>
  <c r="V197" i="9"/>
  <c r="V196" i="9"/>
  <c r="V195" i="9"/>
  <c r="V194" i="9"/>
  <c r="V193" i="9"/>
  <c r="V192" i="9"/>
  <c r="V191" i="9"/>
  <c r="V190" i="9"/>
  <c r="V189" i="9"/>
  <c r="V188" i="9"/>
  <c r="V187" i="9"/>
  <c r="V186" i="9"/>
  <c r="V185" i="9"/>
  <c r="V184" i="9"/>
  <c r="V183" i="9"/>
  <c r="V182" i="9"/>
  <c r="V181" i="9"/>
  <c r="V180" i="9"/>
  <c r="V179" i="9"/>
  <c r="V178" i="9"/>
  <c r="V177" i="9"/>
  <c r="V176" i="9"/>
  <c r="V175" i="9"/>
  <c r="V174" i="9"/>
  <c r="V173" i="9"/>
  <c r="V172" i="9"/>
  <c r="V171" i="9"/>
  <c r="V170" i="9"/>
  <c r="V169" i="9"/>
  <c r="V168" i="9"/>
  <c r="V167" i="9"/>
  <c r="V166" i="9"/>
  <c r="V165" i="9"/>
  <c r="V164" i="9"/>
  <c r="V163" i="9"/>
  <c r="V162" i="9"/>
  <c r="V161" i="9"/>
  <c r="V160" i="9"/>
  <c r="V159" i="9"/>
  <c r="V158" i="9"/>
  <c r="V157" i="9"/>
  <c r="V156" i="9"/>
  <c r="V155" i="9"/>
  <c r="V154" i="9"/>
  <c r="V153" i="9"/>
  <c r="V152" i="9"/>
  <c r="V151" i="9"/>
  <c r="V150" i="9"/>
  <c r="V149" i="9"/>
  <c r="V148" i="9"/>
  <c r="V147" i="9"/>
  <c r="V146" i="9"/>
  <c r="V145" i="9"/>
  <c r="V144" i="9"/>
  <c r="V143" i="9"/>
  <c r="V142" i="9"/>
  <c r="V141" i="9"/>
  <c r="V140" i="9"/>
  <c r="V139" i="9"/>
  <c r="V138" i="9"/>
  <c r="V137" i="9"/>
  <c r="V136" i="9"/>
  <c r="V135" i="9"/>
  <c r="V134" i="9"/>
  <c r="V133" i="9"/>
  <c r="V132" i="9"/>
  <c r="V131" i="9"/>
  <c r="V130" i="9"/>
  <c r="V129" i="9"/>
  <c r="V128" i="9"/>
  <c r="V127" i="9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6" i="9"/>
  <c r="V85" i="9"/>
  <c r="V83" i="9"/>
  <c r="V82" i="9"/>
  <c r="V81" i="9"/>
  <c r="V80" i="9"/>
  <c r="V75" i="9"/>
  <c r="V74" i="9"/>
  <c r="V73" i="9"/>
  <c r="V72" i="9"/>
  <c r="V71" i="9"/>
  <c r="V70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3" i="9"/>
  <c r="V32" i="9"/>
  <c r="V31" i="9"/>
  <c r="V30" i="9"/>
  <c r="V29" i="9"/>
  <c r="V28" i="9"/>
  <c r="V79" i="9"/>
  <c r="V76" i="9"/>
  <c r="U12" i="9"/>
  <c r="U14" i="9" s="1"/>
  <c r="U15" i="9" s="1"/>
  <c r="N12" i="9"/>
  <c r="Q12" i="9"/>
  <c r="Q14" i="9" s="1"/>
  <c r="Q15" i="9" s="1"/>
  <c r="P12" i="9"/>
  <c r="P14" i="9" s="1"/>
  <c r="O14" i="9"/>
  <c r="O15" i="9" s="1"/>
  <c r="T21" i="9"/>
  <c r="P21" i="9"/>
  <c r="O21" i="9"/>
  <c r="N21" i="9"/>
  <c r="Q21" i="9"/>
  <c r="U9" i="9"/>
  <c r="U19" i="9"/>
  <c r="Q9" i="9"/>
  <c r="Q19" i="9" s="1"/>
  <c r="P9" i="9"/>
  <c r="P19" i="9" s="1"/>
  <c r="O9" i="9"/>
  <c r="O19" i="9" s="1"/>
  <c r="N9" i="9"/>
  <c r="N19" i="9" s="1"/>
  <c r="K9" i="9"/>
  <c r="J9" i="9"/>
  <c r="J19" i="9"/>
  <c r="I9" i="9"/>
  <c r="I19" i="9"/>
  <c r="I21" i="9"/>
  <c r="H21" i="9"/>
  <c r="H29" i="9"/>
  <c r="K14" i="9"/>
  <c r="K15" i="9" s="1"/>
  <c r="H14" i="9"/>
  <c r="H15" i="9"/>
  <c r="J12" i="9"/>
  <c r="J14" i="9" s="1"/>
  <c r="J15" i="9" s="1"/>
  <c r="I12" i="9"/>
  <c r="I28" i="9"/>
  <c r="H9" i="9"/>
  <c r="H19" i="9"/>
  <c r="E1103" i="2"/>
  <c r="E1104" i="2"/>
  <c r="F15" i="11"/>
  <c r="F14" i="11"/>
  <c r="F13" i="11"/>
  <c r="F12" i="11"/>
  <c r="F11" i="11"/>
  <c r="F10" i="11"/>
  <c r="H8" i="11"/>
  <c r="G8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7" i="11"/>
  <c r="D7" i="11"/>
  <c r="E8" i="11"/>
  <c r="E1105" i="2"/>
  <c r="E1106" i="2"/>
  <c r="CB25" i="1"/>
  <c r="E1107" i="2"/>
  <c r="E1108" i="2"/>
  <c r="E1109" i="2"/>
  <c r="E1110" i="2"/>
  <c r="E1111" i="2"/>
  <c r="E1112" i="2"/>
  <c r="Q13" i="19"/>
  <c r="Q12" i="19"/>
  <c r="F11" i="41" s="1"/>
  <c r="Q11" i="19"/>
  <c r="F7" i="41" s="1"/>
  <c r="Q10" i="19"/>
  <c r="F6" i="41" s="1"/>
  <c r="Q9" i="19"/>
  <c r="Q8" i="19"/>
  <c r="Q7" i="19"/>
  <c r="F4" i="41" s="1"/>
  <c r="Q6" i="19"/>
  <c r="Q5" i="19"/>
  <c r="F106" i="6"/>
  <c r="E106" i="6"/>
  <c r="F100" i="6"/>
  <c r="E100" i="6"/>
  <c r="F108" i="6"/>
  <c r="E108" i="6"/>
  <c r="E1113" i="2"/>
  <c r="BD28" i="11"/>
  <c r="BF24" i="11"/>
  <c r="BG24" i="11"/>
  <c r="H107" i="6"/>
  <c r="CD25" i="1"/>
  <c r="CC24" i="1"/>
  <c r="D65" i="15" s="1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K12" i="5"/>
  <c r="V77" i="9"/>
  <c r="V78" i="9"/>
  <c r="U28" i="1"/>
  <c r="O14" i="5"/>
  <c r="O11" i="5"/>
  <c r="O13" i="5"/>
  <c r="M13" i="5"/>
  <c r="M12" i="5"/>
  <c r="M11" i="5"/>
  <c r="L11" i="5"/>
  <c r="G11" i="5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M63" i="1"/>
  <c r="L63" i="1"/>
  <c r="K63" i="1"/>
  <c r="E1134" i="2"/>
  <c r="P52" i="1"/>
  <c r="G10" i="41" s="1"/>
  <c r="P51" i="1"/>
  <c r="P50" i="1"/>
  <c r="G6" i="40" s="1"/>
  <c r="P47" i="1"/>
  <c r="G14" i="40" s="1"/>
  <c r="P46" i="1"/>
  <c r="G5" i="40" s="1"/>
  <c r="P45" i="1"/>
  <c r="G13" i="40" s="1"/>
  <c r="P43" i="1"/>
  <c r="G11" i="40" s="1"/>
  <c r="P42" i="1"/>
  <c r="G10" i="40" s="1"/>
  <c r="P41" i="1"/>
  <c r="G4" i="40" s="1"/>
  <c r="H21" i="1"/>
  <c r="H20" i="1"/>
  <c r="H19" i="1"/>
  <c r="H17" i="1"/>
  <c r="H15" i="1"/>
  <c r="E1135" i="2"/>
  <c r="E1136" i="2"/>
  <c r="E1137" i="2"/>
  <c r="E1138" i="2"/>
  <c r="CC16" i="1"/>
  <c r="CD59" i="1"/>
  <c r="F64" i="15"/>
  <c r="CD58" i="1"/>
  <c r="E65" i="15" s="1"/>
  <c r="O46" i="1"/>
  <c r="F5" i="40" s="1"/>
  <c r="E1139" i="2"/>
  <c r="E1140" i="2"/>
  <c r="E1141" i="2"/>
  <c r="F113" i="6"/>
  <c r="E113" i="6"/>
  <c r="E1142" i="2"/>
  <c r="E1143" i="2"/>
  <c r="E1144" i="2"/>
  <c r="E1160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CB16" i="1"/>
  <c r="CA24" i="1"/>
  <c r="CC21" i="1"/>
  <c r="CC63" i="1"/>
  <c r="CC77" i="1" s="1"/>
  <c r="CC45" i="1"/>
  <c r="O45" i="1"/>
  <c r="F13" i="40" s="1"/>
  <c r="E1170" i="2"/>
  <c r="E1169" i="2"/>
  <c r="E1158" i="2"/>
  <c r="E1159" i="2"/>
  <c r="E1161" i="2"/>
  <c r="E1162" i="2"/>
  <c r="E1163" i="2"/>
  <c r="GT68" i="1"/>
  <c r="GT71" i="1"/>
  <c r="GT77" i="1"/>
  <c r="GT80" i="1"/>
  <c r="GN68" i="1"/>
  <c r="GO68" i="1"/>
  <c r="GP68" i="1"/>
  <c r="GQ68" i="1"/>
  <c r="GR68" i="1"/>
  <c r="GS68" i="1"/>
  <c r="GN71" i="1"/>
  <c r="GO71" i="1"/>
  <c r="GP71" i="1"/>
  <c r="GQ71" i="1"/>
  <c r="GR71" i="1"/>
  <c r="GS71" i="1"/>
  <c r="GN77" i="1"/>
  <c r="GO77" i="1"/>
  <c r="GP77" i="1"/>
  <c r="GQ77" i="1"/>
  <c r="GR77" i="1"/>
  <c r="GS77" i="1"/>
  <c r="GN80" i="1"/>
  <c r="GO80" i="1"/>
  <c r="GP80" i="1"/>
  <c r="GQ80" i="1"/>
  <c r="GR80" i="1"/>
  <c r="GS80" i="1"/>
  <c r="E1164" i="2"/>
  <c r="E1165" i="2"/>
  <c r="E1166" i="2"/>
  <c r="E1167" i="2"/>
  <c r="E1168" i="2"/>
  <c r="E1171" i="2"/>
  <c r="E1172" i="2"/>
  <c r="E1173" i="2"/>
  <c r="E1189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F1187" i="2" s="1"/>
  <c r="E1188" i="2"/>
  <c r="E1192" i="2"/>
  <c r="E1191" i="2"/>
  <c r="E1190" i="2"/>
  <c r="E1193" i="2"/>
  <c r="E1194" i="2"/>
  <c r="E1195" i="2"/>
  <c r="BF71" i="11"/>
  <c r="BH31" i="11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CB59" i="1"/>
  <c r="F62" i="15"/>
  <c r="CB58" i="1"/>
  <c r="E63" i="15" s="1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2" i="2"/>
  <c r="E1251" i="2"/>
  <c r="E1250" i="2"/>
  <c r="BE24" i="11"/>
  <c r="L81" i="5"/>
  <c r="U81" i="5"/>
  <c r="L79" i="5"/>
  <c r="U79" i="5"/>
  <c r="L77" i="5"/>
  <c r="U77" i="5"/>
  <c r="L76" i="5"/>
  <c r="U76" i="5" s="1"/>
  <c r="L75" i="5"/>
  <c r="U75" i="5" s="1"/>
  <c r="L80" i="5"/>
  <c r="U80" i="5"/>
  <c r="L82" i="5"/>
  <c r="U82" i="5" s="1"/>
  <c r="L74" i="5"/>
  <c r="U74" i="5" s="1"/>
  <c r="L73" i="5"/>
  <c r="U73" i="5" s="1"/>
  <c r="L72" i="5"/>
  <c r="U72" i="5"/>
  <c r="L71" i="5"/>
  <c r="U71" i="5" s="1"/>
  <c r="N14" i="5"/>
  <c r="N13" i="5"/>
  <c r="O12" i="5"/>
  <c r="N12" i="5"/>
  <c r="N11" i="5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F77" i="15"/>
  <c r="F76" i="15"/>
  <c r="F75" i="15"/>
  <c r="F74" i="15"/>
  <c r="F70" i="15"/>
  <c r="F68" i="15"/>
  <c r="F67" i="15"/>
  <c r="F65" i="15"/>
  <c r="D79" i="15"/>
  <c r="D78" i="15"/>
  <c r="D76" i="15"/>
  <c r="D74" i="15"/>
  <c r="D72" i="15"/>
  <c r="D71" i="15"/>
  <c r="D70" i="15"/>
  <c r="D69" i="15"/>
  <c r="D68" i="15"/>
  <c r="E1253" i="2"/>
  <c r="E1254" i="2"/>
  <c r="E1255" i="2"/>
  <c r="E1256" i="2"/>
  <c r="E1257" i="2"/>
  <c r="E1258" i="2"/>
  <c r="N58" i="11"/>
  <c r="P58" i="11"/>
  <c r="R58" i="11"/>
  <c r="T58" i="11"/>
  <c r="V58" i="11"/>
  <c r="W58" i="11"/>
  <c r="X58" i="11"/>
  <c r="Z58" i="11"/>
  <c r="AB58" i="11"/>
  <c r="AD58" i="11"/>
  <c r="AF58" i="11"/>
  <c r="AJ58" i="11"/>
  <c r="AL58" i="11"/>
  <c r="AN58" i="11"/>
  <c r="AP58" i="11"/>
  <c r="AR58" i="11"/>
  <c r="AT58" i="11"/>
  <c r="AV58" i="11"/>
  <c r="AX58" i="11"/>
  <c r="AZ58" i="11"/>
  <c r="BB58" i="11"/>
  <c r="BD58" i="11"/>
  <c r="BF58" i="11"/>
  <c r="BD77" i="11"/>
  <c r="L77" i="11"/>
  <c r="N77" i="11"/>
  <c r="M77" i="11"/>
  <c r="P77" i="11"/>
  <c r="O77" i="11"/>
  <c r="R77" i="11"/>
  <c r="Q77" i="11"/>
  <c r="T77" i="11"/>
  <c r="U77" i="11"/>
  <c r="S77" i="11"/>
  <c r="V77" i="11"/>
  <c r="X77" i="11"/>
  <c r="W77" i="11"/>
  <c r="Z77" i="11"/>
  <c r="Y77" i="11"/>
  <c r="AB77" i="11"/>
  <c r="AA77" i="11"/>
  <c r="AD77" i="11"/>
  <c r="AC77" i="11"/>
  <c r="AF77" i="11"/>
  <c r="AE77" i="11"/>
  <c r="AH77" i="11"/>
  <c r="AG77" i="11"/>
  <c r="AJ77" i="11"/>
  <c r="AI77" i="11"/>
  <c r="AL77" i="11"/>
  <c r="AK77" i="11"/>
  <c r="AN77" i="11"/>
  <c r="AM77" i="11"/>
  <c r="AP77" i="11"/>
  <c r="AO77" i="11"/>
  <c r="AR77" i="11"/>
  <c r="AQ77" i="11"/>
  <c r="AT77" i="11"/>
  <c r="AS77" i="11"/>
  <c r="AV77" i="11"/>
  <c r="AU77" i="11"/>
  <c r="AX77" i="11"/>
  <c r="AW77" i="11"/>
  <c r="AZ77" i="11"/>
  <c r="AY77" i="11"/>
  <c r="BB77" i="11"/>
  <c r="BA77" i="11"/>
  <c r="BC77" i="11"/>
  <c r="BF60" i="11"/>
  <c r="BE71" i="11"/>
  <c r="E1259" i="2"/>
  <c r="E1260" i="2"/>
  <c r="E1261" i="2"/>
  <c r="E1262" i="2"/>
  <c r="E1263" i="2"/>
  <c r="E1264" i="2"/>
  <c r="E1265" i="2"/>
  <c r="E1266" i="2"/>
  <c r="E1267" i="2"/>
  <c r="E1287" i="2"/>
  <c r="E1268" i="2"/>
  <c r="E1269" i="2"/>
  <c r="E1270" i="2"/>
  <c r="E1271" i="2"/>
  <c r="CA59" i="1"/>
  <c r="F61" i="15" s="1"/>
  <c r="CA58" i="1"/>
  <c r="E62" i="15" s="1"/>
  <c r="E1272" i="2"/>
  <c r="E1273" i="2"/>
  <c r="E1274" i="2"/>
  <c r="E1275" i="2"/>
  <c r="E1276" i="2"/>
  <c r="E1277" i="2"/>
  <c r="BF19" i="11"/>
  <c r="E1283" i="2"/>
  <c r="E1278" i="2"/>
  <c r="E1279" i="2"/>
  <c r="E1280" i="2"/>
  <c r="E1281" i="2"/>
  <c r="E1282" i="2"/>
  <c r="E1284" i="2"/>
  <c r="E1285" i="2"/>
  <c r="E1286" i="2"/>
  <c r="E1288" i="2"/>
  <c r="E1289" i="2"/>
  <c r="BD24" i="11"/>
  <c r="BC24" i="11"/>
  <c r="E1291" i="2"/>
  <c r="E1290" i="2"/>
  <c r="E1292" i="2"/>
  <c r="E1293" i="2"/>
  <c r="E1295" i="2"/>
  <c r="E1294" i="2"/>
  <c r="E1296" i="2"/>
  <c r="E1298" i="2"/>
  <c r="E1297" i="2"/>
  <c r="E1299" i="2"/>
  <c r="E1300" i="2"/>
  <c r="E1301" i="2"/>
  <c r="E1302" i="2"/>
  <c r="E1303" i="2"/>
  <c r="E1304" i="2"/>
  <c r="E1305" i="2"/>
  <c r="N25" i="11"/>
  <c r="O25" i="11" s="1"/>
  <c r="BB28" i="11"/>
  <c r="AW24" i="11"/>
  <c r="AW25" i="11" s="1"/>
  <c r="AX27" i="11"/>
  <c r="AZ28" i="11" s="1"/>
  <c r="AY24" i="11"/>
  <c r="AY25" i="11" s="1"/>
  <c r="BD19" i="11"/>
  <c r="BC71" i="11"/>
  <c r="BD9" i="11"/>
  <c r="BB36" i="11"/>
  <c r="C3" i="11"/>
  <c r="Q2" i="11"/>
  <c r="Y2" i="11"/>
  <c r="AG2" i="11"/>
  <c r="AO2" i="11"/>
  <c r="AW2" i="11"/>
  <c r="BE2" i="11"/>
  <c r="BM2" i="11"/>
  <c r="BU2" i="11"/>
  <c r="CD2" i="11"/>
  <c r="CQ2" i="11"/>
  <c r="CY2" i="11"/>
  <c r="DG2" i="11"/>
  <c r="DO2" i="11"/>
  <c r="BA2" i="11"/>
  <c r="AL2" i="11"/>
  <c r="R2" i="11"/>
  <c r="Z2" i="11"/>
  <c r="AH2" i="11"/>
  <c r="AP2" i="11"/>
  <c r="AX2" i="11"/>
  <c r="BF2" i="11"/>
  <c r="BN2" i="11"/>
  <c r="BV2" i="11"/>
  <c r="CG2" i="11"/>
  <c r="CR2" i="11"/>
  <c r="CZ2" i="11"/>
  <c r="DH2" i="11"/>
  <c r="DP2" i="11"/>
  <c r="BI2" i="11"/>
  <c r="V2" i="11"/>
  <c r="BZ2" i="11"/>
  <c r="CV2" i="11"/>
  <c r="DL2" i="11"/>
  <c r="S2" i="11"/>
  <c r="AA2" i="11"/>
  <c r="AI2" i="11"/>
  <c r="AQ2" i="11"/>
  <c r="AY2" i="11"/>
  <c r="BG2" i="11"/>
  <c r="BO2" i="11"/>
  <c r="BW2" i="11"/>
  <c r="CH2" i="11"/>
  <c r="CS2" i="11"/>
  <c r="DA2" i="11"/>
  <c r="DI2" i="11"/>
  <c r="DQ2" i="11"/>
  <c r="U2" i="11"/>
  <c r="DC2" i="11"/>
  <c r="AD2" i="11"/>
  <c r="T2" i="11"/>
  <c r="AB2" i="11"/>
  <c r="AJ2" i="11"/>
  <c r="AR2" i="11"/>
  <c r="AZ2" i="11"/>
  <c r="BH2" i="11"/>
  <c r="BP2" i="11"/>
  <c r="BX2" i="11"/>
  <c r="CK2" i="11"/>
  <c r="CT2" i="11"/>
  <c r="DB2" i="11"/>
  <c r="DJ2" i="11"/>
  <c r="DR2" i="11"/>
  <c r="AC2" i="11"/>
  <c r="AK2" i="11"/>
  <c r="AS2" i="11"/>
  <c r="BQ2" i="11"/>
  <c r="BY2" i="11"/>
  <c r="CM2" i="11"/>
  <c r="CU2" i="11"/>
  <c r="DK2" i="11"/>
  <c r="DS2" i="11"/>
  <c r="N2" i="11"/>
  <c r="BB2" i="11"/>
  <c r="BR2" i="11"/>
  <c r="CN2" i="11"/>
  <c r="DD2" i="11"/>
  <c r="M2" i="11"/>
  <c r="O2" i="11"/>
  <c r="W2" i="11"/>
  <c r="AE2" i="11"/>
  <c r="AM2" i="11"/>
  <c r="AU2" i="11"/>
  <c r="BC2" i="11"/>
  <c r="BK2" i="11"/>
  <c r="BS2" i="11"/>
  <c r="CB2" i="11"/>
  <c r="CO2" i="11"/>
  <c r="CW2" i="11"/>
  <c r="DE2" i="11"/>
  <c r="DM2" i="11"/>
  <c r="P2" i="11"/>
  <c r="X2" i="11"/>
  <c r="AF2" i="11"/>
  <c r="AN2" i="11"/>
  <c r="AV2" i="11"/>
  <c r="BD2" i="11"/>
  <c r="BL2" i="11"/>
  <c r="BT2" i="11"/>
  <c r="CC2" i="11"/>
  <c r="CP2" i="11"/>
  <c r="CX2" i="11"/>
  <c r="DF2" i="11"/>
  <c r="DN2" i="11"/>
  <c r="AT2" i="11"/>
  <c r="E1307" i="2"/>
  <c r="E1308" i="2"/>
  <c r="E1306" i="2"/>
  <c r="BZ59" i="1"/>
  <c r="BZ58" i="1"/>
  <c r="E61" i="15" s="1"/>
  <c r="BY11" i="1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3" i="2"/>
  <c r="E1321" i="2"/>
  <c r="E1322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9" i="2"/>
  <c r="E1350" i="2"/>
  <c r="E1345" i="2"/>
  <c r="E1346" i="2"/>
  <c r="E1347" i="2"/>
  <c r="E1348" i="2"/>
  <c r="F377" i="6"/>
  <c r="F167" i="6"/>
  <c r="G167" i="6" s="1"/>
  <c r="BC31" i="11"/>
  <c r="BB31" i="11"/>
  <c r="E1353" i="2"/>
  <c r="E1351" i="2"/>
  <c r="E1352" i="2"/>
  <c r="E1354" i="2"/>
  <c r="E1355" i="2"/>
  <c r="E1356" i="2"/>
  <c r="E1357" i="2"/>
  <c r="E1366" i="2"/>
  <c r="BY58" i="1"/>
  <c r="E60" i="15" s="1"/>
  <c r="E1358" i="2"/>
  <c r="E1359" i="2"/>
  <c r="E1360" i="2"/>
  <c r="E1361" i="2"/>
  <c r="BY59" i="1"/>
  <c r="F59" i="15"/>
  <c r="AU71" i="11"/>
  <c r="AU73" i="11" s="1"/>
  <c r="AT71" i="11"/>
  <c r="AT73" i="11" s="1"/>
  <c r="AS71" i="11"/>
  <c r="BE73" i="11" s="1"/>
  <c r="AR71" i="11"/>
  <c r="AR73" i="11" s="1"/>
  <c r="AQ71" i="11"/>
  <c r="AQ73" i="11" s="1"/>
  <c r="AP71" i="11"/>
  <c r="AO71" i="11"/>
  <c r="AN71" i="11"/>
  <c r="AL71" i="11"/>
  <c r="AL73" i="11" s="1"/>
  <c r="AK71" i="11"/>
  <c r="AZ31" i="11"/>
  <c r="E1362" i="2"/>
  <c r="E1363" i="2"/>
  <c r="E1364" i="2"/>
  <c r="E1365" i="2"/>
  <c r="E1367" i="2"/>
  <c r="E1368" i="2"/>
  <c r="I24" i="11"/>
  <c r="BG71" i="11"/>
  <c r="BK71" i="11"/>
  <c r="BJ71" i="11"/>
  <c r="BV73" i="11" s="1"/>
  <c r="BI71" i="11"/>
  <c r="BD71" i="11"/>
  <c r="BN71" i="11"/>
  <c r="N29" i="11"/>
  <c r="N30" i="11" s="1"/>
  <c r="P29" i="11"/>
  <c r="P30" i="11" s="1"/>
  <c r="AD31" i="11"/>
  <c r="AA24" i="11"/>
  <c r="Z24" i="11"/>
  <c r="Z25" i="11" s="1"/>
  <c r="AB24" i="11"/>
  <c r="AB25" i="11" s="1"/>
  <c r="X27" i="11"/>
  <c r="AJ31" i="11" s="1"/>
  <c r="D27" i="11"/>
  <c r="BB24" i="11"/>
  <c r="BB25" i="11" s="1"/>
  <c r="BA24" i="11"/>
  <c r="AZ24" i="11"/>
  <c r="AV24" i="11"/>
  <c r="AV25" i="11" s="1"/>
  <c r="AU24" i="11"/>
  <c r="AT24" i="11"/>
  <c r="AT25" i="11" s="1"/>
  <c r="AS24" i="11"/>
  <c r="AR24" i="11"/>
  <c r="AR25" i="11" s="1"/>
  <c r="AQ24" i="11"/>
  <c r="AP24" i="11"/>
  <c r="AO24" i="11"/>
  <c r="AO25" i="11" s="1"/>
  <c r="AN24" i="11"/>
  <c r="AN25" i="11" s="1"/>
  <c r="AM24" i="11"/>
  <c r="AL24" i="11"/>
  <c r="AL25" i="11" s="1"/>
  <c r="AK24" i="11"/>
  <c r="AJ24" i="11"/>
  <c r="AJ25" i="11" s="1"/>
  <c r="AI24" i="11"/>
  <c r="AH24" i="11"/>
  <c r="AH25" i="11" s="1"/>
  <c r="AG24" i="11"/>
  <c r="AF24" i="11"/>
  <c r="AE24" i="11"/>
  <c r="AE25" i="11" s="1"/>
  <c r="AD24" i="11"/>
  <c r="Y24" i="11"/>
  <c r="Y31" i="11"/>
  <c r="P24" i="11"/>
  <c r="BA71" i="11"/>
  <c r="AZ71" i="11"/>
  <c r="AY71" i="11"/>
  <c r="BK73" i="11" s="1"/>
  <c r="AX71" i="11"/>
  <c r="BJ73" i="11" s="1"/>
  <c r="AW71" i="11"/>
  <c r="AV71" i="11"/>
  <c r="AV73" i="11" s="1"/>
  <c r="AM71" i="11"/>
  <c r="E1373" i="2"/>
  <c r="E1369" i="2"/>
  <c r="E1370" i="2"/>
  <c r="E1371" i="2"/>
  <c r="E1372" i="2"/>
  <c r="E1374" i="2"/>
  <c r="E1375" i="2"/>
  <c r="EQ68" i="1"/>
  <c r="ER68" i="1"/>
  <c r="ES68" i="1"/>
  <c r="ET68" i="1"/>
  <c r="EU68" i="1"/>
  <c r="EV68" i="1"/>
  <c r="EW68" i="1"/>
  <c r="EX68" i="1"/>
  <c r="EX71" i="1"/>
  <c r="EQ71" i="1"/>
  <c r="ER71" i="1"/>
  <c r="ES71" i="1"/>
  <c r="ET71" i="1"/>
  <c r="EU71" i="1"/>
  <c r="EV71" i="1"/>
  <c r="EW71" i="1"/>
  <c r="EQ77" i="1"/>
  <c r="ER77" i="1"/>
  <c r="ES77" i="1"/>
  <c r="ET77" i="1"/>
  <c r="EU77" i="1"/>
  <c r="EV77" i="1"/>
  <c r="EW77" i="1"/>
  <c r="EX77" i="1"/>
  <c r="EQ80" i="1"/>
  <c r="ER80" i="1"/>
  <c r="ES80" i="1"/>
  <c r="ET80" i="1"/>
  <c r="EU80" i="1"/>
  <c r="EV80" i="1"/>
  <c r="EW80" i="1"/>
  <c r="EX80" i="1"/>
  <c r="E1376" i="2"/>
  <c r="E1378" i="2"/>
  <c r="E1379" i="2"/>
  <c r="E1377" i="2"/>
  <c r="E1380" i="2"/>
  <c r="E1381" i="2"/>
  <c r="F1381" i="2" s="1"/>
  <c r="E1382" i="2"/>
  <c r="E1383" i="2"/>
  <c r="E1386" i="2"/>
  <c r="E1384" i="2"/>
  <c r="F1384" i="2" s="1"/>
  <c r="E1385" i="2"/>
  <c r="F1385" i="2" s="1"/>
  <c r="E1387" i="2"/>
  <c r="E1388" i="2"/>
  <c r="E1389" i="2"/>
  <c r="E1390" i="2"/>
  <c r="E1391" i="2"/>
  <c r="E1392" i="2"/>
  <c r="E1393" i="2"/>
  <c r="E1394" i="2"/>
  <c r="E1395" i="2"/>
  <c r="C45" i="10"/>
  <c r="E1396" i="2"/>
  <c r="BW25" i="1"/>
  <c r="BW18" i="1"/>
  <c r="BX18" i="1" s="1"/>
  <c r="BY18" i="1" s="1"/>
  <c r="BZ18" i="1" s="1"/>
  <c r="CA18" i="1" s="1"/>
  <c r="CB18" i="1" s="1"/>
  <c r="BG11" i="1"/>
  <c r="BG69" i="1" s="1"/>
  <c r="BU18" i="1"/>
  <c r="BW21" i="1"/>
  <c r="E1397" i="2"/>
  <c r="E1398" i="2"/>
  <c r="E1399" i="2"/>
  <c r="E1400" i="2"/>
  <c r="E1401" i="2"/>
  <c r="E1402" i="2"/>
  <c r="E1403" i="2"/>
  <c r="BX59" i="1"/>
  <c r="F58" i="15"/>
  <c r="BX58" i="1"/>
  <c r="E59" i="15" s="1"/>
  <c r="E1404" i="2"/>
  <c r="E1405" i="2"/>
  <c r="E1406" i="2"/>
  <c r="E1407" i="2"/>
  <c r="E1408" i="2"/>
  <c r="E1409" i="2"/>
  <c r="E1410" i="2"/>
  <c r="BM71" i="11"/>
  <c r="BH71" i="11"/>
  <c r="BH73" i="11" s="1"/>
  <c r="BL71" i="11"/>
  <c r="BB71" i="11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B7" i="1"/>
  <c r="BB9" i="11"/>
  <c r="BB40" i="11" s="1"/>
  <c r="AZ9" i="11"/>
  <c r="AX36" i="11" s="1"/>
  <c r="AX8" i="11"/>
  <c r="F8" i="11" s="1"/>
  <c r="AV9" i="11"/>
  <c r="A2" i="19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S66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A1" i="8"/>
  <c r="A2" i="8" s="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D66" i="11" s="1"/>
  <c r="AE50" i="11"/>
  <c r="AD50" i="11"/>
  <c r="AC50" i="11"/>
  <c r="AB50" i="11"/>
  <c r="Y66" i="11" s="1"/>
  <c r="Z66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M66" i="11" s="1"/>
  <c r="N66" i="11"/>
  <c r="O50" i="11"/>
  <c r="N50" i="11"/>
  <c r="L66" i="11" s="1"/>
  <c r="M50" i="11"/>
  <c r="BB50" i="11"/>
  <c r="F110" i="6"/>
  <c r="E110" i="6"/>
  <c r="F109" i="6"/>
  <c r="E109" i="6"/>
  <c r="G109" i="6" s="1"/>
  <c r="F107" i="6"/>
  <c r="E107" i="6"/>
  <c r="G107" i="6" s="1"/>
  <c r="F105" i="6"/>
  <c r="E105" i="6"/>
  <c r="F104" i="6"/>
  <c r="E104" i="6"/>
  <c r="F102" i="6"/>
  <c r="E102" i="6"/>
  <c r="F101" i="6"/>
  <c r="E101" i="6"/>
  <c r="G101" i="6" s="1"/>
  <c r="F99" i="6"/>
  <c r="E99" i="6"/>
  <c r="F98" i="6"/>
  <c r="E98" i="6"/>
  <c r="G98" i="6" s="1"/>
  <c r="F96" i="6"/>
  <c r="E96" i="6"/>
  <c r="F95" i="6"/>
  <c r="G95" i="6" s="1"/>
  <c r="E95" i="6"/>
  <c r="F94" i="6"/>
  <c r="E94" i="6"/>
  <c r="F93" i="6"/>
  <c r="E93" i="6"/>
  <c r="G93" i="6" s="1"/>
  <c r="F92" i="6"/>
  <c r="E92" i="6"/>
  <c r="F91" i="6"/>
  <c r="E91" i="6"/>
  <c r="F90" i="6"/>
  <c r="E90" i="6"/>
  <c r="F89" i="6"/>
  <c r="E89" i="6"/>
  <c r="G89" i="6" s="1"/>
  <c r="F88" i="6"/>
  <c r="G88" i="6" s="1"/>
  <c r="E88" i="6"/>
  <c r="F87" i="6"/>
  <c r="E87" i="6"/>
  <c r="F86" i="6"/>
  <c r="E86" i="6"/>
  <c r="F85" i="6"/>
  <c r="E85" i="6"/>
  <c r="F84" i="6"/>
  <c r="E84" i="6"/>
  <c r="F83" i="6"/>
  <c r="E83" i="6"/>
  <c r="G83" i="6" s="1"/>
  <c r="F82" i="6"/>
  <c r="E82" i="6"/>
  <c r="G82" i="6" s="1"/>
  <c r="F81" i="6"/>
  <c r="G81" i="6" s="1"/>
  <c r="E81" i="6"/>
  <c r="F80" i="6"/>
  <c r="E80" i="6"/>
  <c r="F79" i="6"/>
  <c r="E79" i="6"/>
  <c r="G79" i="6" s="1"/>
  <c r="F78" i="6"/>
  <c r="E78" i="6"/>
  <c r="G78" i="6" s="1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G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G64" i="6" s="1"/>
  <c r="F63" i="6"/>
  <c r="E63" i="6"/>
  <c r="F62" i="6"/>
  <c r="E62" i="6"/>
  <c r="F61" i="6"/>
  <c r="E61" i="6"/>
  <c r="F60" i="6"/>
  <c r="E60" i="6"/>
  <c r="F59" i="6"/>
  <c r="E59" i="6"/>
  <c r="F58" i="6"/>
  <c r="E58" i="6"/>
  <c r="G58" i="6"/>
  <c r="F57" i="6"/>
  <c r="E57" i="6"/>
  <c r="F56" i="6"/>
  <c r="E56" i="6"/>
  <c r="G56" i="6" s="1"/>
  <c r="E1424" i="2"/>
  <c r="E1425" i="2"/>
  <c r="E1426" i="2"/>
  <c r="E1427" i="2"/>
  <c r="E1428" i="2"/>
  <c r="E1429" i="2"/>
  <c r="E1430" i="2"/>
  <c r="BN31" i="11"/>
  <c r="BV31" i="11"/>
  <c r="BL31" i="11"/>
  <c r="O52" i="1"/>
  <c r="O51" i="1"/>
  <c r="O50" i="1"/>
  <c r="F6" i="40" s="1"/>
  <c r="O49" i="1"/>
  <c r="F19" i="40" s="1"/>
  <c r="O47" i="1"/>
  <c r="F14" i="40" s="1"/>
  <c r="O44" i="1"/>
  <c r="F12" i="40" s="1"/>
  <c r="O43" i="1"/>
  <c r="F11" i="40" s="1"/>
  <c r="O42" i="1"/>
  <c r="F10" i="40" s="1"/>
  <c r="E1432" i="2"/>
  <c r="E1433" i="2"/>
  <c r="E1431" i="2"/>
  <c r="E139" i="6"/>
  <c r="F139" i="6"/>
  <c r="BW11" i="1"/>
  <c r="BW69" i="1" s="1"/>
  <c r="E1434" i="2"/>
  <c r="E1435" i="2"/>
  <c r="E1436" i="2"/>
  <c r="E1437" i="2"/>
  <c r="E1438" i="2"/>
  <c r="E1439" i="2"/>
  <c r="E1440" i="2"/>
  <c r="E1441" i="2"/>
  <c r="E1442" i="2"/>
  <c r="E1446" i="2"/>
  <c r="E1447" i="2"/>
  <c r="E1443" i="2"/>
  <c r="E1444" i="2"/>
  <c r="E1445" i="2"/>
  <c r="BX60" i="1"/>
  <c r="BX61" i="1"/>
  <c r="E1448" i="2"/>
  <c r="E1449" i="2"/>
  <c r="E1450" i="2"/>
  <c r="E1451" i="2"/>
  <c r="E1452" i="2"/>
  <c r="E1453" i="2"/>
  <c r="BY48" i="1"/>
  <c r="BY53" i="1"/>
  <c r="AG625" i="5"/>
  <c r="AG624" i="5"/>
  <c r="AG621" i="5"/>
  <c r="AG620" i="5"/>
  <c r="AG619" i="5"/>
  <c r="AF619" i="5"/>
  <c r="AT3" i="5"/>
  <c r="AT2" i="5"/>
  <c r="AD661" i="5"/>
  <c r="AD656" i="5"/>
  <c r="AD647" i="5"/>
  <c r="AD640" i="5"/>
  <c r="AD635" i="5"/>
  <c r="AD634" i="5"/>
  <c r="AD630" i="5"/>
  <c r="AD626" i="5"/>
  <c r="BB19" i="11"/>
  <c r="BB17" i="11"/>
  <c r="BV16" i="1"/>
  <c r="BW16" i="1"/>
  <c r="BX16" i="1" s="1"/>
  <c r="BY16" i="1" s="1"/>
  <c r="BZ16" i="1" s="1"/>
  <c r="E1454" i="2"/>
  <c r="BW59" i="1"/>
  <c r="F57" i="15"/>
  <c r="BW58" i="1"/>
  <c r="E58" i="15" s="1"/>
  <c r="E1455" i="2"/>
  <c r="E1456" i="2"/>
  <c r="BW61" i="1"/>
  <c r="BW60" i="1"/>
  <c r="L63" i="5" s="1"/>
  <c r="U63" i="5" s="1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503" i="2"/>
  <c r="E1504" i="2"/>
  <c r="E1505" i="2"/>
  <c r="E1506" i="2"/>
  <c r="E1502" i="2"/>
  <c r="E1501" i="2"/>
  <c r="E1507" i="2"/>
  <c r="E1508" i="2"/>
  <c r="E1509" i="2"/>
  <c r="BV53" i="1"/>
  <c r="BV61" i="1"/>
  <c r="BV60" i="1"/>
  <c r="L62" i="5" s="1"/>
  <c r="U62" i="5" s="1"/>
  <c r="BV58" i="1"/>
  <c r="E57" i="15" s="1"/>
  <c r="E1493" i="2"/>
  <c r="E1494" i="2"/>
  <c r="E1495" i="2"/>
  <c r="E1496" i="2"/>
  <c r="E1497" i="2"/>
  <c r="E1498" i="2"/>
  <c r="E1499" i="2"/>
  <c r="E1500" i="2"/>
  <c r="E1510" i="2"/>
  <c r="E1511" i="2"/>
  <c r="E1512" i="2"/>
  <c r="BV59" i="1"/>
  <c r="F56" i="15"/>
  <c r="E1513" i="2"/>
  <c r="E1514" i="2"/>
  <c r="AY34" i="11"/>
  <c r="BC12" i="11"/>
  <c r="BU16" i="1"/>
  <c r="H155" i="6"/>
  <c r="AG617" i="5"/>
  <c r="AG615" i="5"/>
  <c r="E1515" i="2"/>
  <c r="E1516" i="2"/>
  <c r="E1517" i="2"/>
  <c r="AG614" i="5"/>
  <c r="AH614" i="5"/>
  <c r="AG613" i="5"/>
  <c r="AH613" i="5"/>
  <c r="AG612" i="5"/>
  <c r="AG611" i="5"/>
  <c r="AG610" i="5"/>
  <c r="AD614" i="5"/>
  <c r="AD612" i="5"/>
  <c r="E1518" i="2"/>
  <c r="E1521" i="2"/>
  <c r="E1520" i="2"/>
  <c r="E1519" i="2"/>
  <c r="E1522" i="2"/>
  <c r="E1524" i="2"/>
  <c r="E1523" i="2"/>
  <c r="AF611" i="5"/>
  <c r="AG609" i="5"/>
  <c r="BB60" i="11"/>
  <c r="AF610" i="5"/>
  <c r="AF609" i="5"/>
  <c r="AG608" i="5"/>
  <c r="AG607" i="5"/>
  <c r="AG606" i="5"/>
  <c r="AF605" i="5"/>
  <c r="AG605" i="5"/>
  <c r="AD605" i="5"/>
  <c r="AP633" i="5"/>
  <c r="E1525" i="2"/>
  <c r="E1526" i="2"/>
  <c r="E1527" i="2"/>
  <c r="E1528" i="2"/>
  <c r="E1529" i="2"/>
  <c r="E1530" i="2"/>
  <c r="E1531" i="2"/>
  <c r="AF584" i="5"/>
  <c r="AF583" i="5"/>
  <c r="AF582" i="5"/>
  <c r="AF581" i="5"/>
  <c r="AF594" i="5"/>
  <c r="AF596" i="5"/>
  <c r="AF597" i="5"/>
  <c r="AF604" i="5"/>
  <c r="AF601" i="5"/>
  <c r="AF598" i="5"/>
  <c r="AG603" i="5"/>
  <c r="AG604" i="5"/>
  <c r="E1532" i="2"/>
  <c r="E1533" i="2"/>
  <c r="I166" i="12"/>
  <c r="AG601" i="5"/>
  <c r="E1534" i="2"/>
  <c r="E1535" i="2"/>
  <c r="E1536" i="2"/>
  <c r="E1537" i="2"/>
  <c r="E1538" i="2"/>
  <c r="AG600" i="5"/>
  <c r="AG599" i="5"/>
  <c r="AG598" i="5"/>
  <c r="E1568" i="2"/>
  <c r="E1541" i="2"/>
  <c r="E1542" i="2"/>
  <c r="E1543" i="2"/>
  <c r="E1540" i="2"/>
  <c r="E1539" i="2"/>
  <c r="BU59" i="1"/>
  <c r="F55" i="15" s="1"/>
  <c r="BU58" i="1"/>
  <c r="E56" i="15" s="1"/>
  <c r="AG597" i="5"/>
  <c r="E1544" i="2"/>
  <c r="E1545" i="2"/>
  <c r="C81" i="5"/>
  <c r="AG596" i="5"/>
  <c r="AG585" i="5"/>
  <c r="AG595" i="5"/>
  <c r="AF595" i="5"/>
  <c r="E1546" i="2"/>
  <c r="E1547" i="2"/>
  <c r="E1548" i="2"/>
  <c r="E1549" i="2"/>
  <c r="E1552" i="2"/>
  <c r="E1550" i="2"/>
  <c r="BU60" i="1"/>
  <c r="L61" i="5" s="1"/>
  <c r="U61" i="5" s="1"/>
  <c r="AG594" i="5"/>
  <c r="AG593" i="5"/>
  <c r="AG592" i="5"/>
  <c r="AG591" i="5"/>
  <c r="AF591" i="5"/>
  <c r="AG588" i="5"/>
  <c r="AF588" i="5"/>
  <c r="AG587" i="5"/>
  <c r="AF587" i="5"/>
  <c r="AG586" i="5"/>
  <c r="E1551" i="2"/>
  <c r="AZ19" i="11"/>
  <c r="AZ17" i="11"/>
  <c r="AZ63" i="11"/>
  <c r="BT16" i="1"/>
  <c r="BS21" i="1"/>
  <c r="G21" i="1" s="1"/>
  <c r="O21" i="1" s="1"/>
  <c r="BT24" i="1"/>
  <c r="E1553" i="2"/>
  <c r="E1554" i="2"/>
  <c r="E1555" i="2"/>
  <c r="E1556" i="2"/>
  <c r="E1557" i="2"/>
  <c r="E1558" i="2"/>
  <c r="E1559" i="2"/>
  <c r="E1560" i="2"/>
  <c r="E1561" i="2"/>
  <c r="AG584" i="5"/>
  <c r="AG583" i="5"/>
  <c r="AG582" i="5"/>
  <c r="E1562" i="2"/>
  <c r="E1563" i="2"/>
  <c r="E1564" i="2"/>
  <c r="E1565" i="2"/>
  <c r="E1566" i="2"/>
  <c r="E1567" i="2"/>
  <c r="E1569" i="2"/>
  <c r="E1570" i="2"/>
  <c r="AD595" i="5"/>
  <c r="AD585" i="5"/>
  <c r="AG580" i="5"/>
  <c r="AF580" i="5"/>
  <c r="E1571" i="2"/>
  <c r="E1572" i="2"/>
  <c r="AG579" i="5"/>
  <c r="AG578" i="5"/>
  <c r="AG577" i="5"/>
  <c r="E1573" i="2"/>
  <c r="E1574" i="2"/>
  <c r="E1575" i="2"/>
  <c r="E1576" i="2"/>
  <c r="E1577" i="2"/>
  <c r="E1578" i="2"/>
  <c r="E1582" i="2"/>
  <c r="E1581" i="2"/>
  <c r="E1580" i="2"/>
  <c r="E1579" i="2"/>
  <c r="E1583" i="2"/>
  <c r="E1584" i="2"/>
  <c r="AF575" i="5"/>
  <c r="AG575" i="5"/>
  <c r="AG574" i="5"/>
  <c r="AG567" i="5"/>
  <c r="AF574" i="5"/>
  <c r="AG573" i="5"/>
  <c r="AF573" i="5"/>
  <c r="E1585" i="2"/>
  <c r="AG572" i="5"/>
  <c r="AH572" i="5"/>
  <c r="AG571" i="5"/>
  <c r="AG570" i="5"/>
  <c r="AF570" i="5"/>
  <c r="AH570" i="5"/>
  <c r="E1586" i="2"/>
  <c r="E1587" i="2"/>
  <c r="E1588" i="2"/>
  <c r="AH571" i="5"/>
  <c r="AD575" i="5"/>
  <c r="AG569" i="5"/>
  <c r="AF569" i="5"/>
  <c r="AF568" i="5"/>
  <c r="AF567" i="5"/>
  <c r="AG566" i="5"/>
  <c r="AF566" i="5"/>
  <c r="AG565" i="5"/>
  <c r="AD555" i="5"/>
  <c r="AG564" i="5"/>
  <c r="AH564" i="5"/>
  <c r="AG563" i="5"/>
  <c r="AF563" i="5"/>
  <c r="AF562" i="5"/>
  <c r="BT60" i="1"/>
  <c r="E1589" i="2"/>
  <c r="E1590" i="2"/>
  <c r="E1591" i="2"/>
  <c r="E1592" i="2"/>
  <c r="E1593" i="2"/>
  <c r="E1594" i="2"/>
  <c r="E1595" i="2"/>
  <c r="AG561" i="5"/>
  <c r="AF561" i="5"/>
  <c r="AH561" i="5"/>
  <c r="AF560" i="5"/>
  <c r="AH560" i="5"/>
  <c r="AG559" i="5"/>
  <c r="AF559" i="5"/>
  <c r="AG558" i="5"/>
  <c r="AG557" i="5"/>
  <c r="AG556" i="5"/>
  <c r="AF556" i="5"/>
  <c r="AH556" i="5"/>
  <c r="E1596" i="2"/>
  <c r="BT61" i="1"/>
  <c r="L60" i="5" s="1"/>
  <c r="BT59" i="1"/>
  <c r="P4" i="10" s="1"/>
  <c r="F54" i="15"/>
  <c r="BT58" i="1"/>
  <c r="E55" i="15" s="1"/>
  <c r="E1597" i="2"/>
  <c r="E1598" i="2"/>
  <c r="E1599" i="2"/>
  <c r="BS16" i="1"/>
  <c r="BS11" i="1"/>
  <c r="BS69" i="1" s="1"/>
  <c r="AG555" i="5"/>
  <c r="AH555" i="5"/>
  <c r="AG544" i="5"/>
  <c r="AH544" i="5"/>
  <c r="AF555" i="5"/>
  <c r="AG554" i="5"/>
  <c r="AF554" i="5"/>
  <c r="AC554" i="5"/>
  <c r="AD554" i="5"/>
  <c r="E1600" i="2"/>
  <c r="AG553" i="5"/>
  <c r="AF553" i="5"/>
  <c r="AF547" i="5"/>
  <c r="AF548" i="5"/>
  <c r="AF552" i="5"/>
  <c r="AH552" i="5"/>
  <c r="AG551" i="5"/>
  <c r="AG550" i="5"/>
  <c r="AH550" i="5"/>
  <c r="AG549" i="5"/>
  <c r="AF549" i="5"/>
  <c r="AG548" i="5"/>
  <c r="E1601" i="2"/>
  <c r="E1602" i="2"/>
  <c r="E1603" i="2"/>
  <c r="E1604" i="2"/>
  <c r="E1605" i="2"/>
  <c r="E1606" i="2"/>
  <c r="E1607" i="2"/>
  <c r="E1608" i="2"/>
  <c r="E1609" i="2"/>
  <c r="E1610" i="2"/>
  <c r="AZ59" i="11"/>
  <c r="AF546" i="5"/>
  <c r="AG545" i="5"/>
  <c r="AF545" i="5"/>
  <c r="AH545" i="5"/>
  <c r="E1611" i="2"/>
  <c r="AD565" i="5"/>
  <c r="AF539" i="5"/>
  <c r="AD543" i="5"/>
  <c r="AA544" i="5"/>
  <c r="AD544" i="5"/>
  <c r="AN574" i="5"/>
  <c r="AG543" i="5"/>
  <c r="AH543" i="5"/>
  <c r="AG542" i="5"/>
  <c r="AF542" i="5"/>
  <c r="E1612" i="2"/>
  <c r="E1613" i="2"/>
  <c r="E1614" i="2"/>
  <c r="E1615" i="2"/>
  <c r="E1616" i="2"/>
  <c r="E1617" i="2"/>
  <c r="E1618" i="2"/>
  <c r="E1619" i="2"/>
  <c r="E1620" i="2"/>
  <c r="E1621" i="2"/>
  <c r="AG541" i="5"/>
  <c r="AF541" i="5"/>
  <c r="AH541" i="5"/>
  <c r="W541" i="5"/>
  <c r="AG540" i="5"/>
  <c r="AF540" i="5"/>
  <c r="BS60" i="1"/>
  <c r="AG538" i="5"/>
  <c r="AF538" i="5"/>
  <c r="AH538" i="5"/>
  <c r="H176" i="6"/>
  <c r="E1622" i="2"/>
  <c r="E1623" i="2"/>
  <c r="E1624" i="2"/>
  <c r="AG537" i="5"/>
  <c r="AG536" i="5"/>
  <c r="AH536" i="5"/>
  <c r="AG535" i="5"/>
  <c r="AF535" i="5"/>
  <c r="E1625" i="2"/>
  <c r="E1626" i="2"/>
  <c r="E1628" i="2"/>
  <c r="E1627" i="2"/>
  <c r="E1629" i="2"/>
  <c r="E1630" i="2"/>
  <c r="BS59" i="1"/>
  <c r="F53" i="15"/>
  <c r="BS58" i="1"/>
  <c r="E54" i="15" s="1"/>
  <c r="AF534" i="5"/>
  <c r="AH534" i="5"/>
  <c r="E1631" i="2"/>
  <c r="AG533" i="5"/>
  <c r="AF533" i="5"/>
  <c r="Y881" i="5"/>
  <c r="AH881" i="5"/>
  <c r="Y882" i="5"/>
  <c r="AH882" i="5"/>
  <c r="Y878" i="5"/>
  <c r="AH878" i="5"/>
  <c r="Y879" i="5"/>
  <c r="AH879" i="5"/>
  <c r="Y880" i="5"/>
  <c r="AH880" i="5"/>
  <c r="Y876" i="5"/>
  <c r="AH876" i="5"/>
  <c r="Y877" i="5"/>
  <c r="AH877" i="5"/>
  <c r="Y871" i="5"/>
  <c r="AH871" i="5"/>
  <c r="Y872" i="5"/>
  <c r="AH872" i="5"/>
  <c r="Y873" i="5"/>
  <c r="AH873" i="5"/>
  <c r="Y874" i="5"/>
  <c r="AH874" i="5"/>
  <c r="Y875" i="5"/>
  <c r="AH875" i="5"/>
  <c r="Y866" i="5"/>
  <c r="AH866" i="5"/>
  <c r="Y867" i="5"/>
  <c r="AH867" i="5"/>
  <c r="Y868" i="5"/>
  <c r="AH868" i="5"/>
  <c r="Y869" i="5"/>
  <c r="AH869" i="5"/>
  <c r="Y870" i="5"/>
  <c r="AH870" i="5"/>
  <c r="Y857" i="5"/>
  <c r="AH857" i="5"/>
  <c r="Y858" i="5"/>
  <c r="AH858" i="5"/>
  <c r="Y859" i="5"/>
  <c r="AH859" i="5"/>
  <c r="Y860" i="5"/>
  <c r="AH860" i="5"/>
  <c r="Y861" i="5"/>
  <c r="AH861" i="5"/>
  <c r="Y862" i="5"/>
  <c r="AH862" i="5"/>
  <c r="Y863" i="5"/>
  <c r="AH863" i="5"/>
  <c r="Y864" i="5"/>
  <c r="AH864" i="5"/>
  <c r="Y865" i="5"/>
  <c r="AH865" i="5"/>
  <c r="Y612" i="5"/>
  <c r="AH612" i="5"/>
  <c r="Y613" i="5"/>
  <c r="Y614" i="5"/>
  <c r="Y615" i="5"/>
  <c r="AH615" i="5"/>
  <c r="Y616" i="5"/>
  <c r="AH616" i="5"/>
  <c r="Y617" i="5"/>
  <c r="AH617" i="5"/>
  <c r="Y618" i="5"/>
  <c r="AH618" i="5"/>
  <c r="Y619" i="5"/>
  <c r="AH619" i="5"/>
  <c r="Y620" i="5"/>
  <c r="AH620" i="5"/>
  <c r="Y621" i="5"/>
  <c r="AH621" i="5"/>
  <c r="Y622" i="5"/>
  <c r="AH622" i="5"/>
  <c r="Y623" i="5"/>
  <c r="AH623" i="5"/>
  <c r="Y624" i="5"/>
  <c r="AH624" i="5"/>
  <c r="Y625" i="5"/>
  <c r="AH625" i="5"/>
  <c r="Y626" i="5"/>
  <c r="AH626" i="5"/>
  <c r="Y627" i="5"/>
  <c r="AH627" i="5"/>
  <c r="Y628" i="5"/>
  <c r="AH628" i="5"/>
  <c r="Y629" i="5"/>
  <c r="AH629" i="5"/>
  <c r="Y630" i="5"/>
  <c r="AH630" i="5"/>
  <c r="Y631" i="5"/>
  <c r="AH631" i="5"/>
  <c r="Y632" i="5"/>
  <c r="AH632" i="5"/>
  <c r="Y633" i="5"/>
  <c r="AH633" i="5"/>
  <c r="Y634" i="5"/>
  <c r="AH634" i="5"/>
  <c r="Y635" i="5"/>
  <c r="AH635" i="5"/>
  <c r="Y636" i="5"/>
  <c r="AH636" i="5"/>
  <c r="Y637" i="5"/>
  <c r="AH637" i="5"/>
  <c r="Y638" i="5"/>
  <c r="AH638" i="5"/>
  <c r="Y639" i="5"/>
  <c r="AH639" i="5"/>
  <c r="Y640" i="5"/>
  <c r="AH640" i="5"/>
  <c r="Y641" i="5"/>
  <c r="AH641" i="5"/>
  <c r="Y642" i="5"/>
  <c r="AH642" i="5"/>
  <c r="Y643" i="5"/>
  <c r="AH643" i="5"/>
  <c r="Y644" i="5"/>
  <c r="AH644" i="5"/>
  <c r="Y645" i="5"/>
  <c r="AH645" i="5"/>
  <c r="Y646" i="5"/>
  <c r="AH646" i="5"/>
  <c r="Y647" i="5"/>
  <c r="AH647" i="5"/>
  <c r="Y648" i="5"/>
  <c r="AH648" i="5"/>
  <c r="Y649" i="5"/>
  <c r="AH649" i="5"/>
  <c r="Y650" i="5"/>
  <c r="AH650" i="5"/>
  <c r="Y651" i="5"/>
  <c r="AH651" i="5"/>
  <c r="Y652" i="5"/>
  <c r="AH652" i="5"/>
  <c r="Y653" i="5"/>
  <c r="AH653" i="5"/>
  <c r="Y654" i="5"/>
  <c r="AH654" i="5"/>
  <c r="Y655" i="5"/>
  <c r="AH655" i="5"/>
  <c r="Y656" i="5"/>
  <c r="AH656" i="5"/>
  <c r="Y657" i="5"/>
  <c r="AH657" i="5"/>
  <c r="Y658" i="5"/>
  <c r="AH658" i="5"/>
  <c r="Y659" i="5"/>
  <c r="AH659" i="5"/>
  <c r="Y660" i="5"/>
  <c r="AH660" i="5"/>
  <c r="Y661" i="5"/>
  <c r="AH661" i="5"/>
  <c r="Y662" i="5"/>
  <c r="AH662" i="5"/>
  <c r="Y663" i="5"/>
  <c r="AH663" i="5"/>
  <c r="Y664" i="5"/>
  <c r="AH664" i="5"/>
  <c r="Y665" i="5"/>
  <c r="AH665" i="5"/>
  <c r="Y666" i="5"/>
  <c r="AH666" i="5"/>
  <c r="Y667" i="5"/>
  <c r="AH667" i="5"/>
  <c r="Y668" i="5"/>
  <c r="AH668" i="5"/>
  <c r="Y669" i="5"/>
  <c r="AH669" i="5"/>
  <c r="Y670" i="5"/>
  <c r="AH670" i="5"/>
  <c r="Y671" i="5"/>
  <c r="AH671" i="5"/>
  <c r="Y672" i="5"/>
  <c r="AH672" i="5"/>
  <c r="Y673" i="5"/>
  <c r="AH673" i="5"/>
  <c r="Y674" i="5"/>
  <c r="AH674" i="5"/>
  <c r="Y675" i="5"/>
  <c r="AH675" i="5"/>
  <c r="Y676" i="5"/>
  <c r="AH676" i="5"/>
  <c r="Y677" i="5"/>
  <c r="AH677" i="5"/>
  <c r="Y678" i="5"/>
  <c r="AH678" i="5"/>
  <c r="Y679" i="5"/>
  <c r="AH679" i="5"/>
  <c r="Y680" i="5"/>
  <c r="AH680" i="5"/>
  <c r="Y681" i="5"/>
  <c r="AH681" i="5"/>
  <c r="Y682" i="5"/>
  <c r="AH682" i="5"/>
  <c r="Y683" i="5"/>
  <c r="AH683" i="5"/>
  <c r="Y684" i="5"/>
  <c r="AH684" i="5"/>
  <c r="Y685" i="5"/>
  <c r="AH685" i="5"/>
  <c r="Y686" i="5"/>
  <c r="AH686" i="5"/>
  <c r="Y687" i="5"/>
  <c r="AH687" i="5"/>
  <c r="Y688" i="5"/>
  <c r="AH688" i="5"/>
  <c r="Y689" i="5"/>
  <c r="AH689" i="5"/>
  <c r="Y690" i="5"/>
  <c r="AH690" i="5"/>
  <c r="Y691" i="5"/>
  <c r="AH691" i="5"/>
  <c r="Y692" i="5"/>
  <c r="AH692" i="5"/>
  <c r="Y693" i="5"/>
  <c r="AH693" i="5"/>
  <c r="Y694" i="5"/>
  <c r="AH694" i="5"/>
  <c r="Y695" i="5"/>
  <c r="AH695" i="5"/>
  <c r="Y696" i="5"/>
  <c r="AH696" i="5"/>
  <c r="Y697" i="5"/>
  <c r="AH697" i="5"/>
  <c r="Y698" i="5"/>
  <c r="AH698" i="5"/>
  <c r="Y699" i="5"/>
  <c r="AH699" i="5"/>
  <c r="Y700" i="5"/>
  <c r="AH700" i="5"/>
  <c r="Y701" i="5"/>
  <c r="AH701" i="5"/>
  <c r="Y702" i="5"/>
  <c r="AH702" i="5"/>
  <c r="Y703" i="5"/>
  <c r="AH703" i="5"/>
  <c r="Y704" i="5"/>
  <c r="AH704" i="5"/>
  <c r="Y705" i="5"/>
  <c r="AH705" i="5"/>
  <c r="Y706" i="5"/>
  <c r="AH706" i="5"/>
  <c r="Y707" i="5"/>
  <c r="AH707" i="5"/>
  <c r="Y708" i="5"/>
  <c r="AH708" i="5"/>
  <c r="Y709" i="5"/>
  <c r="AH709" i="5"/>
  <c r="Y710" i="5"/>
  <c r="AH710" i="5"/>
  <c r="Y711" i="5"/>
  <c r="AH711" i="5"/>
  <c r="Y712" i="5"/>
  <c r="AH712" i="5"/>
  <c r="Y713" i="5"/>
  <c r="AH713" i="5"/>
  <c r="Y714" i="5"/>
  <c r="AH714" i="5"/>
  <c r="Y715" i="5"/>
  <c r="AH715" i="5"/>
  <c r="Y716" i="5"/>
  <c r="AH716" i="5"/>
  <c r="Y717" i="5"/>
  <c r="AH717" i="5"/>
  <c r="Y718" i="5"/>
  <c r="AH718" i="5"/>
  <c r="Y719" i="5"/>
  <c r="AH719" i="5"/>
  <c r="Y720" i="5"/>
  <c r="AH720" i="5"/>
  <c r="Y721" i="5"/>
  <c r="AH721" i="5"/>
  <c r="Y722" i="5"/>
  <c r="AH722" i="5"/>
  <c r="Y723" i="5"/>
  <c r="AH723" i="5"/>
  <c r="Y724" i="5"/>
  <c r="AH724" i="5"/>
  <c r="Y725" i="5"/>
  <c r="AH725" i="5"/>
  <c r="Y726" i="5"/>
  <c r="AH726" i="5"/>
  <c r="Y727" i="5"/>
  <c r="AH727" i="5"/>
  <c r="Y728" i="5"/>
  <c r="AH728" i="5"/>
  <c r="Y729" i="5"/>
  <c r="AH729" i="5"/>
  <c r="Y730" i="5"/>
  <c r="AH730" i="5"/>
  <c r="Y731" i="5"/>
  <c r="AH731" i="5"/>
  <c r="Y732" i="5"/>
  <c r="AH732" i="5"/>
  <c r="Y733" i="5"/>
  <c r="AH733" i="5"/>
  <c r="Y734" i="5"/>
  <c r="AH734" i="5"/>
  <c r="Y735" i="5"/>
  <c r="AH735" i="5"/>
  <c r="Y736" i="5"/>
  <c r="AH736" i="5"/>
  <c r="Y737" i="5"/>
  <c r="AH737" i="5"/>
  <c r="Y738" i="5"/>
  <c r="AH738" i="5"/>
  <c r="Y739" i="5"/>
  <c r="AH739" i="5"/>
  <c r="Y740" i="5"/>
  <c r="AH740" i="5"/>
  <c r="Y741" i="5"/>
  <c r="AH741" i="5"/>
  <c r="Y742" i="5"/>
  <c r="AH742" i="5"/>
  <c r="Y743" i="5"/>
  <c r="AH743" i="5"/>
  <c r="Y744" i="5"/>
  <c r="AH744" i="5"/>
  <c r="Y745" i="5"/>
  <c r="AH745" i="5"/>
  <c r="Y746" i="5"/>
  <c r="AH746" i="5"/>
  <c r="Y747" i="5"/>
  <c r="AH747" i="5"/>
  <c r="Y748" i="5"/>
  <c r="AH748" i="5"/>
  <c r="Y749" i="5"/>
  <c r="AH749" i="5"/>
  <c r="Y750" i="5"/>
  <c r="AH750" i="5"/>
  <c r="Y751" i="5"/>
  <c r="AH751" i="5"/>
  <c r="Y752" i="5"/>
  <c r="AH752" i="5"/>
  <c r="Y753" i="5"/>
  <c r="AH753" i="5"/>
  <c r="Y754" i="5"/>
  <c r="AH754" i="5"/>
  <c r="Y755" i="5"/>
  <c r="AH755" i="5"/>
  <c r="Y756" i="5"/>
  <c r="AH756" i="5"/>
  <c r="Y757" i="5"/>
  <c r="AH757" i="5"/>
  <c r="Y758" i="5"/>
  <c r="AH758" i="5"/>
  <c r="Y759" i="5"/>
  <c r="AH759" i="5"/>
  <c r="Y760" i="5"/>
  <c r="AH760" i="5"/>
  <c r="Y761" i="5"/>
  <c r="AH761" i="5"/>
  <c r="Y762" i="5"/>
  <c r="AH762" i="5"/>
  <c r="Y763" i="5"/>
  <c r="AH763" i="5"/>
  <c r="Y764" i="5"/>
  <c r="AH764" i="5"/>
  <c r="Y765" i="5"/>
  <c r="AH765" i="5"/>
  <c r="Y766" i="5"/>
  <c r="AH766" i="5"/>
  <c r="Y767" i="5"/>
  <c r="AH767" i="5"/>
  <c r="Y768" i="5"/>
  <c r="AH768" i="5"/>
  <c r="Y769" i="5"/>
  <c r="AH769" i="5"/>
  <c r="Y770" i="5"/>
  <c r="AH770" i="5"/>
  <c r="Y771" i="5"/>
  <c r="AH771" i="5"/>
  <c r="Y772" i="5"/>
  <c r="AH772" i="5"/>
  <c r="Y773" i="5"/>
  <c r="AH773" i="5"/>
  <c r="Y774" i="5"/>
  <c r="AH774" i="5"/>
  <c r="Y775" i="5"/>
  <c r="AH775" i="5"/>
  <c r="Y776" i="5"/>
  <c r="AH776" i="5"/>
  <c r="Y777" i="5"/>
  <c r="AH777" i="5"/>
  <c r="Y778" i="5"/>
  <c r="AH778" i="5"/>
  <c r="Y779" i="5"/>
  <c r="AH779" i="5"/>
  <c r="Y780" i="5"/>
  <c r="AH780" i="5"/>
  <c r="Y781" i="5"/>
  <c r="AH781" i="5"/>
  <c r="Y782" i="5"/>
  <c r="AH782" i="5"/>
  <c r="Y783" i="5"/>
  <c r="AH783" i="5"/>
  <c r="Y784" i="5"/>
  <c r="AH784" i="5"/>
  <c r="Y785" i="5"/>
  <c r="AH785" i="5"/>
  <c r="Y786" i="5"/>
  <c r="AH786" i="5"/>
  <c r="Y787" i="5"/>
  <c r="AH787" i="5"/>
  <c r="Y788" i="5"/>
  <c r="AH788" i="5"/>
  <c r="Y789" i="5"/>
  <c r="AH789" i="5"/>
  <c r="Y790" i="5"/>
  <c r="AH790" i="5"/>
  <c r="Y791" i="5"/>
  <c r="AH791" i="5"/>
  <c r="Y792" i="5"/>
  <c r="AH792" i="5"/>
  <c r="Y793" i="5"/>
  <c r="AH793" i="5"/>
  <c r="Y794" i="5"/>
  <c r="AH794" i="5"/>
  <c r="Y795" i="5"/>
  <c r="AH795" i="5"/>
  <c r="Y796" i="5"/>
  <c r="AH796" i="5"/>
  <c r="Y797" i="5"/>
  <c r="AH797" i="5"/>
  <c r="Y798" i="5"/>
  <c r="AH798" i="5"/>
  <c r="Y799" i="5"/>
  <c r="AH799" i="5"/>
  <c r="Y800" i="5"/>
  <c r="AH800" i="5"/>
  <c r="Y801" i="5"/>
  <c r="AH801" i="5"/>
  <c r="Y802" i="5"/>
  <c r="AH802" i="5"/>
  <c r="Y803" i="5"/>
  <c r="AH803" i="5"/>
  <c r="Y804" i="5"/>
  <c r="AH804" i="5"/>
  <c r="Y805" i="5"/>
  <c r="AH805" i="5"/>
  <c r="Y806" i="5"/>
  <c r="AH806" i="5"/>
  <c r="Y807" i="5"/>
  <c r="AH807" i="5"/>
  <c r="Y808" i="5"/>
  <c r="AH808" i="5"/>
  <c r="Y809" i="5"/>
  <c r="AH809" i="5"/>
  <c r="Y810" i="5"/>
  <c r="AH810" i="5"/>
  <c r="Y811" i="5"/>
  <c r="AH811" i="5"/>
  <c r="Y812" i="5"/>
  <c r="AH812" i="5"/>
  <c r="Y813" i="5"/>
  <c r="AH813" i="5"/>
  <c r="Y814" i="5"/>
  <c r="AH814" i="5"/>
  <c r="Y815" i="5"/>
  <c r="AH815" i="5"/>
  <c r="Y816" i="5"/>
  <c r="AH816" i="5"/>
  <c r="Y817" i="5"/>
  <c r="AH817" i="5"/>
  <c r="Y818" i="5"/>
  <c r="AH818" i="5"/>
  <c r="Y819" i="5"/>
  <c r="AH819" i="5"/>
  <c r="Y820" i="5"/>
  <c r="AH820" i="5"/>
  <c r="Y821" i="5"/>
  <c r="AH821" i="5"/>
  <c r="Y822" i="5"/>
  <c r="AH822" i="5"/>
  <c r="Y823" i="5"/>
  <c r="AH823" i="5"/>
  <c r="Y824" i="5"/>
  <c r="AH824" i="5"/>
  <c r="Y825" i="5"/>
  <c r="AH825" i="5"/>
  <c r="Y826" i="5"/>
  <c r="AH826" i="5"/>
  <c r="Y827" i="5"/>
  <c r="AH827" i="5"/>
  <c r="Y828" i="5"/>
  <c r="AH828" i="5"/>
  <c r="Y829" i="5"/>
  <c r="AH829" i="5"/>
  <c r="Y830" i="5"/>
  <c r="AH830" i="5"/>
  <c r="Y831" i="5"/>
  <c r="AH831" i="5"/>
  <c r="Y832" i="5"/>
  <c r="AH832" i="5"/>
  <c r="Y833" i="5"/>
  <c r="AH833" i="5"/>
  <c r="Y834" i="5"/>
  <c r="AH834" i="5"/>
  <c r="Y835" i="5"/>
  <c r="AH835" i="5"/>
  <c r="Y836" i="5"/>
  <c r="AH836" i="5"/>
  <c r="Y837" i="5"/>
  <c r="AH837" i="5"/>
  <c r="Y838" i="5"/>
  <c r="AH838" i="5"/>
  <c r="Y839" i="5"/>
  <c r="AH839" i="5"/>
  <c r="Y840" i="5"/>
  <c r="AH840" i="5"/>
  <c r="Y841" i="5"/>
  <c r="AH841" i="5"/>
  <c r="Y842" i="5"/>
  <c r="AH842" i="5"/>
  <c r="Y843" i="5"/>
  <c r="AH843" i="5"/>
  <c r="Y844" i="5"/>
  <c r="AH844" i="5"/>
  <c r="Y845" i="5"/>
  <c r="AH845" i="5"/>
  <c r="Y846" i="5"/>
  <c r="AH846" i="5"/>
  <c r="Y847" i="5"/>
  <c r="AH847" i="5"/>
  <c r="Y848" i="5"/>
  <c r="AH848" i="5"/>
  <c r="Y849" i="5"/>
  <c r="AH849" i="5"/>
  <c r="Y850" i="5"/>
  <c r="AH850" i="5"/>
  <c r="Y851" i="5"/>
  <c r="AH851" i="5"/>
  <c r="Y852" i="5"/>
  <c r="AH852" i="5"/>
  <c r="Y853" i="5"/>
  <c r="AH853" i="5"/>
  <c r="Y854" i="5"/>
  <c r="AH854" i="5"/>
  <c r="Y855" i="5"/>
  <c r="AH855" i="5"/>
  <c r="Y856" i="5"/>
  <c r="AH856" i="5"/>
  <c r="AF532" i="5"/>
  <c r="E1632" i="2"/>
  <c r="AF531" i="5"/>
  <c r="AH531" i="5"/>
  <c r="BQ80" i="1"/>
  <c r="E1633" i="2"/>
  <c r="E1634" i="2"/>
  <c r="AG530" i="5"/>
  <c r="AG529" i="5"/>
  <c r="AH529" i="5"/>
  <c r="AF528" i="5"/>
  <c r="AH528" i="5"/>
  <c r="AG527" i="5"/>
  <c r="AF527" i="5"/>
  <c r="BR58" i="1"/>
  <c r="E53" i="15" s="1"/>
  <c r="AD533" i="5"/>
  <c r="AG526" i="5"/>
  <c r="AF526" i="5"/>
  <c r="AG525" i="5"/>
  <c r="AF525" i="5"/>
  <c r="AH525" i="5"/>
  <c r="AG524" i="5"/>
  <c r="AF524" i="5"/>
  <c r="AW5" i="5"/>
  <c r="AD526" i="5"/>
  <c r="BS61" i="1"/>
  <c r="E15" i="1"/>
  <c r="F17" i="1"/>
  <c r="G20" i="1"/>
  <c r="O20" i="1" s="1"/>
  <c r="G19" i="1"/>
  <c r="O19" i="1" s="1"/>
  <c r="G17" i="1"/>
  <c r="BV25" i="1"/>
  <c r="BU25" i="1"/>
  <c r="BT25" i="1"/>
  <c r="BS25" i="1"/>
  <c r="E1635" i="2"/>
  <c r="AN9" i="11"/>
  <c r="AN40" i="11" s="1"/>
  <c r="AL36" i="11"/>
  <c r="F176" i="6"/>
  <c r="G176" i="6" s="1"/>
  <c r="BR25" i="1"/>
  <c r="G25" i="1" s="1"/>
  <c r="O25" i="1" s="1"/>
  <c r="I174" i="12"/>
  <c r="L70" i="5"/>
  <c r="U70" i="5" s="1"/>
  <c r="L69" i="5"/>
  <c r="U69" i="5"/>
  <c r="L68" i="5"/>
  <c r="U68" i="5"/>
  <c r="L67" i="5"/>
  <c r="U67" i="5"/>
  <c r="L66" i="5"/>
  <c r="U66" i="5"/>
  <c r="L65" i="5"/>
  <c r="U65" i="5" s="1"/>
  <c r="AG523" i="5"/>
  <c r="AH523" i="5"/>
  <c r="AJ529" i="5"/>
  <c r="AG522" i="5"/>
  <c r="AG521" i="5"/>
  <c r="AG520" i="5"/>
  <c r="AH520" i="5"/>
  <c r="AG519" i="5"/>
  <c r="AH519" i="5"/>
  <c r="AG518" i="5"/>
  <c r="AG517" i="5"/>
  <c r="AG516" i="5"/>
  <c r="AH516" i="5"/>
  <c r="AG515" i="5"/>
  <c r="AG514" i="5"/>
  <c r="AG513" i="5"/>
  <c r="AD521" i="5"/>
  <c r="AD515" i="5"/>
  <c r="AP543" i="5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AG512" i="5"/>
  <c r="AG511" i="5"/>
  <c r="AG510" i="5"/>
  <c r="AH510" i="5"/>
  <c r="AG509" i="5"/>
  <c r="AH509" i="5"/>
  <c r="AG508" i="5"/>
  <c r="AD509" i="5"/>
  <c r="AP512" i="5"/>
  <c r="BR61" i="1"/>
  <c r="BR60" i="1"/>
  <c r="E1649" i="2"/>
  <c r="E1650" i="2"/>
  <c r="E1651" i="2"/>
  <c r="AG507" i="5"/>
  <c r="AG506" i="5"/>
  <c r="AF506" i="5"/>
  <c r="AG505" i="5"/>
  <c r="AF505" i="5"/>
  <c r="AH505" i="5"/>
  <c r="AG504" i="5"/>
  <c r="AH504" i="5"/>
  <c r="AF504" i="5"/>
  <c r="AG503" i="5"/>
  <c r="AF503" i="5"/>
  <c r="E1653" i="2"/>
  <c r="E1652" i="2"/>
  <c r="E1654" i="2"/>
  <c r="E1656" i="2"/>
  <c r="BR59" i="1"/>
  <c r="F52" i="15" s="1"/>
  <c r="E1655" i="2"/>
  <c r="E1657" i="2"/>
  <c r="E1658" i="2"/>
  <c r="E1659" i="2"/>
  <c r="E1674" i="2"/>
  <c r="E1660" i="2"/>
  <c r="E1661" i="2"/>
  <c r="AG502" i="5"/>
  <c r="AG501" i="5"/>
  <c r="AH501" i="5"/>
  <c r="AG500" i="5"/>
  <c r="AH500" i="5"/>
  <c r="AF500" i="5"/>
  <c r="AG499" i="5"/>
  <c r="AF499" i="5"/>
  <c r="AG498" i="5"/>
  <c r="AF498" i="5"/>
  <c r="AG497" i="5"/>
  <c r="AH497" i="5"/>
  <c r="AF497" i="5"/>
  <c r="E1665" i="2"/>
  <c r="E1664" i="2"/>
  <c r="E1663" i="2"/>
  <c r="E1666" i="2"/>
  <c r="E1667" i="2"/>
  <c r="E1662" i="2"/>
  <c r="E185" i="6"/>
  <c r="F185" i="6"/>
  <c r="E1668" i="2"/>
  <c r="E1669" i="2"/>
  <c r="E1670" i="2"/>
  <c r="E1671" i="2"/>
  <c r="E1672" i="2"/>
  <c r="E1673" i="2"/>
  <c r="AG492" i="5"/>
  <c r="AF492" i="5"/>
  <c r="AG491" i="5"/>
  <c r="AF491" i="5"/>
  <c r="AG490" i="5"/>
  <c r="AF490" i="5"/>
  <c r="AH490" i="5"/>
  <c r="AG489" i="5"/>
  <c r="AF489" i="5"/>
  <c r="AD496" i="5"/>
  <c r="E1675" i="2"/>
  <c r="E1676" i="2"/>
  <c r="E1677" i="2"/>
  <c r="E1678" i="2"/>
  <c r="E1679" i="2"/>
  <c r="E1680" i="2"/>
  <c r="I177" i="12"/>
  <c r="E1681" i="2"/>
  <c r="AV31" i="11"/>
  <c r="AG488" i="5"/>
  <c r="AG487" i="5"/>
  <c r="AG486" i="5"/>
  <c r="AF486" i="5"/>
  <c r="AH486" i="5"/>
  <c r="E1682" i="2"/>
  <c r="E1683" i="2"/>
  <c r="E1684" i="2"/>
  <c r="E1685" i="2"/>
  <c r="E1686" i="2"/>
  <c r="AD505" i="5"/>
  <c r="BP21" i="1"/>
  <c r="E1687" i="2"/>
  <c r="E1688" i="2"/>
  <c r="E1689" i="2"/>
  <c r="E1690" i="2"/>
  <c r="E1691" i="2"/>
  <c r="E1692" i="2"/>
  <c r="E1696" i="2"/>
  <c r="E1697" i="2"/>
  <c r="BQ59" i="1"/>
  <c r="F51" i="15" s="1"/>
  <c r="BQ58" i="1"/>
  <c r="E52" i="15" s="1"/>
  <c r="E1693" i="2"/>
  <c r="E1694" i="2"/>
  <c r="E1695" i="2"/>
  <c r="E1698" i="2"/>
  <c r="AG485" i="5"/>
  <c r="AG479" i="5"/>
  <c r="AF479" i="5"/>
  <c r="AH479" i="5"/>
  <c r="AG480" i="5"/>
  <c r="AH480" i="5"/>
  <c r="AG481" i="5"/>
  <c r="AG482" i="5"/>
  <c r="AF482" i="5"/>
  <c r="AD486" i="5"/>
  <c r="BQ61" i="1"/>
  <c r="BQ60" i="1"/>
  <c r="L57" i="5" s="1"/>
  <c r="U57" i="5" s="1"/>
  <c r="AG478" i="5"/>
  <c r="AF478" i="5"/>
  <c r="AV17" i="11"/>
  <c r="E1699" i="2"/>
  <c r="E1700" i="2"/>
  <c r="E1701" i="2"/>
  <c r="E1702" i="2"/>
  <c r="E1703" i="2"/>
  <c r="AG477" i="5"/>
  <c r="AF477" i="5"/>
  <c r="AF476" i="5"/>
  <c r="E1704" i="2"/>
  <c r="AD478" i="5"/>
  <c r="AG475" i="5"/>
  <c r="AF475" i="5"/>
  <c r="E1705" i="2"/>
  <c r="E1706" i="2"/>
  <c r="AG474" i="5"/>
  <c r="AH474" i="5"/>
  <c r="AG473" i="5"/>
  <c r="AG472" i="5"/>
  <c r="AF472" i="5"/>
  <c r="E1707" i="2"/>
  <c r="E1723" i="2"/>
  <c r="E1724" i="2"/>
  <c r="E1725" i="2"/>
  <c r="E1715" i="2"/>
  <c r="E1717" i="2"/>
  <c r="E1708" i="2"/>
  <c r="E1709" i="2"/>
  <c r="E1710" i="2"/>
  <c r="E1711" i="2"/>
  <c r="E1712" i="2"/>
  <c r="E1713" i="2"/>
  <c r="E1714" i="2"/>
  <c r="AD474" i="5"/>
  <c r="AG471" i="5"/>
  <c r="AF471" i="5"/>
  <c r="AH471" i="5"/>
  <c r="AG470" i="5"/>
  <c r="AF470" i="5"/>
  <c r="AG469" i="5"/>
  <c r="AF469" i="5"/>
  <c r="BA31" i="11"/>
  <c r="BB63" i="11"/>
  <c r="AX63" i="11"/>
  <c r="AV63" i="11"/>
  <c r="AV60" i="11"/>
  <c r="AG468" i="5"/>
  <c r="AH468" i="5"/>
  <c r="AJ473" i="5"/>
  <c r="AF468" i="5"/>
  <c r="AD469" i="5"/>
  <c r="AG467" i="5"/>
  <c r="AG466" i="5"/>
  <c r="AF466" i="5"/>
  <c r="AG465" i="5"/>
  <c r="AF465" i="5"/>
  <c r="E1716" i="2"/>
  <c r="E1718" i="2"/>
  <c r="E1719" i="2"/>
  <c r="E1720" i="2"/>
  <c r="E1721" i="2"/>
  <c r="E1722" i="2"/>
  <c r="F1722" i="2" s="1"/>
  <c r="AT9" i="11"/>
  <c r="AT40" i="11" s="1"/>
  <c r="AQ36" i="11"/>
  <c r="AV19" i="11"/>
  <c r="AV20" i="11" s="1"/>
  <c r="AF464" i="5"/>
  <c r="E1729" i="2"/>
  <c r="E1728" i="2"/>
  <c r="E1727" i="2"/>
  <c r="E1726" i="2"/>
  <c r="G92" i="5"/>
  <c r="D29" i="5"/>
  <c r="D57" i="5"/>
  <c r="AG463" i="5"/>
  <c r="AF463" i="5"/>
  <c r="H180" i="6"/>
  <c r="E1730" i="2"/>
  <c r="E1732" i="2"/>
  <c r="E1731" i="2"/>
  <c r="E1733" i="2"/>
  <c r="E1734" i="2"/>
  <c r="E1735" i="2"/>
  <c r="BU77" i="1"/>
  <c r="BS77" i="1"/>
  <c r="AG462" i="5"/>
  <c r="AF462" i="5"/>
  <c r="AG454" i="5"/>
  <c r="AG461" i="5"/>
  <c r="AF461" i="5"/>
  <c r="AH461" i="5"/>
  <c r="AJ466" i="5"/>
  <c r="AX17" i="11"/>
  <c r="BS22" i="1"/>
  <c r="AG460" i="5"/>
  <c r="AG459" i="5"/>
  <c r="AG458" i="5"/>
  <c r="AF458" i="5"/>
  <c r="E1736" i="2"/>
  <c r="E1737" i="2"/>
  <c r="E1738" i="2"/>
  <c r="AD461" i="5"/>
  <c r="AG457" i="5"/>
  <c r="AF457" i="5"/>
  <c r="AH457" i="5"/>
  <c r="AG456" i="5"/>
  <c r="AG455" i="5"/>
  <c r="AF455" i="5"/>
  <c r="E1739" i="2"/>
  <c r="E1740" i="2"/>
  <c r="E1743" i="2"/>
  <c r="E1741" i="2"/>
  <c r="E1742" i="2"/>
  <c r="AU31" i="11"/>
  <c r="AT31" i="11"/>
  <c r="AD454" i="5"/>
  <c r="AP482" i="5"/>
  <c r="AF454" i="5"/>
  <c r="E1745" i="2"/>
  <c r="E1744" i="2"/>
  <c r="E1746" i="2"/>
  <c r="E1747" i="2"/>
  <c r="E1748" i="2"/>
  <c r="E1749" i="2"/>
  <c r="E1750" i="2"/>
  <c r="AG453" i="5"/>
  <c r="AH453" i="5"/>
  <c r="AG452" i="5"/>
  <c r="AH452" i="5"/>
  <c r="AG451" i="5"/>
  <c r="AH451" i="5"/>
  <c r="AF451" i="5"/>
  <c r="AG450" i="5"/>
  <c r="AF450" i="5"/>
  <c r="AG449" i="5"/>
  <c r="AF449" i="5"/>
  <c r="AG448" i="5"/>
  <c r="AF448" i="5"/>
  <c r="AH448" i="5"/>
  <c r="AG447" i="5"/>
  <c r="AH447" i="5"/>
  <c r="AF447" i="5"/>
  <c r="AC452" i="5"/>
  <c r="AD452" i="5"/>
  <c r="E1751" i="2"/>
  <c r="E1752" i="2"/>
  <c r="E1753" i="2"/>
  <c r="E1754" i="2"/>
  <c r="E1755" i="2"/>
  <c r="E1756" i="2"/>
  <c r="M14" i="5"/>
  <c r="K11" i="5"/>
  <c r="K14" i="5"/>
  <c r="K13" i="5"/>
  <c r="I13" i="5"/>
  <c r="I12" i="5"/>
  <c r="G15" i="1"/>
  <c r="P13" i="19"/>
  <c r="P12" i="19"/>
  <c r="E11" i="41" s="1"/>
  <c r="P11" i="19"/>
  <c r="E7" i="41" s="1"/>
  <c r="P10" i="19"/>
  <c r="E6" i="41" s="1"/>
  <c r="P9" i="19"/>
  <c r="P8" i="19"/>
  <c r="P7" i="19"/>
  <c r="E4" i="41" s="1"/>
  <c r="P6" i="19"/>
  <c r="P5" i="19"/>
  <c r="O13" i="19"/>
  <c r="O12" i="19"/>
  <c r="D11" i="41" s="1"/>
  <c r="O11" i="19"/>
  <c r="O10" i="19"/>
  <c r="D6" i="41" s="1"/>
  <c r="O9" i="19"/>
  <c r="O8" i="19"/>
  <c r="O7" i="19"/>
  <c r="D4" i="41" s="1"/>
  <c r="O6" i="19"/>
  <c r="O5" i="19"/>
  <c r="N13" i="19"/>
  <c r="N12" i="19"/>
  <c r="C11" i="41" s="1"/>
  <c r="N11" i="19"/>
  <c r="N10" i="19"/>
  <c r="C6" i="41" s="1"/>
  <c r="N9" i="19"/>
  <c r="N8" i="19"/>
  <c r="N7" i="19"/>
  <c r="C4" i="41" s="1"/>
  <c r="N6" i="19"/>
  <c r="N5" i="19"/>
  <c r="C3" i="41" s="1"/>
  <c r="M13" i="19"/>
  <c r="M12" i="19"/>
  <c r="M11" i="19"/>
  <c r="B7" i="41" s="1"/>
  <c r="M10" i="19"/>
  <c r="M9" i="19"/>
  <c r="M8" i="19"/>
  <c r="M7" i="19"/>
  <c r="M6" i="19"/>
  <c r="M5" i="19"/>
  <c r="L6" i="19"/>
  <c r="L7" i="19"/>
  <c r="L8" i="19"/>
  <c r="L9" i="19"/>
  <c r="L10" i="19"/>
  <c r="L11" i="19"/>
  <c r="L12" i="19"/>
  <c r="L13" i="19"/>
  <c r="L5" i="19"/>
  <c r="BN80" i="1"/>
  <c r="E1757" i="2"/>
  <c r="E1758" i="2"/>
  <c r="E1761" i="2"/>
  <c r="E1760" i="2"/>
  <c r="E1759" i="2"/>
  <c r="E1762" i="2"/>
  <c r="BP61" i="1"/>
  <c r="BP60" i="1"/>
  <c r="L56" i="5" s="1"/>
  <c r="U56" i="5" s="1"/>
  <c r="N43" i="1"/>
  <c r="E11" i="40" s="1"/>
  <c r="AD448" i="5"/>
  <c r="AG445" i="5"/>
  <c r="AH445" i="5"/>
  <c r="AG446" i="5"/>
  <c r="AF444" i="5"/>
  <c r="AF443" i="5"/>
  <c r="E1763" i="2"/>
  <c r="E1766" i="2"/>
  <c r="E1764" i="2"/>
  <c r="E1765" i="2"/>
  <c r="AD445" i="5"/>
  <c r="AW445" i="5"/>
  <c r="BA445" i="5"/>
  <c r="AG442" i="5"/>
  <c r="AF442" i="5"/>
  <c r="AH442" i="5"/>
  <c r="AF441" i="5"/>
  <c r="AH441" i="5"/>
  <c r="E1780" i="2"/>
  <c r="AG440" i="5"/>
  <c r="AF440" i="5"/>
  <c r="AG439" i="5"/>
  <c r="AH439" i="5"/>
  <c r="AG438" i="5"/>
  <c r="AF437" i="5"/>
  <c r="AF436" i="5"/>
  <c r="E1767" i="2"/>
  <c r="E1768" i="2"/>
  <c r="E1769" i="2"/>
  <c r="E1770" i="2"/>
  <c r="E1771" i="2"/>
  <c r="BP59" i="1"/>
  <c r="F50" i="15" s="1"/>
  <c r="BP58" i="1"/>
  <c r="E51" i="15" s="1"/>
  <c r="AG435" i="5"/>
  <c r="AF435" i="5"/>
  <c r="F178" i="6"/>
  <c r="E178" i="6"/>
  <c r="G178" i="6" s="1"/>
  <c r="F177" i="6"/>
  <c r="E177" i="6"/>
  <c r="G177" i="6" s="1"/>
  <c r="F175" i="6"/>
  <c r="E175" i="6"/>
  <c r="F174" i="6"/>
  <c r="G174" i="6" s="1"/>
  <c r="E174" i="6"/>
  <c r="F173" i="6"/>
  <c r="E173" i="6"/>
  <c r="G173" i="6" s="1"/>
  <c r="F172" i="6"/>
  <c r="E172" i="6"/>
  <c r="F171" i="6"/>
  <c r="E171" i="6"/>
  <c r="F169" i="6"/>
  <c r="G169" i="6" s="1"/>
  <c r="F168" i="6"/>
  <c r="G168" i="6" s="1"/>
  <c r="F166" i="6"/>
  <c r="G166" i="6" s="1"/>
  <c r="F165" i="6"/>
  <c r="G165" i="6" s="1"/>
  <c r="F164" i="6"/>
  <c r="G164" i="6" s="1"/>
  <c r="F163" i="6"/>
  <c r="E163" i="6"/>
  <c r="F162" i="6"/>
  <c r="E162" i="6"/>
  <c r="F161" i="6"/>
  <c r="E161" i="6"/>
  <c r="F160" i="6"/>
  <c r="E160" i="6"/>
  <c r="G160" i="6" s="1"/>
  <c r="F159" i="6"/>
  <c r="E159" i="6"/>
  <c r="G159" i="6" s="1"/>
  <c r="F158" i="6"/>
  <c r="G158" i="6" s="1"/>
  <c r="E158" i="6"/>
  <c r="F157" i="6"/>
  <c r="E157" i="6"/>
  <c r="F156" i="6"/>
  <c r="E156" i="6"/>
  <c r="G156" i="6" s="1"/>
  <c r="F155" i="6"/>
  <c r="E155" i="6"/>
  <c r="F154" i="6"/>
  <c r="E154" i="6"/>
  <c r="F153" i="6"/>
  <c r="E153" i="6"/>
  <c r="G153" i="6" s="1"/>
  <c r="F152" i="6"/>
  <c r="E152" i="6"/>
  <c r="G152" i="6" s="1"/>
  <c r="F151" i="6"/>
  <c r="G151" i="6" s="1"/>
  <c r="E151" i="6"/>
  <c r="F150" i="6"/>
  <c r="E150" i="6"/>
  <c r="F149" i="6"/>
  <c r="E149" i="6"/>
  <c r="G149" i="6" s="1"/>
  <c r="F148" i="6"/>
  <c r="E148" i="6"/>
  <c r="F147" i="6"/>
  <c r="E147" i="6"/>
  <c r="F146" i="6"/>
  <c r="E146" i="6"/>
  <c r="G146" i="6" s="1"/>
  <c r="F145" i="6"/>
  <c r="E145" i="6"/>
  <c r="G145" i="6" s="1"/>
  <c r="F144" i="6"/>
  <c r="E144" i="6"/>
  <c r="F143" i="6"/>
  <c r="E143" i="6"/>
  <c r="F142" i="6"/>
  <c r="E142" i="6"/>
  <c r="G142" i="6" s="1"/>
  <c r="F141" i="6"/>
  <c r="E141" i="6"/>
  <c r="F140" i="6"/>
  <c r="E140" i="6"/>
  <c r="F138" i="6"/>
  <c r="E138" i="6"/>
  <c r="G138" i="6" s="1"/>
  <c r="F137" i="6"/>
  <c r="E137" i="6"/>
  <c r="G137" i="6" s="1"/>
  <c r="F136" i="6"/>
  <c r="G136" i="6" s="1"/>
  <c r="E136" i="6"/>
  <c r="F135" i="6"/>
  <c r="E135" i="6"/>
  <c r="G135" i="6" s="1"/>
  <c r="F134" i="6"/>
  <c r="E134" i="6"/>
  <c r="F133" i="6"/>
  <c r="E133" i="6"/>
  <c r="F132" i="6"/>
  <c r="E132" i="6"/>
  <c r="F131" i="6"/>
  <c r="E131" i="6"/>
  <c r="G131" i="6" s="1"/>
  <c r="F130" i="6"/>
  <c r="E130" i="6"/>
  <c r="G130" i="6" s="1"/>
  <c r="F129" i="6"/>
  <c r="E129" i="6"/>
  <c r="F128" i="6"/>
  <c r="E128" i="6"/>
  <c r="F127" i="6"/>
  <c r="E127" i="6"/>
  <c r="F126" i="6"/>
  <c r="E126" i="6"/>
  <c r="F125" i="6"/>
  <c r="E125" i="6"/>
  <c r="F124" i="6"/>
  <c r="E124" i="6"/>
  <c r="F123" i="6"/>
  <c r="E123" i="6"/>
  <c r="G123" i="6" s="1"/>
  <c r="F122" i="6"/>
  <c r="E122" i="6"/>
  <c r="G122" i="6" s="1"/>
  <c r="F121" i="6"/>
  <c r="E121" i="6"/>
  <c r="F120" i="6"/>
  <c r="G120" i="6" s="1"/>
  <c r="E120" i="6"/>
  <c r="F119" i="6"/>
  <c r="G119" i="6" s="1"/>
  <c r="E119" i="6"/>
  <c r="F118" i="6"/>
  <c r="E118" i="6"/>
  <c r="G118" i="6" s="1"/>
  <c r="F117" i="6"/>
  <c r="E117" i="6"/>
  <c r="F116" i="6"/>
  <c r="E116" i="6"/>
  <c r="G116" i="6" s="1"/>
  <c r="F115" i="6"/>
  <c r="E115" i="6"/>
  <c r="F114" i="6"/>
  <c r="E114" i="6"/>
  <c r="F112" i="6"/>
  <c r="E112" i="6"/>
  <c r="F111" i="6"/>
  <c r="E111" i="6"/>
  <c r="AF434" i="5"/>
  <c r="AH434" i="5"/>
  <c r="AG433" i="5"/>
  <c r="AF433" i="5"/>
  <c r="AG432" i="5"/>
  <c r="AF430" i="5"/>
  <c r="AH430" i="5"/>
  <c r="AG431" i="5"/>
  <c r="AH431" i="5"/>
  <c r="AG430" i="5"/>
  <c r="E1772" i="2"/>
  <c r="E1773" i="2"/>
  <c r="E1774" i="2"/>
  <c r="E1775" i="2"/>
  <c r="AG429" i="5"/>
  <c r="AF429" i="5"/>
  <c r="AG428" i="5"/>
  <c r="AH428" i="5"/>
  <c r="AG427" i="5"/>
  <c r="AH427" i="5"/>
  <c r="E1776" i="2"/>
  <c r="E1777" i="2"/>
  <c r="E1778" i="2"/>
  <c r="E1779" i="2"/>
  <c r="AG426" i="5"/>
  <c r="AF426" i="5"/>
  <c r="AF428" i="5"/>
  <c r="AF427" i="5"/>
  <c r="AG425" i="5"/>
  <c r="AH425" i="5"/>
  <c r="AG424" i="5"/>
  <c r="AH424" i="5"/>
  <c r="AG423" i="5"/>
  <c r="AF423" i="5"/>
  <c r="AF422" i="5"/>
  <c r="E1781" i="2"/>
  <c r="E1782" i="2"/>
  <c r="E1783" i="2"/>
  <c r="E1784" i="2"/>
  <c r="E1785" i="2"/>
  <c r="E1786" i="2"/>
  <c r="E1787" i="2"/>
  <c r="E1788" i="2"/>
  <c r="AG421" i="5"/>
  <c r="AH421" i="5"/>
  <c r="AF421" i="5"/>
  <c r="AF420" i="5"/>
  <c r="AF419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AD433" i="5"/>
  <c r="AW433" i="5"/>
  <c r="AZ433" i="5"/>
  <c r="AZ434" i="5"/>
  <c r="AF241" i="5"/>
  <c r="AC422" i="5"/>
  <c r="AD422" i="5"/>
  <c r="AP451" i="5"/>
  <c r="AG419" i="5"/>
  <c r="AH419" i="5"/>
  <c r="AG412" i="5"/>
  <c r="AF412" i="5"/>
  <c r="AG418" i="5"/>
  <c r="AH418" i="5"/>
  <c r="AG417" i="5"/>
  <c r="AG416" i="5"/>
  <c r="AF416" i="5"/>
  <c r="BO59" i="1"/>
  <c r="F49" i="15" s="1"/>
  <c r="BO58" i="1"/>
  <c r="E50" i="15" s="1"/>
  <c r="AF415" i="5"/>
  <c r="AG414" i="5"/>
  <c r="AF414" i="5"/>
  <c r="E1789" i="2"/>
  <c r="E1790" i="2"/>
  <c r="E1791" i="2"/>
  <c r="E1792" i="2"/>
  <c r="E1793" i="2"/>
  <c r="E1794" i="2"/>
  <c r="E1795" i="2"/>
  <c r="E1796" i="2"/>
  <c r="AT19" i="11"/>
  <c r="AT17" i="11"/>
  <c r="AF413" i="5"/>
  <c r="E1819" i="2"/>
  <c r="BO60" i="1"/>
  <c r="L55" i="5"/>
  <c r="U55" i="5"/>
  <c r="E1803" i="2"/>
  <c r="E1797" i="2"/>
  <c r="E1798" i="2"/>
  <c r="E1799" i="2"/>
  <c r="AG411" i="5"/>
  <c r="AH411" i="5"/>
  <c r="AG410" i="5"/>
  <c r="AH410" i="5"/>
  <c r="AG409" i="5"/>
  <c r="AF409" i="5"/>
  <c r="AF401" i="5"/>
  <c r="AG401" i="5"/>
  <c r="AF408" i="5"/>
  <c r="AG407" i="5"/>
  <c r="AF407" i="5"/>
  <c r="AH407" i="5"/>
  <c r="AG406" i="5"/>
  <c r="AF406" i="5"/>
  <c r="AH406" i="5"/>
  <c r="AR19" i="11"/>
  <c r="AP9" i="11"/>
  <c r="E1800" i="2"/>
  <c r="E1801" i="2"/>
  <c r="E1802" i="2"/>
  <c r="BM21" i="1"/>
  <c r="AD412" i="5"/>
  <c r="AG405" i="5"/>
  <c r="AF405" i="5"/>
  <c r="F19" i="1"/>
  <c r="N19" i="1" s="1"/>
  <c r="D16" i="1"/>
  <c r="L16" i="1" s="1"/>
  <c r="AG404" i="5"/>
  <c r="AH404" i="5"/>
  <c r="AG403" i="5"/>
  <c r="AG402" i="5"/>
  <c r="AF402" i="5"/>
  <c r="E1806" i="2"/>
  <c r="E1804" i="2"/>
  <c r="AT63" i="11"/>
  <c r="AT60" i="11"/>
  <c r="AR60" i="11"/>
  <c r="E1805" i="2"/>
  <c r="AD401" i="5"/>
  <c r="AG400" i="5"/>
  <c r="AH400" i="5"/>
  <c r="AF400" i="5"/>
  <c r="E1807" i="2"/>
  <c r="E1808" i="2"/>
  <c r="E1809" i="2"/>
  <c r="E1810" i="2"/>
  <c r="E1811" i="2"/>
  <c r="E1812" i="2"/>
  <c r="E1813" i="2"/>
  <c r="E1814" i="2"/>
  <c r="AG399" i="5"/>
  <c r="AF399" i="5"/>
  <c r="AG398" i="5"/>
  <c r="AF398" i="5"/>
  <c r="E1815" i="2"/>
  <c r="E1816" i="2"/>
  <c r="E1817" i="2"/>
  <c r="AF392" i="5"/>
  <c r="AH392" i="5"/>
  <c r="AG392" i="5"/>
  <c r="AG397" i="5"/>
  <c r="AG396" i="5"/>
  <c r="AG395" i="5"/>
  <c r="AF395" i="5"/>
  <c r="AG394" i="5"/>
  <c r="AF394" i="5"/>
  <c r="AH394" i="5"/>
  <c r="AG393" i="5"/>
  <c r="AF393" i="5"/>
  <c r="AH393" i="5"/>
  <c r="E1853" i="2"/>
  <c r="BM59" i="1"/>
  <c r="F47" i="15"/>
  <c r="E1820" i="2"/>
  <c r="E1821" i="2"/>
  <c r="E1818" i="2"/>
  <c r="AS31" i="11"/>
  <c r="E1822" i="2"/>
  <c r="AG391" i="5"/>
  <c r="AF391" i="5"/>
  <c r="BN61" i="1"/>
  <c r="BN59" i="1"/>
  <c r="F48" i="15"/>
  <c r="BN58" i="1"/>
  <c r="E49" i="15" s="1"/>
  <c r="E1823" i="2"/>
  <c r="E1824" i="2"/>
  <c r="AD392" i="5"/>
  <c r="AG380" i="5"/>
  <c r="AG390" i="5"/>
  <c r="AG389" i="5"/>
  <c r="AH389" i="5"/>
  <c r="AG388" i="5"/>
  <c r="AF388" i="5"/>
  <c r="AG386" i="5"/>
  <c r="AF386" i="5"/>
  <c r="AG387" i="5"/>
  <c r="AF387" i="5"/>
  <c r="AD390" i="5"/>
  <c r="AP421" i="5"/>
  <c r="AN421" i="5"/>
  <c r="E1825" i="2"/>
  <c r="AF385" i="5"/>
  <c r="AH385" i="5"/>
  <c r="AG384" i="5"/>
  <c r="AH384" i="5"/>
  <c r="AG382" i="5"/>
  <c r="AH382" i="5"/>
  <c r="AG381" i="5"/>
  <c r="AH381" i="5"/>
  <c r="AG375" i="5"/>
  <c r="AH375" i="5"/>
  <c r="AG379" i="5"/>
  <c r="AH379" i="5"/>
  <c r="AG378" i="5"/>
  <c r="AH378" i="5"/>
  <c r="AG377" i="5"/>
  <c r="AH377" i="5"/>
  <c r="AG376" i="5"/>
  <c r="AH376" i="5"/>
  <c r="AG373" i="5"/>
  <c r="AH373" i="5"/>
  <c r="AG368" i="5"/>
  <c r="AH368" i="5"/>
  <c r="AD373" i="5"/>
  <c r="AG374" i="5"/>
  <c r="AH374" i="5"/>
  <c r="AG372" i="5"/>
  <c r="AH372" i="5"/>
  <c r="AC380" i="5"/>
  <c r="AD380" i="5"/>
  <c r="AD375" i="5"/>
  <c r="E1826" i="2"/>
  <c r="E1827" i="2"/>
  <c r="E1828" i="2"/>
  <c r="E1829" i="2"/>
  <c r="E1830" i="2"/>
  <c r="E1831" i="2"/>
  <c r="E1832" i="2"/>
  <c r="E1833" i="2"/>
  <c r="E1834" i="2"/>
  <c r="E1835" i="2"/>
  <c r="BN60" i="1"/>
  <c r="AG360" i="5"/>
  <c r="AG371" i="5"/>
  <c r="AH371" i="5"/>
  <c r="AG370" i="5"/>
  <c r="AH370" i="5"/>
  <c r="AG369" i="5"/>
  <c r="AH369" i="5"/>
  <c r="AG367" i="5"/>
  <c r="AH367" i="5"/>
  <c r="AG366" i="5"/>
  <c r="AF366" i="5"/>
  <c r="AD368" i="5"/>
  <c r="E1836" i="2"/>
  <c r="E1837" i="2"/>
  <c r="E1838" i="2"/>
  <c r="E1839" i="2"/>
  <c r="E1840" i="2"/>
  <c r="E1841" i="2"/>
  <c r="E1842" i="2"/>
  <c r="E1843" i="2"/>
  <c r="AG364" i="5"/>
  <c r="AF364" i="5"/>
  <c r="AH364" i="5"/>
  <c r="E1844" i="2"/>
  <c r="AG363" i="5"/>
  <c r="AF363" i="5"/>
  <c r="AG365" i="5"/>
  <c r="AG362" i="5"/>
  <c r="AH362" i="5"/>
  <c r="AG361" i="5"/>
  <c r="AH361" i="5"/>
  <c r="AF360" i="5"/>
  <c r="E1846" i="2"/>
  <c r="E1845" i="2"/>
  <c r="E1847" i="2"/>
  <c r="E1848" i="2"/>
  <c r="AF365" i="5"/>
  <c r="AG359" i="5"/>
  <c r="AF359" i="5"/>
  <c r="AH359" i="5"/>
  <c r="AF358" i="5"/>
  <c r="AH358" i="5"/>
  <c r="AG357" i="5"/>
  <c r="AF357" i="5"/>
  <c r="AG356" i="5"/>
  <c r="AF356" i="5"/>
  <c r="E1849" i="2"/>
  <c r="E1850" i="2"/>
  <c r="AG355" i="5"/>
  <c r="AH355" i="5"/>
  <c r="AG354" i="5"/>
  <c r="AH354" i="5"/>
  <c r="AG353" i="5"/>
  <c r="AF353" i="5"/>
  <c r="AG352" i="5"/>
  <c r="AF352" i="5"/>
  <c r="AG351" i="5"/>
  <c r="AF351" i="5"/>
  <c r="AF350" i="5"/>
  <c r="AH350" i="5"/>
  <c r="E1851" i="2"/>
  <c r="E1852" i="2"/>
  <c r="E1854" i="2"/>
  <c r="BM58" i="1"/>
  <c r="E48" i="15" s="1"/>
  <c r="E1855" i="2"/>
  <c r="AR9" i="11"/>
  <c r="AP17" i="11"/>
  <c r="AQ13" i="11" s="1"/>
  <c r="AR17" i="11"/>
  <c r="AG333" i="5"/>
  <c r="AH333" i="5"/>
  <c r="AG337" i="5"/>
  <c r="AF337" i="5"/>
  <c r="AS350" i="5"/>
  <c r="BM61" i="1"/>
  <c r="BM60" i="1"/>
  <c r="L53" i="5" s="1"/>
  <c r="U53" i="5" s="1"/>
  <c r="E1856" i="2"/>
  <c r="E1857" i="2"/>
  <c r="AG349" i="5"/>
  <c r="AF349" i="5"/>
  <c r="AQ31" i="11"/>
  <c r="BJ23" i="1"/>
  <c r="AG347" i="5"/>
  <c r="AG346" i="5"/>
  <c r="AF346" i="5"/>
  <c r="AG345" i="5"/>
  <c r="AF345" i="5"/>
  <c r="E1858" i="2"/>
  <c r="AG344" i="5"/>
  <c r="AF344" i="5"/>
  <c r="AG343" i="5"/>
  <c r="AF343" i="5"/>
  <c r="E1859" i="2"/>
  <c r="F1859" i="2" s="1"/>
  <c r="E1860" i="2"/>
  <c r="E1861" i="2"/>
  <c r="AG342" i="5"/>
  <c r="AF342" i="5"/>
  <c r="AH342" i="5"/>
  <c r="E1862" i="2"/>
  <c r="E1863" i="2"/>
  <c r="E1864" i="2"/>
  <c r="AG341" i="5"/>
  <c r="AH341" i="5"/>
  <c r="AG340" i="5"/>
  <c r="AH340" i="5"/>
  <c r="AG339" i="5"/>
  <c r="AF339" i="5"/>
  <c r="AH339" i="5"/>
  <c r="E1865" i="2"/>
  <c r="E1866" i="2"/>
  <c r="E1867" i="2"/>
  <c r="AD350" i="5"/>
  <c r="AG336" i="5"/>
  <c r="AF336" i="5"/>
  <c r="E1870" i="2"/>
  <c r="E1868" i="2"/>
  <c r="E1869" i="2"/>
  <c r="E1871" i="2"/>
  <c r="AG338" i="5"/>
  <c r="AH338" i="5"/>
  <c r="AG335" i="5"/>
  <c r="AF335" i="5"/>
  <c r="AG334" i="5"/>
  <c r="AH334" i="5"/>
  <c r="AG326" i="5"/>
  <c r="AH326" i="5"/>
  <c r="AG332" i="5"/>
  <c r="AH332" i="5"/>
  <c r="AF332" i="5"/>
  <c r="E1876" i="2"/>
  <c r="E1875" i="2"/>
  <c r="E1878" i="2"/>
  <c r="E1879" i="2"/>
  <c r="E1872" i="2"/>
  <c r="E1873" i="2"/>
  <c r="E1874" i="2"/>
  <c r="AG330" i="5"/>
  <c r="AM359" i="5"/>
  <c r="AF330" i="5"/>
  <c r="E1877" i="2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25" i="5"/>
  <c r="AG329" i="5"/>
  <c r="AF329" i="5"/>
  <c r="E1880" i="2"/>
  <c r="E1881" i="2"/>
  <c r="AG328" i="5"/>
  <c r="AD334" i="5"/>
  <c r="AP359" i="5"/>
  <c r="AF328" i="5"/>
  <c r="E1882" i="2"/>
  <c r="E1883" i="2"/>
  <c r="E1884" i="2"/>
  <c r="AD360" i="5"/>
  <c r="AD342" i="5"/>
  <c r="AG327" i="5"/>
  <c r="AH327" i="5"/>
  <c r="AG318" i="5"/>
  <c r="AG325" i="5"/>
  <c r="AF325" i="5"/>
  <c r="E1885" i="2"/>
  <c r="E1886" i="2"/>
  <c r="E1887" i="2"/>
  <c r="AG324" i="5"/>
  <c r="AF324" i="5"/>
  <c r="AH324" i="5"/>
  <c r="AG323" i="5"/>
  <c r="AF323" i="5"/>
  <c r="BL59" i="1"/>
  <c r="F46" i="15"/>
  <c r="BL58" i="1"/>
  <c r="E47" i="15" s="1"/>
  <c r="E1921" i="2"/>
  <c r="E1888" i="2"/>
  <c r="E1889" i="2"/>
  <c r="E1890" i="2"/>
  <c r="E1891" i="2"/>
  <c r="AG322" i="5"/>
  <c r="AF322" i="5"/>
  <c r="AG321" i="5"/>
  <c r="AF321" i="5"/>
  <c r="AD318" i="5"/>
  <c r="AG320" i="5"/>
  <c r="AH320" i="5"/>
  <c r="AG319" i="5"/>
  <c r="AH319" i="5"/>
  <c r="AF318" i="5"/>
  <c r="E1892" i="2"/>
  <c r="E1893" i="2"/>
  <c r="E1894" i="2"/>
  <c r="E1895" i="2"/>
  <c r="E1896" i="2"/>
  <c r="AG317" i="5"/>
  <c r="AF317" i="5"/>
  <c r="AG316" i="5"/>
  <c r="AF316" i="5"/>
  <c r="E1897" i="2"/>
  <c r="L52" i="5"/>
  <c r="U52" i="5"/>
  <c r="AG315" i="5"/>
  <c r="AF315" i="5"/>
  <c r="AF314" i="5"/>
  <c r="AH314" i="5"/>
  <c r="AG313" i="5"/>
  <c r="AH313" i="5"/>
  <c r="AG312" i="5"/>
  <c r="AH312" i="5"/>
  <c r="AF311" i="5"/>
  <c r="AH311" i="5"/>
  <c r="E1898" i="2"/>
  <c r="E1899" i="2"/>
  <c r="E1900" i="2"/>
  <c r="E1901" i="2"/>
  <c r="AF307" i="5"/>
  <c r="AH307" i="5"/>
  <c r="E1902" i="2"/>
  <c r="E1903" i="2"/>
  <c r="E1904" i="2"/>
  <c r="AG306" i="5"/>
  <c r="AH306" i="5"/>
  <c r="AJ312" i="5"/>
  <c r="AG305" i="5"/>
  <c r="AH305" i="5"/>
  <c r="AG304" i="5"/>
  <c r="AH304" i="5"/>
  <c r="AG303" i="5"/>
  <c r="AF303" i="5"/>
  <c r="AH303" i="5"/>
  <c r="AZ73" i="11"/>
  <c r="E1905" i="2"/>
  <c r="E1906" i="2"/>
  <c r="E1907" i="2"/>
  <c r="AS76" i="1"/>
  <c r="BK21" i="1"/>
  <c r="F21" i="1" s="1"/>
  <c r="N21" i="1" s="1"/>
  <c r="AG302" i="5"/>
  <c r="AH302" i="5"/>
  <c r="AF302" i="5"/>
  <c r="AG301" i="5"/>
  <c r="AH301" i="5"/>
  <c r="AF301" i="5"/>
  <c r="AG300" i="5"/>
  <c r="AF300" i="5"/>
  <c r="E1913" i="2"/>
  <c r="E1908" i="2"/>
  <c r="E1909" i="2"/>
  <c r="E1910" i="2"/>
  <c r="E1911" i="2"/>
  <c r="E1912" i="2"/>
  <c r="E1914" i="2"/>
  <c r="E1915" i="2"/>
  <c r="D63" i="15"/>
  <c r="D64" i="15"/>
  <c r="D67" i="15"/>
  <c r="D53" i="15"/>
  <c r="D54" i="15"/>
  <c r="D55" i="15"/>
  <c r="D57" i="15"/>
  <c r="D58" i="15"/>
  <c r="D59" i="15"/>
  <c r="D60" i="15"/>
  <c r="D61" i="15"/>
  <c r="D62" i="15"/>
  <c r="F63" i="15"/>
  <c r="E1916" i="2"/>
  <c r="E1917" i="2"/>
  <c r="E1918" i="2"/>
  <c r="E1919" i="2"/>
  <c r="E1920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F2298" i="2" s="1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F2376" i="2" s="1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F2402" i="2" s="1"/>
  <c r="E2403" i="2"/>
  <c r="F2403" i="2" s="1"/>
  <c r="E2404" i="2"/>
  <c r="E2405" i="2"/>
  <c r="F2405" i="2" s="1"/>
  <c r="E2406" i="2"/>
  <c r="E2407" i="2"/>
  <c r="E2408" i="2"/>
  <c r="E2409" i="2"/>
  <c r="E2410" i="2"/>
  <c r="E2411" i="2"/>
  <c r="E2412" i="2"/>
  <c r="E2413" i="2"/>
  <c r="E2414" i="2"/>
  <c r="E2415" i="2"/>
  <c r="F2415" i="2" s="1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F2440" i="2" s="1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C66" i="10"/>
  <c r="C3" i="10" s="1"/>
  <c r="AG299" i="5"/>
  <c r="AH299" i="5"/>
  <c r="AG298" i="5"/>
  <c r="AH298" i="5"/>
  <c r="AG297" i="5"/>
  <c r="AF297" i="5"/>
  <c r="AD326" i="5"/>
  <c r="AD311" i="5"/>
  <c r="AD300" i="5"/>
  <c r="AP329" i="5"/>
  <c r="BK59" i="1"/>
  <c r="F45" i="15"/>
  <c r="BK58" i="1"/>
  <c r="E46" i="15" s="1"/>
  <c r="AG295" i="5"/>
  <c r="AH295" i="5"/>
  <c r="AF295" i="5"/>
  <c r="AG296" i="5"/>
  <c r="AF296" i="5"/>
  <c r="AS287" i="5"/>
  <c r="AF294" i="5"/>
  <c r="AH294" i="5"/>
  <c r="AG294" i="5"/>
  <c r="AD294" i="5"/>
  <c r="BK61" i="1"/>
  <c r="BK60" i="1"/>
  <c r="AL9" i="11"/>
  <c r="AJ36" i="11"/>
  <c r="AH9" i="11"/>
  <c r="AH40" i="11"/>
  <c r="AJ9" i="11"/>
  <c r="AF9" i="11"/>
  <c r="AD36" i="11"/>
  <c r="AD9" i="11"/>
  <c r="AA36" i="11" s="1"/>
  <c r="AB9" i="11"/>
  <c r="Z36" i="11" s="1"/>
  <c r="Z8" i="11"/>
  <c r="Z9" i="11" s="1"/>
  <c r="X9" i="11"/>
  <c r="W8" i="11"/>
  <c r="W9" i="11" s="1"/>
  <c r="W40" i="11" s="1"/>
  <c r="V9" i="11"/>
  <c r="T36" i="11"/>
  <c r="T9" i="11"/>
  <c r="R9" i="11"/>
  <c r="O36" i="11" s="1"/>
  <c r="N8" i="11"/>
  <c r="P9" i="11"/>
  <c r="AN17" i="11"/>
  <c r="AO9" i="11" s="1"/>
  <c r="AL17" i="11"/>
  <c r="AJ17" i="11"/>
  <c r="AH17" i="11"/>
  <c r="AF17" i="11"/>
  <c r="AD17" i="11"/>
  <c r="AA34" i="11" s="1"/>
  <c r="AB17" i="11"/>
  <c r="Z17" i="11"/>
  <c r="X17" i="11"/>
  <c r="X16" i="11" s="1"/>
  <c r="W17" i="11"/>
  <c r="V17" i="11"/>
  <c r="T17" i="11"/>
  <c r="T16" i="11" s="1"/>
  <c r="R17" i="11"/>
  <c r="P17" i="11"/>
  <c r="N17" i="11"/>
  <c r="AN19" i="11"/>
  <c r="AO31" i="11"/>
  <c r="AP31" i="11"/>
  <c r="AP19" i="11"/>
  <c r="AG293" i="5"/>
  <c r="AH293" i="5"/>
  <c r="AG292" i="5"/>
  <c r="AH292" i="5"/>
  <c r="AG291" i="5"/>
  <c r="AH291" i="5"/>
  <c r="AG290" i="5"/>
  <c r="AF290" i="5"/>
  <c r="AV5" i="5"/>
  <c r="AG289" i="5"/>
  <c r="AF289" i="5"/>
  <c r="L13" i="5"/>
  <c r="C1" i="5"/>
  <c r="AG288" i="5"/>
  <c r="AF288" i="5"/>
  <c r="AF287" i="5"/>
  <c r="AG287" i="5"/>
  <c r="AG278" i="5"/>
  <c r="AH278" i="5"/>
  <c r="AG286" i="5"/>
  <c r="AF286" i="5"/>
  <c r="AD287" i="5"/>
  <c r="AF283" i="5"/>
  <c r="AH283" i="5"/>
  <c r="AP60" i="11"/>
  <c r="AG282" i="5"/>
  <c r="AF282" i="5"/>
  <c r="BA77" i="1"/>
  <c r="AZ28" i="1"/>
  <c r="AZ80" i="1" s="1"/>
  <c r="AZ30" i="1"/>
  <c r="AZ69" i="1"/>
  <c r="AG281" i="5"/>
  <c r="AG280" i="5"/>
  <c r="AF280" i="5"/>
  <c r="H92" i="5"/>
  <c r="F92" i="5"/>
  <c r="E92" i="5"/>
  <c r="BJ28" i="1"/>
  <c r="BJ30" i="1" s="1"/>
  <c r="BJ69" i="1" s="1"/>
  <c r="AG279" i="5"/>
  <c r="AF279" i="5"/>
  <c r="AG276" i="5"/>
  <c r="AG269" i="5"/>
  <c r="AF281" i="5"/>
  <c r="AG277" i="5"/>
  <c r="AH277" i="5"/>
  <c r="AF276" i="5"/>
  <c r="AF275" i="5"/>
  <c r="AF274" i="5"/>
  <c r="AF273" i="5"/>
  <c r="AG275" i="5"/>
  <c r="AG274" i="5"/>
  <c r="AH274" i="5"/>
  <c r="AG273" i="5"/>
  <c r="AG265" i="5"/>
  <c r="AH265" i="5"/>
  <c r="AG272" i="5"/>
  <c r="AH272" i="5"/>
  <c r="AG271" i="5"/>
  <c r="AH271" i="5"/>
  <c r="AG270" i="5"/>
  <c r="AH270" i="5"/>
  <c r="AF269" i="5"/>
  <c r="Y303" i="5"/>
  <c r="Y304" i="5"/>
  <c r="Y305" i="5"/>
  <c r="Y306" i="5"/>
  <c r="Y307" i="5"/>
  <c r="Y308" i="5"/>
  <c r="AH308" i="5"/>
  <c r="Y309" i="5"/>
  <c r="AH309" i="5"/>
  <c r="Y310" i="5"/>
  <c r="AH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AH331" i="5"/>
  <c r="Y332" i="5"/>
  <c r="Y333" i="5"/>
  <c r="Y334" i="5"/>
  <c r="Y335" i="5"/>
  <c r="Y336" i="5"/>
  <c r="AH336" i="5"/>
  <c r="Y337" i="5"/>
  <c r="Y338" i="5"/>
  <c r="Y339" i="5"/>
  <c r="Y340" i="5"/>
  <c r="Y341" i="5"/>
  <c r="Y342" i="5"/>
  <c r="Y343" i="5"/>
  <c r="Y344" i="5"/>
  <c r="Y345" i="5"/>
  <c r="Y346" i="5"/>
  <c r="Y347" i="5"/>
  <c r="AH347" i="5"/>
  <c r="Y348" i="5"/>
  <c r="AH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AH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AH380" i="5"/>
  <c r="Y381" i="5"/>
  <c r="Y382" i="5"/>
  <c r="Y383" i="5"/>
  <c r="AH383" i="5"/>
  <c r="Y384" i="5"/>
  <c r="Y385" i="5"/>
  <c r="Y386" i="5"/>
  <c r="Y387" i="5"/>
  <c r="AH387" i="5"/>
  <c r="Y388" i="5"/>
  <c r="Y389" i="5"/>
  <c r="Y390" i="5"/>
  <c r="AH390" i="5"/>
  <c r="Y391" i="5"/>
  <c r="AH391" i="5"/>
  <c r="Y392" i="5"/>
  <c r="Y393" i="5"/>
  <c r="Y394" i="5"/>
  <c r="Y395" i="5"/>
  <c r="AH395" i="5"/>
  <c r="Y396" i="5"/>
  <c r="AH396" i="5"/>
  <c r="Y397" i="5"/>
  <c r="AH397" i="5"/>
  <c r="Y398" i="5"/>
  <c r="Y399" i="5"/>
  <c r="AH399" i="5"/>
  <c r="Y400" i="5"/>
  <c r="Y401" i="5"/>
  <c r="AH401" i="5"/>
  <c r="Y402" i="5"/>
  <c r="AH402" i="5"/>
  <c r="Y403" i="5"/>
  <c r="AH403" i="5"/>
  <c r="Y404" i="5"/>
  <c r="Y405" i="5"/>
  <c r="AH405" i="5"/>
  <c r="Y406" i="5"/>
  <c r="Y407" i="5"/>
  <c r="Y408" i="5"/>
  <c r="AH408" i="5"/>
  <c r="Y409" i="5"/>
  <c r="AH409" i="5"/>
  <c r="Y410" i="5"/>
  <c r="Y411" i="5"/>
  <c r="Y412" i="5"/>
  <c r="Y413" i="5"/>
  <c r="AH413" i="5"/>
  <c r="Y414" i="5"/>
  <c r="AH414" i="5"/>
  <c r="Y415" i="5"/>
  <c r="AH415" i="5"/>
  <c r="Y416" i="5"/>
  <c r="AH416" i="5"/>
  <c r="Y417" i="5"/>
  <c r="AH417" i="5"/>
  <c r="Y418" i="5"/>
  <c r="Y419" i="5"/>
  <c r="Y420" i="5"/>
  <c r="AH420" i="5"/>
  <c r="Y421" i="5"/>
  <c r="Y422" i="5"/>
  <c r="AH422" i="5"/>
  <c r="Y423" i="5"/>
  <c r="AH423" i="5"/>
  <c r="Y424" i="5"/>
  <c r="Y425" i="5"/>
  <c r="Y426" i="5"/>
  <c r="AH426" i="5"/>
  <c r="Y427" i="5"/>
  <c r="Y428" i="5"/>
  <c r="Y429" i="5"/>
  <c r="Y430" i="5"/>
  <c r="Y431" i="5"/>
  <c r="Y432" i="5"/>
  <c r="AH432" i="5"/>
  <c r="Y433" i="5"/>
  <c r="AH433" i="5"/>
  <c r="Y434" i="5"/>
  <c r="Y435" i="5"/>
  <c r="Y436" i="5"/>
  <c r="AH436" i="5"/>
  <c r="Y437" i="5"/>
  <c r="AH437" i="5"/>
  <c r="Y438" i="5"/>
  <c r="AH438" i="5"/>
  <c r="Y439" i="5"/>
  <c r="Y440" i="5"/>
  <c r="Y441" i="5"/>
  <c r="Y442" i="5"/>
  <c r="Y443" i="5"/>
  <c r="AH443" i="5"/>
  <c r="Y444" i="5"/>
  <c r="AH444" i="5"/>
  <c r="Y445" i="5"/>
  <c r="Y446" i="5"/>
  <c r="AH446" i="5"/>
  <c r="Y447" i="5"/>
  <c r="Y448" i="5"/>
  <c r="Y449" i="5"/>
  <c r="Y450" i="5"/>
  <c r="AH450" i="5"/>
  <c r="Y451" i="5"/>
  <c r="Y452" i="5"/>
  <c r="Y453" i="5"/>
  <c r="Y454" i="5"/>
  <c r="Y455" i="5"/>
  <c r="AH455" i="5"/>
  <c r="Y456" i="5"/>
  <c r="AH456" i="5"/>
  <c r="Y457" i="5"/>
  <c r="Y458" i="5"/>
  <c r="AH458" i="5"/>
  <c r="Y459" i="5"/>
  <c r="AH459" i="5"/>
  <c r="Y460" i="5"/>
  <c r="AH460" i="5"/>
  <c r="Y461" i="5"/>
  <c r="Y462" i="5"/>
  <c r="AH462" i="5"/>
  <c r="Y463" i="5"/>
  <c r="AH463" i="5"/>
  <c r="Y464" i="5"/>
  <c r="AH464" i="5"/>
  <c r="Y465" i="5"/>
  <c r="AH465" i="5"/>
  <c r="Y466" i="5"/>
  <c r="AH466" i="5"/>
  <c r="Y467" i="5"/>
  <c r="AH467" i="5"/>
  <c r="Y468" i="5"/>
  <c r="Y469" i="5"/>
  <c r="AH469" i="5"/>
  <c r="Y470" i="5"/>
  <c r="AH470" i="5"/>
  <c r="Y471" i="5"/>
  <c r="Y472" i="5"/>
  <c r="AH472" i="5"/>
  <c r="Y473" i="5"/>
  <c r="AH473" i="5"/>
  <c r="Y474" i="5"/>
  <c r="Y475" i="5"/>
  <c r="AH475" i="5"/>
  <c r="Y476" i="5"/>
  <c r="AH476" i="5"/>
  <c r="Y477" i="5"/>
  <c r="AH477" i="5"/>
  <c r="Y478" i="5"/>
  <c r="AH478" i="5"/>
  <c r="Y479" i="5"/>
  <c r="Y480" i="5"/>
  <c r="Y481" i="5"/>
  <c r="AH481" i="5"/>
  <c r="Y482" i="5"/>
  <c r="AH482" i="5"/>
  <c r="Y483" i="5"/>
  <c r="AH483" i="5"/>
  <c r="Y484" i="5"/>
  <c r="AH484" i="5"/>
  <c r="Y485" i="5"/>
  <c r="AH485" i="5"/>
  <c r="Y486" i="5"/>
  <c r="Y487" i="5"/>
  <c r="AH487" i="5"/>
  <c r="Y488" i="5"/>
  <c r="AH488" i="5"/>
  <c r="Y489" i="5"/>
  <c r="AH489" i="5"/>
  <c r="Y490" i="5"/>
  <c r="Y491" i="5"/>
  <c r="AH491" i="5"/>
  <c r="Y492" i="5"/>
  <c r="Y493" i="5"/>
  <c r="AH493" i="5"/>
  <c r="Y494" i="5"/>
  <c r="AH494" i="5"/>
  <c r="Y495" i="5"/>
  <c r="AH495" i="5"/>
  <c r="Y496" i="5"/>
  <c r="AH496" i="5"/>
  <c r="Y497" i="5"/>
  <c r="Y498" i="5"/>
  <c r="Y499" i="5"/>
  <c r="AH499" i="5"/>
  <c r="Y500" i="5"/>
  <c r="Y501" i="5"/>
  <c r="Y502" i="5"/>
  <c r="AH502" i="5"/>
  <c r="Y503" i="5"/>
  <c r="AH503" i="5"/>
  <c r="Y504" i="5"/>
  <c r="Y505" i="5"/>
  <c r="Y506" i="5"/>
  <c r="Y507" i="5"/>
  <c r="AH507" i="5"/>
  <c r="Y508" i="5"/>
  <c r="AH508" i="5"/>
  <c r="Y509" i="5"/>
  <c r="Y510" i="5"/>
  <c r="Y511" i="5"/>
  <c r="AH511" i="5"/>
  <c r="Y512" i="5"/>
  <c r="AH512" i="5"/>
  <c r="Y513" i="5"/>
  <c r="AH513" i="5"/>
  <c r="Y514" i="5"/>
  <c r="AH514" i="5"/>
  <c r="Y515" i="5"/>
  <c r="AH515" i="5"/>
  <c r="Y516" i="5"/>
  <c r="Y517" i="5"/>
  <c r="AH517" i="5"/>
  <c r="Y518" i="5"/>
  <c r="AH518" i="5"/>
  <c r="Y519" i="5"/>
  <c r="Y520" i="5"/>
  <c r="Y521" i="5"/>
  <c r="AH521" i="5"/>
  <c r="Y522" i="5"/>
  <c r="AH522" i="5"/>
  <c r="Y523" i="5"/>
  <c r="Y524" i="5"/>
  <c r="AH524" i="5"/>
  <c r="Y525" i="5"/>
  <c r="Y526" i="5"/>
  <c r="AH526" i="5"/>
  <c r="Y527" i="5"/>
  <c r="AH527" i="5"/>
  <c r="Y528" i="5"/>
  <c r="Y529" i="5"/>
  <c r="Y530" i="5"/>
  <c r="AH530" i="5"/>
  <c r="AJ536" i="5"/>
  <c r="Y531" i="5"/>
  <c r="Y532" i="5"/>
  <c r="AH532" i="5"/>
  <c r="Y533" i="5"/>
  <c r="AH533" i="5"/>
  <c r="Y534" i="5"/>
  <c r="Y535" i="5"/>
  <c r="AH535" i="5"/>
  <c r="Y536" i="5"/>
  <c r="Y537" i="5"/>
  <c r="AH537" i="5"/>
  <c r="Y538" i="5"/>
  <c r="Y539" i="5"/>
  <c r="AH539" i="5"/>
  <c r="Y540" i="5"/>
  <c r="AH540" i="5"/>
  <c r="Y541" i="5"/>
  <c r="Y542" i="5"/>
  <c r="AH542" i="5"/>
  <c r="Y543" i="5"/>
  <c r="Y544" i="5"/>
  <c r="Y545" i="5"/>
  <c r="Y546" i="5"/>
  <c r="AH546" i="5"/>
  <c r="Y547" i="5"/>
  <c r="AH547" i="5"/>
  <c r="Y548" i="5"/>
  <c r="AH548" i="5"/>
  <c r="Y549" i="5"/>
  <c r="Y550" i="5"/>
  <c r="Y551" i="5"/>
  <c r="AH551" i="5"/>
  <c r="Y552" i="5"/>
  <c r="Y553" i="5"/>
  <c r="AH553" i="5"/>
  <c r="Y554" i="5"/>
  <c r="AH554" i="5"/>
  <c r="Y555" i="5"/>
  <c r="Y556" i="5"/>
  <c r="Y557" i="5"/>
  <c r="AH557" i="5"/>
  <c r="Y558" i="5"/>
  <c r="AH558" i="5"/>
  <c r="Y559" i="5"/>
  <c r="AH559" i="5"/>
  <c r="Y560" i="5"/>
  <c r="Y561" i="5"/>
  <c r="Y562" i="5"/>
  <c r="AH562" i="5"/>
  <c r="Y563" i="5"/>
  <c r="AH563" i="5"/>
  <c r="Y564" i="5"/>
  <c r="Y565" i="5"/>
  <c r="AH565" i="5"/>
  <c r="Y566" i="5"/>
  <c r="Y567" i="5"/>
  <c r="AH567" i="5"/>
  <c r="Y568" i="5"/>
  <c r="AH568" i="5"/>
  <c r="Y569" i="5"/>
  <c r="AH569" i="5"/>
  <c r="Y570" i="5"/>
  <c r="Y571" i="5"/>
  <c r="Y572" i="5"/>
  <c r="Y573" i="5"/>
  <c r="AH573" i="5"/>
  <c r="Y574" i="5"/>
  <c r="AH574" i="5"/>
  <c r="Y575" i="5"/>
  <c r="AH575" i="5"/>
  <c r="Y576" i="5"/>
  <c r="AH576" i="5"/>
  <c r="Y577" i="5"/>
  <c r="AH577" i="5"/>
  <c r="Y578" i="5"/>
  <c r="AH578" i="5"/>
  <c r="Y579" i="5"/>
  <c r="AH579" i="5"/>
  <c r="Y580" i="5"/>
  <c r="AH580" i="5"/>
  <c r="Y581" i="5"/>
  <c r="AH581" i="5"/>
  <c r="Y582" i="5"/>
  <c r="AH582" i="5"/>
  <c r="Y583" i="5"/>
  <c r="AH583" i="5"/>
  <c r="Y584" i="5"/>
  <c r="AH584" i="5"/>
  <c r="Y585" i="5"/>
  <c r="AH585" i="5"/>
  <c r="Y586" i="5"/>
  <c r="AH586" i="5"/>
  <c r="Y587" i="5"/>
  <c r="AH587" i="5"/>
  <c r="Y588" i="5"/>
  <c r="AH588" i="5"/>
  <c r="Y589" i="5"/>
  <c r="AH589" i="5"/>
  <c r="Y590" i="5"/>
  <c r="AH590" i="5"/>
  <c r="Y591" i="5"/>
  <c r="AH591" i="5"/>
  <c r="Y592" i="5"/>
  <c r="AH592" i="5"/>
  <c r="Y593" i="5"/>
  <c r="AH593" i="5"/>
  <c r="Y594" i="5"/>
  <c r="AH594" i="5"/>
  <c r="Y595" i="5"/>
  <c r="AH595" i="5"/>
  <c r="Y596" i="5"/>
  <c r="AH596" i="5"/>
  <c r="Y597" i="5"/>
  <c r="AH597" i="5"/>
  <c r="Y598" i="5"/>
  <c r="AH598" i="5"/>
  <c r="Y599" i="5"/>
  <c r="AH599" i="5"/>
  <c r="Y600" i="5"/>
  <c r="AH600" i="5"/>
  <c r="Y601" i="5"/>
  <c r="AH601" i="5"/>
  <c r="Y602" i="5"/>
  <c r="AH602" i="5"/>
  <c r="Y603" i="5"/>
  <c r="AH603" i="5"/>
  <c r="Y604" i="5"/>
  <c r="AH604" i="5"/>
  <c r="Y605" i="5"/>
  <c r="AH605" i="5"/>
  <c r="Y606" i="5"/>
  <c r="AH606" i="5"/>
  <c r="Y607" i="5"/>
  <c r="AH607" i="5"/>
  <c r="Y608" i="5"/>
  <c r="AH608" i="5"/>
  <c r="Y609" i="5"/>
  <c r="AH609" i="5"/>
  <c r="Y610" i="5"/>
  <c r="AH610" i="5"/>
  <c r="Y611" i="5"/>
  <c r="AH611" i="5"/>
  <c r="Y302" i="5"/>
  <c r="AD278" i="5"/>
  <c r="AG268" i="5"/>
  <c r="AF268" i="5"/>
  <c r="AG267" i="5"/>
  <c r="AF267" i="5"/>
  <c r="BJ60" i="1"/>
  <c r="L50" i="5"/>
  <c r="U50" i="5" s="1"/>
  <c r="AG257" i="5"/>
  <c r="AH257" i="5"/>
  <c r="AG264" i="5"/>
  <c r="AH264" i="5"/>
  <c r="AG263" i="5"/>
  <c r="AH263" i="5"/>
  <c r="AG262" i="5"/>
  <c r="AF262" i="5"/>
  <c r="AD267" i="5"/>
  <c r="BJ59" i="1"/>
  <c r="F44" i="15"/>
  <c r="BJ58" i="1"/>
  <c r="E45" i="15" s="1"/>
  <c r="AG261" i="5"/>
  <c r="AF261" i="5"/>
  <c r="AG260" i="5"/>
  <c r="AF260" i="5"/>
  <c r="BJ53" i="1"/>
  <c r="AG249" i="5"/>
  <c r="AH249" i="5"/>
  <c r="AD257" i="5"/>
  <c r="AG259" i="5"/>
  <c r="AH259" i="5"/>
  <c r="AF258" i="5"/>
  <c r="AH258" i="5"/>
  <c r="AG256" i="5"/>
  <c r="AH256" i="5"/>
  <c r="AG255" i="5"/>
  <c r="AF255" i="5"/>
  <c r="AH255" i="5"/>
  <c r="I184" i="12"/>
  <c r="BI23" i="1"/>
  <c r="AG254" i="5"/>
  <c r="AF254" i="5"/>
  <c r="AD249" i="5"/>
  <c r="AG253" i="5"/>
  <c r="AF253" i="5"/>
  <c r="AG239" i="5"/>
  <c r="AH239" i="5"/>
  <c r="AG252" i="5"/>
  <c r="AF252" i="5"/>
  <c r="AG251" i="5"/>
  <c r="AH251" i="5"/>
  <c r="AG250" i="5"/>
  <c r="AH250" i="5"/>
  <c r="AG247" i="5"/>
  <c r="AG248" i="5"/>
  <c r="AF248" i="5"/>
  <c r="AH248" i="5"/>
  <c r="AF247" i="5"/>
  <c r="AF245" i="5"/>
  <c r="AH245" i="5"/>
  <c r="AF244" i="5"/>
  <c r="AH244" i="5"/>
  <c r="AG243" i="5"/>
  <c r="AH243" i="5"/>
  <c r="AG242" i="5"/>
  <c r="AH242" i="5"/>
  <c r="AG241" i="5"/>
  <c r="AH241" i="5"/>
  <c r="AG220" i="5"/>
  <c r="AG201" i="5"/>
  <c r="AH201" i="5"/>
  <c r="AG218" i="5"/>
  <c r="AG207" i="5"/>
  <c r="AH207" i="5"/>
  <c r="AG229" i="5"/>
  <c r="AH229" i="5"/>
  <c r="AF239" i="5"/>
  <c r="AG240" i="5"/>
  <c r="AF240" i="5"/>
  <c r="AN60" i="11"/>
  <c r="AG238" i="5"/>
  <c r="AF238" i="5"/>
  <c r="AG237" i="5"/>
  <c r="AF237" i="5"/>
  <c r="AH237" i="5"/>
  <c r="AD239" i="5"/>
  <c r="AP268" i="5"/>
  <c r="E67" i="5"/>
  <c r="G84" i="5"/>
  <c r="G87" i="5"/>
  <c r="J47" i="5"/>
  <c r="AD269" i="5"/>
  <c r="AN298" i="5"/>
  <c r="AP298" i="5"/>
  <c r="AG236" i="5"/>
  <c r="AH236" i="5"/>
  <c r="AG235" i="5"/>
  <c r="AH235" i="5"/>
  <c r="AG234" i="5"/>
  <c r="AF234" i="5"/>
  <c r="AG233" i="5"/>
  <c r="AF233" i="5"/>
  <c r="AH233" i="5"/>
  <c r="AG232" i="5"/>
  <c r="AF232" i="5"/>
  <c r="BI59" i="1"/>
  <c r="F43" i="15" s="1"/>
  <c r="BI58" i="1"/>
  <c r="E44" i="15" s="1"/>
  <c r="C32" i="5"/>
  <c r="D32" i="5"/>
  <c r="AS194" i="5"/>
  <c r="AT218" i="5"/>
  <c r="AG194" i="5"/>
  <c r="AH194" i="5"/>
  <c r="AG193" i="5"/>
  <c r="AH193" i="5"/>
  <c r="AG200" i="5"/>
  <c r="AH200" i="5"/>
  <c r="AG198" i="5"/>
  <c r="AF198" i="5"/>
  <c r="AG197" i="5"/>
  <c r="AF197" i="5"/>
  <c r="AG196" i="5"/>
  <c r="AF196" i="5"/>
  <c r="AG195" i="5"/>
  <c r="AF195" i="5"/>
  <c r="AH195" i="5"/>
  <c r="AG230" i="5"/>
  <c r="AF230" i="5"/>
  <c r="BH21" i="1"/>
  <c r="AG228" i="5"/>
  <c r="AH228" i="5"/>
  <c r="AG227" i="5"/>
  <c r="AH227" i="5"/>
  <c r="AF225" i="5"/>
  <c r="AH225" i="5"/>
  <c r="AG224" i="5"/>
  <c r="AF224" i="5"/>
  <c r="AH224" i="5"/>
  <c r="AG223" i="5"/>
  <c r="AF223" i="5"/>
  <c r="AG222" i="5"/>
  <c r="AH222" i="5"/>
  <c r="AG221" i="5"/>
  <c r="AH221" i="5"/>
  <c r="AF220" i="5"/>
  <c r="AH220" i="5"/>
  <c r="AG219" i="5"/>
  <c r="AF219" i="5"/>
  <c r="AH219" i="5"/>
  <c r="AF218" i="5"/>
  <c r="AN31" i="11"/>
  <c r="BH59" i="1"/>
  <c r="F42" i="15"/>
  <c r="BI60" i="1"/>
  <c r="L49" i="5"/>
  <c r="U49" i="5" s="1"/>
  <c r="AL19" i="11"/>
  <c r="AW31" i="11"/>
  <c r="S14" i="1"/>
  <c r="S58" i="1"/>
  <c r="E2" i="15" s="1"/>
  <c r="S59" i="1"/>
  <c r="S60" i="1"/>
  <c r="S61" i="1"/>
  <c r="S53" i="1"/>
  <c r="S74" i="1"/>
  <c r="T57" i="1"/>
  <c r="T58" i="1"/>
  <c r="E3" i="15" s="1"/>
  <c r="T59" i="1"/>
  <c r="T60" i="1"/>
  <c r="T61" i="1"/>
  <c r="T53" i="1"/>
  <c r="T74" i="1"/>
  <c r="U57" i="1"/>
  <c r="U58" i="1"/>
  <c r="E4" i="15" s="1"/>
  <c r="U59" i="1"/>
  <c r="U60" i="1"/>
  <c r="U61" i="1"/>
  <c r="U53" i="1"/>
  <c r="U74" i="1"/>
  <c r="V58" i="1"/>
  <c r="E5" i="15" s="1"/>
  <c r="V59" i="1"/>
  <c r="V60" i="1"/>
  <c r="V61" i="1"/>
  <c r="V53" i="1"/>
  <c r="V74" i="1" s="1"/>
  <c r="W58" i="1"/>
  <c r="W59" i="1"/>
  <c r="W60" i="1"/>
  <c r="W61" i="1"/>
  <c r="W46" i="1"/>
  <c r="W53" i="1"/>
  <c r="W74" i="1" s="1"/>
  <c r="W28" i="1"/>
  <c r="C28" i="1" s="1"/>
  <c r="W30" i="1"/>
  <c r="X58" i="1"/>
  <c r="E7" i="15" s="1"/>
  <c r="X59" i="1"/>
  <c r="X60" i="1"/>
  <c r="X53" i="1"/>
  <c r="X74" i="1"/>
  <c r="Y60" i="1"/>
  <c r="Y61" i="1"/>
  <c r="Y53" i="1"/>
  <c r="Y74" i="1"/>
  <c r="Z53" i="1"/>
  <c r="Z74" i="1" s="1"/>
  <c r="AA53" i="1"/>
  <c r="AA74" i="1"/>
  <c r="AB58" i="1"/>
  <c r="E11" i="15" s="1"/>
  <c r="AB59" i="1"/>
  <c r="AB60" i="1"/>
  <c r="AB61" i="1"/>
  <c r="AB53" i="1"/>
  <c r="AB74" i="1"/>
  <c r="AC57" i="1"/>
  <c r="K57" i="1" s="1"/>
  <c r="AC58" i="1"/>
  <c r="E12" i="15" s="1"/>
  <c r="AC59" i="1"/>
  <c r="AC60" i="1"/>
  <c r="AC53" i="1"/>
  <c r="AC74" i="1"/>
  <c r="AD58" i="1"/>
  <c r="E13" i="15" s="1"/>
  <c r="AD59" i="1"/>
  <c r="AD60" i="1"/>
  <c r="AD61" i="1"/>
  <c r="AD53" i="1"/>
  <c r="AD74" i="1"/>
  <c r="AE58" i="1"/>
  <c r="E14" i="15" s="1"/>
  <c r="AE59" i="1"/>
  <c r="AE60" i="1"/>
  <c r="AE53" i="1"/>
  <c r="AE74" i="1"/>
  <c r="AF58" i="1"/>
  <c r="E15" i="15" s="1"/>
  <c r="AF59" i="1"/>
  <c r="AF60" i="1"/>
  <c r="AF61" i="1"/>
  <c r="AF53" i="1"/>
  <c r="AF74" i="1" s="1"/>
  <c r="AF28" i="1"/>
  <c r="AF80" i="1" s="1"/>
  <c r="AG16" i="1"/>
  <c r="AG58" i="1"/>
  <c r="E16" i="15" s="1"/>
  <c r="AG59" i="1"/>
  <c r="AG60" i="1"/>
  <c r="AG61" i="1"/>
  <c r="AG53" i="1"/>
  <c r="AH20" i="1"/>
  <c r="AH74" i="1" s="1"/>
  <c r="D20" i="1"/>
  <c r="L20" i="1" s="1"/>
  <c r="AH60" i="1"/>
  <c r="AH61" i="1"/>
  <c r="AH45" i="1"/>
  <c r="AH53" i="1" s="1"/>
  <c r="AI60" i="1"/>
  <c r="AI61" i="1"/>
  <c r="AI53" i="1"/>
  <c r="AI74" i="1" s="1"/>
  <c r="AI28" i="1"/>
  <c r="AI80" i="1" s="1"/>
  <c r="AJ19" i="1"/>
  <c r="AJ74" i="1" s="1"/>
  <c r="AJ24" i="1"/>
  <c r="D20" i="15" s="1"/>
  <c r="AJ57" i="1"/>
  <c r="L57" i="1" s="1"/>
  <c r="AJ58" i="1"/>
  <c r="E19" i="15" s="1"/>
  <c r="AJ59" i="1"/>
  <c r="AJ60" i="1"/>
  <c r="AJ61" i="1"/>
  <c r="AJ52" i="1"/>
  <c r="AJ53" i="1"/>
  <c r="AJ28" i="1"/>
  <c r="AJ77" i="1" s="1"/>
  <c r="AK60" i="1"/>
  <c r="AK61" i="1"/>
  <c r="L61" i="1" s="1"/>
  <c r="AK45" i="1"/>
  <c r="L45" i="1" s="1"/>
  <c r="C13" i="40" s="1"/>
  <c r="AK53" i="1"/>
  <c r="AK74" i="1" s="1"/>
  <c r="AL60" i="1"/>
  <c r="L26" i="5" s="1"/>
  <c r="AL61" i="1"/>
  <c r="AL45" i="1"/>
  <c r="AL53" i="1"/>
  <c r="AL74" i="1" s="1"/>
  <c r="AM24" i="1"/>
  <c r="D23" i="15" s="1"/>
  <c r="AM60" i="1"/>
  <c r="AM61" i="1"/>
  <c r="AM53" i="1"/>
  <c r="AM74" i="1" s="1"/>
  <c r="AM28" i="1"/>
  <c r="AM30" i="1"/>
  <c r="AM69" i="1"/>
  <c r="AN24" i="1"/>
  <c r="D24" i="15" s="1"/>
  <c r="AN58" i="1"/>
  <c r="E23" i="15" s="1"/>
  <c r="AN59" i="1"/>
  <c r="AN60" i="1"/>
  <c r="AN61" i="1"/>
  <c r="AN53" i="1"/>
  <c r="AN74" i="1"/>
  <c r="AN28" i="1"/>
  <c r="AO11" i="1"/>
  <c r="AO76" i="1" s="1"/>
  <c r="AO24" i="1"/>
  <c r="D25" i="15" s="1"/>
  <c r="AO58" i="1"/>
  <c r="E24" i="15" s="1"/>
  <c r="AO59" i="1"/>
  <c r="M4" i="10" s="1"/>
  <c r="AO60" i="1"/>
  <c r="L29" i="5" s="1"/>
  <c r="AO61" i="1"/>
  <c r="AO53" i="1"/>
  <c r="AO74" i="1" s="1"/>
  <c r="AP11" i="1"/>
  <c r="AP24" i="1"/>
  <c r="D26" i="15" s="1"/>
  <c r="AP60" i="1"/>
  <c r="L30" i="5" s="1"/>
  <c r="AP53" i="1"/>
  <c r="AP74" i="1"/>
  <c r="AQ24" i="1"/>
  <c r="D27" i="15" s="1"/>
  <c r="AQ58" i="1"/>
  <c r="E26" i="15" s="1"/>
  <c r="AQ59" i="1"/>
  <c r="AQ60" i="1"/>
  <c r="L31" i="5"/>
  <c r="AQ53" i="1"/>
  <c r="AQ74" i="1"/>
  <c r="AR58" i="1"/>
  <c r="E27" i="15" s="1"/>
  <c r="AR59" i="1"/>
  <c r="AR60" i="1"/>
  <c r="L32" i="5" s="1"/>
  <c r="AR48" i="1"/>
  <c r="AR49" i="1"/>
  <c r="L49" i="1"/>
  <c r="C19" i="40" s="1"/>
  <c r="AR28" i="1"/>
  <c r="AR77" i="1" s="1"/>
  <c r="AS21" i="1"/>
  <c r="AS74" i="1" s="1"/>
  <c r="AS24" i="1"/>
  <c r="D29" i="15" s="1"/>
  <c r="AS58" i="1"/>
  <c r="E28" i="15" s="1"/>
  <c r="AS59" i="1"/>
  <c r="AS60" i="1"/>
  <c r="AS61" i="1"/>
  <c r="L33" i="5" s="1"/>
  <c r="AS53" i="1"/>
  <c r="AT11" i="1"/>
  <c r="AT16" i="1"/>
  <c r="AT19" i="1"/>
  <c r="E19" i="1" s="1"/>
  <c r="M19" i="1" s="1"/>
  <c r="M35" i="5"/>
  <c r="AT58" i="1"/>
  <c r="E29" i="15" s="1"/>
  <c r="AT59" i="1"/>
  <c r="AT60" i="1"/>
  <c r="AT61" i="1"/>
  <c r="AT48" i="1"/>
  <c r="AT53" i="1"/>
  <c r="AT28" i="1"/>
  <c r="AT30" i="1"/>
  <c r="AU21" i="1"/>
  <c r="E21" i="1" s="1"/>
  <c r="AU22" i="1"/>
  <c r="Z60" i="11"/>
  <c r="Z81" i="11" s="1"/>
  <c r="AU24" i="1"/>
  <c r="AU57" i="1"/>
  <c r="M57" i="1" s="1"/>
  <c r="AU58" i="1"/>
  <c r="E30" i="15" s="1"/>
  <c r="AU59" i="1"/>
  <c r="AU60" i="1"/>
  <c r="AU61" i="1"/>
  <c r="AU48" i="1"/>
  <c r="AU53" i="1"/>
  <c r="AV18" i="1"/>
  <c r="AV24" i="1"/>
  <c r="D32" i="15" s="1"/>
  <c r="AV58" i="1"/>
  <c r="E31" i="15" s="1"/>
  <c r="AV59" i="1"/>
  <c r="AV60" i="1"/>
  <c r="AV61" i="1"/>
  <c r="AV50" i="1"/>
  <c r="AV53" i="1" s="1"/>
  <c r="AV74" i="1" s="1"/>
  <c r="AW22" i="1"/>
  <c r="AW23" i="1"/>
  <c r="D33" i="15"/>
  <c r="AW58" i="1"/>
  <c r="E32" i="15" s="1"/>
  <c r="AW59" i="1"/>
  <c r="AW60" i="1"/>
  <c r="L37" i="5" s="1"/>
  <c r="AW53" i="1"/>
  <c r="AX21" i="1"/>
  <c r="AX24" i="1"/>
  <c r="D34" i="15" s="1"/>
  <c r="AX58" i="1"/>
  <c r="E33" i="15" s="1"/>
  <c r="AX60" i="1"/>
  <c r="AX61" i="1"/>
  <c r="AX53" i="1"/>
  <c r="AY22" i="1"/>
  <c r="AY23" i="1"/>
  <c r="AY24" i="1"/>
  <c r="D35" i="15" s="1"/>
  <c r="AY58" i="1"/>
  <c r="E34" i="15" s="1"/>
  <c r="AY59" i="1"/>
  <c r="AY60" i="1"/>
  <c r="L39" i="5" s="1"/>
  <c r="AY61" i="1"/>
  <c r="AY53" i="1"/>
  <c r="AZ16" i="1"/>
  <c r="AZ58" i="1"/>
  <c r="E35" i="15" s="1"/>
  <c r="AZ59" i="1"/>
  <c r="AZ60" i="1"/>
  <c r="L40" i="5" s="1"/>
  <c r="AZ61" i="1"/>
  <c r="AZ53" i="1"/>
  <c r="BA18" i="1"/>
  <c r="BB18" i="1"/>
  <c r="BB74" i="1" s="1"/>
  <c r="BA21" i="1"/>
  <c r="BA22" i="1"/>
  <c r="BA23" i="1"/>
  <c r="BA74" i="1" s="1"/>
  <c r="BA24" i="1"/>
  <c r="D37" i="15" s="1"/>
  <c r="BA58" i="1"/>
  <c r="E36" i="15" s="1"/>
  <c r="BA59" i="1"/>
  <c r="BA60" i="1"/>
  <c r="L41" i="5" s="1"/>
  <c r="U41" i="5" s="1"/>
  <c r="BA61" i="1"/>
  <c r="BA53" i="1"/>
  <c r="BB11" i="1"/>
  <c r="BB76" i="1" s="1"/>
  <c r="BD16" i="1"/>
  <c r="BB23" i="1"/>
  <c r="BB24" i="1"/>
  <c r="D38" i="15" s="1"/>
  <c r="BB28" i="1"/>
  <c r="BB30" i="1"/>
  <c r="BB58" i="1"/>
  <c r="E37" i="15" s="1"/>
  <c r="BB59" i="1"/>
  <c r="BB60" i="1"/>
  <c r="BB61" i="1"/>
  <c r="BB53" i="1"/>
  <c r="BC22" i="1"/>
  <c r="BC58" i="1"/>
  <c r="E38" i="15" s="1"/>
  <c r="BC59" i="1"/>
  <c r="BC60" i="1"/>
  <c r="L43" i="5" s="1"/>
  <c r="U43" i="5" s="1"/>
  <c r="BC61" i="1"/>
  <c r="BC53" i="1"/>
  <c r="BD11" i="1"/>
  <c r="BD21" i="1"/>
  <c r="BD58" i="1"/>
  <c r="E39" i="15" s="1"/>
  <c r="BD59" i="1"/>
  <c r="BD53" i="1"/>
  <c r="BE16" i="1"/>
  <c r="BE22" i="1"/>
  <c r="BE23" i="1"/>
  <c r="BE24" i="1"/>
  <c r="D41" i="15" s="1"/>
  <c r="BE58" i="1"/>
  <c r="E40" i="15" s="1"/>
  <c r="BE59" i="1"/>
  <c r="BE60" i="1"/>
  <c r="BE61" i="1"/>
  <c r="BE53" i="1"/>
  <c r="BF24" i="1"/>
  <c r="D42" i="15" s="1"/>
  <c r="F24" i="1"/>
  <c r="O3" i="10"/>
  <c r="BF58" i="1"/>
  <c r="E41" i="15" s="1"/>
  <c r="BF59" i="1"/>
  <c r="BF60" i="1"/>
  <c r="BF61" i="1"/>
  <c r="L46" i="5"/>
  <c r="U46" i="5" s="1"/>
  <c r="BF53" i="1"/>
  <c r="F53" i="1" s="1"/>
  <c r="AL60" i="11"/>
  <c r="BG58" i="1"/>
  <c r="E42" i="15" s="1"/>
  <c r="BG59" i="1"/>
  <c r="F41" i="15" s="1"/>
  <c r="BG60" i="1"/>
  <c r="BG61" i="1"/>
  <c r="BG53" i="1"/>
  <c r="BH16" i="1"/>
  <c r="BJ16" i="1" s="1"/>
  <c r="BK16" i="1" s="1"/>
  <c r="BH58" i="1"/>
  <c r="E43" i="15" s="1"/>
  <c r="BH60" i="1"/>
  <c r="L48" i="5" s="1"/>
  <c r="U48" i="5" s="1"/>
  <c r="BH53" i="1"/>
  <c r="AB60" i="11"/>
  <c r="AB62" i="11" s="1"/>
  <c r="AD60" i="11"/>
  <c r="AF60" i="11"/>
  <c r="AH53" i="11"/>
  <c r="AH63" i="11" s="1"/>
  <c r="AJ60" i="11"/>
  <c r="Z71" i="11"/>
  <c r="AA71" i="11"/>
  <c r="AB71" i="11"/>
  <c r="AC71" i="11"/>
  <c r="AD71" i="11"/>
  <c r="AE71" i="11"/>
  <c r="AF71" i="11"/>
  <c r="AG71" i="11"/>
  <c r="AH71" i="11"/>
  <c r="AI71" i="11"/>
  <c r="AJ71" i="11"/>
  <c r="BI53" i="1"/>
  <c r="BL77" i="1"/>
  <c r="BL80" i="1"/>
  <c r="AD229" i="5"/>
  <c r="AD218" i="5"/>
  <c r="AG216" i="5"/>
  <c r="AF216" i="5"/>
  <c r="AH216" i="5"/>
  <c r="AL31" i="11"/>
  <c r="AM31" i="11"/>
  <c r="C29" i="5"/>
  <c r="M23" i="5"/>
  <c r="M24" i="5"/>
  <c r="M26" i="5"/>
  <c r="M27" i="5"/>
  <c r="M28" i="5"/>
  <c r="M29" i="5"/>
  <c r="T29" i="5" s="1"/>
  <c r="M30" i="5"/>
  <c r="M31" i="5"/>
  <c r="M32" i="5"/>
  <c r="M33" i="5"/>
  <c r="M34" i="5"/>
  <c r="AG215" i="5"/>
  <c r="AH215" i="5"/>
  <c r="AG214" i="5"/>
  <c r="AH214" i="5"/>
  <c r="AG213" i="5"/>
  <c r="AH213" i="5"/>
  <c r="AF213" i="5"/>
  <c r="AG212" i="5"/>
  <c r="AF212" i="5"/>
  <c r="AH212" i="5"/>
  <c r="AG209" i="5"/>
  <c r="AG211" i="5"/>
  <c r="AF211" i="5"/>
  <c r="I14" i="5"/>
  <c r="L14" i="5"/>
  <c r="AT176" i="5"/>
  <c r="AG210" i="5"/>
  <c r="AF210" i="5"/>
  <c r="AH210" i="5"/>
  <c r="AF209" i="5"/>
  <c r="AG208" i="5"/>
  <c r="AH208" i="5"/>
  <c r="AG206" i="5"/>
  <c r="AF206" i="5"/>
  <c r="AG205" i="5"/>
  <c r="AH205" i="5"/>
  <c r="AD209" i="5"/>
  <c r="AN237" i="5"/>
  <c r="AF205" i="5"/>
  <c r="AG204" i="5"/>
  <c r="AF204" i="5"/>
  <c r="AH204" i="5"/>
  <c r="AG203" i="5"/>
  <c r="AF203" i="5"/>
  <c r="AG202" i="5"/>
  <c r="AH202" i="5"/>
  <c r="AF202" i="5"/>
  <c r="AG199" i="5"/>
  <c r="AF199" i="5"/>
  <c r="AH199" i="5"/>
  <c r="U70" i="11"/>
  <c r="U71" i="11" s="1"/>
  <c r="V70" i="11"/>
  <c r="V71" i="11" s="1"/>
  <c r="S70" i="11"/>
  <c r="S71" i="11" s="1"/>
  <c r="T70" i="11"/>
  <c r="T71" i="11" s="1"/>
  <c r="O70" i="11"/>
  <c r="O71" i="11" s="1"/>
  <c r="P70" i="11"/>
  <c r="P71" i="11" s="1"/>
  <c r="M70" i="11"/>
  <c r="N70" i="11"/>
  <c r="N71" i="11" s="1"/>
  <c r="Z73" i="11" s="1"/>
  <c r="L70" i="11"/>
  <c r="L71" i="11"/>
  <c r="Q70" i="11"/>
  <c r="Q71" i="11" s="1"/>
  <c r="R70" i="11"/>
  <c r="R71" i="11" s="1"/>
  <c r="W71" i="11"/>
  <c r="N63" i="11"/>
  <c r="N60" i="11"/>
  <c r="O55" i="11" s="1"/>
  <c r="O53" i="11"/>
  <c r="P63" i="11"/>
  <c r="P60" i="11"/>
  <c r="R63" i="11"/>
  <c r="R60" i="11"/>
  <c r="T63" i="11"/>
  <c r="T60" i="11"/>
  <c r="V63" i="11"/>
  <c r="V60" i="11"/>
  <c r="W63" i="11"/>
  <c r="W60" i="11"/>
  <c r="X63" i="11"/>
  <c r="X60" i="11"/>
  <c r="Y54" i="11" s="1"/>
  <c r="Z63" i="11"/>
  <c r="AB63" i="11"/>
  <c r="AD63" i="11"/>
  <c r="AD64" i="11" s="1"/>
  <c r="AF63" i="11"/>
  <c r="AJ63" i="11"/>
  <c r="AL63" i="11"/>
  <c r="AL64" i="11" s="1"/>
  <c r="AD201" i="5"/>
  <c r="C64" i="5"/>
  <c r="AD193" i="5"/>
  <c r="AD194" i="5"/>
  <c r="N41" i="1"/>
  <c r="N42" i="1"/>
  <c r="E10" i="40" s="1"/>
  <c r="N44" i="1"/>
  <c r="E12" i="40" s="1"/>
  <c r="N45" i="1"/>
  <c r="E13" i="40" s="1"/>
  <c r="N47" i="1"/>
  <c r="E14" i="40" s="1"/>
  <c r="E18" i="40"/>
  <c r="N48" i="1"/>
  <c r="N49" i="1"/>
  <c r="E19" i="40" s="1"/>
  <c r="N50" i="1"/>
  <c r="E6" i="40" s="1"/>
  <c r="N51" i="1"/>
  <c r="N52" i="1"/>
  <c r="E20" i="1"/>
  <c r="M20" i="1" s="1"/>
  <c r="E25" i="1"/>
  <c r="M25" i="1"/>
  <c r="AG187" i="5"/>
  <c r="AH187" i="5"/>
  <c r="AG186" i="5"/>
  <c r="AH186" i="5"/>
  <c r="AD186" i="5"/>
  <c r="AP208" i="5"/>
  <c r="AG174" i="5"/>
  <c r="AS181" i="5"/>
  <c r="D43" i="15"/>
  <c r="AG180" i="5"/>
  <c r="AH180" i="5"/>
  <c r="AF174" i="5"/>
  <c r="AG179" i="5"/>
  <c r="AG178" i="5"/>
  <c r="AH178" i="5"/>
  <c r="AG177" i="5"/>
  <c r="H252" i="6"/>
  <c r="AD180" i="5"/>
  <c r="C2" i="5"/>
  <c r="B7" i="5" s="1"/>
  <c r="H14" i="5"/>
  <c r="G14" i="5"/>
  <c r="H11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Z31" i="11"/>
  <c r="Q24" i="11"/>
  <c r="D52" i="15"/>
  <c r="D51" i="15"/>
  <c r="D50" i="15"/>
  <c r="D49" i="15"/>
  <c r="D48" i="15"/>
  <c r="D47" i="15"/>
  <c r="D46" i="15"/>
  <c r="D45" i="15"/>
  <c r="D44" i="15"/>
  <c r="AF178" i="5"/>
  <c r="AF177" i="5"/>
  <c r="AF176" i="5"/>
  <c r="AH176" i="5"/>
  <c r="AS174" i="5"/>
  <c r="AF175" i="5"/>
  <c r="AH175" i="5"/>
  <c r="AF171" i="5"/>
  <c r="AH171" i="5"/>
  <c r="AF170" i="5"/>
  <c r="AH170" i="5"/>
  <c r="AF169" i="5"/>
  <c r="AH169" i="5"/>
  <c r="AF168" i="5"/>
  <c r="AH168" i="5"/>
  <c r="AJ172" i="5"/>
  <c r="AF167" i="5"/>
  <c r="AH167" i="5"/>
  <c r="AF164" i="5"/>
  <c r="AH164" i="5"/>
  <c r="AF163" i="5"/>
  <c r="AH163" i="5"/>
  <c r="AF162" i="5"/>
  <c r="AH162" i="5"/>
  <c r="AF161" i="5"/>
  <c r="AH161" i="5"/>
  <c r="AF160" i="5"/>
  <c r="AH160" i="5"/>
  <c r="AD174" i="5"/>
  <c r="F40" i="15"/>
  <c r="F39" i="15"/>
  <c r="F38" i="15"/>
  <c r="F37" i="15"/>
  <c r="F36" i="15"/>
  <c r="F35" i="15"/>
  <c r="F34" i="15"/>
  <c r="F32" i="15"/>
  <c r="F31" i="15"/>
  <c r="F30" i="15"/>
  <c r="F29" i="15"/>
  <c r="F28" i="15"/>
  <c r="F27" i="15"/>
  <c r="F26" i="15"/>
  <c r="F24" i="15"/>
  <c r="F23" i="15"/>
  <c r="F19" i="15"/>
  <c r="F16" i="15"/>
  <c r="F15" i="15"/>
  <c r="F14" i="15"/>
  <c r="F13" i="15"/>
  <c r="F12" i="15"/>
  <c r="F11" i="15"/>
  <c r="F7" i="15"/>
  <c r="F6" i="15"/>
  <c r="F5" i="15"/>
  <c r="F4" i="15"/>
  <c r="F3" i="15"/>
  <c r="F2" i="15"/>
  <c r="C20" i="1"/>
  <c r="K20" i="1"/>
  <c r="F20" i="1"/>
  <c r="N20" i="1"/>
  <c r="I193" i="12"/>
  <c r="I188" i="12"/>
  <c r="AC165" i="5"/>
  <c r="F4" i="5"/>
  <c r="AF139" i="5"/>
  <c r="AH139" i="5"/>
  <c r="AF140" i="5"/>
  <c r="AH140" i="5"/>
  <c r="AF141" i="5"/>
  <c r="AH141" i="5"/>
  <c r="AJ144" i="5"/>
  <c r="AF142" i="5"/>
  <c r="AH142" i="5"/>
  <c r="AF143" i="5"/>
  <c r="AH143" i="5"/>
  <c r="F247" i="6"/>
  <c r="E247" i="6"/>
  <c r="F248" i="6"/>
  <c r="G248" i="6" s="1"/>
  <c r="E248" i="6"/>
  <c r="AD160" i="5"/>
  <c r="N19" i="11"/>
  <c r="X24" i="11"/>
  <c r="W24" i="11"/>
  <c r="V24" i="11"/>
  <c r="V25" i="11"/>
  <c r="U24" i="11"/>
  <c r="T24" i="11"/>
  <c r="T25" i="11" s="1"/>
  <c r="S24" i="11"/>
  <c r="R24" i="11"/>
  <c r="T29" i="11" s="1"/>
  <c r="T30" i="11" s="1"/>
  <c r="AD148" i="5"/>
  <c r="AH184" i="5"/>
  <c r="AH185" i="5"/>
  <c r="AH188" i="5"/>
  <c r="AH189" i="5"/>
  <c r="AH190" i="5"/>
  <c r="AH191" i="5"/>
  <c r="AH192" i="5"/>
  <c r="AH217" i="5"/>
  <c r="AH226" i="5"/>
  <c r="AH231" i="5"/>
  <c r="AH246" i="5"/>
  <c r="AH266" i="5"/>
  <c r="AH284" i="5"/>
  <c r="AH285" i="5"/>
  <c r="AH181" i="5"/>
  <c r="AH182" i="5"/>
  <c r="AH183" i="5"/>
  <c r="AH153" i="5"/>
  <c r="AH154" i="5"/>
  <c r="AH155" i="5"/>
  <c r="AH156" i="5"/>
  <c r="AH157" i="5"/>
  <c r="AH158" i="5"/>
  <c r="AJ158" i="5"/>
  <c r="AH159" i="5"/>
  <c r="AH165" i="5"/>
  <c r="AH166" i="5"/>
  <c r="AH172" i="5"/>
  <c r="AH173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AD135" i="5"/>
  <c r="AG130" i="5"/>
  <c r="AH130" i="5"/>
  <c r="AG129" i="5"/>
  <c r="AH129" i="5"/>
  <c r="AG128" i="5"/>
  <c r="AH128" i="5"/>
  <c r="AG126" i="5"/>
  <c r="AF126" i="5"/>
  <c r="AF125" i="5"/>
  <c r="AG127" i="5"/>
  <c r="AG125" i="5"/>
  <c r="AD129" i="5"/>
  <c r="D66" i="10"/>
  <c r="AG124" i="5"/>
  <c r="AG123" i="5"/>
  <c r="AG116" i="5"/>
  <c r="AH116" i="5"/>
  <c r="AD123" i="5"/>
  <c r="AP147" i="5"/>
  <c r="L44" i="5"/>
  <c r="U44" i="5"/>
  <c r="AJ19" i="11"/>
  <c r="AD116" i="5"/>
  <c r="AG110" i="5"/>
  <c r="AH110" i="5"/>
  <c r="AG109" i="5"/>
  <c r="AH109" i="5"/>
  <c r="X19" i="11"/>
  <c r="AH19" i="11"/>
  <c r="AF19" i="11"/>
  <c r="P19" i="11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AG96" i="5"/>
  <c r="AH96" i="5"/>
  <c r="AG103" i="5"/>
  <c r="AH103" i="5"/>
  <c r="AG95" i="5"/>
  <c r="AH95" i="5"/>
  <c r="AD110" i="5"/>
  <c r="AD91" i="5"/>
  <c r="BE77" i="1"/>
  <c r="T80" i="1"/>
  <c r="V80" i="1"/>
  <c r="X80" i="1"/>
  <c r="Y80" i="1"/>
  <c r="Z80" i="1"/>
  <c r="AA80" i="1"/>
  <c r="AB80" i="1"/>
  <c r="AC80" i="1"/>
  <c r="AD80" i="1"/>
  <c r="AE80" i="1"/>
  <c r="AH80" i="1"/>
  <c r="AK80" i="1"/>
  <c r="AL80" i="1"/>
  <c r="AO80" i="1"/>
  <c r="AP80" i="1"/>
  <c r="AQ80" i="1"/>
  <c r="AS80" i="1"/>
  <c r="AU80" i="1"/>
  <c r="AV80" i="1"/>
  <c r="AW80" i="1"/>
  <c r="AX80" i="1"/>
  <c r="AY80" i="1"/>
  <c r="BC80" i="1"/>
  <c r="BD80" i="1"/>
  <c r="BE80" i="1"/>
  <c r="BF80" i="1"/>
  <c r="BG80" i="1"/>
  <c r="BH80" i="1"/>
  <c r="BI80" i="1"/>
  <c r="BK80" i="1"/>
  <c r="BM80" i="1"/>
  <c r="BO80" i="1"/>
  <c r="BP80" i="1"/>
  <c r="BR80" i="1"/>
  <c r="BS80" i="1"/>
  <c r="BT80" i="1"/>
  <c r="BU80" i="1"/>
  <c r="BV80" i="1"/>
  <c r="BW80" i="1"/>
  <c r="BX80" i="1"/>
  <c r="CE80" i="1"/>
  <c r="CG80" i="1"/>
  <c r="CJ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S80" i="1"/>
  <c r="F254" i="6"/>
  <c r="E254" i="6"/>
  <c r="F253" i="6"/>
  <c r="E253" i="6"/>
  <c r="F252" i="6"/>
  <c r="E252" i="6"/>
  <c r="F251" i="6"/>
  <c r="E251" i="6"/>
  <c r="F250" i="6"/>
  <c r="E250" i="6"/>
  <c r="F249" i="6"/>
  <c r="E249" i="6"/>
  <c r="F246" i="6"/>
  <c r="G246" i="6" s="1"/>
  <c r="E246" i="6"/>
  <c r="F245" i="6"/>
  <c r="E245" i="6"/>
  <c r="G245" i="6" s="1"/>
  <c r="F244" i="6"/>
  <c r="E244" i="6"/>
  <c r="F243" i="6"/>
  <c r="E243" i="6"/>
  <c r="F242" i="6"/>
  <c r="E242" i="6"/>
  <c r="F241" i="6"/>
  <c r="E241" i="6"/>
  <c r="F240" i="6"/>
  <c r="E240" i="6"/>
  <c r="F239" i="6"/>
  <c r="E239" i="6"/>
  <c r="F238" i="6"/>
  <c r="E238" i="6"/>
  <c r="G238" i="6" s="1"/>
  <c r="F237" i="6"/>
  <c r="E237" i="6"/>
  <c r="F236" i="6"/>
  <c r="E236" i="6"/>
  <c r="F235" i="6"/>
  <c r="E235" i="6"/>
  <c r="F234" i="6"/>
  <c r="E234" i="6"/>
  <c r="F233" i="6"/>
  <c r="E233" i="6"/>
  <c r="F232" i="6"/>
  <c r="G232" i="6" s="1"/>
  <c r="E232" i="6"/>
  <c r="F231" i="6"/>
  <c r="E231" i="6"/>
  <c r="F230" i="6"/>
  <c r="E230" i="6"/>
  <c r="F229" i="6"/>
  <c r="E229" i="6"/>
  <c r="F228" i="6"/>
  <c r="E228" i="6"/>
  <c r="F227" i="6"/>
  <c r="E227" i="6"/>
  <c r="F226" i="6"/>
  <c r="E226" i="6"/>
  <c r="F225" i="6"/>
  <c r="G225" i="6" s="1"/>
  <c r="E225" i="6"/>
  <c r="F224" i="6"/>
  <c r="E224" i="6"/>
  <c r="G224" i="6" s="1"/>
  <c r="F223" i="6"/>
  <c r="E223" i="6"/>
  <c r="F222" i="6"/>
  <c r="E222" i="6"/>
  <c r="F221" i="6"/>
  <c r="E221" i="6"/>
  <c r="F220" i="6"/>
  <c r="E220" i="6"/>
  <c r="F219" i="6"/>
  <c r="E219" i="6"/>
  <c r="F218" i="6"/>
  <c r="G218" i="6" s="1"/>
  <c r="E218" i="6"/>
  <c r="F217" i="6"/>
  <c r="E217" i="6"/>
  <c r="F216" i="6"/>
  <c r="E216" i="6"/>
  <c r="F215" i="6"/>
  <c r="E215" i="6"/>
  <c r="F214" i="6"/>
  <c r="E214" i="6"/>
  <c r="F213" i="6"/>
  <c r="E213" i="6"/>
  <c r="F212" i="6"/>
  <c r="E212" i="6"/>
  <c r="F211" i="6"/>
  <c r="E211" i="6"/>
  <c r="F210" i="6"/>
  <c r="E210" i="6"/>
  <c r="F209" i="6"/>
  <c r="E209" i="6"/>
  <c r="F208" i="6"/>
  <c r="E208" i="6"/>
  <c r="F207" i="6"/>
  <c r="E207" i="6"/>
  <c r="F206" i="6"/>
  <c r="E206" i="6"/>
  <c r="F205" i="6"/>
  <c r="E205" i="6"/>
  <c r="F204" i="6"/>
  <c r="E204" i="6"/>
  <c r="F203" i="6"/>
  <c r="E203" i="6"/>
  <c r="F202" i="6"/>
  <c r="E202" i="6"/>
  <c r="G202" i="6" s="1"/>
  <c r="F201" i="6"/>
  <c r="E201" i="6"/>
  <c r="F200" i="6"/>
  <c r="E200" i="6"/>
  <c r="F199" i="6"/>
  <c r="E199" i="6"/>
  <c r="F198" i="6"/>
  <c r="E198" i="6"/>
  <c r="F197" i="6"/>
  <c r="E197" i="6"/>
  <c r="F196" i="6"/>
  <c r="E196" i="6"/>
  <c r="G196" i="6" s="1"/>
  <c r="F195" i="6"/>
  <c r="E195" i="6"/>
  <c r="F194" i="6"/>
  <c r="E194" i="6"/>
  <c r="G194" i="6" s="1"/>
  <c r="F193" i="6"/>
  <c r="E193" i="6"/>
  <c r="F192" i="6"/>
  <c r="E192" i="6"/>
  <c r="F191" i="6"/>
  <c r="E191" i="6"/>
  <c r="F190" i="6"/>
  <c r="E190" i="6"/>
  <c r="G190" i="6" s="1"/>
  <c r="F189" i="6"/>
  <c r="E189" i="6"/>
  <c r="F188" i="6"/>
  <c r="G188" i="6" s="1"/>
  <c r="E188" i="6"/>
  <c r="F187" i="6"/>
  <c r="E187" i="6"/>
  <c r="F186" i="6"/>
  <c r="E186" i="6"/>
  <c r="F184" i="6"/>
  <c r="E184" i="6"/>
  <c r="F183" i="6"/>
  <c r="E183" i="6"/>
  <c r="F182" i="6"/>
  <c r="E182" i="6"/>
  <c r="G182" i="6" s="1"/>
  <c r="F181" i="6"/>
  <c r="E181" i="6"/>
  <c r="F180" i="6"/>
  <c r="G180" i="6" s="1"/>
  <c r="E180" i="6"/>
  <c r="F179" i="6"/>
  <c r="E179" i="6"/>
  <c r="M40" i="5"/>
  <c r="AG94" i="5"/>
  <c r="AG91" i="5"/>
  <c r="AH91" i="5"/>
  <c r="AG89" i="5"/>
  <c r="AH89" i="5"/>
  <c r="AF104" i="5"/>
  <c r="AH104" i="5"/>
  <c r="AF92" i="5"/>
  <c r="AH92" i="5"/>
  <c r="AG87" i="5"/>
  <c r="AH87" i="5"/>
  <c r="F25" i="1"/>
  <c r="N25" i="1" s="1"/>
  <c r="F15" i="1"/>
  <c r="AD101" i="5"/>
  <c r="AD88" i="5"/>
  <c r="AN117" i="5"/>
  <c r="AP117" i="5"/>
  <c r="AS85" i="5"/>
  <c r="AT85" i="5"/>
  <c r="AG83" i="5"/>
  <c r="AG80" i="5"/>
  <c r="AG79" i="5"/>
  <c r="AG81" i="5"/>
  <c r="AH81" i="5"/>
  <c r="AD82" i="5"/>
  <c r="AD78" i="5"/>
  <c r="AK82" i="5"/>
  <c r="AG76" i="5"/>
  <c r="AG65" i="5"/>
  <c r="AG73" i="5"/>
  <c r="H13" i="5"/>
  <c r="G13" i="5"/>
  <c r="AG68" i="5"/>
  <c r="AH68" i="5"/>
  <c r="AG66" i="5"/>
  <c r="AH66" i="5"/>
  <c r="AG67" i="5"/>
  <c r="AH67" i="5"/>
  <c r="AJ73" i="5"/>
  <c r="AJ76" i="5"/>
  <c r="E13" i="5"/>
  <c r="F14" i="5"/>
  <c r="E14" i="5"/>
  <c r="AG64" i="5"/>
  <c r="AD67" i="5"/>
  <c r="AK77" i="5"/>
  <c r="AG63" i="5"/>
  <c r="AF63" i="5"/>
  <c r="AG60" i="5"/>
  <c r="AH60" i="5"/>
  <c r="AG61" i="5"/>
  <c r="AH61" i="5"/>
  <c r="AG58" i="5"/>
  <c r="AM86" i="5"/>
  <c r="AF58" i="5"/>
  <c r="AH58" i="5"/>
  <c r="AF56" i="5"/>
  <c r="AL86" i="5"/>
  <c r="AH56" i="5"/>
  <c r="AD59" i="5"/>
  <c r="AP86" i="5"/>
  <c r="AD46" i="5"/>
  <c r="AT58" i="5"/>
  <c r="AG54" i="5"/>
  <c r="AH54" i="5"/>
  <c r="AG53" i="5"/>
  <c r="AH53" i="5"/>
  <c r="AG52" i="5"/>
  <c r="AH52" i="5"/>
  <c r="AG45" i="5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15" i="4"/>
  <c r="AH31" i="11"/>
  <c r="AG31" i="11"/>
  <c r="AG55" i="5"/>
  <c r="AH55" i="5"/>
  <c r="AH62" i="5"/>
  <c r="AH152" i="5"/>
  <c r="AH151" i="5"/>
  <c r="AF64" i="5"/>
  <c r="AH64" i="5"/>
  <c r="AF65" i="5"/>
  <c r="AF66" i="5"/>
  <c r="AH69" i="5"/>
  <c r="AH70" i="5"/>
  <c r="AH71" i="5"/>
  <c r="AH72" i="5"/>
  <c r="AF73" i="5"/>
  <c r="AH74" i="5"/>
  <c r="AH75" i="5"/>
  <c r="AF76" i="5"/>
  <c r="AH76" i="5"/>
  <c r="AF77" i="5"/>
  <c r="AH77" i="5"/>
  <c r="AF78" i="5"/>
  <c r="AH78" i="5"/>
  <c r="AF79" i="5"/>
  <c r="AH79" i="5"/>
  <c r="AF80" i="5"/>
  <c r="AH80" i="5"/>
  <c r="AH82" i="5"/>
  <c r="AF83" i="5"/>
  <c r="AF84" i="5"/>
  <c r="AH84" i="5"/>
  <c r="AF85" i="5"/>
  <c r="AH85" i="5"/>
  <c r="AF86" i="5"/>
  <c r="AH86" i="5"/>
  <c r="AH88" i="5"/>
  <c r="AF90" i="5"/>
  <c r="AL117" i="5"/>
  <c r="AH90" i="5"/>
  <c r="AF93" i="5"/>
  <c r="AH93" i="5"/>
  <c r="AF94" i="5"/>
  <c r="AH94" i="5"/>
  <c r="AH97" i="5"/>
  <c r="AH98" i="5"/>
  <c r="AH99" i="5"/>
  <c r="AH100" i="5"/>
  <c r="AH101" i="5"/>
  <c r="AH102" i="5"/>
  <c r="AH105" i="5"/>
  <c r="AH106" i="5"/>
  <c r="AH107" i="5"/>
  <c r="AF108" i="5"/>
  <c r="AH108" i="5"/>
  <c r="AF111" i="5"/>
  <c r="AH111" i="5"/>
  <c r="AF112" i="5"/>
  <c r="AH112" i="5"/>
  <c r="AF113" i="5"/>
  <c r="AH113" i="5"/>
  <c r="AF114" i="5"/>
  <c r="AH114" i="5"/>
  <c r="AF115" i="5"/>
  <c r="AH115" i="5"/>
  <c r="AH117" i="5"/>
  <c r="AH118" i="5"/>
  <c r="AH119" i="5"/>
  <c r="AH120" i="5"/>
  <c r="AH121" i="5"/>
  <c r="AH122" i="5"/>
  <c r="AF123" i="5"/>
  <c r="AF124" i="5"/>
  <c r="AF127" i="5"/>
  <c r="AH131" i="5"/>
  <c r="AF132" i="5"/>
  <c r="AH132" i="5"/>
  <c r="AF133" i="5"/>
  <c r="AH133" i="5"/>
  <c r="AF134" i="5"/>
  <c r="AH134" i="5"/>
  <c r="AF135" i="5"/>
  <c r="AH135" i="5"/>
  <c r="AF136" i="5"/>
  <c r="AH136" i="5"/>
  <c r="AH137" i="5"/>
  <c r="AH138" i="5"/>
  <c r="AH144" i="5"/>
  <c r="AH145" i="5"/>
  <c r="AH146" i="5"/>
  <c r="AH147" i="5"/>
  <c r="AH148" i="5"/>
  <c r="AH149" i="5"/>
  <c r="AH150" i="5"/>
  <c r="AF49" i="5"/>
  <c r="AH49" i="5"/>
  <c r="AG48" i="5"/>
  <c r="AG47" i="5"/>
  <c r="AH47" i="5"/>
  <c r="AG46" i="5"/>
  <c r="AH46" i="5"/>
  <c r="AT55" i="5"/>
  <c r="AS58" i="5"/>
  <c r="AG44" i="5"/>
  <c r="AG35" i="5"/>
  <c r="AD45" i="5"/>
  <c r="AD44" i="5"/>
  <c r="AA43" i="5"/>
  <c r="AG43" i="5"/>
  <c r="AF43" i="5"/>
  <c r="AG42" i="5"/>
  <c r="AG41" i="5"/>
  <c r="AG40" i="5"/>
  <c r="AH40" i="5"/>
  <c r="AF31" i="11"/>
  <c r="AA31" i="11"/>
  <c r="AB31" i="11"/>
  <c r="AC31" i="11"/>
  <c r="AE31" i="11"/>
  <c r="P29" i="5"/>
  <c r="P28" i="5"/>
  <c r="P24" i="5"/>
  <c r="P25" i="5"/>
  <c r="P26" i="5"/>
  <c r="P27" i="5"/>
  <c r="P30" i="5"/>
  <c r="P31" i="5"/>
  <c r="P33" i="5"/>
  <c r="P23" i="5"/>
  <c r="AG37" i="5"/>
  <c r="AH37" i="5"/>
  <c r="AG34" i="5"/>
  <c r="D27" i="4"/>
  <c r="D28" i="4"/>
  <c r="D29" i="4"/>
  <c r="D30" i="4"/>
  <c r="D31" i="4"/>
  <c r="D32" i="4"/>
  <c r="D33" i="4"/>
  <c r="D34" i="4"/>
  <c r="D35" i="4"/>
  <c r="D36" i="4"/>
  <c r="D37" i="4"/>
  <c r="D38" i="4"/>
  <c r="B2" i="9"/>
  <c r="AG39" i="5"/>
  <c r="AH39" i="5"/>
  <c r="AG38" i="5"/>
  <c r="AF37" i="5"/>
  <c r="AR63" i="11"/>
  <c r="AP63" i="11"/>
  <c r="AN63" i="11"/>
  <c r="AD19" i="11"/>
  <c r="AB19" i="11"/>
  <c r="Z19" i="11"/>
  <c r="W19" i="11"/>
  <c r="V19" i="11"/>
  <c r="T19" i="11"/>
  <c r="R19" i="11"/>
  <c r="AD37" i="5"/>
  <c r="AK42" i="5"/>
  <c r="AG33" i="5"/>
  <c r="AH33" i="5"/>
  <c r="AG36" i="5"/>
  <c r="AF36" i="5"/>
  <c r="AH36" i="5"/>
  <c r="AF34" i="5"/>
  <c r="AG32" i="5"/>
  <c r="AH32" i="5"/>
  <c r="F255" i="6"/>
  <c r="E255" i="6"/>
  <c r="G255" i="6" s="1"/>
  <c r="AD27" i="5"/>
  <c r="AD25" i="5"/>
  <c r="AF27" i="5"/>
  <c r="AL56" i="5"/>
  <c r="AG28" i="5"/>
  <c r="AH28" i="5"/>
  <c r="AF59" i="5"/>
  <c r="AH59" i="5"/>
  <c r="AH57" i="5"/>
  <c r="AF55" i="5"/>
  <c r="AF52" i="5"/>
  <c r="AH51" i="5"/>
  <c r="AH50" i="5"/>
  <c r="AF45" i="5"/>
  <c r="AH45" i="5"/>
  <c r="AF48" i="5"/>
  <c r="AH48" i="5"/>
  <c r="AF44" i="5"/>
  <c r="AH44" i="5"/>
  <c r="AF42" i="5"/>
  <c r="AF41" i="5"/>
  <c r="AF38" i="5"/>
  <c r="AF35" i="5"/>
  <c r="AF31" i="5"/>
  <c r="AH31" i="5"/>
  <c r="AG31" i="5"/>
  <c r="AG29" i="5"/>
  <c r="AH29" i="5"/>
  <c r="AF28" i="5"/>
  <c r="AG27" i="5"/>
  <c r="AD31" i="5"/>
  <c r="AK36" i="5"/>
  <c r="AG30" i="5"/>
  <c r="AH30" i="5"/>
  <c r="AG26" i="5"/>
  <c r="AM56" i="5"/>
  <c r="AG25" i="5"/>
  <c r="AH25" i="5"/>
  <c r="AI25" i="5"/>
  <c r="F319" i="6"/>
  <c r="E319" i="6"/>
  <c r="F286" i="6"/>
  <c r="E286" i="6"/>
  <c r="F287" i="6"/>
  <c r="E287" i="6"/>
  <c r="G287" i="6" s="1"/>
  <c r="F261" i="6"/>
  <c r="E261" i="6"/>
  <c r="G261" i="6" s="1"/>
  <c r="F260" i="6"/>
  <c r="E260" i="6"/>
  <c r="F259" i="6"/>
  <c r="E259" i="6"/>
  <c r="F258" i="6"/>
  <c r="E258" i="6"/>
  <c r="G258" i="6" s="1"/>
  <c r="F257" i="6"/>
  <c r="E257" i="6"/>
  <c r="F256" i="6"/>
  <c r="E256" i="6"/>
  <c r="F267" i="6"/>
  <c r="E267" i="6"/>
  <c r="G267" i="6" s="1"/>
  <c r="F266" i="6"/>
  <c r="E266" i="6"/>
  <c r="G266" i="6" s="1"/>
  <c r="F265" i="6"/>
  <c r="E265" i="6"/>
  <c r="F264" i="6"/>
  <c r="E264" i="6"/>
  <c r="F263" i="6"/>
  <c r="E263" i="6"/>
  <c r="F262" i="6"/>
  <c r="E262" i="6"/>
  <c r="F273" i="6"/>
  <c r="E273" i="6"/>
  <c r="F272" i="6"/>
  <c r="E272" i="6"/>
  <c r="G272" i="6" s="1"/>
  <c r="F271" i="6"/>
  <c r="E271" i="6"/>
  <c r="F270" i="6"/>
  <c r="E270" i="6"/>
  <c r="F269" i="6"/>
  <c r="E269" i="6"/>
  <c r="F268" i="6"/>
  <c r="E268" i="6"/>
  <c r="G268" i="6" s="1"/>
  <c r="F279" i="6"/>
  <c r="E279" i="6"/>
  <c r="F278" i="6"/>
  <c r="E278" i="6"/>
  <c r="F277" i="6"/>
  <c r="E277" i="6"/>
  <c r="G277" i="6" s="1"/>
  <c r="F276" i="6"/>
  <c r="E276" i="6"/>
  <c r="G276" i="6" s="1"/>
  <c r="F275" i="6"/>
  <c r="E275" i="6"/>
  <c r="F274" i="6"/>
  <c r="E274" i="6"/>
  <c r="F285" i="6"/>
  <c r="E285" i="6"/>
  <c r="F284" i="6"/>
  <c r="E284" i="6"/>
  <c r="F283" i="6"/>
  <c r="E283" i="6"/>
  <c r="F282" i="6"/>
  <c r="E282" i="6"/>
  <c r="F281" i="6"/>
  <c r="E281" i="6"/>
  <c r="G281" i="6" s="1"/>
  <c r="F280" i="6"/>
  <c r="E280" i="6"/>
  <c r="F293" i="6"/>
  <c r="G293" i="6" s="1"/>
  <c r="E293" i="6"/>
  <c r="F292" i="6"/>
  <c r="E292" i="6"/>
  <c r="F291" i="6"/>
  <c r="G291" i="6" s="1"/>
  <c r="E291" i="6"/>
  <c r="F290" i="6"/>
  <c r="E290" i="6"/>
  <c r="F289" i="6"/>
  <c r="E289" i="6"/>
  <c r="F288" i="6"/>
  <c r="E288" i="6"/>
  <c r="D11" i="5"/>
  <c r="C11" i="5" s="1"/>
  <c r="P36" i="5"/>
  <c r="BK53" i="1"/>
  <c r="BL53" i="1"/>
  <c r="BM53" i="1"/>
  <c r="BN53" i="1"/>
  <c r="BO53" i="1"/>
  <c r="BP53" i="1"/>
  <c r="BQ53" i="1"/>
  <c r="BR53" i="1"/>
  <c r="G53" i="1" s="1"/>
  <c r="BS53" i="1"/>
  <c r="BT53" i="1"/>
  <c r="BU53" i="1"/>
  <c r="BW53" i="1"/>
  <c r="BX53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BI77" i="1"/>
  <c r="BK77" i="1"/>
  <c r="BM77" i="1"/>
  <c r="BO77" i="1"/>
  <c r="BP77" i="1"/>
  <c r="BR77" i="1"/>
  <c r="BT77" i="1"/>
  <c r="BV77" i="1"/>
  <c r="BW77" i="1"/>
  <c r="BX77" i="1"/>
  <c r="CE77" i="1"/>
  <c r="CG77" i="1"/>
  <c r="CI77" i="1"/>
  <c r="CJ77" i="1"/>
  <c r="CL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BG68" i="1"/>
  <c r="BH68" i="1"/>
  <c r="BG77" i="1"/>
  <c r="BH77" i="1"/>
  <c r="AX77" i="1"/>
  <c r="AY77" i="1"/>
  <c r="BC77" i="1"/>
  <c r="BD77" i="1"/>
  <c r="BF77" i="1"/>
  <c r="AW77" i="1"/>
  <c r="F312" i="6"/>
  <c r="E312" i="6"/>
  <c r="F324" i="6"/>
  <c r="E324" i="6"/>
  <c r="E322" i="6"/>
  <c r="F322" i="6"/>
  <c r="M39" i="5"/>
  <c r="M37" i="5"/>
  <c r="M36" i="5"/>
  <c r="M38" i="5"/>
  <c r="F328" i="6"/>
  <c r="E328" i="6"/>
  <c r="H331" i="6"/>
  <c r="F299" i="6"/>
  <c r="E299" i="6"/>
  <c r="F298" i="6"/>
  <c r="E298" i="6"/>
  <c r="F297" i="6"/>
  <c r="E297" i="6"/>
  <c r="F296" i="6"/>
  <c r="E296" i="6"/>
  <c r="F295" i="6"/>
  <c r="E295" i="6"/>
  <c r="F294" i="6"/>
  <c r="E294" i="6"/>
  <c r="F305" i="6"/>
  <c r="E305" i="6"/>
  <c r="G305" i="6" s="1"/>
  <c r="F304" i="6"/>
  <c r="E304" i="6"/>
  <c r="F303" i="6"/>
  <c r="E303" i="6"/>
  <c r="F302" i="6"/>
  <c r="E302" i="6"/>
  <c r="F301" i="6"/>
  <c r="E301" i="6"/>
  <c r="F300" i="6"/>
  <c r="E300" i="6"/>
  <c r="F311" i="6"/>
  <c r="E311" i="6"/>
  <c r="F310" i="6"/>
  <c r="E310" i="6"/>
  <c r="G310" i="6" s="1"/>
  <c r="F309" i="6"/>
  <c r="E309" i="6"/>
  <c r="F308" i="6"/>
  <c r="E308" i="6"/>
  <c r="F307" i="6"/>
  <c r="E307" i="6"/>
  <c r="F306" i="6"/>
  <c r="G306" i="6" s="1"/>
  <c r="E306" i="6"/>
  <c r="F318" i="6"/>
  <c r="E318" i="6"/>
  <c r="F317" i="6"/>
  <c r="G317" i="6" s="1"/>
  <c r="E317" i="6"/>
  <c r="F316" i="6"/>
  <c r="E316" i="6"/>
  <c r="G316" i="6" s="1"/>
  <c r="F315" i="6"/>
  <c r="E315" i="6"/>
  <c r="F314" i="6"/>
  <c r="E314" i="6"/>
  <c r="F313" i="6"/>
  <c r="E313" i="6"/>
  <c r="F321" i="6"/>
  <c r="E321" i="6"/>
  <c r="F327" i="6"/>
  <c r="E327" i="6"/>
  <c r="M43" i="1"/>
  <c r="D11" i="40" s="1"/>
  <c r="M52" i="1"/>
  <c r="M51" i="1"/>
  <c r="M49" i="1"/>
  <c r="D19" i="40" s="1"/>
  <c r="M47" i="1"/>
  <c r="D14" i="40" s="1"/>
  <c r="M46" i="1"/>
  <c r="D5" i="40" s="1"/>
  <c r="M45" i="1"/>
  <c r="D13" i="40" s="1"/>
  <c r="M44" i="1"/>
  <c r="D12" i="40" s="1"/>
  <c r="M42" i="1"/>
  <c r="D10" i="40" s="1"/>
  <c r="M41" i="1"/>
  <c r="E17" i="1"/>
  <c r="F326" i="6"/>
  <c r="E326" i="6"/>
  <c r="F325" i="6"/>
  <c r="G325" i="6" s="1"/>
  <c r="E325" i="6"/>
  <c r="F323" i="6"/>
  <c r="E323" i="6"/>
  <c r="F320" i="6"/>
  <c r="E320" i="6"/>
  <c r="F329" i="6"/>
  <c r="E329" i="6"/>
  <c r="F330" i="6"/>
  <c r="E330" i="6"/>
  <c r="F331" i="6"/>
  <c r="E331" i="6"/>
  <c r="F332" i="6"/>
  <c r="E332" i="6"/>
  <c r="F333" i="6"/>
  <c r="E333" i="6"/>
  <c r="F334" i="6"/>
  <c r="E334" i="6"/>
  <c r="G334" i="6" s="1"/>
  <c r="F335" i="6"/>
  <c r="E335" i="6"/>
  <c r="F336" i="6"/>
  <c r="E336" i="6"/>
  <c r="G336" i="6" s="1"/>
  <c r="F337" i="6"/>
  <c r="E337" i="6"/>
  <c r="G337" i="6" s="1"/>
  <c r="BD68" i="1"/>
  <c r="BE68" i="1"/>
  <c r="BF68" i="1"/>
  <c r="H343" i="6"/>
  <c r="H342" i="6"/>
  <c r="F343" i="6"/>
  <c r="E343" i="6"/>
  <c r="F342" i="6"/>
  <c r="E342" i="6"/>
  <c r="G342" i="6" s="1"/>
  <c r="D22" i="1"/>
  <c r="L22" i="1"/>
  <c r="C22" i="1"/>
  <c r="K22" i="1"/>
  <c r="C23" i="1"/>
  <c r="K23" i="1"/>
  <c r="D23" i="1"/>
  <c r="L23" i="1"/>
  <c r="F338" i="6"/>
  <c r="E338" i="6"/>
  <c r="F339" i="6"/>
  <c r="E339" i="6"/>
  <c r="K51" i="1"/>
  <c r="L51" i="1"/>
  <c r="F360" i="6"/>
  <c r="E360" i="6"/>
  <c r="L43" i="1"/>
  <c r="C11" i="40" s="1"/>
  <c r="F347" i="6"/>
  <c r="E347" i="6"/>
  <c r="F346" i="6"/>
  <c r="E346" i="6"/>
  <c r="F345" i="6"/>
  <c r="E345" i="6"/>
  <c r="G345" i="6" s="1"/>
  <c r="F344" i="6"/>
  <c r="E344" i="6"/>
  <c r="F341" i="6"/>
  <c r="E341" i="6"/>
  <c r="F340" i="6"/>
  <c r="E340" i="6"/>
  <c r="F365" i="6"/>
  <c r="E365" i="6"/>
  <c r="F354" i="6"/>
  <c r="E354" i="6"/>
  <c r="G354" i="6" s="1"/>
  <c r="F353" i="6"/>
  <c r="E353" i="6"/>
  <c r="F352" i="6"/>
  <c r="E352" i="6"/>
  <c r="F351" i="6"/>
  <c r="E351" i="6"/>
  <c r="F350" i="6"/>
  <c r="E350" i="6"/>
  <c r="F349" i="6"/>
  <c r="E349" i="6"/>
  <c r="F348" i="6"/>
  <c r="E348" i="6"/>
  <c r="F364" i="6"/>
  <c r="E364" i="6"/>
  <c r="F363" i="6"/>
  <c r="E363" i="6"/>
  <c r="G363" i="6" s="1"/>
  <c r="F362" i="6"/>
  <c r="E362" i="6"/>
  <c r="F361" i="6"/>
  <c r="E361" i="6"/>
  <c r="F359" i="6"/>
  <c r="E359" i="6"/>
  <c r="F358" i="6"/>
  <c r="E358" i="6"/>
  <c r="F357" i="6"/>
  <c r="E357" i="6"/>
  <c r="F356" i="6"/>
  <c r="E356" i="6"/>
  <c r="G356" i="6" s="1"/>
  <c r="F355" i="6"/>
  <c r="E355" i="6"/>
  <c r="E366" i="6"/>
  <c r="F366" i="6"/>
  <c r="F367" i="6"/>
  <c r="E367" i="6"/>
  <c r="F368" i="6"/>
  <c r="E368" i="6"/>
  <c r="F369" i="6"/>
  <c r="E369" i="6"/>
  <c r="F370" i="6"/>
  <c r="E370" i="6"/>
  <c r="F371" i="6"/>
  <c r="E371" i="6"/>
  <c r="G371" i="6" s="1"/>
  <c r="F372" i="6"/>
  <c r="E372" i="6"/>
  <c r="D10" i="4"/>
  <c r="D11" i="4"/>
  <c r="D12" i="4"/>
  <c r="D13" i="4"/>
  <c r="D14" i="4"/>
  <c r="D16" i="4"/>
  <c r="D17" i="4"/>
  <c r="D18" i="4"/>
  <c r="D19" i="4"/>
  <c r="D20" i="4"/>
  <c r="D21" i="4"/>
  <c r="D22" i="4"/>
  <c r="D23" i="4"/>
  <c r="D24" i="4"/>
  <c r="D25" i="4"/>
  <c r="D26" i="4"/>
  <c r="D3" i="4"/>
  <c r="D4" i="4"/>
  <c r="D5" i="4"/>
  <c r="D6" i="4"/>
  <c r="D7" i="4"/>
  <c r="D8" i="4"/>
  <c r="D9" i="4"/>
  <c r="AT68" i="1"/>
  <c r="AU68" i="1"/>
  <c r="AV68" i="1"/>
  <c r="AW68" i="1"/>
  <c r="AX68" i="1"/>
  <c r="AY68" i="1"/>
  <c r="AZ68" i="1"/>
  <c r="BA68" i="1"/>
  <c r="BB68" i="1"/>
  <c r="BC68" i="1"/>
  <c r="F373" i="6"/>
  <c r="E373" i="6"/>
  <c r="F374" i="6"/>
  <c r="G374" i="6" s="1"/>
  <c r="E374" i="6"/>
  <c r="F375" i="6"/>
  <c r="E375" i="6"/>
  <c r="G375" i="6" s="1"/>
  <c r="F376" i="6"/>
  <c r="G376" i="6" s="1"/>
  <c r="E376" i="6"/>
  <c r="E377" i="6"/>
  <c r="F378" i="6"/>
  <c r="E378" i="6"/>
  <c r="F379" i="6"/>
  <c r="E379" i="6"/>
  <c r="F380" i="6"/>
  <c r="E380" i="6"/>
  <c r="F381" i="6"/>
  <c r="E381" i="6"/>
  <c r="F382" i="6"/>
  <c r="E382" i="6"/>
  <c r="F383" i="6"/>
  <c r="E383" i="6"/>
  <c r="F384" i="6"/>
  <c r="E384" i="6"/>
  <c r="F385" i="6"/>
  <c r="E385" i="6"/>
  <c r="F386" i="6"/>
  <c r="E386" i="6"/>
  <c r="F387" i="6"/>
  <c r="E387" i="6"/>
  <c r="F388" i="6"/>
  <c r="E388" i="6"/>
  <c r="F389" i="6"/>
  <c r="E389" i="6"/>
  <c r="C13" i="5"/>
  <c r="E11" i="5"/>
  <c r="K44" i="1"/>
  <c r="B12" i="40" s="1"/>
  <c r="F390" i="6"/>
  <c r="E390" i="6"/>
  <c r="F391" i="6"/>
  <c r="E391" i="6"/>
  <c r="F392" i="6"/>
  <c r="E392" i="6"/>
  <c r="F393" i="6"/>
  <c r="E393" i="6"/>
  <c r="F394" i="6"/>
  <c r="E394" i="6"/>
  <c r="G394" i="6" s="1"/>
  <c r="F395" i="6"/>
  <c r="E395" i="6"/>
  <c r="F396" i="6"/>
  <c r="E396" i="6"/>
  <c r="G396" i="6" s="1"/>
  <c r="F397" i="6"/>
  <c r="E397" i="6"/>
  <c r="F398" i="6"/>
  <c r="E398" i="6"/>
  <c r="F399" i="6"/>
  <c r="E399" i="6"/>
  <c r="F400" i="6"/>
  <c r="E400" i="6"/>
  <c r="F401" i="6"/>
  <c r="E401" i="6"/>
  <c r="G401" i="6" s="1"/>
  <c r="F402" i="6"/>
  <c r="G402" i="6" s="1"/>
  <c r="E402" i="6"/>
  <c r="F403" i="6"/>
  <c r="E403" i="6"/>
  <c r="G403" i="6" s="1"/>
  <c r="F404" i="6"/>
  <c r="E404" i="6"/>
  <c r="G404" i="6" s="1"/>
  <c r="F405" i="6"/>
  <c r="E405" i="6"/>
  <c r="G405" i="6" s="1"/>
  <c r="F406" i="6"/>
  <c r="G406" i="6" s="1"/>
  <c r="E406" i="6"/>
  <c r="F407" i="6"/>
  <c r="E407" i="6"/>
  <c r="C25" i="1"/>
  <c r="K25" i="1"/>
  <c r="C24" i="1"/>
  <c r="L3" i="10"/>
  <c r="F408" i="6"/>
  <c r="E408" i="6"/>
  <c r="C19" i="1"/>
  <c r="K19" i="1" s="1"/>
  <c r="D12" i="5"/>
  <c r="C12" i="5" s="1"/>
  <c r="F410" i="6"/>
  <c r="E410" i="6"/>
  <c r="F409" i="6"/>
  <c r="E409" i="6"/>
  <c r="F432" i="6"/>
  <c r="E432" i="6"/>
  <c r="G432" i="6" s="1"/>
  <c r="F433" i="6"/>
  <c r="E433" i="6"/>
  <c r="F437" i="6"/>
  <c r="E419" i="6"/>
  <c r="F419" i="6"/>
  <c r="E420" i="6"/>
  <c r="F420" i="6"/>
  <c r="E421" i="6"/>
  <c r="F421" i="6"/>
  <c r="E422" i="6"/>
  <c r="F422" i="6"/>
  <c r="E423" i="6"/>
  <c r="F423" i="6"/>
  <c r="G423" i="6" s="1"/>
  <c r="E424" i="6"/>
  <c r="F424" i="6"/>
  <c r="E425" i="6"/>
  <c r="F425" i="6"/>
  <c r="E426" i="6"/>
  <c r="F426" i="6"/>
  <c r="E427" i="6"/>
  <c r="F427" i="6"/>
  <c r="E428" i="6"/>
  <c r="G428" i="6" s="1"/>
  <c r="F428" i="6"/>
  <c r="E429" i="6"/>
  <c r="F429" i="6"/>
  <c r="E430" i="6"/>
  <c r="F430" i="6"/>
  <c r="G430" i="6" s="1"/>
  <c r="E431" i="6"/>
  <c r="F431" i="6"/>
  <c r="E434" i="6"/>
  <c r="F434" i="6"/>
  <c r="E435" i="6"/>
  <c r="F435" i="6"/>
  <c r="E436" i="6"/>
  <c r="G436" i="6" s="1"/>
  <c r="F436" i="6"/>
  <c r="E437" i="6"/>
  <c r="E438" i="6"/>
  <c r="F438" i="6"/>
  <c r="E439" i="6"/>
  <c r="F439" i="6"/>
  <c r="G439" i="6"/>
  <c r="E440" i="6"/>
  <c r="F440" i="6"/>
  <c r="E441" i="6"/>
  <c r="F441" i="6"/>
  <c r="E442" i="6"/>
  <c r="F442" i="6"/>
  <c r="E443" i="6"/>
  <c r="F443" i="6"/>
  <c r="E444" i="6"/>
  <c r="G444" i="6" s="1"/>
  <c r="F444" i="6"/>
  <c r="E445" i="6"/>
  <c r="F445" i="6"/>
  <c r="E446" i="6"/>
  <c r="F446" i="6"/>
  <c r="E447" i="6"/>
  <c r="F447" i="6"/>
  <c r="E448" i="6"/>
  <c r="F448" i="6"/>
  <c r="E449" i="6"/>
  <c r="F449" i="6"/>
  <c r="E450" i="6"/>
  <c r="F450" i="6"/>
  <c r="E451" i="6"/>
  <c r="G451" i="6" s="1"/>
  <c r="F451" i="6"/>
  <c r="E452" i="6"/>
  <c r="F452" i="6"/>
  <c r="E453" i="6"/>
  <c r="F453" i="6"/>
  <c r="E454" i="6"/>
  <c r="F454" i="6"/>
  <c r="E455" i="6"/>
  <c r="F455" i="6"/>
  <c r="E456" i="6"/>
  <c r="F456" i="6"/>
  <c r="E457" i="6"/>
  <c r="F457" i="6"/>
  <c r="E458" i="6"/>
  <c r="G458" i="6" s="1"/>
  <c r="F458" i="6"/>
  <c r="E459" i="6"/>
  <c r="F459" i="6"/>
  <c r="E460" i="6"/>
  <c r="F460" i="6"/>
  <c r="G460" i="6" s="1"/>
  <c r="E461" i="6"/>
  <c r="F461" i="6"/>
  <c r="E462" i="6"/>
  <c r="F462" i="6"/>
  <c r="E463" i="6"/>
  <c r="F463" i="6"/>
  <c r="E464" i="6"/>
  <c r="F464" i="6"/>
  <c r="E412" i="6"/>
  <c r="E413" i="6"/>
  <c r="E414" i="6"/>
  <c r="E415" i="6"/>
  <c r="E416" i="6"/>
  <c r="E417" i="6"/>
  <c r="E418" i="6"/>
  <c r="E411" i="6"/>
  <c r="F418" i="6"/>
  <c r="F417" i="6"/>
  <c r="F416" i="6"/>
  <c r="F415" i="6"/>
  <c r="F414" i="6"/>
  <c r="F413" i="6"/>
  <c r="F412" i="6"/>
  <c r="G412" i="6" s="1"/>
  <c r="F411" i="6"/>
  <c r="B18" i="40"/>
  <c r="D25" i="1"/>
  <c r="L25" i="1" s="1"/>
  <c r="K49" i="1"/>
  <c r="L41" i="1"/>
  <c r="L50" i="1"/>
  <c r="C6" i="40" s="1"/>
  <c r="L47" i="1"/>
  <c r="C14" i="40" s="1"/>
  <c r="L46" i="1"/>
  <c r="C5" i="40" s="1"/>
  <c r="L44" i="1"/>
  <c r="C12" i="40" s="1"/>
  <c r="L42" i="1"/>
  <c r="C10" i="40" s="1"/>
  <c r="C18" i="1"/>
  <c r="D9" i="5" s="1"/>
  <c r="C9" i="5" s="1"/>
  <c r="D18" i="1"/>
  <c r="L18" i="1" s="1"/>
  <c r="K41" i="1"/>
  <c r="K42" i="1"/>
  <c r="B10" i="40" s="1"/>
  <c r="AJ68" i="1"/>
  <c r="AK68" i="1"/>
  <c r="AL68" i="1"/>
  <c r="AM68" i="1"/>
  <c r="AN68" i="1"/>
  <c r="AO68" i="1"/>
  <c r="AP68" i="1"/>
  <c r="AQ68" i="1"/>
  <c r="AR68" i="1"/>
  <c r="AS68" i="1"/>
  <c r="C21" i="1"/>
  <c r="K21" i="1" s="1"/>
  <c r="K52" i="1"/>
  <c r="K50" i="1"/>
  <c r="B6" i="40" s="1"/>
  <c r="K47" i="1"/>
  <c r="B14" i="40" s="1"/>
  <c r="K43" i="1"/>
  <c r="B11" i="40" s="1"/>
  <c r="AH68" i="1"/>
  <c r="AI68" i="1"/>
  <c r="D2" i="4"/>
  <c r="AG68" i="1"/>
  <c r="AF68" i="1"/>
  <c r="AE68" i="1"/>
  <c r="AD68" i="1"/>
  <c r="AC68" i="1"/>
  <c r="T68" i="1"/>
  <c r="U68" i="1"/>
  <c r="V68" i="1"/>
  <c r="W68" i="1"/>
  <c r="X68" i="1"/>
  <c r="Y68" i="1"/>
  <c r="Z68" i="1"/>
  <c r="AA68" i="1"/>
  <c r="AB68" i="1"/>
  <c r="S68" i="1"/>
  <c r="AV76" i="1"/>
  <c r="AC77" i="1"/>
  <c r="AJ76" i="1"/>
  <c r="U1" i="1"/>
  <c r="AQ76" i="1"/>
  <c r="AK77" i="1"/>
  <c r="X76" i="1"/>
  <c r="AS77" i="1"/>
  <c r="AB76" i="1"/>
  <c r="V76" i="1"/>
  <c r="W76" i="1"/>
  <c r="Y76" i="1"/>
  <c r="Z76" i="1"/>
  <c r="AA76" i="1"/>
  <c r="AC76" i="1"/>
  <c r="AD76" i="1"/>
  <c r="AE76" i="1"/>
  <c r="AF76" i="1"/>
  <c r="V77" i="1"/>
  <c r="AL77" i="1"/>
  <c r="AH76" i="1"/>
  <c r="T76" i="1"/>
  <c r="Y77" i="1"/>
  <c r="AN76" i="1"/>
  <c r="AR76" i="1"/>
  <c r="AD77" i="1"/>
  <c r="AU76" i="1"/>
  <c r="AI76" i="1"/>
  <c r="AE77" i="1"/>
  <c r="AK76" i="1"/>
  <c r="S77" i="1"/>
  <c r="AL76" i="1"/>
  <c r="T77" i="1"/>
  <c r="AO77" i="1"/>
  <c r="AH77" i="1"/>
  <c r="Z77" i="1"/>
  <c r="AA77" i="1"/>
  <c r="AQ77" i="1"/>
  <c r="AV77" i="1"/>
  <c r="AB77" i="1"/>
  <c r="AP77" i="1"/>
  <c r="AU77" i="1"/>
  <c r="S76" i="1"/>
  <c r="X77" i="1"/>
  <c r="AM76" i="1"/>
  <c r="AY76" i="1"/>
  <c r="AX76" i="1"/>
  <c r="AZ76" i="1"/>
  <c r="BC76" i="1"/>
  <c r="P34" i="5"/>
  <c r="F9" i="5"/>
  <c r="E9" i="5"/>
  <c r="P32" i="5"/>
  <c r="P35" i="5"/>
  <c r="D65" i="1"/>
  <c r="P37" i="5"/>
  <c r="BA76" i="1"/>
  <c r="BF76" i="1"/>
  <c r="F76" i="1" s="1"/>
  <c r="N76" i="1" s="1"/>
  <c r="BI76" i="1"/>
  <c r="AW76" i="1"/>
  <c r="BH76" i="1"/>
  <c r="BJ76" i="1"/>
  <c r="AD165" i="5"/>
  <c r="BK76" i="1"/>
  <c r="BL76" i="1"/>
  <c r="AN329" i="5"/>
  <c r="AH386" i="5"/>
  <c r="AH343" i="5"/>
  <c r="G78" i="5"/>
  <c r="G80" i="5"/>
  <c r="AH279" i="5"/>
  <c r="AH280" i="5"/>
  <c r="AH335" i="5"/>
  <c r="AH318" i="5"/>
  <c r="AH365" i="5"/>
  <c r="AH276" i="5"/>
  <c r="AH230" i="5"/>
  <c r="AH203" i="5"/>
  <c r="AJ207" i="5"/>
  <c r="AH260" i="5"/>
  <c r="AH325" i="5"/>
  <c r="AH366" i="5"/>
  <c r="AH346" i="5"/>
  <c r="AH273" i="5"/>
  <c r="AH353" i="5"/>
  <c r="AH281" i="5"/>
  <c r="AH42" i="5"/>
  <c r="AH344" i="5"/>
  <c r="C31" i="5"/>
  <c r="AH269" i="5"/>
  <c r="AH289" i="5"/>
  <c r="AH126" i="5"/>
  <c r="AH35" i="5"/>
  <c r="AH127" i="5"/>
  <c r="AJ130" i="5"/>
  <c r="E45" i="5"/>
  <c r="AH38" i="5"/>
  <c r="AH328" i="5"/>
  <c r="AH41" i="5"/>
  <c r="AH206" i="5"/>
  <c r="AH297" i="5"/>
  <c r="AH177" i="5"/>
  <c r="AH198" i="5"/>
  <c r="AK30" i="5"/>
  <c r="AH290" i="5"/>
  <c r="E52" i="5"/>
  <c r="E37" i="5"/>
  <c r="E19" i="10"/>
  <c r="E55" i="5"/>
  <c r="E43" i="5"/>
  <c r="E47" i="5"/>
  <c r="AK108" i="5"/>
  <c r="AH123" i="5"/>
  <c r="AH282" i="5"/>
  <c r="AK298" i="5"/>
  <c r="AO298" i="5"/>
  <c r="AH286" i="5"/>
  <c r="AH329" i="5"/>
  <c r="E38" i="5"/>
  <c r="E40" i="5"/>
  <c r="E58" i="5"/>
  <c r="E46" i="5"/>
  <c r="E49" i="5"/>
  <c r="AH261" i="5"/>
  <c r="AH268" i="5"/>
  <c r="E39" i="5"/>
  <c r="E57" i="5"/>
  <c r="E50" i="5"/>
  <c r="AH65" i="5"/>
  <c r="E51" i="5"/>
  <c r="E48" i="5"/>
  <c r="E44" i="5"/>
  <c r="E42" i="5"/>
  <c r="E41" i="5"/>
  <c r="E53" i="5"/>
  <c r="E56" i="5"/>
  <c r="E54" i="5"/>
  <c r="AH211" i="5"/>
  <c r="AH321" i="5"/>
  <c r="BM76" i="1"/>
  <c r="AX60" i="11"/>
  <c r="AU75" i="11" s="1"/>
  <c r="BN76" i="1"/>
  <c r="BO11" i="1"/>
  <c r="BO76" i="1" s="1"/>
  <c r="BO69" i="1"/>
  <c r="BP76" i="1"/>
  <c r="BR76" i="1"/>
  <c r="BQ76" i="1"/>
  <c r="BV11" i="1"/>
  <c r="G11" i="1" s="1"/>
  <c r="BV69" i="1"/>
  <c r="BU76" i="1"/>
  <c r="CA76" i="1"/>
  <c r="AL603" i="5"/>
  <c r="AN603" i="5"/>
  <c r="AM603" i="5"/>
  <c r="AJ578" i="5"/>
  <c r="AH34" i="5"/>
  <c r="AH288" i="5"/>
  <c r="AS342" i="5"/>
  <c r="AT350" i="5"/>
  <c r="AU350" i="5"/>
  <c r="AV350" i="5"/>
  <c r="AH351" i="5"/>
  <c r="AH549" i="5"/>
  <c r="AJ550" i="5"/>
  <c r="AH566" i="5"/>
  <c r="AJ165" i="5"/>
  <c r="AH63" i="5"/>
  <c r="AH323" i="5"/>
  <c r="AN389" i="5"/>
  <c r="AH388" i="5"/>
  <c r="AJ389" i="5"/>
  <c r="AL421" i="5"/>
  <c r="AH83" i="5"/>
  <c r="AH247" i="5"/>
  <c r="AL268" i="5"/>
  <c r="AH262" i="5"/>
  <c r="AH316" i="5"/>
  <c r="AH349" i="5"/>
  <c r="AH398" i="5"/>
  <c r="AJ424" i="5"/>
  <c r="AP237" i="5"/>
  <c r="AH124" i="5"/>
  <c r="AU218" i="5"/>
  <c r="AV218" i="5"/>
  <c r="AH238" i="5"/>
  <c r="AH218" i="5"/>
  <c r="AJ221" i="5"/>
  <c r="AH267" i="5"/>
  <c r="AH317" i="5"/>
  <c r="D40" i="5"/>
  <c r="AL237" i="5"/>
  <c r="AH197" i="5"/>
  <c r="AH232" i="5"/>
  <c r="AJ235" i="5"/>
  <c r="AH360" i="5"/>
  <c r="AH498" i="5"/>
  <c r="AH506" i="5"/>
  <c r="AJ487" i="5"/>
  <c r="AH356" i="5"/>
  <c r="AP574" i="5"/>
  <c r="AJ123" i="5"/>
  <c r="AH73" i="5"/>
  <c r="AH275" i="5"/>
  <c r="AJ277" i="5"/>
  <c r="AH287" i="5"/>
  <c r="AS294" i="5"/>
  <c r="AT294" i="5"/>
  <c r="AU294" i="5"/>
  <c r="AV294" i="5"/>
  <c r="AL543" i="5"/>
  <c r="AP603" i="5"/>
  <c r="AU58" i="5"/>
  <c r="AV58" i="5"/>
  <c r="D38" i="5"/>
  <c r="AH43" i="5"/>
  <c r="AJ43" i="5"/>
  <c r="AH296" i="5"/>
  <c r="AL389" i="5"/>
  <c r="AJ508" i="5"/>
  <c r="BA446" i="5"/>
  <c r="BA447" i="5"/>
  <c r="BA448" i="5"/>
  <c r="AX448" i="5"/>
  <c r="AW448" i="5"/>
  <c r="AZ448" i="5"/>
  <c r="AZ449" i="5"/>
  <c r="AZ450" i="5"/>
  <c r="AZ451" i="5"/>
  <c r="AZ452" i="5"/>
  <c r="AX452" i="5"/>
  <c r="AW452" i="5"/>
  <c r="BA452" i="5"/>
  <c r="BA453" i="5"/>
  <c r="BA454" i="5"/>
  <c r="D54" i="5"/>
  <c r="D46" i="5"/>
  <c r="AH209" i="5"/>
  <c r="AU85" i="5"/>
  <c r="AV85" i="5"/>
  <c r="AH223" i="5"/>
  <c r="AH357" i="5"/>
  <c r="AN147" i="5"/>
  <c r="AM147" i="5"/>
  <c r="AH240" i="5"/>
  <c r="AH315" i="5"/>
  <c r="AH449" i="5"/>
  <c r="AJ452" i="5"/>
  <c r="AM178" i="5"/>
  <c r="AN268" i="5"/>
  <c r="AM268" i="5"/>
  <c r="AN359" i="5"/>
  <c r="AZ435" i="5"/>
  <c r="AZ436" i="5"/>
  <c r="AZ437" i="5"/>
  <c r="AZ438" i="5"/>
  <c r="AZ439" i="5"/>
  <c r="AZ440" i="5"/>
  <c r="AZ441" i="5"/>
  <c r="AZ442" i="5"/>
  <c r="AZ443" i="5"/>
  <c r="AZ444" i="5"/>
  <c r="AZ445" i="5"/>
  <c r="AM543" i="5"/>
  <c r="AH253" i="5"/>
  <c r="AM389" i="5"/>
  <c r="AN208" i="5"/>
  <c r="AH234" i="5"/>
  <c r="AJ557" i="5"/>
  <c r="D56" i="5"/>
  <c r="D41" i="5"/>
  <c r="D43" i="5"/>
  <c r="AH330" i="5"/>
  <c r="AJ333" i="5"/>
  <c r="AH174" i="5"/>
  <c r="AJ193" i="5"/>
  <c r="AH429" i="5"/>
  <c r="AH435" i="5"/>
  <c r="AJ438" i="5"/>
  <c r="AN482" i="5"/>
  <c r="D48" i="5"/>
  <c r="D58" i="5"/>
  <c r="D53" i="5"/>
  <c r="AJ249" i="5"/>
  <c r="AH412" i="5"/>
  <c r="AJ417" i="5"/>
  <c r="AH440" i="5"/>
  <c r="AJ445" i="5"/>
  <c r="BE575" i="5"/>
  <c r="BF575" i="5"/>
  <c r="AJ431" i="5"/>
  <c r="AS180" i="5"/>
  <c r="AT180" i="5"/>
  <c r="AU180" i="5"/>
  <c r="AV180" i="5"/>
  <c r="AJ186" i="5"/>
  <c r="AT187" i="5"/>
  <c r="AS187" i="5"/>
  <c r="AT194" i="5"/>
  <c r="AU194" i="5"/>
  <c r="AV194" i="5"/>
  <c r="AJ515" i="5"/>
  <c r="AM329" i="5"/>
  <c r="D47" i="5"/>
  <c r="D55" i="5"/>
  <c r="D52" i="5"/>
  <c r="D45" i="5"/>
  <c r="D42" i="5"/>
  <c r="D49" i="5"/>
  <c r="D31" i="5"/>
  <c r="E31" i="5"/>
  <c r="D51" i="5"/>
  <c r="D37" i="5"/>
  <c r="D39" i="5"/>
  <c r="D44" i="5"/>
  <c r="D50" i="5"/>
  <c r="AJ480" i="5"/>
  <c r="AL178" i="5"/>
  <c r="AH254" i="5"/>
  <c r="AM421" i="5"/>
  <c r="AL451" i="5"/>
  <c r="AM482" i="5"/>
  <c r="C66" i="5"/>
  <c r="AL208" i="5"/>
  <c r="AH196" i="5"/>
  <c r="AH252" i="5"/>
  <c r="AK268" i="5"/>
  <c r="AO268" i="5"/>
  <c r="AM298" i="5"/>
  <c r="AJ151" i="5"/>
  <c r="AL147" i="5"/>
  <c r="AH125" i="5"/>
  <c r="AJ382" i="5"/>
  <c r="AL298" i="5"/>
  <c r="AJ375" i="5"/>
  <c r="AH454" i="5"/>
  <c r="AK482" i="5"/>
  <c r="AL482" i="5"/>
  <c r="AM512" i="5"/>
  <c r="AS43" i="5"/>
  <c r="AS88" i="5"/>
  <c r="AT108" i="5"/>
  <c r="AU108" i="5"/>
  <c r="AV108" i="5"/>
  <c r="AJ86" i="5"/>
  <c r="AH179" i="5"/>
  <c r="AM208" i="5"/>
  <c r="C70" i="5"/>
  <c r="C71" i="5"/>
  <c r="AM237" i="5"/>
  <c r="AJ564" i="5"/>
  <c r="AK543" i="5"/>
  <c r="AO543" i="5"/>
  <c r="AJ396" i="5"/>
  <c r="AK421" i="5"/>
  <c r="AO421" i="5"/>
  <c r="AN451" i="5"/>
  <c r="AO451" i="5"/>
  <c r="AN512" i="5"/>
  <c r="AJ585" i="5"/>
  <c r="AJ403" i="5"/>
  <c r="AH345" i="5"/>
  <c r="AJ347" i="5"/>
  <c r="AL359" i="5"/>
  <c r="AH337" i="5"/>
  <c r="AH352" i="5"/>
  <c r="AK451" i="5"/>
  <c r="AJ501" i="5"/>
  <c r="AH322" i="5"/>
  <c r="AJ326" i="5"/>
  <c r="AH492" i="5"/>
  <c r="AJ494" i="5"/>
  <c r="AL512" i="5"/>
  <c r="AJ108" i="5"/>
  <c r="AL108" i="5"/>
  <c r="AM108" i="5"/>
  <c r="AH300" i="5"/>
  <c r="AL329" i="5"/>
  <c r="AM451" i="5"/>
  <c r="AJ522" i="5"/>
  <c r="AN543" i="5"/>
  <c r="AD43" i="5"/>
  <c r="L12" i="5"/>
  <c r="AT4" i="5"/>
  <c r="AT6" i="5"/>
  <c r="AJ571" i="5"/>
  <c r="AL574" i="5"/>
  <c r="AM574" i="5"/>
  <c r="AJ354" i="5"/>
  <c r="AJ319" i="5"/>
  <c r="AJ242" i="5"/>
  <c r="AJ77" i="5"/>
  <c r="AL77" i="5"/>
  <c r="AM77" i="5"/>
  <c r="AO482" i="5"/>
  <c r="AS229" i="5"/>
  <c r="AT229" i="5"/>
  <c r="AU229" i="5"/>
  <c r="AK237" i="5"/>
  <c r="AO237" i="5"/>
  <c r="AJ214" i="5"/>
  <c r="AK147" i="5"/>
  <c r="AO147" i="5"/>
  <c r="AJ256" i="5"/>
  <c r="AJ305" i="5"/>
  <c r="AK329" i="5"/>
  <c r="AO329" i="5"/>
  <c r="AK208" i="5"/>
  <c r="AO208" i="5"/>
  <c r="AT201" i="5"/>
  <c r="AS201" i="5"/>
  <c r="AJ200" i="5"/>
  <c r="AT88" i="5"/>
  <c r="AU88" i="5"/>
  <c r="AV88" i="5"/>
  <c r="AK512" i="5"/>
  <c r="AO512" i="5"/>
  <c r="AK359" i="5"/>
  <c r="AO359" i="5"/>
  <c r="AJ340" i="5"/>
  <c r="AT43" i="5"/>
  <c r="AU43" i="5"/>
  <c r="AV43" i="5"/>
  <c r="AK43" i="5"/>
  <c r="AL43" i="5"/>
  <c r="AM43" i="5"/>
  <c r="AS44" i="5"/>
  <c r="AT44" i="5"/>
  <c r="AU44" i="5"/>
  <c r="AV229" i="5"/>
  <c r="AV44" i="5"/>
  <c r="AK44" i="5"/>
  <c r="AL44" i="5"/>
  <c r="AM44" i="5"/>
  <c r="AU201" i="5"/>
  <c r="AV201" i="5"/>
  <c r="AJ620" i="5"/>
  <c r="AJ613" i="5"/>
  <c r="AJ606" i="5"/>
  <c r="G82" i="5"/>
  <c r="G85" i="5"/>
  <c r="E68" i="5"/>
  <c r="G83" i="5"/>
  <c r="G86" i="5"/>
  <c r="E69" i="5"/>
  <c r="G79" i="5"/>
  <c r="G81" i="5"/>
  <c r="G89" i="5"/>
  <c r="G88" i="5"/>
  <c r="AJ599" i="5"/>
  <c r="AK603" i="5"/>
  <c r="AJ592" i="5"/>
  <c r="BX76" i="1"/>
  <c r="AO603" i="5"/>
  <c r="AQ603" i="5"/>
  <c r="E70" i="5"/>
  <c r="BN77" i="1"/>
  <c r="BB80" i="1"/>
  <c r="G39" i="10"/>
  <c r="BT31" i="11"/>
  <c r="AY31" i="11"/>
  <c r="BK31" i="11"/>
  <c r="AK31" i="11"/>
  <c r="AY55" i="11"/>
  <c r="C11" i="1"/>
  <c r="K11" i="1" s="1"/>
  <c r="B16" i="41" s="1"/>
  <c r="BS76" i="1"/>
  <c r="AG77" i="1"/>
  <c r="BQ77" i="1"/>
  <c r="BY76" i="1"/>
  <c r="AR31" i="11"/>
  <c r="BE31" i="11"/>
  <c r="BQ22" i="1"/>
  <c r="AW7" i="11"/>
  <c r="AI31" i="11"/>
  <c r="G157" i="6"/>
  <c r="G161" i="6"/>
  <c r="G132" i="6"/>
  <c r="CB76" i="1"/>
  <c r="BZ76" i="1"/>
  <c r="G90" i="5"/>
  <c r="AT77" i="5"/>
  <c r="AU77" i="5"/>
  <c r="AV77" i="5"/>
  <c r="AS300" i="5"/>
  <c r="AJ459" i="5"/>
  <c r="AK389" i="5"/>
  <c r="AO389" i="5"/>
  <c r="AS360" i="5"/>
  <c r="AJ291" i="5"/>
  <c r="S4" i="5"/>
  <c r="AJ179" i="5"/>
  <c r="AQ237" i="5"/>
  <c r="AU176" i="5"/>
  <c r="AV176" i="5"/>
  <c r="AN178" i="5"/>
  <c r="AW85" i="5"/>
  <c r="AJ263" i="5"/>
  <c r="AJ66" i="5"/>
  <c r="AJ137" i="5"/>
  <c r="AK86" i="5"/>
  <c r="AO86" i="5"/>
  <c r="AP178" i="5"/>
  <c r="AT208" i="5"/>
  <c r="AU208" i="5"/>
  <c r="AV208" i="5"/>
  <c r="AJ228" i="5"/>
  <c r="AJ298" i="5"/>
  <c r="AQ451" i="5"/>
  <c r="AQ482" i="5"/>
  <c r="AP389" i="5"/>
  <c r="AJ361" i="5"/>
  <c r="AQ512" i="5"/>
  <c r="AJ543" i="5"/>
  <c r="AJ36" i="5"/>
  <c r="AQ147" i="5"/>
  <c r="AK178" i="5"/>
  <c r="AJ410" i="5"/>
  <c r="AQ543" i="5"/>
  <c r="AJ42" i="5"/>
  <c r="AL42" i="5"/>
  <c r="AM42" i="5"/>
  <c r="AQ268" i="5"/>
  <c r="AQ421" i="5"/>
  <c r="AK574" i="5"/>
  <c r="AO574" i="5"/>
  <c r="AQ574" i="5"/>
  <c r="AQ208" i="5"/>
  <c r="AQ298" i="5"/>
  <c r="AQ329" i="5"/>
  <c r="AJ368" i="5"/>
  <c r="AN56" i="5"/>
  <c r="BA4" i="5"/>
  <c r="K6" i="5"/>
  <c r="AK117" i="5"/>
  <c r="AO117" i="5"/>
  <c r="AQ117" i="5"/>
  <c r="AQ359" i="5"/>
  <c r="AJ284" i="5"/>
  <c r="AP56" i="5"/>
  <c r="AJ82" i="5"/>
  <c r="AL82" i="5"/>
  <c r="AM82" i="5"/>
  <c r="AQ86" i="5"/>
  <c r="AJ270" i="5"/>
  <c r="AH26" i="5"/>
  <c r="AH27" i="5"/>
  <c r="AK66" i="5"/>
  <c r="AS239" i="5"/>
  <c r="AV4" i="5"/>
  <c r="I11" i="5"/>
  <c r="AW454" i="5"/>
  <c r="AZ454" i="5"/>
  <c r="AZ455" i="5"/>
  <c r="AZ456" i="5"/>
  <c r="AZ457" i="5"/>
  <c r="AZ458" i="5"/>
  <c r="AZ459" i="5"/>
  <c r="AZ460" i="5"/>
  <c r="AN86" i="5"/>
  <c r="AM117" i="5"/>
  <c r="AM633" i="5"/>
  <c r="AL633" i="5"/>
  <c r="BA6" i="5"/>
  <c r="AN633" i="5"/>
  <c r="AJ633" i="5"/>
  <c r="AW6" i="5"/>
  <c r="T4" i="5"/>
  <c r="AJ627" i="5"/>
  <c r="AY5" i="5"/>
  <c r="BA5" i="5"/>
  <c r="AK633" i="5"/>
  <c r="AO633" i="5"/>
  <c r="AQ633" i="5"/>
  <c r="K5" i="5"/>
  <c r="BT76" i="1"/>
  <c r="CD76" i="1"/>
  <c r="AS249" i="5"/>
  <c r="AT239" i="5"/>
  <c r="AU239" i="5"/>
  <c r="AV239" i="5"/>
  <c r="AL66" i="5"/>
  <c r="AM66" i="5"/>
  <c r="AO178" i="5"/>
  <c r="AT360" i="5"/>
  <c r="AU360" i="5"/>
  <c r="AV360" i="5"/>
  <c r="AS368" i="5"/>
  <c r="AL36" i="5"/>
  <c r="AM36" i="5"/>
  <c r="AR36" i="5"/>
  <c r="AT42" i="5"/>
  <c r="AK56" i="5"/>
  <c r="AO56" i="5"/>
  <c r="AQ56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J30" i="5"/>
  <c r="AL30" i="5"/>
  <c r="AM30" i="5"/>
  <c r="R4" i="5"/>
  <c r="AT300" i="5"/>
  <c r="AU300" i="5"/>
  <c r="AV300" i="5"/>
  <c r="AS311" i="5"/>
  <c r="AQ178" i="5"/>
  <c r="AQ389" i="5"/>
  <c r="AS208" i="5"/>
  <c r="AY6" i="5"/>
  <c r="D6" i="10"/>
  <c r="U21" i="9"/>
  <c r="K21" i="9"/>
  <c r="J21" i="9"/>
  <c r="CE76" i="1"/>
  <c r="AU42" i="5"/>
  <c r="AS318" i="5"/>
  <c r="AT311" i="5"/>
  <c r="AU311" i="5"/>
  <c r="AV311" i="5"/>
  <c r="AT368" i="5"/>
  <c r="AU368" i="5"/>
  <c r="AV368" i="5"/>
  <c r="AS373" i="5"/>
  <c r="AS257" i="5"/>
  <c r="AT249" i="5"/>
  <c r="AU249" i="5"/>
  <c r="AV249" i="5"/>
  <c r="CF76" i="1"/>
  <c r="AS267" i="5"/>
  <c r="AT257" i="5"/>
  <c r="AS375" i="5"/>
  <c r="AT373" i="5"/>
  <c r="AU373" i="5"/>
  <c r="AV373" i="5"/>
  <c r="AS326" i="5"/>
  <c r="AT318" i="5"/>
  <c r="AU318" i="5"/>
  <c r="AV318" i="5"/>
  <c r="AV42" i="5"/>
  <c r="CG76" i="1"/>
  <c r="AS334" i="5"/>
  <c r="AT326" i="5"/>
  <c r="AU326" i="5"/>
  <c r="AV326" i="5"/>
  <c r="AS380" i="5"/>
  <c r="AT375" i="5"/>
  <c r="AU375" i="5"/>
  <c r="AV375" i="5"/>
  <c r="AU257" i="5"/>
  <c r="AS269" i="5"/>
  <c r="AT267" i="5"/>
  <c r="AU267" i="5"/>
  <c r="AV267" i="5"/>
  <c r="G7" i="11"/>
  <c r="CH76" i="1"/>
  <c r="AS278" i="5"/>
  <c r="AT269" i="5"/>
  <c r="AV257" i="5"/>
  <c r="AS390" i="5"/>
  <c r="AT380" i="5"/>
  <c r="AU380" i="5"/>
  <c r="AV380" i="5"/>
  <c r="AT342" i="5"/>
  <c r="AU342" i="5"/>
  <c r="AV342" i="5"/>
  <c r="AT334" i="5"/>
  <c r="AU334" i="5"/>
  <c r="AV334" i="5"/>
  <c r="BL36" i="11"/>
  <c r="CI76" i="1"/>
  <c r="AS392" i="5"/>
  <c r="AT390" i="5"/>
  <c r="AU390" i="5"/>
  <c r="AV390" i="5"/>
  <c r="AU269" i="5"/>
  <c r="AT278" i="5"/>
  <c r="AU278" i="5"/>
  <c r="AV278" i="5"/>
  <c r="AT287" i="5"/>
  <c r="AU287" i="5"/>
  <c r="AV287" i="5"/>
  <c r="G14" i="11"/>
  <c r="CJ76" i="1"/>
  <c r="AV269" i="5"/>
  <c r="AS401" i="5"/>
  <c r="AT392" i="5"/>
  <c r="AU392" i="5"/>
  <c r="AV392" i="5"/>
  <c r="G12" i="11"/>
  <c r="G11" i="11"/>
  <c r="G15" i="11"/>
  <c r="BF17" i="11"/>
  <c r="CK76" i="1"/>
  <c r="H76" i="1" s="1"/>
  <c r="P76" i="1" s="1"/>
  <c r="AT401" i="5"/>
  <c r="AU401" i="5"/>
  <c r="AS412" i="5"/>
  <c r="AS422" i="5"/>
  <c r="AT412" i="5"/>
  <c r="AU412" i="5"/>
  <c r="AV412" i="5"/>
  <c r="AV401" i="5"/>
  <c r="BJ17" i="11"/>
  <c r="BK7" i="11" s="1"/>
  <c r="BJ19" i="11"/>
  <c r="BJ20" i="11" s="1"/>
  <c r="G10" i="11"/>
  <c r="AT422" i="5"/>
  <c r="AU422" i="5"/>
  <c r="AS433" i="5"/>
  <c r="AS445" i="5"/>
  <c r="AT433" i="5"/>
  <c r="AU433" i="5"/>
  <c r="AV433" i="5"/>
  <c r="AV422" i="5"/>
  <c r="AW422" i="5"/>
  <c r="BA422" i="5"/>
  <c r="BA423" i="5"/>
  <c r="BA424" i="5"/>
  <c r="BA425" i="5"/>
  <c r="BA426" i="5"/>
  <c r="BA427" i="5"/>
  <c r="BA428" i="5"/>
  <c r="BA429" i="5"/>
  <c r="BA430" i="5"/>
  <c r="BA431" i="5"/>
  <c r="BA432" i="5"/>
  <c r="BA433" i="5"/>
  <c r="BL19" i="11"/>
  <c r="BL17" i="11"/>
  <c r="AS448" i="5"/>
  <c r="AT448" i="5"/>
  <c r="AU448" i="5"/>
  <c r="AV448" i="5"/>
  <c r="AT445" i="5"/>
  <c r="AU445" i="5"/>
  <c r="AV445" i="5"/>
  <c r="AS452" i="5"/>
  <c r="AT452" i="5"/>
  <c r="AU452" i="5"/>
  <c r="AV452" i="5"/>
  <c r="AS454" i="5"/>
  <c r="AT454" i="5"/>
  <c r="AU454" i="5"/>
  <c r="AV454" i="5"/>
  <c r="AS461" i="5"/>
  <c r="AS469" i="5"/>
  <c r="AT461" i="5"/>
  <c r="AU461" i="5"/>
  <c r="AV461" i="5"/>
  <c r="AS474" i="5"/>
  <c r="AT469" i="5"/>
  <c r="AU469" i="5"/>
  <c r="AV469" i="5"/>
  <c r="AT474" i="5"/>
  <c r="AU474" i="5"/>
  <c r="AV474" i="5"/>
  <c r="AS478" i="5"/>
  <c r="AT478" i="5"/>
  <c r="AU478" i="5"/>
  <c r="AV478" i="5"/>
  <c r="AS486" i="5"/>
  <c r="AT486" i="5"/>
  <c r="AU486" i="5"/>
  <c r="AV486" i="5"/>
  <c r="AS496" i="5"/>
  <c r="AT496" i="5"/>
  <c r="AU496" i="5"/>
  <c r="AV496" i="5"/>
  <c r="AS504" i="5"/>
  <c r="AT504" i="5"/>
  <c r="AU504" i="5"/>
  <c r="AV504" i="5"/>
  <c r="AS509" i="5"/>
  <c r="AS515" i="5"/>
  <c r="AT509" i="5"/>
  <c r="AU509" i="5"/>
  <c r="AV509" i="5"/>
  <c r="AT515" i="5"/>
  <c r="AU515" i="5"/>
  <c r="AV515" i="5"/>
  <c r="AS521" i="5"/>
  <c r="AS526" i="5"/>
  <c r="AT521" i="5"/>
  <c r="AU521" i="5"/>
  <c r="AV521" i="5"/>
  <c r="AT526" i="5"/>
  <c r="AU526" i="5"/>
  <c r="AV526" i="5"/>
  <c r="AS533" i="5"/>
  <c r="AT533" i="5"/>
  <c r="AU533" i="5"/>
  <c r="AV533" i="5"/>
  <c r="AS544" i="5"/>
  <c r="AT544" i="5"/>
  <c r="AU544" i="5"/>
  <c r="AV544" i="5"/>
  <c r="AS555" i="5"/>
  <c r="AS565" i="5"/>
  <c r="AT555" i="5"/>
  <c r="AU555" i="5"/>
  <c r="AV555" i="5"/>
  <c r="AS575" i="5"/>
  <c r="AT565" i="5"/>
  <c r="AU565" i="5"/>
  <c r="AV565" i="5"/>
  <c r="AT575" i="5"/>
  <c r="AU575" i="5"/>
  <c r="AV575" i="5"/>
  <c r="AS585" i="5"/>
  <c r="AS595" i="5"/>
  <c r="AT585" i="5"/>
  <c r="AU585" i="5"/>
  <c r="AV585" i="5"/>
  <c r="AS605" i="5"/>
  <c r="AT595" i="5"/>
  <c r="AU595" i="5"/>
  <c r="AV595" i="5"/>
  <c r="AT605" i="5"/>
  <c r="AU605" i="5"/>
  <c r="AV605" i="5"/>
  <c r="AS612" i="5"/>
  <c r="AT612" i="5"/>
  <c r="AU612" i="5"/>
  <c r="AV612" i="5"/>
  <c r="AY4" i="5"/>
  <c r="E62" i="5"/>
  <c r="AS614" i="5"/>
  <c r="AT614" i="5"/>
  <c r="AU614" i="5"/>
  <c r="AW4" i="5"/>
  <c r="AV614" i="5"/>
  <c r="AX4" i="5"/>
  <c r="AW496" i="5"/>
  <c r="AZ496" i="5"/>
  <c r="AZ497" i="5"/>
  <c r="AZ498" i="5"/>
  <c r="AZ499" i="5"/>
  <c r="AZ500" i="5"/>
  <c r="AZ501" i="5"/>
  <c r="AZ502" i="5"/>
  <c r="AZ503" i="5"/>
  <c r="AZ504" i="5"/>
  <c r="AW509" i="5"/>
  <c r="AZ509" i="5"/>
  <c r="AZ510" i="5"/>
  <c r="AZ511" i="5"/>
  <c r="AZ512" i="5"/>
  <c r="AZ513" i="5"/>
  <c r="AZ514" i="5"/>
  <c r="AZ515" i="5"/>
  <c r="AX515" i="5"/>
  <c r="AW515" i="5"/>
  <c r="BA515" i="5"/>
  <c r="BA516" i="5"/>
  <c r="BA517" i="5"/>
  <c r="BA518" i="5"/>
  <c r="BA519" i="5"/>
  <c r="BA520" i="5"/>
  <c r="BA521" i="5"/>
  <c r="AW461" i="5"/>
  <c r="BA461" i="5"/>
  <c r="BA462" i="5"/>
  <c r="BA463" i="5"/>
  <c r="BA464" i="5"/>
  <c r="BA465" i="5"/>
  <c r="BA466" i="5"/>
  <c r="BA467" i="5"/>
  <c r="BA468" i="5"/>
  <c r="BA469" i="5"/>
  <c r="AW504" i="5"/>
  <c r="BA504" i="5"/>
  <c r="BA505" i="5"/>
  <c r="BA506" i="5"/>
  <c r="BA507" i="5"/>
  <c r="BA508" i="5"/>
  <c r="BA509" i="5"/>
  <c r="AW486" i="5"/>
  <c r="BA486" i="5"/>
  <c r="BA487" i="5"/>
  <c r="BA488" i="5"/>
  <c r="BA489" i="5"/>
  <c r="BA490" i="5"/>
  <c r="BA491" i="5"/>
  <c r="BA492" i="5"/>
  <c r="BA493" i="5"/>
  <c r="BA494" i="5"/>
  <c r="BA495" i="5"/>
  <c r="BA496" i="5"/>
  <c r="AW469" i="5"/>
  <c r="AZ469" i="5"/>
  <c r="AZ470" i="5"/>
  <c r="AZ471" i="5"/>
  <c r="AZ472" i="5"/>
  <c r="AZ473" i="5"/>
  <c r="AZ474" i="5"/>
  <c r="AX474" i="5"/>
  <c r="AW474" i="5"/>
  <c r="BA474" i="5"/>
  <c r="BA475" i="5"/>
  <c r="BA476" i="5"/>
  <c r="BA477" i="5"/>
  <c r="BA478" i="5"/>
  <c r="AX478" i="5"/>
  <c r="AW478" i="5"/>
  <c r="AZ478" i="5"/>
  <c r="AZ479" i="5"/>
  <c r="AZ480" i="5"/>
  <c r="AZ481" i="5"/>
  <c r="AZ482" i="5"/>
  <c r="AZ483" i="5"/>
  <c r="AZ484" i="5"/>
  <c r="AZ485" i="5"/>
  <c r="B3" i="5"/>
  <c r="AW521" i="5"/>
  <c r="AZ521" i="5"/>
  <c r="AZ522" i="5"/>
  <c r="AZ523" i="5"/>
  <c r="AZ524" i="5"/>
  <c r="AZ525" i="5"/>
  <c r="AZ526" i="5"/>
  <c r="AX526" i="5"/>
  <c r="AW526" i="5"/>
  <c r="BA526" i="5"/>
  <c r="BA527" i="5"/>
  <c r="BA528" i="5"/>
  <c r="BA529" i="5"/>
  <c r="BA530" i="5"/>
  <c r="BA531" i="5"/>
  <c r="BA532" i="5"/>
  <c r="BA533" i="5"/>
  <c r="AX533" i="5"/>
  <c r="AW533" i="5"/>
  <c r="AZ533" i="5"/>
  <c r="AZ534" i="5"/>
  <c r="AZ535" i="5"/>
  <c r="AZ536" i="5"/>
  <c r="AZ537" i="5"/>
  <c r="AZ538" i="5"/>
  <c r="AZ539" i="5"/>
  <c r="AZ540" i="5"/>
  <c r="AZ541" i="5"/>
  <c r="AZ542" i="5"/>
  <c r="AZ543" i="5"/>
  <c r="AZ544" i="5"/>
  <c r="AX544" i="5"/>
  <c r="AW544" i="5"/>
  <c r="BA544" i="5"/>
  <c r="BA545" i="5"/>
  <c r="BA546" i="5"/>
  <c r="BA547" i="5"/>
  <c r="BA548" i="5"/>
  <c r="BA549" i="5"/>
  <c r="BA550" i="5"/>
  <c r="BA551" i="5"/>
  <c r="BA552" i="5"/>
  <c r="BA553" i="5"/>
  <c r="BA554" i="5"/>
  <c r="BA555" i="5"/>
  <c r="AX555" i="5"/>
  <c r="AW555" i="5"/>
  <c r="AZ555" i="5"/>
  <c r="AZ556" i="5"/>
  <c r="AZ557" i="5"/>
  <c r="AZ558" i="5"/>
  <c r="AZ559" i="5"/>
  <c r="AZ560" i="5"/>
  <c r="AZ561" i="5"/>
  <c r="AZ562" i="5"/>
  <c r="AZ563" i="5"/>
  <c r="AZ564" i="5"/>
  <c r="AZ565" i="5"/>
  <c r="AX565" i="5"/>
  <c r="AW565" i="5"/>
  <c r="BA565" i="5"/>
  <c r="BA566" i="5"/>
  <c r="BA567" i="5"/>
  <c r="BA568" i="5"/>
  <c r="BA569" i="5"/>
  <c r="BA570" i="5"/>
  <c r="BA571" i="5"/>
  <c r="BA572" i="5"/>
  <c r="BA573" i="5"/>
  <c r="BA574" i="5"/>
  <c r="BA575" i="5"/>
  <c r="AX575" i="5"/>
  <c r="AW575" i="5"/>
  <c r="AZ575" i="5"/>
  <c r="AZ576" i="5"/>
  <c r="AZ577" i="5"/>
  <c r="AZ578" i="5"/>
  <c r="AZ579" i="5"/>
  <c r="AZ580" i="5"/>
  <c r="AZ581" i="5"/>
  <c r="AZ582" i="5"/>
  <c r="AZ583" i="5"/>
  <c r="AZ584" i="5"/>
  <c r="AZ585" i="5"/>
  <c r="AX585" i="5"/>
  <c r="AW585" i="5"/>
  <c r="BA585" i="5"/>
  <c r="BA586" i="5"/>
  <c r="BA587" i="5"/>
  <c r="BA588" i="5"/>
  <c r="BA589" i="5"/>
  <c r="BA590" i="5"/>
  <c r="BA591" i="5"/>
  <c r="BA592" i="5"/>
  <c r="BA593" i="5"/>
  <c r="BA594" i="5"/>
  <c r="BA595" i="5"/>
  <c r="AX595" i="5"/>
  <c r="AW595" i="5"/>
  <c r="AZ595" i="5"/>
  <c r="AZ596" i="5"/>
  <c r="AZ597" i="5"/>
  <c r="AZ598" i="5"/>
  <c r="AZ599" i="5"/>
  <c r="AZ600" i="5"/>
  <c r="AZ601" i="5"/>
  <c r="AZ602" i="5"/>
  <c r="AZ603" i="5"/>
  <c r="AZ604" i="5"/>
  <c r="E72" i="5"/>
  <c r="L4" i="5"/>
  <c r="E63" i="5"/>
  <c r="E66" i="5"/>
  <c r="C62" i="5"/>
  <c r="D82" i="5"/>
  <c r="D85" i="5"/>
  <c r="E96" i="5"/>
  <c r="F78" i="5"/>
  <c r="F80" i="5"/>
  <c r="F88" i="5"/>
  <c r="C33" i="5"/>
  <c r="F83" i="5"/>
  <c r="D84" i="5"/>
  <c r="D87" i="5"/>
  <c r="D79" i="5"/>
  <c r="D33" i="5"/>
  <c r="D34" i="5"/>
  <c r="D78" i="5"/>
  <c r="F82" i="5"/>
  <c r="F85" i="5"/>
  <c r="D83" i="5"/>
  <c r="D86" i="5"/>
  <c r="E97" i="5"/>
  <c r="F79" i="5"/>
  <c r="F81" i="5"/>
  <c r="F90" i="5"/>
  <c r="F84" i="5"/>
  <c r="AZ605" i="5"/>
  <c r="AX605" i="5"/>
  <c r="AW605" i="5"/>
  <c r="BA605" i="5"/>
  <c r="BA606" i="5"/>
  <c r="BA607" i="5"/>
  <c r="BA608" i="5"/>
  <c r="BA609" i="5"/>
  <c r="BA610" i="5"/>
  <c r="BA611" i="5"/>
  <c r="BA612" i="5"/>
  <c r="AX612" i="5"/>
  <c r="AW612" i="5"/>
  <c r="AZ612" i="5"/>
  <c r="AZ613" i="5"/>
  <c r="AZ614" i="5"/>
  <c r="AX614" i="5"/>
  <c r="AW614" i="5"/>
  <c r="BA614" i="5"/>
  <c r="BA615" i="5"/>
  <c r="BA616" i="5"/>
  <c r="BA617" i="5"/>
  <c r="BA618" i="5"/>
  <c r="BA619" i="5"/>
  <c r="BA620" i="5"/>
  <c r="BA621" i="5"/>
  <c r="BA622" i="5"/>
  <c r="BA623" i="5"/>
  <c r="BA624" i="5"/>
  <c r="BA625" i="5"/>
  <c r="BA626" i="5"/>
  <c r="BA627" i="5"/>
  <c r="BA628" i="5"/>
  <c r="F99" i="5"/>
  <c r="D81" i="5"/>
  <c r="C34" i="5"/>
  <c r="E34" i="5"/>
  <c r="E71" i="5"/>
  <c r="F97" i="5"/>
  <c r="F86" i="5"/>
  <c r="F89" i="5"/>
  <c r="D80" i="5"/>
  <c r="F98" i="5"/>
  <c r="AW218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AW187" i="5"/>
  <c r="AW229" i="5"/>
  <c r="AZ229" i="5"/>
  <c r="AZ230" i="5"/>
  <c r="AZ231" i="5"/>
  <c r="AZ232" i="5"/>
  <c r="AZ233" i="5"/>
  <c r="AZ234" i="5"/>
  <c r="AZ235" i="5"/>
  <c r="AZ236" i="5"/>
  <c r="AZ237" i="5"/>
  <c r="AZ238" i="5"/>
  <c r="AZ239" i="5"/>
  <c r="AW294" i="5"/>
  <c r="AZ294" i="5"/>
  <c r="AZ295" i="5"/>
  <c r="AZ296" i="5"/>
  <c r="AZ297" i="5"/>
  <c r="AZ298" i="5"/>
  <c r="AZ299" i="5"/>
  <c r="AZ300" i="5"/>
  <c r="AW300" i="5"/>
  <c r="BA300" i="5"/>
  <c r="BA301" i="5"/>
  <c r="BA302" i="5"/>
  <c r="BA303" i="5"/>
  <c r="BA304" i="5"/>
  <c r="BA305" i="5"/>
  <c r="BA306" i="5"/>
  <c r="BA307" i="5"/>
  <c r="BA308" i="5"/>
  <c r="BA309" i="5"/>
  <c r="BA310" i="5"/>
  <c r="BA311" i="5"/>
  <c r="AW278" i="5"/>
  <c r="AZ277" i="5"/>
  <c r="AZ278" i="5"/>
  <c r="AZ279" i="5"/>
  <c r="AZ280" i="5"/>
  <c r="AZ281" i="5"/>
  <c r="AZ282" i="5"/>
  <c r="AZ283" i="5"/>
  <c r="AZ284" i="5"/>
  <c r="AZ285" i="5"/>
  <c r="AZ286" i="5"/>
  <c r="AZ287" i="5"/>
  <c r="AX287" i="5"/>
  <c r="AW287" i="5"/>
  <c r="BA287" i="5"/>
  <c r="BA288" i="5"/>
  <c r="BA289" i="5"/>
  <c r="BA290" i="5"/>
  <c r="BA291" i="5"/>
  <c r="BA292" i="5"/>
  <c r="BA293" i="5"/>
  <c r="BA294" i="5"/>
  <c r="AW257" i="5"/>
  <c r="BA257" i="5"/>
  <c r="BA258" i="5"/>
  <c r="BA259" i="5"/>
  <c r="BA260" i="5"/>
  <c r="BA261" i="5"/>
  <c r="BA262" i="5"/>
  <c r="BA263" i="5"/>
  <c r="BA264" i="5"/>
  <c r="BA265" i="5"/>
  <c r="BA266" i="5"/>
  <c r="BA267" i="5"/>
  <c r="C65" i="5"/>
  <c r="AW373" i="5"/>
  <c r="AZ373" i="5"/>
  <c r="AZ374" i="5"/>
  <c r="AZ375" i="5"/>
  <c r="AW318" i="5"/>
  <c r="BA318" i="5"/>
  <c r="BA319" i="5"/>
  <c r="BA320" i="5"/>
  <c r="BA321" i="5"/>
  <c r="BA322" i="5"/>
  <c r="BA323" i="5"/>
  <c r="BA324" i="5"/>
  <c r="BA325" i="5"/>
  <c r="BA326" i="5"/>
  <c r="AW326" i="5"/>
  <c r="AZ326" i="5"/>
  <c r="AZ327" i="5"/>
  <c r="AZ328" i="5"/>
  <c r="AZ329" i="5"/>
  <c r="AZ330" i="5"/>
  <c r="AZ331" i="5"/>
  <c r="AZ332" i="5"/>
  <c r="AZ333" i="5"/>
  <c r="AZ334" i="5"/>
  <c r="AW201" i="5"/>
  <c r="BA201" i="5"/>
  <c r="BA202" i="5"/>
  <c r="BA203" i="5"/>
  <c r="BA204" i="5"/>
  <c r="BA205" i="5"/>
  <c r="BA206" i="5"/>
  <c r="BA207" i="5"/>
  <c r="BA208" i="5"/>
  <c r="AW375" i="5"/>
  <c r="BA375" i="5"/>
  <c r="BA376" i="5"/>
  <c r="BA377" i="5"/>
  <c r="BA378" i="5"/>
  <c r="BA379" i="5"/>
  <c r="BA380" i="5"/>
  <c r="AX380" i="5"/>
  <c r="AW380" i="5"/>
  <c r="AZ380" i="5"/>
  <c r="AZ381" i="5"/>
  <c r="AZ382" i="5"/>
  <c r="AZ383" i="5"/>
  <c r="AZ384" i="5"/>
  <c r="AZ385" i="5"/>
  <c r="AZ386" i="5"/>
  <c r="AZ387" i="5"/>
  <c r="AZ388" i="5"/>
  <c r="AZ389" i="5"/>
  <c r="AZ390" i="5"/>
  <c r="AX390" i="5"/>
  <c r="AW390" i="5"/>
  <c r="BA390" i="5"/>
  <c r="BA391" i="5"/>
  <c r="BA392" i="5"/>
  <c r="AW311" i="5"/>
  <c r="AZ311" i="5"/>
  <c r="AZ312" i="5"/>
  <c r="AZ313" i="5"/>
  <c r="AZ314" i="5"/>
  <c r="AZ315" i="5"/>
  <c r="AZ316" i="5"/>
  <c r="AZ317" i="5"/>
  <c r="AZ318" i="5"/>
  <c r="AW412" i="5"/>
  <c r="AZ412" i="5"/>
  <c r="AZ413" i="5"/>
  <c r="AZ414" i="5"/>
  <c r="AZ415" i="5"/>
  <c r="AZ416" i="5"/>
  <c r="AZ417" i="5"/>
  <c r="AZ418" i="5"/>
  <c r="AZ419" i="5"/>
  <c r="AZ420" i="5"/>
  <c r="AZ421" i="5"/>
  <c r="AZ422" i="5"/>
  <c r="AW401" i="5"/>
  <c r="BA401" i="5"/>
  <c r="BA402" i="5"/>
  <c r="BA403" i="5"/>
  <c r="BA404" i="5"/>
  <c r="BA405" i="5"/>
  <c r="BA406" i="5"/>
  <c r="BA407" i="5"/>
  <c r="BA408" i="5"/>
  <c r="BA409" i="5"/>
  <c r="BA410" i="5"/>
  <c r="BA411" i="5"/>
  <c r="BA412" i="5"/>
  <c r="AW368" i="5"/>
  <c r="BA368" i="5"/>
  <c r="BA369" i="5"/>
  <c r="BA370" i="5"/>
  <c r="BA371" i="5"/>
  <c r="BA372" i="5"/>
  <c r="AW239" i="5"/>
  <c r="C63" i="5"/>
  <c r="AW342" i="5"/>
  <c r="AZ342" i="5"/>
  <c r="AZ343" i="5"/>
  <c r="AZ344" i="5"/>
  <c r="AZ345" i="5"/>
  <c r="AZ346" i="5"/>
  <c r="AZ347" i="5"/>
  <c r="AZ348" i="5"/>
  <c r="AZ349" i="5"/>
  <c r="AZ350" i="5"/>
  <c r="AZ351" i="5"/>
  <c r="AW267" i="5"/>
  <c r="AZ267" i="5"/>
  <c r="AZ268" i="5"/>
  <c r="AZ269" i="5"/>
  <c r="AW360" i="5"/>
  <c r="AZ360" i="5"/>
  <c r="AZ361" i="5"/>
  <c r="AZ362" i="5"/>
  <c r="AZ363" i="5"/>
  <c r="AZ364" i="5"/>
  <c r="AZ365" i="5"/>
  <c r="AZ366" i="5"/>
  <c r="AZ367" i="5"/>
  <c r="AW334" i="5"/>
  <c r="BA334" i="5"/>
  <c r="BA335" i="5"/>
  <c r="BA336" i="5"/>
  <c r="BA337" i="5"/>
  <c r="BA338" i="5"/>
  <c r="BA339" i="5"/>
  <c r="BA340" i="5"/>
  <c r="BA341" i="5"/>
  <c r="BA342" i="5"/>
  <c r="AW194" i="5"/>
  <c r="AW392" i="5"/>
  <c r="AZ392" i="5"/>
  <c r="AZ393" i="5"/>
  <c r="AZ394" i="5"/>
  <c r="AZ395" i="5"/>
  <c r="AZ396" i="5"/>
  <c r="AZ397" i="5"/>
  <c r="AZ398" i="5"/>
  <c r="AZ399" i="5"/>
  <c r="AZ400" i="5"/>
  <c r="AZ401" i="5"/>
  <c r="C67" i="5"/>
  <c r="AW208" i="5"/>
  <c r="AZ208" i="5"/>
  <c r="AZ209" i="5"/>
  <c r="AZ210" i="5"/>
  <c r="AZ211" i="5"/>
  <c r="AZ212" i="5"/>
  <c r="AZ213" i="5"/>
  <c r="AZ214" i="5"/>
  <c r="AZ215" i="5"/>
  <c r="AZ216" i="5"/>
  <c r="AZ217" i="5"/>
  <c r="AZ218" i="5"/>
  <c r="AW269" i="5"/>
  <c r="BA269" i="5"/>
  <c r="BA270" i="5"/>
  <c r="BA271" i="5"/>
  <c r="BA272" i="5"/>
  <c r="BA273" i="5"/>
  <c r="BA274" i="5"/>
  <c r="BA275" i="5"/>
  <c r="BA276" i="5"/>
  <c r="BA277" i="5"/>
  <c r="AW350" i="5"/>
  <c r="BA350" i="5"/>
  <c r="BA351" i="5"/>
  <c r="BA352" i="5"/>
  <c r="BA353" i="5"/>
  <c r="BA354" i="5"/>
  <c r="BA355" i="5"/>
  <c r="BA356" i="5"/>
  <c r="BA357" i="5"/>
  <c r="BA358" i="5"/>
  <c r="BA359" i="5"/>
  <c r="BA360" i="5"/>
  <c r="F87" i="5"/>
  <c r="F96" i="5"/>
  <c r="D88" i="5"/>
  <c r="I88" i="5"/>
  <c r="E98" i="5"/>
  <c r="D89" i="5"/>
  <c r="I89" i="5"/>
  <c r="H3" i="5"/>
  <c r="H97" i="5"/>
  <c r="I97" i="5"/>
  <c r="G97" i="5"/>
  <c r="AX249" i="5"/>
  <c r="AW249" i="5"/>
  <c r="AZ249" i="5"/>
  <c r="AZ250" i="5"/>
  <c r="AZ251" i="5"/>
  <c r="AZ252" i="5"/>
  <c r="AZ253" i="5"/>
  <c r="AZ254" i="5"/>
  <c r="AZ255" i="5"/>
  <c r="AZ256" i="5"/>
  <c r="AZ257" i="5"/>
  <c r="BA239" i="5"/>
  <c r="BA240" i="5"/>
  <c r="BA241" i="5"/>
  <c r="BA242" i="5"/>
  <c r="BA243" i="5"/>
  <c r="BA244" i="5"/>
  <c r="BA245" i="5"/>
  <c r="BA246" i="5"/>
  <c r="BA247" i="5"/>
  <c r="BA248" i="5"/>
  <c r="D90" i="5"/>
  <c r="I90" i="5"/>
  <c r="E99" i="5"/>
  <c r="G96" i="5"/>
  <c r="I96" i="5"/>
  <c r="H96" i="5"/>
  <c r="C68" i="5"/>
  <c r="C69" i="5"/>
  <c r="I98" i="5"/>
  <c r="G98" i="5"/>
  <c r="H98" i="5"/>
  <c r="G99" i="5"/>
  <c r="H99" i="5"/>
  <c r="I99" i="5"/>
  <c r="F68" i="5"/>
  <c r="F69" i="5"/>
  <c r="F47" i="5"/>
  <c r="G47" i="5"/>
  <c r="F43" i="5"/>
  <c r="G43" i="5"/>
  <c r="F39" i="5"/>
  <c r="G39" i="5"/>
  <c r="F58" i="5"/>
  <c r="G58" i="5"/>
  <c r="F41" i="5"/>
  <c r="G41" i="5"/>
  <c r="F42" i="5"/>
  <c r="G42" i="5"/>
  <c r="F37" i="5"/>
  <c r="G37" i="5"/>
  <c r="F49" i="5"/>
  <c r="G49" i="5"/>
  <c r="F55" i="5"/>
  <c r="G55" i="5"/>
  <c r="F44" i="5"/>
  <c r="G44" i="5"/>
  <c r="F46" i="5"/>
  <c r="G46" i="5"/>
  <c r="F53" i="5"/>
  <c r="G53" i="5"/>
  <c r="F51" i="5"/>
  <c r="G51" i="5"/>
  <c r="F38" i="5"/>
  <c r="G38" i="5"/>
  <c r="F48" i="5"/>
  <c r="G48" i="5"/>
  <c r="F40" i="5"/>
  <c r="G40" i="5"/>
  <c r="F45" i="5"/>
  <c r="G45" i="5"/>
  <c r="F54" i="5"/>
  <c r="G54" i="5"/>
  <c r="F56" i="5"/>
  <c r="G56" i="5"/>
  <c r="F52" i="5"/>
  <c r="G52" i="5"/>
  <c r="F50" i="5"/>
  <c r="G50" i="5"/>
  <c r="F57" i="5"/>
  <c r="G57" i="5"/>
  <c r="H69" i="5"/>
  <c r="G69" i="5"/>
  <c r="I69" i="5"/>
  <c r="G68" i="5"/>
  <c r="I68" i="5"/>
  <c r="H68" i="5"/>
  <c r="BF77" i="11"/>
  <c r="BJ80" i="11"/>
  <c r="G51" i="11"/>
  <c r="BH77" i="11"/>
  <c r="BG77" i="11"/>
  <c r="BJ77" i="11"/>
  <c r="BI77" i="11"/>
  <c r="BE77" i="11"/>
  <c r="BD60" i="11"/>
  <c r="BE53" i="11" s="1"/>
  <c r="BD63" i="11"/>
  <c r="G54" i="11"/>
  <c r="G56" i="11"/>
  <c r="G57" i="11"/>
  <c r="G53" i="11"/>
  <c r="BY23" i="1"/>
  <c r="BF63" i="11"/>
  <c r="G52" i="11"/>
  <c r="BG31" i="11"/>
  <c r="BS31" i="11"/>
  <c r="BV28" i="11"/>
  <c r="BH19" i="11"/>
  <c r="BH17" i="11"/>
  <c r="G13" i="11"/>
  <c r="BK77" i="11"/>
  <c r="BL77" i="11"/>
  <c r="BS12" i="11"/>
  <c r="BS14" i="11"/>
  <c r="BS10" i="11"/>
  <c r="BR10" i="11" s="1"/>
  <c r="BU10" i="11" s="1"/>
  <c r="BM77" i="11"/>
  <c r="BN77" i="11"/>
  <c r="BM36" i="11"/>
  <c r="BS15" i="11"/>
  <c r="BN36" i="11"/>
  <c r="BS11" i="11"/>
  <c r="BP19" i="11"/>
  <c r="BP17" i="11"/>
  <c r="BQ13" i="11"/>
  <c r="BS13" i="11"/>
  <c r="BR13" i="11" s="1"/>
  <c r="BN19" i="11"/>
  <c r="BO13" i="11"/>
  <c r="BN17" i="11"/>
  <c r="CI22" i="1"/>
  <c r="BU15" i="11"/>
  <c r="BU14" i="11"/>
  <c r="BU11" i="11"/>
  <c r="BU12" i="11"/>
  <c r="BO36" i="11"/>
  <c r="BP36" i="11"/>
  <c r="G100" i="6"/>
  <c r="G143" i="6"/>
  <c r="G364" i="6"/>
  <c r="G65" i="6"/>
  <c r="G393" i="6"/>
  <c r="G121" i="6"/>
  <c r="G150" i="6"/>
  <c r="G154" i="6"/>
  <c r="CO76" i="1"/>
  <c r="CM76" i="1"/>
  <c r="CL76" i="1"/>
  <c r="BH63" i="11"/>
  <c r="BH60" i="11"/>
  <c r="BI57" i="11" s="1"/>
  <c r="BH58" i="11"/>
  <c r="BJ63" i="11"/>
  <c r="BJ58" i="11"/>
  <c r="G55" i="11"/>
  <c r="BJ60" i="11"/>
  <c r="BG75" i="11" s="1"/>
  <c r="BN63" i="11"/>
  <c r="BP58" i="11"/>
  <c r="BN58" i="11"/>
  <c r="BP63" i="11"/>
  <c r="BL63" i="11"/>
  <c r="BN60" i="11"/>
  <c r="BL75" i="11" s="1"/>
  <c r="BL58" i="11"/>
  <c r="BP60" i="11"/>
  <c r="BL60" i="11"/>
  <c r="BI75" i="11" s="1"/>
  <c r="K19" i="9"/>
  <c r="I14" i="9"/>
  <c r="I15" i="9"/>
  <c r="L9" i="9"/>
  <c r="I29" i="9"/>
  <c r="L29" i="9" s="1"/>
  <c r="L28" i="9"/>
  <c r="H30" i="9"/>
  <c r="H31" i="9" s="1"/>
  <c r="H32" i="9"/>
  <c r="AT76" i="1"/>
  <c r="AT69" i="1"/>
  <c r="BB69" i="1"/>
  <c r="AP76" i="1"/>
  <c r="AP69" i="1"/>
  <c r="CP13" i="1"/>
  <c r="CO13" i="1"/>
  <c r="BG76" i="1"/>
  <c r="L52" i="1"/>
  <c r="CC13" i="1"/>
  <c r="AG76" i="1"/>
  <c r="CN13" i="1"/>
  <c r="AR80" i="1"/>
  <c r="BJ80" i="1"/>
  <c r="BD76" i="1"/>
  <c r="F28" i="1"/>
  <c r="N28" i="1"/>
  <c r="E17" i="41" s="1"/>
  <c r="CF69" i="1"/>
  <c r="CF13" i="1"/>
  <c r="BB77" i="1"/>
  <c r="CB80" i="1"/>
  <c r="AN77" i="1"/>
  <c r="AN30" i="1"/>
  <c r="AN69" i="1"/>
  <c r="CH77" i="1"/>
  <c r="L38" i="5"/>
  <c r="U38" i="5" s="1"/>
  <c r="D18" i="40"/>
  <c r="AI77" i="1"/>
  <c r="AM77" i="1"/>
  <c r="AZ77" i="1"/>
  <c r="BZ80" i="1"/>
  <c r="AN80" i="1"/>
  <c r="BJ77" i="1"/>
  <c r="L47" i="5"/>
  <c r="U47" i="5" s="1"/>
  <c r="BY80" i="1"/>
  <c r="M50" i="1"/>
  <c r="D6" i="40" s="1"/>
  <c r="AW18" i="1"/>
  <c r="AX18" i="1" s="1"/>
  <c r="CM77" i="1"/>
  <c r="F11" i="1"/>
  <c r="L24" i="5"/>
  <c r="L51" i="5"/>
  <c r="U51" i="5" s="1"/>
  <c r="L28" i="5"/>
  <c r="L45" i="5"/>
  <c r="U45" i="5" s="1"/>
  <c r="AF77" i="1"/>
  <c r="F60" i="15"/>
  <c r="CA77" i="1"/>
  <c r="BZ77" i="1"/>
  <c r="L54" i="5"/>
  <c r="U54" i="5" s="1"/>
  <c r="M21" i="1"/>
  <c r="D5" i="10"/>
  <c r="E22" i="1"/>
  <c r="M22" i="1"/>
  <c r="CF80" i="1"/>
  <c r="L42" i="5"/>
  <c r="U42" i="5"/>
  <c r="K61" i="1"/>
  <c r="K45" i="1"/>
  <c r="B13" i="40" s="1"/>
  <c r="BW76" i="1"/>
  <c r="AJ80" i="1"/>
  <c r="D80" i="1" s="1"/>
  <c r="L80" i="1" s="1"/>
  <c r="K24" i="1"/>
  <c r="L58" i="5"/>
  <c r="U58" i="5" s="1"/>
  <c r="BE76" i="1"/>
  <c r="AR53" i="1"/>
  <c r="AR74" i="1"/>
  <c r="M61" i="1"/>
  <c r="AY13" i="11"/>
  <c r="AX16" i="11"/>
  <c r="AY11" i="11"/>
  <c r="AY15" i="11"/>
  <c r="AY12" i="11"/>
  <c r="AY7" i="11"/>
  <c r="AY10" i="11"/>
  <c r="AY14" i="11"/>
  <c r="CC23" i="1"/>
  <c r="BJ64" i="11"/>
  <c r="BM54" i="11"/>
  <c r="AR64" i="11"/>
  <c r="BH62" i="11"/>
  <c r="AT20" i="11"/>
  <c r="AU11" i="11"/>
  <c r="AS53" i="11"/>
  <c r="AR62" i="11"/>
  <c r="AQ9" i="11"/>
  <c r="BF75" i="11"/>
  <c r="BB75" i="11"/>
  <c r="AM52" i="11"/>
  <c r="AS56" i="11"/>
  <c r="AR20" i="11"/>
  <c r="BI55" i="11"/>
  <c r="BE75" i="11"/>
  <c r="BP20" i="11"/>
  <c r="AS51" i="11"/>
  <c r="AM55" i="11"/>
  <c r="AS59" i="11"/>
  <c r="AS10" i="11"/>
  <c r="AT41" i="11"/>
  <c r="AQ34" i="11"/>
  <c r="BK54" i="11"/>
  <c r="BI54" i="11"/>
  <c r="AU13" i="11"/>
  <c r="BM23" i="1"/>
  <c r="AP75" i="11"/>
  <c r="AR36" i="11"/>
  <c r="BI59" i="11"/>
  <c r="BC34" i="11"/>
  <c r="BD34" i="11" s="1"/>
  <c r="AU12" i="11"/>
  <c r="AS52" i="11"/>
  <c r="AS54" i="11"/>
  <c r="CI23" i="1"/>
  <c r="BQ55" i="11"/>
  <c r="BJ62" i="11"/>
  <c r="BM34" i="11"/>
  <c r="BN34" i="11" s="1"/>
  <c r="BP16" i="11"/>
  <c r="BG12" i="11"/>
  <c r="E53" i="11"/>
  <c r="CK22" i="1"/>
  <c r="BQ9" i="11"/>
  <c r="BK75" i="11"/>
  <c r="BO8" i="11"/>
  <c r="BK52" i="11"/>
  <c r="BQ8" i="11"/>
  <c r="BQ7" i="11"/>
  <c r="CA22" i="1"/>
  <c r="BG7" i="11"/>
  <c r="AH60" i="11"/>
  <c r="BP23" i="1"/>
  <c r="AW52" i="11"/>
  <c r="BN16" i="11"/>
  <c r="N80" i="11"/>
  <c r="AW57" i="11"/>
  <c r="BS23" i="1"/>
  <c r="AC51" i="11"/>
  <c r="CC22" i="1"/>
  <c r="BN62" i="11"/>
  <c r="BH75" i="11"/>
  <c r="BK57" i="11"/>
  <c r="AY51" i="11"/>
  <c r="AW54" i="11"/>
  <c r="AW59" i="11"/>
  <c r="BM57" i="11"/>
  <c r="BO7" i="11"/>
  <c r="BN20" i="11"/>
  <c r="BI13" i="11"/>
  <c r="BG8" i="11"/>
  <c r="AX62" i="11"/>
  <c r="AV62" i="11"/>
  <c r="AC56" i="11"/>
  <c r="AC53" i="11"/>
  <c r="AC55" i="11"/>
  <c r="Y75" i="11"/>
  <c r="R81" i="11"/>
  <c r="AB81" i="11"/>
  <c r="BJ81" i="11"/>
  <c r="BE56" i="11"/>
  <c r="BG11" i="11"/>
  <c r="AC59" i="11"/>
  <c r="U52" i="11"/>
  <c r="AV64" i="11"/>
  <c r="U51" i="11"/>
  <c r="AB64" i="11"/>
  <c r="AY52" i="11"/>
  <c r="AV75" i="11"/>
  <c r="E63" i="11"/>
  <c r="BM15" i="11"/>
  <c r="BM7" i="11"/>
  <c r="BM14" i="11"/>
  <c r="BM13" i="11"/>
  <c r="BM12" i="11"/>
  <c r="BM11" i="11"/>
  <c r="BM10" i="11"/>
  <c r="BM8" i="11"/>
  <c r="BI34" i="11"/>
  <c r="CG22" i="1"/>
  <c r="BL16" i="11"/>
  <c r="BL20" i="11"/>
  <c r="BK12" i="11"/>
  <c r="BK11" i="11"/>
  <c r="BK10" i="11"/>
  <c r="BK8" i="11"/>
  <c r="BK15" i="11"/>
  <c r="BK14" i="11"/>
  <c r="BK13" i="11"/>
  <c r="CE22" i="1"/>
  <c r="BJ16" i="11"/>
  <c r="BG34" i="11"/>
  <c r="BH34" i="11" s="1"/>
  <c r="BJ75" i="11"/>
  <c r="BD64" i="11"/>
  <c r="BQ54" i="11"/>
  <c r="BK55" i="11"/>
  <c r="BI56" i="11"/>
  <c r="BE54" i="11"/>
  <c r="N81" i="11"/>
  <c r="L75" i="11"/>
  <c r="AC75" i="11"/>
  <c r="AG53" i="11"/>
  <c r="AF64" i="11"/>
  <c r="AG57" i="11"/>
  <c r="AG54" i="11"/>
  <c r="AG56" i="11"/>
  <c r="AF81" i="11"/>
  <c r="AF62" i="11"/>
  <c r="AG52" i="11"/>
  <c r="AG59" i="11"/>
  <c r="AD75" i="11"/>
  <c r="AG55" i="11"/>
  <c r="AG51" i="11"/>
  <c r="AJ75" i="11"/>
  <c r="AM59" i="11"/>
  <c r="AM53" i="11"/>
  <c r="AM56" i="11"/>
  <c r="AL62" i="11"/>
  <c r="AM57" i="11"/>
  <c r="BG23" i="1"/>
  <c r="CK23" i="1"/>
  <c r="BQ57" i="11"/>
  <c r="BK51" i="11"/>
  <c r="BI14" i="11"/>
  <c r="BE34" i="11"/>
  <c r="BE59" i="11"/>
  <c r="BO56" i="11"/>
  <c r="BO54" i="11"/>
  <c r="BO52" i="11"/>
  <c r="BO51" i="11"/>
  <c r="BI8" i="11"/>
  <c r="BE51" i="11"/>
  <c r="AJ72" i="11"/>
  <c r="AJ80" i="11" s="1"/>
  <c r="BQ56" i="11"/>
  <c r="AI75" i="11"/>
  <c r="BI12" i="11"/>
  <c r="BD62" i="11"/>
  <c r="X29" i="11"/>
  <c r="X30" i="11" s="1"/>
  <c r="U25" i="11"/>
  <c r="W25" i="11"/>
  <c r="X25" i="11"/>
  <c r="Q25" i="11"/>
  <c r="AK36" i="11"/>
  <c r="AM80" i="1"/>
  <c r="D251" i="9"/>
  <c r="D220" i="9"/>
  <c r="E11" i="1"/>
  <c r="M11" i="1" s="1"/>
  <c r="D16" i="41" s="1"/>
  <c r="E13" i="1"/>
  <c r="M13" i="1" s="1"/>
  <c r="C18" i="40"/>
  <c r="C20" i="40" s="1"/>
  <c r="N24" i="1"/>
  <c r="D28" i="1"/>
  <c r="L28" i="1" s="1"/>
  <c r="E28" i="1"/>
  <c r="M28" i="1" s="1"/>
  <c r="D17" i="41" s="1"/>
  <c r="AT74" i="1"/>
  <c r="H24" i="1"/>
  <c r="Q3" i="10"/>
  <c r="G28" i="1"/>
  <c r="O28" i="1"/>
  <c r="F17" i="41" s="1"/>
  <c r="BA80" i="1"/>
  <c r="D99" i="9"/>
  <c r="D259" i="9"/>
  <c r="E258" i="9"/>
  <c r="D181" i="9"/>
  <c r="E62" i="9"/>
  <c r="D224" i="9"/>
  <c r="AT77" i="1"/>
  <c r="K28" i="1"/>
  <c r="BV76" i="1"/>
  <c r="G76" i="1"/>
  <c r="O76" i="1" s="1"/>
  <c r="AT80" i="1"/>
  <c r="K46" i="1"/>
  <c r="B5" i="40" s="1"/>
  <c r="L36" i="5"/>
  <c r="L35" i="5"/>
  <c r="T35" i="5"/>
  <c r="L34" i="5"/>
  <c r="L23" i="5"/>
  <c r="CP76" i="1"/>
  <c r="U60" i="5"/>
  <c r="D21" i="1"/>
  <c r="L21" i="1"/>
  <c r="CC80" i="1"/>
  <c r="AG74" i="1"/>
  <c r="C16" i="1"/>
  <c r="K16" i="1" s="1"/>
  <c r="F73" i="15"/>
  <c r="CN76" i="1"/>
  <c r="D19" i="1"/>
  <c r="M25" i="5"/>
  <c r="BZ48" i="1"/>
  <c r="BZ53" i="1" s="1"/>
  <c r="F5" i="10"/>
  <c r="G5" i="10" s="1"/>
  <c r="G115" i="6"/>
  <c r="G87" i="6"/>
  <c r="G11" i="6"/>
  <c r="G19" i="6"/>
  <c r="G36" i="6"/>
  <c r="G72" i="6"/>
  <c r="G108" i="6"/>
  <c r="G4" i="6"/>
  <c r="G24" i="6"/>
  <c r="G5" i="6"/>
  <c r="G26" i="6"/>
  <c r="G57" i="6"/>
  <c r="G104" i="6"/>
  <c r="G66" i="6"/>
  <c r="G18" i="6"/>
  <c r="G59" i="6"/>
  <c r="G50" i="6"/>
  <c r="G86" i="6"/>
  <c r="G21" i="6"/>
  <c r="G392" i="6"/>
  <c r="G344" i="6"/>
  <c r="G328" i="6"/>
  <c r="G148" i="6"/>
  <c r="G187" i="6"/>
  <c r="G102" i="6"/>
  <c r="G7" i="6"/>
  <c r="G172" i="6"/>
  <c r="G355" i="6"/>
  <c r="G39" i="6"/>
  <c r="G126" i="6"/>
  <c r="G155" i="6"/>
  <c r="G44" i="6"/>
  <c r="M48" i="1"/>
  <c r="E60" i="11"/>
  <c r="M94" i="11" s="1"/>
  <c r="BJ34" i="11"/>
  <c r="AI57" i="11"/>
  <c r="AI56" i="11"/>
  <c r="AI55" i="11"/>
  <c r="BF34" i="11"/>
  <c r="L19" i="1"/>
  <c r="DA75" i="1"/>
  <c r="DA78" i="1"/>
  <c r="DB75" i="1"/>
  <c r="DB78" i="1"/>
  <c r="CZ75" i="1"/>
  <c r="CZ78" i="1"/>
  <c r="BT10" i="11"/>
  <c r="BR36" i="11"/>
  <c r="BQ36" i="11"/>
  <c r="DA71" i="1"/>
  <c r="CZ71" i="1"/>
  <c r="DB71" i="1"/>
  <c r="P11" i="1"/>
  <c r="G16" i="41" s="1"/>
  <c r="E108" i="9"/>
  <c r="E147" i="9"/>
  <c r="E263" i="9"/>
  <c r="D149" i="9"/>
  <c r="E93" i="9"/>
  <c r="D64" i="9"/>
  <c r="D97" i="9"/>
  <c r="D136" i="9"/>
  <c r="E60" i="9"/>
  <c r="E164" i="9"/>
  <c r="CN69" i="1"/>
  <c r="AL72" i="11"/>
  <c r="AL80" i="11" s="1"/>
  <c r="CS53" i="1"/>
  <c r="CR53" i="1"/>
  <c r="AL81" i="11"/>
  <c r="BS36" i="11"/>
  <c r="BR77" i="11"/>
  <c r="BQ77" i="11"/>
  <c r="E180" i="9" l="1"/>
  <c r="U23" i="9"/>
  <c r="Q23" i="9"/>
  <c r="AX41" i="11"/>
  <c r="AU34" i="11"/>
  <c r="AV34" i="11" s="1"/>
  <c r="BZ73" i="11"/>
  <c r="AE73" i="11"/>
  <c r="BF27" i="11"/>
  <c r="BH28" i="11" s="1"/>
  <c r="BF25" i="11"/>
  <c r="AM54" i="11"/>
  <c r="AM51" i="11"/>
  <c r="AD62" i="11"/>
  <c r="AE56" i="11"/>
  <c r="AE53" i="11"/>
  <c r="U57" i="11"/>
  <c r="U53" i="11"/>
  <c r="U55" i="11"/>
  <c r="CH71" i="11"/>
  <c r="AP20" i="11"/>
  <c r="BN23" i="1"/>
  <c r="AU52" i="11"/>
  <c r="AT62" i="11"/>
  <c r="AU59" i="11"/>
  <c r="AU54" i="11"/>
  <c r="AU56" i="11"/>
  <c r="AO75" i="11"/>
  <c r="AS57" i="11"/>
  <c r="AS55" i="11"/>
  <c r="CB73" i="11"/>
  <c r="AI73" i="11"/>
  <c r="V64" i="11"/>
  <c r="CT72" i="11"/>
  <c r="CQ73" i="11"/>
  <c r="AW66" i="11"/>
  <c r="AX66" i="11"/>
  <c r="AW11" i="11"/>
  <c r="AW15" i="11"/>
  <c r="AE52" i="11"/>
  <c r="AE57" i="11"/>
  <c r="AE59" i="11"/>
  <c r="U54" i="11"/>
  <c r="R75" i="11"/>
  <c r="S25" i="11"/>
  <c r="V29" i="11"/>
  <c r="V30" i="11" s="1"/>
  <c r="AJ73" i="11"/>
  <c r="AZ41" i="11"/>
  <c r="AV66" i="11"/>
  <c r="AU66" i="11"/>
  <c r="T75" i="11"/>
  <c r="S75" i="11"/>
  <c r="BG14" i="11"/>
  <c r="BG10" i="11"/>
  <c r="BG13" i="11"/>
  <c r="BF16" i="11"/>
  <c r="BG15" i="11"/>
  <c r="H111" i="11"/>
  <c r="CP73" i="11"/>
  <c r="BF20" i="11"/>
  <c r="BN29" i="11"/>
  <c r="BK25" i="11"/>
  <c r="Z64" i="11"/>
  <c r="AL29" i="11"/>
  <c r="AL30" i="11" s="1"/>
  <c r="AI25" i="11"/>
  <c r="AK75" i="11"/>
  <c r="AO51" i="11"/>
  <c r="AO54" i="11"/>
  <c r="AN64" i="11"/>
  <c r="AL75" i="11"/>
  <c r="AO52" i="11"/>
  <c r="AN62" i="11"/>
  <c r="AO56" i="11"/>
  <c r="AO55" i="11"/>
  <c r="AO59" i="11"/>
  <c r="AO53" i="11"/>
  <c r="AO57" i="11"/>
  <c r="AU23" i="1"/>
  <c r="AA57" i="11"/>
  <c r="AA51" i="11"/>
  <c r="AA56" i="11"/>
  <c r="AA55" i="11"/>
  <c r="AA54" i="11"/>
  <c r="Z62" i="11"/>
  <c r="AA52" i="11"/>
  <c r="AA59" i="11"/>
  <c r="BD29" i="11"/>
  <c r="BD30" i="11" s="1"/>
  <c r="AH66" i="11"/>
  <c r="AG66" i="11"/>
  <c r="G63" i="11"/>
  <c r="BH64" i="11"/>
  <c r="AW10" i="11"/>
  <c r="AW8" i="11"/>
  <c r="AT75" i="11"/>
  <c r="AW55" i="11"/>
  <c r="AW53" i="11"/>
  <c r="AT16" i="11"/>
  <c r="AU14" i="11"/>
  <c r="H107" i="11"/>
  <c r="G58" i="11"/>
  <c r="CT69" i="11"/>
  <c r="CC71" i="11"/>
  <c r="BM9" i="11"/>
  <c r="BJ36" i="11"/>
  <c r="BK9" i="11"/>
  <c r="BG36" i="11"/>
  <c r="BE36" i="11"/>
  <c r="BF36" i="11"/>
  <c r="BJ29" i="11"/>
  <c r="BG25" i="11"/>
  <c r="BG53" i="11"/>
  <c r="BG51" i="11"/>
  <c r="BG52" i="11"/>
  <c r="BC75" i="11"/>
  <c r="BG54" i="11"/>
  <c r="BD17" i="11"/>
  <c r="BA36" i="11"/>
  <c r="BB29" i="11"/>
  <c r="BB30" i="11" s="1"/>
  <c r="AZ25" i="11"/>
  <c r="AT29" i="11"/>
  <c r="AT30" i="11" s="1"/>
  <c r="AQ25" i="11"/>
  <c r="BL73" i="11"/>
  <c r="BX73" i="11"/>
  <c r="BA8" i="11"/>
  <c r="BA13" i="11"/>
  <c r="BA11" i="11"/>
  <c r="BA7" i="11"/>
  <c r="BA14" i="11"/>
  <c r="BA12" i="11"/>
  <c r="BA10" i="11"/>
  <c r="BA15" i="11"/>
  <c r="BJ41" i="11"/>
  <c r="AX20" i="11"/>
  <c r="AD29" i="11"/>
  <c r="AD30" i="11" s="1"/>
  <c r="G71" i="11"/>
  <c r="AI9" i="11"/>
  <c r="C77" i="11"/>
  <c r="BR58" i="11"/>
  <c r="BR60" i="11"/>
  <c r="BO77" i="11"/>
  <c r="BP77" i="11"/>
  <c r="BQ31" i="11"/>
  <c r="BT28" i="11"/>
  <c r="BO27" i="11"/>
  <c r="BO31" i="11" s="1"/>
  <c r="BP25" i="11"/>
  <c r="N91" i="11"/>
  <c r="F29" i="11"/>
  <c r="F91" i="11" s="1"/>
  <c r="X66" i="11"/>
  <c r="W66" i="11"/>
  <c r="AA53" i="11"/>
  <c r="X75" i="11"/>
  <c r="W75" i="11"/>
  <c r="BN40" i="11"/>
  <c r="BJ40" i="11"/>
  <c r="BJ30" i="11"/>
  <c r="BN72" i="11"/>
  <c r="AH73" i="11"/>
  <c r="AB73" i="11"/>
  <c r="E19" i="11"/>
  <c r="BV30" i="11"/>
  <c r="BN30" i="11"/>
  <c r="BN41" i="11"/>
  <c r="BR73" i="11"/>
  <c r="BH72" i="11"/>
  <c r="BU73" i="11"/>
  <c r="BL72" i="11"/>
  <c r="AI36" i="11"/>
  <c r="AL40" i="11"/>
  <c r="AM9" i="11"/>
  <c r="AG36" i="11"/>
  <c r="AJ40" i="11"/>
  <c r="AH36" i="11"/>
  <c r="AC36" i="11"/>
  <c r="AF40" i="11"/>
  <c r="AG9" i="11"/>
  <c r="W36" i="11"/>
  <c r="AA9" i="11"/>
  <c r="X36" i="11"/>
  <c r="Z40" i="11"/>
  <c r="V36" i="11"/>
  <c r="X40" i="11"/>
  <c r="U36" i="11"/>
  <c r="V40" i="11"/>
  <c r="S36" i="11"/>
  <c r="T40" i="11"/>
  <c r="R36" i="11"/>
  <c r="Q36" i="11"/>
  <c r="N9" i="11"/>
  <c r="O9" i="11" s="1"/>
  <c r="O8" i="11"/>
  <c r="D8" i="11"/>
  <c r="N36" i="11"/>
  <c r="Q9" i="11"/>
  <c r="AM15" i="11"/>
  <c r="AL41" i="11"/>
  <c r="AM11" i="11"/>
  <c r="AL16" i="11"/>
  <c r="AM12" i="11"/>
  <c r="AM13" i="11"/>
  <c r="AM14" i="11"/>
  <c r="AM7" i="11"/>
  <c r="AM8" i="11"/>
  <c r="AL20" i="11"/>
  <c r="AI34" i="11"/>
  <c r="AJ34" i="11" s="1"/>
  <c r="BG22" i="1"/>
  <c r="AM10" i="11"/>
  <c r="AK12" i="11"/>
  <c r="AK7" i="11"/>
  <c r="AJ16" i="11"/>
  <c r="AG34" i="11"/>
  <c r="AK8" i="11"/>
  <c r="AK14" i="11"/>
  <c r="AK13" i="11"/>
  <c r="AH34" i="11"/>
  <c r="AI10" i="11"/>
  <c r="AE34" i="11"/>
  <c r="AI14" i="11"/>
  <c r="AI13" i="11"/>
  <c r="AI8" i="11"/>
  <c r="AI12" i="11"/>
  <c r="AH41" i="11"/>
  <c r="AI11" i="11"/>
  <c r="AF34" i="11"/>
  <c r="AC15" i="11"/>
  <c r="AC8" i="11"/>
  <c r="AC10" i="11"/>
  <c r="AB41" i="11"/>
  <c r="AB16" i="11"/>
  <c r="AC11" i="11"/>
  <c r="AC14" i="11"/>
  <c r="AC13" i="11"/>
  <c r="AC7" i="11"/>
  <c r="AC12" i="11"/>
  <c r="Y34" i="11"/>
  <c r="Z34" i="11" s="1"/>
  <c r="AA11" i="11"/>
  <c r="W34" i="11"/>
  <c r="X34" i="11" s="1"/>
  <c r="Y7" i="11"/>
  <c r="X41" i="11"/>
  <c r="V20" i="11"/>
  <c r="V41" i="11"/>
  <c r="S34" i="11"/>
  <c r="T34" i="11" s="1"/>
  <c r="V16" i="11"/>
  <c r="P16" i="11"/>
  <c r="Q15" i="11"/>
  <c r="P41" i="11"/>
  <c r="Q11" i="11"/>
  <c r="AQ54" i="11"/>
  <c r="AN75" i="11"/>
  <c r="V62" i="11"/>
  <c r="V81" i="11"/>
  <c r="CB31" i="11"/>
  <c r="BT40" i="11"/>
  <c r="CR72" i="11"/>
  <c r="BF73" i="11"/>
  <c r="BN73" i="11"/>
  <c r="D58" i="11"/>
  <c r="F58" i="11"/>
  <c r="D77" i="11"/>
  <c r="D95" i="11" s="1"/>
  <c r="E77" i="11"/>
  <c r="E95" i="11" s="1"/>
  <c r="BB73" i="11"/>
  <c r="F24" i="11"/>
  <c r="BB64" i="11"/>
  <c r="AX64" i="11"/>
  <c r="AT64" i="11"/>
  <c r="AK9" i="11"/>
  <c r="AC9" i="11"/>
  <c r="AA73" i="11"/>
  <c r="AN73" i="11"/>
  <c r="AC73" i="11"/>
  <c r="AG73" i="11"/>
  <c r="X64" i="11"/>
  <c r="BR64" i="11"/>
  <c r="N20" i="11"/>
  <c r="AH20" i="11"/>
  <c r="R20" i="11"/>
  <c r="BN64" i="11"/>
  <c r="BF64" i="11"/>
  <c r="BH20" i="11"/>
  <c r="H112" i="11"/>
  <c r="H108" i="11"/>
  <c r="BP64" i="11"/>
  <c r="BP27" i="11"/>
  <c r="BT29" i="11"/>
  <c r="BT30" i="11" s="1"/>
  <c r="M91" i="11"/>
  <c r="E29" i="11"/>
  <c r="E91" i="11" s="1"/>
  <c r="L91" i="11"/>
  <c r="D29" i="11"/>
  <c r="D91" i="11" s="1"/>
  <c r="BO25" i="11"/>
  <c r="BR29" i="11"/>
  <c r="BM25" i="11"/>
  <c r="BP29" i="11"/>
  <c r="BI27" i="11"/>
  <c r="BU31" i="11" s="1"/>
  <c r="BL29" i="11"/>
  <c r="BD36" i="11"/>
  <c r="BC36" i="11"/>
  <c r="BG9" i="11"/>
  <c r="G24" i="11"/>
  <c r="AZ29" i="11"/>
  <c r="AZ30" i="11" s="1"/>
  <c r="AD80" i="11"/>
  <c r="AD81" i="11"/>
  <c r="AK73" i="11"/>
  <c r="E71" i="11"/>
  <c r="BE25" i="11"/>
  <c r="BH29" i="11"/>
  <c r="BH41" i="11" s="1"/>
  <c r="BC25" i="11"/>
  <c r="BF29" i="11"/>
  <c r="AX31" i="11"/>
  <c r="BJ31" i="11"/>
  <c r="AS73" i="11"/>
  <c r="AV72" i="11"/>
  <c r="AR72" i="11"/>
  <c r="AO73" i="11"/>
  <c r="AX29" i="11"/>
  <c r="AX30" i="11" s="1"/>
  <c r="AU25" i="11"/>
  <c r="AV29" i="11"/>
  <c r="AV30" i="11" s="1"/>
  <c r="AS25" i="11"/>
  <c r="AK25" i="11"/>
  <c r="AN29" i="11"/>
  <c r="AN30" i="11" s="1"/>
  <c r="AF29" i="11"/>
  <c r="AF30" i="11" s="1"/>
  <c r="AD25" i="11"/>
  <c r="Y25" i="11"/>
  <c r="AB29" i="11"/>
  <c r="AB30" i="11" s="1"/>
  <c r="P25" i="11"/>
  <c r="R29" i="11"/>
  <c r="R30" i="11" s="1"/>
  <c r="BA73" i="11"/>
  <c r="BD72" i="11"/>
  <c r="BI73" i="11"/>
  <c r="AZ72" i="11"/>
  <c r="AZ80" i="11" s="1"/>
  <c r="BM73" i="11"/>
  <c r="BP72" i="11"/>
  <c r="BY73" i="11"/>
  <c r="AY36" i="11"/>
  <c r="AZ36" i="11"/>
  <c r="AW36" i="11"/>
  <c r="G36" i="11" s="1"/>
  <c r="G90" i="11" s="1"/>
  <c r="AZ40" i="11"/>
  <c r="BA9" i="11"/>
  <c r="G9" i="11"/>
  <c r="AT36" i="11"/>
  <c r="AV40" i="11"/>
  <c r="AS36" i="11"/>
  <c r="AQ66" i="11"/>
  <c r="AR66" i="11"/>
  <c r="AO66" i="11"/>
  <c r="AP66" i="11"/>
  <c r="AL66" i="11"/>
  <c r="AK66" i="11"/>
  <c r="AJ66" i="11"/>
  <c r="AI66" i="11"/>
  <c r="AF66" i="11"/>
  <c r="AE66" i="11"/>
  <c r="V66" i="11"/>
  <c r="U66" i="11"/>
  <c r="R66" i="11"/>
  <c r="Q66" i="11"/>
  <c r="P66" i="11"/>
  <c r="O66" i="11"/>
  <c r="AY66" i="11"/>
  <c r="AZ66" i="11"/>
  <c r="BC51" i="11"/>
  <c r="BC52" i="11"/>
  <c r="BB62" i="11"/>
  <c r="BC59" i="11"/>
  <c r="AZ75" i="11"/>
  <c r="AY75" i="11"/>
  <c r="BC53" i="11"/>
  <c r="BC54" i="11"/>
  <c r="BC55" i="11"/>
  <c r="BC56" i="11"/>
  <c r="BC57" i="11"/>
  <c r="BV23" i="1"/>
  <c r="BV74" i="1" s="1"/>
  <c r="BU22" i="1"/>
  <c r="BU74" i="1" s="1"/>
  <c r="AZ20" i="11"/>
  <c r="AW34" i="11"/>
  <c r="AZ16" i="11"/>
  <c r="G59" i="11"/>
  <c r="AZ60" i="11"/>
  <c r="AQ75" i="11"/>
  <c r="AR75" i="11"/>
  <c r="AM34" i="11"/>
  <c r="AN34" i="11" s="1"/>
  <c r="AQ8" i="11"/>
  <c r="BK22" i="1"/>
  <c r="AQ10" i="11"/>
  <c r="AQ15" i="11"/>
  <c r="AP41" i="11"/>
  <c r="AQ14" i="11"/>
  <c r="AQ11" i="11"/>
  <c r="AP16" i="11"/>
  <c r="AQ12" i="11"/>
  <c r="AQ7" i="11"/>
  <c r="AS13" i="11"/>
  <c r="BM22" i="1"/>
  <c r="M36" i="11"/>
  <c r="P40" i="11"/>
  <c r="AO11" i="11"/>
  <c r="AO14" i="11"/>
  <c r="AJ20" i="11"/>
  <c r="AK10" i="11"/>
  <c r="AJ41" i="11"/>
  <c r="AK11" i="11"/>
  <c r="AK15" i="11"/>
  <c r="AG7" i="11"/>
  <c r="AG10" i="11"/>
  <c r="AF41" i="11"/>
  <c r="AG14" i="11"/>
  <c r="AG12" i="11"/>
  <c r="AG13" i="11"/>
  <c r="AC34" i="11"/>
  <c r="AD34" i="11" s="1"/>
  <c r="Z41" i="11"/>
  <c r="AA15" i="11"/>
  <c r="X20" i="11"/>
  <c r="U34" i="11"/>
  <c r="V34" i="11" s="1"/>
  <c r="T20" i="11"/>
  <c r="U13" i="11"/>
  <c r="U8" i="11"/>
  <c r="Q34" i="11"/>
  <c r="R34" i="11" s="1"/>
  <c r="S7" i="11"/>
  <c r="S8" i="11"/>
  <c r="S10" i="11"/>
  <c r="S12" i="11"/>
  <c r="S15" i="11"/>
  <c r="S13" i="11"/>
  <c r="S14" i="11"/>
  <c r="O34" i="11"/>
  <c r="P34" i="11" s="1"/>
  <c r="S11" i="11"/>
  <c r="R41" i="11"/>
  <c r="O15" i="11"/>
  <c r="N16" i="11"/>
  <c r="O12" i="11"/>
  <c r="O11" i="11"/>
  <c r="O7" i="11"/>
  <c r="O13" i="11"/>
  <c r="N41" i="11"/>
  <c r="O14" i="11"/>
  <c r="AQ59" i="11"/>
  <c r="AQ57" i="11"/>
  <c r="AQ53" i="11"/>
  <c r="AQ51" i="11"/>
  <c r="AP64" i="11"/>
  <c r="F60" i="11"/>
  <c r="N94" i="11" s="1"/>
  <c r="AP62" i="11"/>
  <c r="F62" i="11" s="1"/>
  <c r="AB75" i="11"/>
  <c r="AA75" i="11"/>
  <c r="W81" i="11"/>
  <c r="U75" i="11"/>
  <c r="W62" i="11"/>
  <c r="H7" i="41"/>
  <c r="BW73" i="11"/>
  <c r="CO73" i="11"/>
  <c r="E114" i="9"/>
  <c r="E230" i="9"/>
  <c r="D264" i="9"/>
  <c r="D82" i="9"/>
  <c r="D258" i="9"/>
  <c r="D215" i="9"/>
  <c r="E169" i="9"/>
  <c r="E204" i="9"/>
  <c r="E56" i="9"/>
  <c r="D180" i="9"/>
  <c r="E121" i="9"/>
  <c r="D106" i="9"/>
  <c r="D29" i="9"/>
  <c r="D117" i="9"/>
  <c r="D114" i="9"/>
  <c r="E260" i="9"/>
  <c r="D104" i="9"/>
  <c r="E160" i="9"/>
  <c r="D71" i="9"/>
  <c r="E111" i="9"/>
  <c r="E264" i="9"/>
  <c r="E134" i="9"/>
  <c r="D175" i="9"/>
  <c r="D34" i="9"/>
  <c r="E194" i="9"/>
  <c r="D118" i="9"/>
  <c r="E84" i="9"/>
  <c r="E259" i="9"/>
  <c r="E162" i="9"/>
  <c r="D89" i="9"/>
  <c r="E249" i="9"/>
  <c r="D162" i="9"/>
  <c r="E199" i="9"/>
  <c r="E155" i="9"/>
  <c r="E95" i="9"/>
  <c r="D92" i="9"/>
  <c r="D222" i="9"/>
  <c r="D247" i="9"/>
  <c r="D140" i="9"/>
  <c r="D221" i="9"/>
  <c r="D128" i="9"/>
  <c r="T23" i="9"/>
  <c r="T17" i="9" s="1"/>
  <c r="T18" i="9" s="1"/>
  <c r="E130" i="9"/>
  <c r="D127" i="9"/>
  <c r="E151" i="9"/>
  <c r="D207" i="9"/>
  <c r="E178" i="9"/>
  <c r="E148" i="9"/>
  <c r="D217" i="9"/>
  <c r="D62" i="9"/>
  <c r="D234" i="9"/>
  <c r="E197" i="9"/>
  <c r="D129" i="9"/>
  <c r="D130" i="9"/>
  <c r="E145" i="9"/>
  <c r="E138" i="9"/>
  <c r="D233" i="9"/>
  <c r="E90" i="9"/>
  <c r="E225" i="9"/>
  <c r="D86" i="9"/>
  <c r="D261" i="9"/>
  <c r="E179" i="9"/>
  <c r="D227" i="9"/>
  <c r="D142" i="9"/>
  <c r="D236" i="9"/>
  <c r="D55" i="9"/>
  <c r="E217" i="9"/>
  <c r="D126" i="9"/>
  <c r="E33" i="9"/>
  <c r="D35" i="9"/>
  <c r="E233" i="9"/>
  <c r="D176" i="9"/>
  <c r="E59" i="9"/>
  <c r="O23" i="9"/>
  <c r="O17" i="9" s="1"/>
  <c r="O18" i="9" s="1"/>
  <c r="E83" i="9"/>
  <c r="D100" i="9"/>
  <c r="E163" i="9"/>
  <c r="E113" i="9"/>
  <c r="E125" i="9"/>
  <c r="D108" i="9"/>
  <c r="E191" i="9"/>
  <c r="E65" i="9"/>
  <c r="D197" i="9"/>
  <c r="D109" i="9"/>
  <c r="E208" i="9"/>
  <c r="D155" i="9"/>
  <c r="D204" i="9"/>
  <c r="D249" i="9"/>
  <c r="D43" i="9"/>
  <c r="E182" i="9"/>
  <c r="D248" i="9"/>
  <c r="E227" i="9"/>
  <c r="D95" i="9"/>
  <c r="D160" i="9"/>
  <c r="D243" i="9"/>
  <c r="E57" i="9"/>
  <c r="D49" i="9"/>
  <c r="D166" i="9"/>
  <c r="E54" i="9"/>
  <c r="D214" i="9"/>
  <c r="E202" i="9"/>
  <c r="E209" i="9"/>
  <c r="D163" i="9"/>
  <c r="E44" i="9"/>
  <c r="D196" i="9"/>
  <c r="E241" i="9"/>
  <c r="E72" i="9"/>
  <c r="E222" i="9"/>
  <c r="D146" i="9"/>
  <c r="E255" i="9"/>
  <c r="D184" i="9"/>
  <c r="D238" i="9"/>
  <c r="E177" i="9"/>
  <c r="D156" i="9"/>
  <c r="E81" i="9"/>
  <c r="D148" i="9"/>
  <c r="D211" i="9"/>
  <c r="E200" i="9"/>
  <c r="E79" i="9"/>
  <c r="E101" i="9"/>
  <c r="E252" i="9"/>
  <c r="D30" i="9"/>
  <c r="E37" i="9"/>
  <c r="D87" i="9"/>
  <c r="U39" i="5"/>
  <c r="U36" i="5"/>
  <c r="E18" i="10"/>
  <c r="G80" i="1"/>
  <c r="O80" i="1" s="1"/>
  <c r="E53" i="1"/>
  <c r="D5" i="41"/>
  <c r="C15" i="40"/>
  <c r="D53" i="1"/>
  <c r="F10" i="41"/>
  <c r="E5" i="41"/>
  <c r="E10" i="41"/>
  <c r="D10" i="41"/>
  <c r="C5" i="41"/>
  <c r="C10" i="41"/>
  <c r="B19" i="40"/>
  <c r="B20" i="40" s="1"/>
  <c r="B4" i="41"/>
  <c r="B6" i="41"/>
  <c r="B11" i="41"/>
  <c r="B8" i="41"/>
  <c r="B10" i="41"/>
  <c r="B3" i="41"/>
  <c r="F8" i="41"/>
  <c r="D8" i="41"/>
  <c r="C8" i="41"/>
  <c r="E8" i="41"/>
  <c r="AW74" i="1"/>
  <c r="BC18" i="1"/>
  <c r="BD18" i="1" s="1"/>
  <c r="K18" i="1"/>
  <c r="T23" i="5"/>
  <c r="U34" i="5"/>
  <c r="U30" i="5"/>
  <c r="U26" i="5"/>
  <c r="T32" i="5"/>
  <c r="U33" i="5"/>
  <c r="T33" i="5"/>
  <c r="B4" i="40"/>
  <c r="B7" i="40" s="1"/>
  <c r="C17" i="41"/>
  <c r="E4" i="40"/>
  <c r="T37" i="5"/>
  <c r="U37" i="5"/>
  <c r="L4" i="10"/>
  <c r="L9" i="10" s="1"/>
  <c r="K59" i="1"/>
  <c r="BL16" i="1"/>
  <c r="BE18" i="1"/>
  <c r="BD74" i="1"/>
  <c r="N4" i="10"/>
  <c r="N9" i="10" s="1"/>
  <c r="M59" i="1"/>
  <c r="AX74" i="1"/>
  <c r="AY18" i="1"/>
  <c r="BZ74" i="1"/>
  <c r="CA16" i="1"/>
  <c r="G16" i="1" s="1"/>
  <c r="O16" i="1" s="1"/>
  <c r="CC18" i="1"/>
  <c r="CD18" i="1" s="1"/>
  <c r="G14" i="1"/>
  <c r="P9" i="10"/>
  <c r="G13" i="1"/>
  <c r="O13" i="1" s="1"/>
  <c r="O11" i="1"/>
  <c r="F16" i="41" s="1"/>
  <c r="C4" i="40"/>
  <c r="C7" i="40" s="1"/>
  <c r="T36" i="5"/>
  <c r="L59" i="1"/>
  <c r="E10" i="5"/>
  <c r="E15" i="5" s="1"/>
  <c r="O4" i="10"/>
  <c r="O9" i="10" s="1"/>
  <c r="N46" i="1"/>
  <c r="E5" i="40" s="1"/>
  <c r="T30" i="5"/>
  <c r="W69" i="1"/>
  <c r="O41" i="1"/>
  <c r="CB77" i="1"/>
  <c r="CB30" i="1"/>
  <c r="CB69" i="1" s="1"/>
  <c r="CG16" i="1"/>
  <c r="H16" i="1" s="1"/>
  <c r="CH16" i="1"/>
  <c r="L78" i="5"/>
  <c r="U78" i="5" s="1"/>
  <c r="U76" i="1"/>
  <c r="N11" i="1"/>
  <c r="E16" i="41" s="1"/>
  <c r="F13" i="1"/>
  <c r="N13" i="1" s="1"/>
  <c r="F15" i="40"/>
  <c r="BY69" i="1"/>
  <c r="E14" i="1"/>
  <c r="L58" i="1"/>
  <c r="M2" i="10"/>
  <c r="H10" i="5"/>
  <c r="G10" i="5" s="1"/>
  <c r="P2" i="10"/>
  <c r="CD77" i="1"/>
  <c r="H77" i="1" s="1"/>
  <c r="P77" i="1" s="1"/>
  <c r="BF69" i="1"/>
  <c r="CA48" i="1"/>
  <c r="L25" i="5"/>
  <c r="U25" i="5" s="1"/>
  <c r="BY30" i="1"/>
  <c r="BY77" i="1"/>
  <c r="G77" i="1" s="1"/>
  <c r="O77" i="1" s="1"/>
  <c r="O2" i="10"/>
  <c r="O5" i="10" s="1"/>
  <c r="W80" i="1"/>
  <c r="C80" i="1" s="1"/>
  <c r="K80" i="1" s="1"/>
  <c r="D11" i="1"/>
  <c r="D4" i="40"/>
  <c r="D7" i="40" s="1"/>
  <c r="D9" i="41" s="1"/>
  <c r="M53" i="1"/>
  <c r="U40" i="5"/>
  <c r="AR30" i="1"/>
  <c r="AR69" i="1" s="1"/>
  <c r="AI30" i="1"/>
  <c r="U30" i="1"/>
  <c r="U69" i="1" s="1"/>
  <c r="U77" i="1"/>
  <c r="U80" i="1"/>
  <c r="U24" i="5"/>
  <c r="T24" i="5"/>
  <c r="H28" i="1"/>
  <c r="AO69" i="1"/>
  <c r="AJ30" i="1"/>
  <c r="AJ69" i="1" s="1"/>
  <c r="G15" i="40"/>
  <c r="BD69" i="1"/>
  <c r="M60" i="1"/>
  <c r="D2" i="41" s="1"/>
  <c r="H15" i="40"/>
  <c r="F14" i="1"/>
  <c r="CD30" i="1"/>
  <c r="CD69" i="1" s="1"/>
  <c r="B15" i="40"/>
  <c r="L64" i="5"/>
  <c r="U64" i="5" s="1"/>
  <c r="D20" i="40"/>
  <c r="F80" i="1"/>
  <c r="N80" i="1" s="1"/>
  <c r="D31" i="15"/>
  <c r="E24" i="1"/>
  <c r="H14" i="1"/>
  <c r="Q2" i="10"/>
  <c r="Q5" i="10" s="1"/>
  <c r="H12" i="5"/>
  <c r="G12" i="5" s="1"/>
  <c r="E20" i="40"/>
  <c r="L27" i="5"/>
  <c r="U27" i="5" s="1"/>
  <c r="H19" i="40"/>
  <c r="CK80" i="1"/>
  <c r="CK77" i="1"/>
  <c r="C13" i="1"/>
  <c r="K13" i="1" s="1"/>
  <c r="E16" i="1"/>
  <c r="M16" i="1" s="1"/>
  <c r="CL80" i="1"/>
  <c r="CL30" i="1"/>
  <c r="CL69" i="1" s="1"/>
  <c r="B17" i="41"/>
  <c r="H80" i="1"/>
  <c r="P80" i="1" s="1"/>
  <c r="E80" i="1"/>
  <c r="M80" i="1" s="1"/>
  <c r="D56" i="15"/>
  <c r="L8" i="15" s="1"/>
  <c r="G24" i="1"/>
  <c r="BX74" i="1"/>
  <c r="F66" i="15"/>
  <c r="T31" i="5"/>
  <c r="U31" i="5"/>
  <c r="L48" i="1"/>
  <c r="L53" i="1" s="1"/>
  <c r="U28" i="5"/>
  <c r="D76" i="1"/>
  <c r="L76" i="1" s="1"/>
  <c r="CD80" i="1"/>
  <c r="BC74" i="1"/>
  <c r="W77" i="1"/>
  <c r="C77" i="1" s="1"/>
  <c r="K77" i="1" s="1"/>
  <c r="D24" i="1"/>
  <c r="C10" i="5"/>
  <c r="C15" i="5" s="1"/>
  <c r="K48" i="1"/>
  <c r="B5" i="41" s="1"/>
  <c r="L60" i="1"/>
  <c r="C2" i="41" s="1"/>
  <c r="CA30" i="1"/>
  <c r="CA69" i="1" s="1"/>
  <c r="H7" i="40"/>
  <c r="L59" i="5"/>
  <c r="U59" i="5" s="1"/>
  <c r="F12" i="5"/>
  <c r="E12" i="5" s="1"/>
  <c r="E6" i="15"/>
  <c r="AF30" i="1"/>
  <c r="AF69" i="1" s="1"/>
  <c r="D15" i="40"/>
  <c r="E15" i="40"/>
  <c r="G7" i="40"/>
  <c r="T34" i="5"/>
  <c r="U29" i="5"/>
  <c r="T26" i="5"/>
  <c r="T28" i="5"/>
  <c r="D141" i="9"/>
  <c r="E198" i="9"/>
  <c r="D201" i="9"/>
  <c r="D168" i="9"/>
  <c r="D209" i="9"/>
  <c r="D91" i="9"/>
  <c r="D240" i="9"/>
  <c r="D68" i="9"/>
  <c r="D41" i="9"/>
  <c r="D36" i="9"/>
  <c r="D245" i="9"/>
  <c r="D213" i="9"/>
  <c r="E171" i="9"/>
  <c r="E124" i="9"/>
  <c r="E74" i="9"/>
  <c r="E73" i="9"/>
  <c r="U23" i="5"/>
  <c r="E195" i="9"/>
  <c r="D170" i="9"/>
  <c r="E223" i="9"/>
  <c r="E52" i="9"/>
  <c r="D50" i="9"/>
  <c r="E29" i="9"/>
  <c r="E45" i="9"/>
  <c r="E31" i="9"/>
  <c r="E141" i="9"/>
  <c r="U32" i="5"/>
  <c r="D67" i="9"/>
  <c r="D107" i="9"/>
  <c r="D102" i="9"/>
  <c r="E185" i="9"/>
  <c r="D228" i="9"/>
  <c r="E89" i="9"/>
  <c r="D78" i="9"/>
  <c r="E201" i="9"/>
  <c r="D119" i="9"/>
  <c r="D257" i="9"/>
  <c r="D177" i="9"/>
  <c r="E216" i="9"/>
  <c r="D65" i="9"/>
  <c r="D113" i="9"/>
  <c r="E229" i="9"/>
  <c r="E28" i="9"/>
  <c r="E231" i="9"/>
  <c r="D192" i="9"/>
  <c r="E112" i="9"/>
  <c r="D124" i="9"/>
  <c r="E46" i="9"/>
  <c r="D145" i="9"/>
  <c r="E92" i="9"/>
  <c r="D79" i="9"/>
  <c r="E157" i="9"/>
  <c r="D246" i="9"/>
  <c r="D132" i="9"/>
  <c r="E34" i="9"/>
  <c r="E234" i="9"/>
  <c r="E127" i="9"/>
  <c r="D131" i="9"/>
  <c r="D72" i="9"/>
  <c r="D164" i="9"/>
  <c r="E128" i="9"/>
  <c r="E266" i="9"/>
  <c r="E88" i="9"/>
  <c r="D46" i="9"/>
  <c r="D250" i="9"/>
  <c r="D53" i="9"/>
  <c r="E212" i="9"/>
  <c r="D186" i="9"/>
  <c r="E116" i="9"/>
  <c r="E254" i="9"/>
  <c r="E267" i="9"/>
  <c r="E43" i="9"/>
  <c r="U35" i="5"/>
  <c r="D242" i="9"/>
  <c r="E35" i="9"/>
  <c r="E192" i="9"/>
  <c r="E257" i="9"/>
  <c r="D93" i="9"/>
  <c r="D144" i="9"/>
  <c r="D260" i="9"/>
  <c r="D225" i="9"/>
  <c r="E146" i="9"/>
  <c r="D58" i="9"/>
  <c r="Q17" i="9"/>
  <c r="Q18" i="9" s="1"/>
  <c r="E77" i="9"/>
  <c r="E256" i="9"/>
  <c r="D90" i="9"/>
  <c r="D110" i="9"/>
  <c r="E261" i="9"/>
  <c r="E75" i="9"/>
  <c r="E190" i="9"/>
  <c r="E213" i="9"/>
  <c r="E61" i="9"/>
  <c r="D31" i="9"/>
  <c r="E242" i="9"/>
  <c r="D172" i="9"/>
  <c r="D267" i="9"/>
  <c r="D194" i="9"/>
  <c r="E126" i="9"/>
  <c r="E115" i="9"/>
  <c r="D254" i="9"/>
  <c r="E248" i="9"/>
  <c r="E76" i="9"/>
  <c r="E82" i="9"/>
  <c r="D47" i="9"/>
  <c r="E158" i="9"/>
  <c r="E139" i="9"/>
  <c r="D121" i="9"/>
  <c r="D147" i="9"/>
  <c r="H17" i="41"/>
  <c r="I30" i="9"/>
  <c r="H33" i="9"/>
  <c r="C23" i="10"/>
  <c r="E23" i="10" s="1"/>
  <c r="C12" i="35"/>
  <c r="DP56" i="1" s="1"/>
  <c r="G22" i="35"/>
  <c r="D27" i="35"/>
  <c r="H6" i="35"/>
  <c r="BA56" i="1" s="1"/>
  <c r="H12" i="35"/>
  <c r="DU56" i="1" s="1"/>
  <c r="G11" i="35"/>
  <c r="DH56" i="1" s="1"/>
  <c r="F11" i="35"/>
  <c r="DG56" i="1" s="1"/>
  <c r="C10" i="35"/>
  <c r="CR56" i="1" s="1"/>
  <c r="E22" i="35"/>
  <c r="E28" i="35"/>
  <c r="J18" i="35"/>
  <c r="GQ56" i="1" s="1"/>
  <c r="K20" i="35"/>
  <c r="L20" i="35"/>
  <c r="F26" i="35"/>
  <c r="E23" i="35"/>
  <c r="G7" i="35"/>
  <c r="BL56" i="1" s="1"/>
  <c r="G33" i="15"/>
  <c r="G11" i="15"/>
  <c r="G47" i="15"/>
  <c r="J7" i="15"/>
  <c r="K7" i="15"/>
  <c r="G62" i="15"/>
  <c r="G76" i="15"/>
  <c r="G34" i="15"/>
  <c r="G12" i="15"/>
  <c r="G48" i="15"/>
  <c r="G61" i="15"/>
  <c r="G77" i="15"/>
  <c r="G80" i="15"/>
  <c r="G90" i="15"/>
  <c r="L11" i="15"/>
  <c r="G35" i="15"/>
  <c r="G13" i="15"/>
  <c r="G49" i="15"/>
  <c r="G60" i="15"/>
  <c r="G78" i="15"/>
  <c r="L10" i="15"/>
  <c r="G91" i="15"/>
  <c r="K10" i="15"/>
  <c r="G81" i="15"/>
  <c r="G92" i="15"/>
  <c r="G6" i="15"/>
  <c r="J4" i="15"/>
  <c r="G45" i="15"/>
  <c r="G74" i="15"/>
  <c r="G56" i="15"/>
  <c r="G7" i="15"/>
  <c r="G46" i="15"/>
  <c r="G75" i="15"/>
  <c r="J9" i="15"/>
  <c r="G102" i="15"/>
  <c r="L12" i="15"/>
  <c r="G37" i="15"/>
  <c r="G38" i="15"/>
  <c r="G15" i="15"/>
  <c r="G51" i="15"/>
  <c r="G43" i="15"/>
  <c r="G58" i="15"/>
  <c r="G84" i="15"/>
  <c r="G93" i="15"/>
  <c r="G20" i="15"/>
  <c r="L5" i="15"/>
  <c r="G41" i="15"/>
  <c r="K5" i="15"/>
  <c r="G16" i="15"/>
  <c r="G36" i="15"/>
  <c r="G52" i="15"/>
  <c r="G57" i="15"/>
  <c r="G85" i="15"/>
  <c r="G94" i="15"/>
  <c r="K12" i="15"/>
  <c r="G31" i="15"/>
  <c r="L6" i="15"/>
  <c r="K6" i="15"/>
  <c r="G101" i="15"/>
  <c r="G30" i="15"/>
  <c r="J6" i="15"/>
  <c r="G14" i="15"/>
  <c r="G50" i="15"/>
  <c r="G59" i="15"/>
  <c r="G79" i="15"/>
  <c r="G23" i="15"/>
  <c r="G42" i="15"/>
  <c r="L7" i="15"/>
  <c r="G19" i="15"/>
  <c r="J5" i="15"/>
  <c r="G55" i="15"/>
  <c r="J8" i="15"/>
  <c r="G73" i="15"/>
  <c r="G86" i="15"/>
  <c r="G95" i="15"/>
  <c r="G24" i="15"/>
  <c r="K3" i="15"/>
  <c r="G54" i="15"/>
  <c r="G68" i="15"/>
  <c r="K9" i="15"/>
  <c r="G87" i="15"/>
  <c r="G96" i="15"/>
  <c r="K11" i="15"/>
  <c r="G25" i="15"/>
  <c r="G2" i="15"/>
  <c r="J3" i="15"/>
  <c r="G39" i="15"/>
  <c r="G53" i="15"/>
  <c r="K8" i="15"/>
  <c r="G69" i="15"/>
  <c r="G66" i="15"/>
  <c r="L9" i="15"/>
  <c r="G88" i="15"/>
  <c r="G97" i="15"/>
  <c r="J12" i="15"/>
  <c r="G26" i="15"/>
  <c r="G3" i="15"/>
  <c r="G40" i="15"/>
  <c r="G67" i="15"/>
  <c r="G70" i="15"/>
  <c r="G89" i="15"/>
  <c r="G98" i="15"/>
  <c r="G32" i="15"/>
  <c r="G27" i="15"/>
  <c r="G4" i="15"/>
  <c r="G64" i="15"/>
  <c r="G71" i="15"/>
  <c r="G65" i="15"/>
  <c r="G83" i="15"/>
  <c r="G99" i="15"/>
  <c r="J11" i="15"/>
  <c r="G29" i="15"/>
  <c r="K4" i="15"/>
  <c r="G5" i="15"/>
  <c r="G28" i="15"/>
  <c r="G44" i="15"/>
  <c r="G63" i="15"/>
  <c r="G72" i="15"/>
  <c r="J10" i="15"/>
  <c r="G82" i="15"/>
  <c r="G100" i="15"/>
  <c r="F74" i="12"/>
  <c r="E15" i="29"/>
  <c r="H17" i="29"/>
  <c r="I12" i="29"/>
  <c r="B10" i="29"/>
  <c r="E13" i="29"/>
  <c r="J27" i="29"/>
  <c r="F27" i="29"/>
  <c r="L12" i="29"/>
  <c r="G19" i="29"/>
  <c r="C26" i="29"/>
  <c r="L23" i="29"/>
  <c r="E9" i="29"/>
  <c r="D18" i="29"/>
  <c r="J15" i="29"/>
  <c r="F15" i="29"/>
  <c r="L27" i="29"/>
  <c r="I28" i="29"/>
  <c r="C14" i="29"/>
  <c r="I20" i="29"/>
  <c r="E27" i="29"/>
  <c r="H25" i="29"/>
  <c r="J21" i="29"/>
  <c r="H23" i="29"/>
  <c r="E6" i="29"/>
  <c r="J5" i="29"/>
  <c r="G20" i="29"/>
  <c r="C7" i="29"/>
  <c r="L13" i="29"/>
  <c r="K7" i="29"/>
  <c r="H14" i="29"/>
  <c r="F10" i="29"/>
  <c r="H6" i="29"/>
  <c r="H15" i="29"/>
  <c r="E24" i="29"/>
  <c r="M23" i="29"/>
  <c r="C20" i="29"/>
  <c r="F9" i="29"/>
  <c r="J6" i="29"/>
  <c r="G21" i="29"/>
  <c r="M29" i="29"/>
  <c r="G17" i="29"/>
  <c r="L14" i="29"/>
  <c r="E25" i="29"/>
  <c r="J26" i="29"/>
  <c r="L22" i="29"/>
  <c r="D6" i="29"/>
  <c r="H26" i="29"/>
  <c r="D26" i="29"/>
  <c r="E5" i="29"/>
  <c r="I25" i="29"/>
  <c r="L11" i="29"/>
  <c r="G14" i="29"/>
  <c r="J24" i="29"/>
  <c r="C24" i="29"/>
  <c r="E12" i="29"/>
  <c r="M13" i="29"/>
  <c r="E4" i="29"/>
  <c r="K9" i="29"/>
  <c r="D9" i="29"/>
  <c r="F5" i="29"/>
  <c r="C17" i="29"/>
  <c r="J17" i="29"/>
  <c r="G4" i="29"/>
  <c r="J22" i="29"/>
  <c r="G29" i="29"/>
  <c r="B29" i="29"/>
  <c r="F26" i="29"/>
  <c r="K28" i="29"/>
  <c r="F11" i="29"/>
  <c r="B11" i="29"/>
  <c r="K12" i="29"/>
  <c r="M18" i="29"/>
  <c r="I8" i="29"/>
  <c r="H7" i="29"/>
  <c r="B22" i="29"/>
  <c r="I9" i="29"/>
  <c r="H28" i="29"/>
  <c r="G28" i="29"/>
  <c r="J23" i="29"/>
  <c r="E14" i="29"/>
  <c r="G25" i="29"/>
  <c r="K8" i="29"/>
  <c r="C29" i="29"/>
  <c r="D10" i="29"/>
  <c r="L9" i="29"/>
  <c r="I22" i="29"/>
  <c r="K20" i="29"/>
  <c r="C4" i="29"/>
  <c r="M9" i="29"/>
  <c r="D12" i="29"/>
  <c r="M10" i="29"/>
  <c r="J16" i="29"/>
  <c r="B14" i="29"/>
  <c r="C9" i="29"/>
  <c r="C25" i="29"/>
  <c r="L25" i="29"/>
  <c r="M7" i="29"/>
  <c r="I7" i="29"/>
  <c r="I21" i="29"/>
  <c r="J25" i="29"/>
  <c r="M15" i="29"/>
  <c r="F6" i="29"/>
  <c r="F7" i="29"/>
  <c r="M4" i="29"/>
  <c r="I17" i="29"/>
  <c r="H10" i="29"/>
  <c r="K26" i="29"/>
  <c r="G10" i="29"/>
  <c r="D23" i="29"/>
  <c r="L6" i="29"/>
  <c r="M21" i="29"/>
  <c r="I5" i="29"/>
  <c r="D24" i="29"/>
  <c r="L7" i="29"/>
  <c r="F19" i="29"/>
  <c r="F21" i="29"/>
  <c r="B23" i="29"/>
  <c r="H8" i="29"/>
  <c r="C23" i="29"/>
  <c r="H12" i="29"/>
  <c r="H4" i="33"/>
  <c r="AN26" i="1" s="1"/>
  <c r="AN27" i="1" s="1"/>
  <c r="L20" i="33"/>
  <c r="B12" i="33"/>
  <c r="K5" i="33"/>
  <c r="BC26" i="1" s="1"/>
  <c r="C22" i="33"/>
  <c r="B19" i="33"/>
  <c r="H3" i="33"/>
  <c r="AB26" i="1" s="1"/>
  <c r="L19" i="33"/>
  <c r="J23" i="33"/>
  <c r="I10" i="33"/>
  <c r="DI26" i="1" s="1"/>
  <c r="M26" i="33"/>
  <c r="H2" i="33"/>
  <c r="L18" i="33"/>
  <c r="M23" i="33"/>
  <c r="G13" i="33"/>
  <c r="EQ26" i="1" s="1"/>
  <c r="I8" i="33"/>
  <c r="CK26" i="1" s="1"/>
  <c r="M24" i="33"/>
  <c r="H7" i="33"/>
  <c r="BX26" i="1" s="1"/>
  <c r="L23" i="33"/>
  <c r="D10" i="33"/>
  <c r="DD26" i="1" s="1"/>
  <c r="C17" i="33"/>
  <c r="GI26" i="1" s="1"/>
  <c r="I19" i="33"/>
  <c r="K6" i="33"/>
  <c r="BO26" i="1" s="1"/>
  <c r="J29" i="29"/>
  <c r="B13" i="29"/>
  <c r="J18" i="29"/>
  <c r="E22" i="29"/>
  <c r="B28" i="29"/>
  <c r="I10" i="29"/>
  <c r="H19" i="29"/>
  <c r="F20" i="29"/>
  <c r="F23" i="29"/>
  <c r="E19" i="29"/>
  <c r="H24" i="29"/>
  <c r="B20" i="29"/>
  <c r="K18" i="29"/>
  <c r="L4" i="29"/>
  <c r="I24" i="29"/>
  <c r="C2" i="33"/>
  <c r="K5" i="29"/>
  <c r="C15" i="29"/>
  <c r="B17" i="33"/>
  <c r="J6" i="33"/>
  <c r="BN26" i="1" s="1"/>
  <c r="B12" i="29"/>
  <c r="C22" i="29"/>
  <c r="K27" i="33"/>
  <c r="H4" i="29"/>
  <c r="E20" i="33"/>
  <c r="G7" i="29"/>
  <c r="B8" i="29"/>
  <c r="L28" i="29"/>
  <c r="J5" i="33"/>
  <c r="BB26" i="1" s="1"/>
  <c r="B22" i="33"/>
  <c r="F14" i="33"/>
  <c r="FB26" i="1" s="1"/>
  <c r="M6" i="33"/>
  <c r="BQ26" i="1" s="1"/>
  <c r="E23" i="33"/>
  <c r="B26" i="33"/>
  <c r="J4" i="33"/>
  <c r="AP26" i="1" s="1"/>
  <c r="AP27" i="1" s="1"/>
  <c r="B21" i="33"/>
  <c r="C11" i="33"/>
  <c r="DO26" i="1" s="1"/>
  <c r="K11" i="33"/>
  <c r="DW26" i="1" s="1"/>
  <c r="C6" i="33"/>
  <c r="BG26" i="1" s="1"/>
  <c r="J3" i="33"/>
  <c r="AD26" i="1" s="1"/>
  <c r="B20" i="33"/>
  <c r="D25" i="33"/>
  <c r="E19" i="33"/>
  <c r="K9" i="33"/>
  <c r="CY26" i="1" s="1"/>
  <c r="C26" i="33"/>
  <c r="J8" i="33"/>
  <c r="CL26" i="1" s="1"/>
  <c r="B25" i="33"/>
  <c r="F18" i="33"/>
  <c r="E18" i="33"/>
  <c r="K20" i="33"/>
  <c r="C23" i="33"/>
  <c r="C11" i="29"/>
  <c r="F16" i="29"/>
  <c r="E8" i="29"/>
  <c r="M14" i="29"/>
  <c r="H13" i="29"/>
  <c r="B19" i="29"/>
  <c r="C18" i="29"/>
  <c r="D21" i="29"/>
  <c r="B5" i="29"/>
  <c r="I6" i="33"/>
  <c r="BM26" i="1" s="1"/>
  <c r="B27" i="29"/>
  <c r="L27" i="33"/>
  <c r="H19" i="33"/>
  <c r="E7" i="33"/>
  <c r="BU26" i="1" s="1"/>
  <c r="E5" i="33"/>
  <c r="AW26" i="1" s="1"/>
  <c r="G23" i="29"/>
  <c r="L21" i="29"/>
  <c r="C21" i="29"/>
  <c r="D15" i="33"/>
  <c r="FL26" i="1" s="1"/>
  <c r="J14" i="29"/>
  <c r="I18" i="29"/>
  <c r="I4" i="33"/>
  <c r="AO26" i="1" s="1"/>
  <c r="AO27" i="1" s="1"/>
  <c r="K8" i="33"/>
  <c r="CM26" i="1" s="1"/>
  <c r="J22" i="33"/>
  <c r="K15" i="29"/>
  <c r="M24" i="29"/>
  <c r="F24" i="29"/>
  <c r="E10" i="29"/>
  <c r="L6" i="33"/>
  <c r="BP26" i="1" s="1"/>
  <c r="D23" i="33"/>
  <c r="D20" i="33"/>
  <c r="C8" i="33"/>
  <c r="CE26" i="1" s="1"/>
  <c r="G24" i="33"/>
  <c r="I7" i="33"/>
  <c r="BY26" i="1" s="1"/>
  <c r="L5" i="33"/>
  <c r="BD26" i="1" s="1"/>
  <c r="D22" i="33"/>
  <c r="E26" i="33"/>
  <c r="M12" i="33"/>
  <c r="EK26" i="1" s="1"/>
  <c r="G15" i="33"/>
  <c r="FO26" i="1" s="1"/>
  <c r="L4" i="33"/>
  <c r="AR26" i="1" s="1"/>
  <c r="AR27" i="1" s="1"/>
  <c r="D21" i="33"/>
  <c r="L7" i="33"/>
  <c r="CB26" i="1" s="1"/>
  <c r="G27" i="33"/>
  <c r="M10" i="33"/>
  <c r="DM26" i="1" s="1"/>
  <c r="E27" i="33"/>
  <c r="L9" i="33"/>
  <c r="CZ26" i="1" s="1"/>
  <c r="D26" i="33"/>
  <c r="C3" i="33"/>
  <c r="W26" i="1" s="1"/>
  <c r="G19" i="33"/>
  <c r="C9" i="33"/>
  <c r="CQ26" i="1" s="1"/>
  <c r="L10" i="29"/>
  <c r="G27" i="29"/>
  <c r="M5" i="29"/>
  <c r="H29" i="29"/>
  <c r="B6" i="29"/>
  <c r="L29" i="29"/>
  <c r="K23" i="29"/>
  <c r="E17" i="29"/>
  <c r="L15" i="29"/>
  <c r="H22" i="29"/>
  <c r="B17" i="29"/>
  <c r="E24" i="33"/>
  <c r="F4" i="29"/>
  <c r="H11" i="33"/>
  <c r="DT26" i="1" s="1"/>
  <c r="H10" i="33"/>
  <c r="DH26" i="1" s="1"/>
  <c r="H9" i="33"/>
  <c r="CV26" i="1" s="1"/>
  <c r="H14" i="33"/>
  <c r="FD26" i="1" s="1"/>
  <c r="B16" i="29"/>
  <c r="M17" i="29"/>
  <c r="B4" i="29"/>
  <c r="M25" i="33"/>
  <c r="J9" i="29"/>
  <c r="E20" i="29"/>
  <c r="J10" i="29"/>
  <c r="F2" i="33"/>
  <c r="G18" i="33"/>
  <c r="D8" i="29"/>
  <c r="J8" i="29"/>
  <c r="I11" i="29"/>
  <c r="I26" i="29"/>
  <c r="B8" i="33"/>
  <c r="F24" i="33"/>
  <c r="D27" i="33"/>
  <c r="E9" i="33"/>
  <c r="CS26" i="1" s="1"/>
  <c r="I25" i="33"/>
  <c r="M16" i="33"/>
  <c r="GG26" i="1" s="1"/>
  <c r="B7" i="33"/>
  <c r="F23" i="33"/>
  <c r="B3" i="33"/>
  <c r="C14" i="33"/>
  <c r="EY26" i="1" s="1"/>
  <c r="G22" i="33"/>
  <c r="B6" i="33"/>
  <c r="F22" i="33"/>
  <c r="J13" i="33"/>
  <c r="ET26" i="1" s="1"/>
  <c r="H6" i="33"/>
  <c r="BL26" i="1" s="1"/>
  <c r="C12" i="33"/>
  <c r="EA26" i="1" s="1"/>
  <c r="C25" i="33"/>
  <c r="B11" i="33"/>
  <c r="F27" i="33"/>
  <c r="E4" i="33"/>
  <c r="AK26" i="1" s="1"/>
  <c r="AK27" i="1" s="1"/>
  <c r="I20" i="33"/>
  <c r="E10" i="33"/>
  <c r="DE26" i="1" s="1"/>
  <c r="C16" i="33"/>
  <c r="FW26" i="1" s="1"/>
  <c r="L8" i="29"/>
  <c r="L17" i="29"/>
  <c r="G13" i="29"/>
  <c r="D16" i="29"/>
  <c r="E11" i="29"/>
  <c r="D11" i="29"/>
  <c r="F29" i="29"/>
  <c r="L26" i="29"/>
  <c r="E28" i="29"/>
  <c r="K24" i="29"/>
  <c r="I6" i="29"/>
  <c r="K19" i="29"/>
  <c r="H5" i="29"/>
  <c r="D4" i="33"/>
  <c r="AJ26" i="1" s="1"/>
  <c r="AJ27" i="1" s="1"/>
  <c r="L25" i="33"/>
  <c r="K7" i="33"/>
  <c r="CA26" i="1" s="1"/>
  <c r="I23" i="29"/>
  <c r="E11" i="33"/>
  <c r="DQ26" i="1" s="1"/>
  <c r="F8" i="29"/>
  <c r="L2" i="33"/>
  <c r="E17" i="33"/>
  <c r="GK26" i="1" s="1"/>
  <c r="J19" i="29"/>
  <c r="G12" i="29"/>
  <c r="M20" i="33"/>
  <c r="D17" i="29"/>
  <c r="B25" i="29"/>
  <c r="M27" i="29"/>
  <c r="H11" i="29"/>
  <c r="D9" i="33"/>
  <c r="CR26" i="1" s="1"/>
  <c r="H25" i="33"/>
  <c r="E12" i="33"/>
  <c r="EC26" i="1" s="1"/>
  <c r="G10" i="33"/>
  <c r="DG26" i="1" s="1"/>
  <c r="K26" i="33"/>
  <c r="G20" i="33"/>
  <c r="D8" i="33"/>
  <c r="CF26" i="1" s="1"/>
  <c r="H24" i="33"/>
  <c r="D18" i="33"/>
  <c r="E15" i="33"/>
  <c r="FM26" i="1" s="1"/>
  <c r="B5" i="33"/>
  <c r="D7" i="33"/>
  <c r="BT26" i="1" s="1"/>
  <c r="H23" i="33"/>
  <c r="B23" i="33"/>
  <c r="H13" i="33"/>
  <c r="ER26" i="1" s="1"/>
  <c r="E13" i="33"/>
  <c r="EO26" i="1" s="1"/>
  <c r="F12" i="33"/>
  <c r="ED26" i="1" s="1"/>
  <c r="D12" i="33"/>
  <c r="EB26" i="1" s="1"/>
  <c r="M2" i="33"/>
  <c r="G5" i="33"/>
  <c r="AY26" i="1" s="1"/>
  <c r="K21" i="33"/>
  <c r="J27" i="33"/>
  <c r="M7" i="33"/>
  <c r="CC26" i="1" s="1"/>
  <c r="D25" i="29"/>
  <c r="D13" i="29"/>
  <c r="C28" i="29"/>
  <c r="G15" i="29"/>
  <c r="H16" i="29"/>
  <c r="I15" i="29"/>
  <c r="H18" i="29"/>
  <c r="I13" i="29"/>
  <c r="M8" i="29"/>
  <c r="K14" i="29"/>
  <c r="K29" i="29"/>
  <c r="F18" i="29"/>
  <c r="D7" i="29"/>
  <c r="L24" i="29"/>
  <c r="L26" i="33"/>
  <c r="H27" i="33"/>
  <c r="C24" i="33"/>
  <c r="H9" i="29"/>
  <c r="I27" i="33"/>
  <c r="E22" i="33"/>
  <c r="C18" i="33"/>
  <c r="I26" i="33"/>
  <c r="D20" i="29"/>
  <c r="D14" i="29"/>
  <c r="F7" i="33"/>
  <c r="BV26" i="1" s="1"/>
  <c r="E3" i="33"/>
  <c r="Y26" i="1" s="1"/>
  <c r="K17" i="29"/>
  <c r="G6" i="29"/>
  <c r="J11" i="29"/>
  <c r="M12" i="29"/>
  <c r="F10" i="33"/>
  <c r="DF26" i="1" s="1"/>
  <c r="J26" i="33"/>
  <c r="K22" i="33"/>
  <c r="I11" i="33"/>
  <c r="DU26" i="1" s="1"/>
  <c r="M27" i="33"/>
  <c r="D11" i="33"/>
  <c r="DP26" i="1" s="1"/>
  <c r="F9" i="33"/>
  <c r="CT26" i="1" s="1"/>
  <c r="J25" i="33"/>
  <c r="D3" i="33"/>
  <c r="X26" i="1" s="1"/>
  <c r="G16" i="33"/>
  <c r="GA26" i="1" s="1"/>
  <c r="L10" i="33"/>
  <c r="DL26" i="1" s="1"/>
  <c r="F8" i="33"/>
  <c r="CH26" i="1" s="1"/>
  <c r="J24" i="33"/>
  <c r="I2" i="33"/>
  <c r="F19" i="33"/>
  <c r="G14" i="33"/>
  <c r="FC26" i="1" s="1"/>
  <c r="B24" i="33"/>
  <c r="F13" i="33"/>
  <c r="EP26" i="1" s="1"/>
  <c r="C4" i="33"/>
  <c r="AI26" i="1" s="1"/>
  <c r="AI27" i="1" s="1"/>
  <c r="M22" i="33"/>
  <c r="L16" i="29"/>
  <c r="K16" i="29"/>
  <c r="K12" i="33"/>
  <c r="EI26" i="1" s="1"/>
  <c r="I17" i="33"/>
  <c r="GO26" i="1" s="1"/>
  <c r="I15" i="33"/>
  <c r="FQ26" i="1" s="1"/>
  <c r="M22" i="29"/>
  <c r="J20" i="29"/>
  <c r="G11" i="29"/>
  <c r="I16" i="29"/>
  <c r="C27" i="33"/>
  <c r="H27" i="29"/>
  <c r="E29" i="29"/>
  <c r="G9" i="33"/>
  <c r="CU26" i="1" s="1"/>
  <c r="L24" i="33"/>
  <c r="M15" i="33"/>
  <c r="FU26" i="1" s="1"/>
  <c r="C19" i="29"/>
  <c r="K22" i="29"/>
  <c r="H15" i="33"/>
  <c r="FP26" i="1" s="1"/>
  <c r="G4" i="33"/>
  <c r="AM26" i="1" s="1"/>
  <c r="AM27" i="1" s="1"/>
  <c r="D19" i="29"/>
  <c r="M19" i="29"/>
  <c r="M5" i="33"/>
  <c r="BE26" i="1" s="1"/>
  <c r="B15" i="29"/>
  <c r="G24" i="29"/>
  <c r="D13" i="33"/>
  <c r="EN26" i="1" s="1"/>
  <c r="D4" i="29"/>
  <c r="G22" i="29"/>
  <c r="K25" i="29"/>
  <c r="J12" i="33"/>
  <c r="EH26" i="1" s="1"/>
  <c r="F14" i="29"/>
  <c r="J7" i="33"/>
  <c r="BZ26" i="1" s="1"/>
  <c r="M13" i="33"/>
  <c r="EW26" i="1" s="1"/>
  <c r="M25" i="29"/>
  <c r="F26" i="33"/>
  <c r="J11" i="33"/>
  <c r="DV26" i="1" s="1"/>
  <c r="M4" i="33"/>
  <c r="AS26" i="1" s="1"/>
  <c r="AS27" i="1" s="1"/>
  <c r="G2" i="33"/>
  <c r="K18" i="33"/>
  <c r="F21" i="33"/>
  <c r="J10" i="33"/>
  <c r="DJ26" i="1" s="1"/>
  <c r="B27" i="33"/>
  <c r="I9" i="33"/>
  <c r="CW26" i="1" s="1"/>
  <c r="L14" i="33"/>
  <c r="FH26" i="1" s="1"/>
  <c r="K16" i="33"/>
  <c r="GE26" i="1" s="1"/>
  <c r="F11" i="33"/>
  <c r="DR26" i="1" s="1"/>
  <c r="J15" i="33"/>
  <c r="FR26" i="1" s="1"/>
  <c r="G6" i="33"/>
  <c r="BK26" i="1" s="1"/>
  <c r="M8" i="33"/>
  <c r="CO26" i="1" s="1"/>
  <c r="E25" i="33"/>
  <c r="G25" i="33"/>
  <c r="K13" i="33"/>
  <c r="EU26" i="1" s="1"/>
  <c r="J13" i="29"/>
  <c r="D29" i="29"/>
  <c r="I14" i="29"/>
  <c r="L19" i="29"/>
  <c r="C16" i="29"/>
  <c r="F22" i="29"/>
  <c r="L5" i="29"/>
  <c r="E7" i="29"/>
  <c r="C13" i="29"/>
  <c r="E21" i="29"/>
  <c r="K13" i="29"/>
  <c r="L18" i="29"/>
  <c r="D22" i="29"/>
  <c r="C6" i="29"/>
  <c r="E26" i="29"/>
  <c r="B15" i="33"/>
  <c r="J14" i="33"/>
  <c r="FF26" i="1" s="1"/>
  <c r="B9" i="33"/>
  <c r="C20" i="33"/>
  <c r="B13" i="33"/>
  <c r="K2" i="33"/>
  <c r="B18" i="33"/>
  <c r="F12" i="29"/>
  <c r="L15" i="33"/>
  <c r="FT26" i="1" s="1"/>
  <c r="I4" i="29"/>
  <c r="M26" i="29"/>
  <c r="F3" i="33"/>
  <c r="Z26" i="1" s="1"/>
  <c r="K25" i="33"/>
  <c r="K23" i="33"/>
  <c r="E16" i="29"/>
  <c r="H20" i="29"/>
  <c r="C5" i="29"/>
  <c r="D15" i="29"/>
  <c r="L13" i="33"/>
  <c r="EV26" i="1" s="1"/>
  <c r="C27" i="29"/>
  <c r="B10" i="33"/>
  <c r="C15" i="33"/>
  <c r="FK26" i="1" s="1"/>
  <c r="B26" i="29"/>
  <c r="B2" i="33"/>
  <c r="L12" i="33"/>
  <c r="EJ26" i="1" s="1"/>
  <c r="C13" i="33"/>
  <c r="EM26" i="1" s="1"/>
  <c r="I3" i="33"/>
  <c r="AC26" i="1" s="1"/>
  <c r="M19" i="33"/>
  <c r="M9" i="33"/>
  <c r="DA26" i="1" s="1"/>
  <c r="L11" i="33"/>
  <c r="DX26" i="1" s="1"/>
  <c r="K3" i="33"/>
  <c r="AE26" i="1" s="1"/>
  <c r="M11" i="33"/>
  <c r="DY26" i="1" s="1"/>
  <c r="H26" i="33"/>
  <c r="M17" i="33"/>
  <c r="GS26" i="1" s="1"/>
  <c r="B16" i="33"/>
  <c r="L16" i="33"/>
  <c r="GF26" i="1" s="1"/>
  <c r="I14" i="33"/>
  <c r="FE26" i="1" s="1"/>
  <c r="C10" i="33"/>
  <c r="DC26" i="1" s="1"/>
  <c r="G26" i="33"/>
  <c r="I5" i="33"/>
  <c r="BA26" i="1" s="1"/>
  <c r="I12" i="33"/>
  <c r="EG26" i="1" s="1"/>
  <c r="K27" i="29"/>
  <c r="G26" i="29"/>
  <c r="G9" i="29"/>
  <c r="M16" i="29"/>
  <c r="G18" i="29"/>
  <c r="I19" i="29"/>
  <c r="K4" i="29"/>
  <c r="K10" i="33"/>
  <c r="DK26" i="1" s="1"/>
  <c r="G8" i="33"/>
  <c r="CI26" i="1" s="1"/>
  <c r="B14" i="33"/>
  <c r="C21" i="33"/>
  <c r="L8" i="33"/>
  <c r="CN26" i="1" s="1"/>
  <c r="I16" i="33"/>
  <c r="GC26" i="1" s="1"/>
  <c r="D24" i="33"/>
  <c r="M21" i="33"/>
  <c r="K11" i="29"/>
  <c r="I23" i="33"/>
  <c r="L20" i="29"/>
  <c r="K21" i="29"/>
  <c r="J17" i="33"/>
  <c r="GP26" i="1" s="1"/>
  <c r="J21" i="33"/>
  <c r="M11" i="29"/>
  <c r="G8" i="29"/>
  <c r="E16" i="33"/>
  <c r="FY26" i="1" s="1"/>
  <c r="K4" i="33"/>
  <c r="AQ26" i="1" s="1"/>
  <c r="AQ27" i="1" s="1"/>
  <c r="K17" i="33"/>
  <c r="GQ26" i="1" s="1"/>
  <c r="C19" i="33"/>
  <c r="K15" i="33"/>
  <c r="FS26" i="1" s="1"/>
  <c r="F17" i="29"/>
  <c r="M3" i="33"/>
  <c r="AG26" i="1" s="1"/>
  <c r="J28" i="29"/>
  <c r="E23" i="29"/>
  <c r="J19" i="33"/>
  <c r="G7" i="33"/>
  <c r="BW26" i="1" s="1"/>
  <c r="K10" i="29"/>
  <c r="E18" i="29"/>
  <c r="J7" i="29"/>
  <c r="F28" i="29"/>
  <c r="D16" i="33"/>
  <c r="FX26" i="1" s="1"/>
  <c r="M18" i="33"/>
  <c r="H20" i="33"/>
  <c r="G17" i="33"/>
  <c r="GM26" i="1" s="1"/>
  <c r="E14" i="33"/>
  <c r="FA26" i="1" s="1"/>
  <c r="H12" i="33"/>
  <c r="EF26" i="1" s="1"/>
  <c r="D14" i="33"/>
  <c r="EZ26" i="1" s="1"/>
  <c r="D19" i="33"/>
  <c r="G12" i="33"/>
  <c r="EE26" i="1" s="1"/>
  <c r="M28" i="29"/>
  <c r="J4" i="29"/>
  <c r="J18" i="33"/>
  <c r="F13" i="29"/>
  <c r="B9" i="29"/>
  <c r="B24" i="29"/>
  <c r="F17" i="33"/>
  <c r="GL26" i="1" s="1"/>
  <c r="K24" i="33"/>
  <c r="E2" i="33"/>
  <c r="I18" i="33"/>
  <c r="E21" i="33"/>
  <c r="D17" i="33"/>
  <c r="GJ26" i="1" s="1"/>
  <c r="F16" i="33"/>
  <c r="FZ26" i="1" s="1"/>
  <c r="D27" i="29"/>
  <c r="C7" i="33"/>
  <c r="BS26" i="1" s="1"/>
  <c r="G23" i="33"/>
  <c r="L22" i="33"/>
  <c r="F15" i="33"/>
  <c r="FN26" i="1" s="1"/>
  <c r="J2" i="33"/>
  <c r="H8" i="33"/>
  <c r="CJ26" i="1" s="1"/>
  <c r="C5" i="33"/>
  <c r="AU26" i="1" s="1"/>
  <c r="G21" i="33"/>
  <c r="B4" i="33"/>
  <c r="F20" i="33"/>
  <c r="I21" i="33"/>
  <c r="I13" i="33"/>
  <c r="ES26" i="1" s="1"/>
  <c r="H5" i="33"/>
  <c r="AZ26" i="1" s="1"/>
  <c r="G11" i="33"/>
  <c r="DS26" i="1" s="1"/>
  <c r="C12" i="29"/>
  <c r="J12" i="29"/>
  <c r="D28" i="29"/>
  <c r="C10" i="29"/>
  <c r="B18" i="29"/>
  <c r="M20" i="29"/>
  <c r="I27" i="29"/>
  <c r="G16" i="29"/>
  <c r="M6" i="29"/>
  <c r="D5" i="29"/>
  <c r="C8" i="29"/>
  <c r="F25" i="29"/>
  <c r="G5" i="29"/>
  <c r="D2" i="33"/>
  <c r="H18" i="33"/>
  <c r="L3" i="33"/>
  <c r="AF26" i="1" s="1"/>
  <c r="G3" i="33"/>
  <c r="AA26" i="1" s="1"/>
  <c r="K19" i="33"/>
  <c r="J9" i="33"/>
  <c r="CX26" i="1" s="1"/>
  <c r="F25" i="33"/>
  <c r="H17" i="33"/>
  <c r="GN26" i="1" s="1"/>
  <c r="D6" i="33"/>
  <c r="BH26" i="1" s="1"/>
  <c r="E8" i="33"/>
  <c r="CG26" i="1" s="1"/>
  <c r="I24" i="33"/>
  <c r="F4" i="33"/>
  <c r="AL26" i="1" s="1"/>
  <c r="AL27" i="1" s="1"/>
  <c r="H16" i="33"/>
  <c r="GB26" i="1" s="1"/>
  <c r="H22" i="33"/>
  <c r="L17" i="33"/>
  <c r="GR26" i="1" s="1"/>
  <c r="E6" i="33"/>
  <c r="BI26" i="1" s="1"/>
  <c r="I22" i="33"/>
  <c r="D5" i="33"/>
  <c r="AV26" i="1" s="1"/>
  <c r="H21" i="33"/>
  <c r="F5" i="33"/>
  <c r="AX26" i="1" s="1"/>
  <c r="L21" i="33"/>
  <c r="I29" i="29"/>
  <c r="K6" i="29"/>
  <c r="J20" i="33"/>
  <c r="F6" i="33"/>
  <c r="BJ26" i="1" s="1"/>
  <c r="B21" i="29"/>
  <c r="K14" i="33"/>
  <c r="FG26" i="1" s="1"/>
  <c r="M14" i="33"/>
  <c r="FI26" i="1" s="1"/>
  <c r="H21" i="29"/>
  <c r="J16" i="33"/>
  <c r="GD26" i="1" s="1"/>
  <c r="B7" i="29"/>
  <c r="K10" i="35"/>
  <c r="CZ56" i="1" s="1"/>
  <c r="K19" i="35"/>
  <c r="I3" i="35"/>
  <c r="J23" i="35"/>
  <c r="H9" i="35"/>
  <c r="CK56" i="1" s="1"/>
  <c r="C11" i="35"/>
  <c r="DD56" i="1" s="1"/>
  <c r="K12" i="35"/>
  <c r="DX56" i="1" s="1"/>
  <c r="M26" i="35"/>
  <c r="F5" i="35"/>
  <c r="AM56" i="1" s="1"/>
  <c r="J11" i="35"/>
  <c r="DK56" i="1" s="1"/>
  <c r="M24" i="35"/>
  <c r="J9" i="35"/>
  <c r="CM56" i="1" s="1"/>
  <c r="H4" i="35"/>
  <c r="AC56" i="1" s="1"/>
  <c r="J16" i="35"/>
  <c r="FS56" i="1" s="1"/>
  <c r="K25" i="35"/>
  <c r="E13" i="35"/>
  <c r="ED56" i="1" s="1"/>
  <c r="H24" i="35"/>
  <c r="L6" i="35"/>
  <c r="BE56" i="1" s="1"/>
  <c r="L26" i="35"/>
  <c r="I7" i="35"/>
  <c r="BN56" i="1" s="1"/>
  <c r="H11" i="35"/>
  <c r="DI56" i="1" s="1"/>
  <c r="K16" i="35"/>
  <c r="FT56" i="1" s="1"/>
  <c r="H14" i="35"/>
  <c r="ES56" i="1" s="1"/>
  <c r="J5" i="35"/>
  <c r="AQ56" i="1" s="1"/>
  <c r="B28" i="35"/>
  <c r="G26" i="35"/>
  <c r="I19" i="35"/>
  <c r="M4" i="35"/>
  <c r="AH56" i="1" s="1"/>
  <c r="H23" i="35"/>
  <c r="B26" i="35"/>
  <c r="B25" i="35"/>
  <c r="E12" i="35"/>
  <c r="DR56" i="1" s="1"/>
  <c r="J7" i="35"/>
  <c r="BO56" i="1" s="1"/>
  <c r="L3" i="35"/>
  <c r="C14" i="35"/>
  <c r="EN56" i="1" s="1"/>
  <c r="M11" i="35"/>
  <c r="DN56" i="1" s="1"/>
  <c r="L28" i="35"/>
  <c r="I16" i="35"/>
  <c r="FR56" i="1" s="1"/>
  <c r="M19" i="35"/>
  <c r="C21" i="35"/>
  <c r="G24" i="35"/>
  <c r="K7" i="35"/>
  <c r="BP56" i="1" s="1"/>
  <c r="E24" i="35"/>
  <c r="J22" i="35"/>
  <c r="G28" i="35"/>
  <c r="L25" i="35"/>
  <c r="C22" i="35"/>
  <c r="H21" i="35"/>
  <c r="G18" i="35"/>
  <c r="GN56" i="1" s="1"/>
  <c r="E5" i="35"/>
  <c r="AL56" i="1" s="1"/>
  <c r="E11" i="35"/>
  <c r="DF56" i="1" s="1"/>
  <c r="M14" i="35"/>
  <c r="EX56" i="1" s="1"/>
  <c r="D22" i="35"/>
  <c r="D10" i="35"/>
  <c r="CS56" i="1" s="1"/>
  <c r="G20" i="35"/>
  <c r="J19" i="35"/>
  <c r="D20" i="35"/>
  <c r="E6" i="35"/>
  <c r="AX56" i="1" s="1"/>
  <c r="J25" i="35"/>
  <c r="L18" i="35"/>
  <c r="GS56" i="1" s="1"/>
  <c r="B13" i="35"/>
  <c r="EA56" i="1" s="1"/>
  <c r="C17" i="35"/>
  <c r="FX56" i="1" s="1"/>
  <c r="F9" i="35"/>
  <c r="CI56" i="1" s="1"/>
  <c r="I14" i="35"/>
  <c r="ET56" i="1" s="1"/>
  <c r="M5" i="35"/>
  <c r="AT56" i="1" s="1"/>
  <c r="D3" i="35"/>
  <c r="L5" i="35"/>
  <c r="AS56" i="1" s="1"/>
  <c r="C19" i="35"/>
  <c r="D9" i="35"/>
  <c r="CG56" i="1" s="1"/>
  <c r="D28" i="35"/>
  <c r="M16" i="35"/>
  <c r="FV56" i="1" s="1"/>
  <c r="C9" i="35"/>
  <c r="CF56" i="1" s="1"/>
  <c r="D7" i="35"/>
  <c r="BI56" i="1" s="1"/>
  <c r="B14" i="35"/>
  <c r="G15" i="35"/>
  <c r="FD56" i="1" s="1"/>
  <c r="M28" i="35"/>
  <c r="D11" i="35"/>
  <c r="DE56" i="1" s="1"/>
  <c r="E20" i="35"/>
  <c r="D5" i="35"/>
  <c r="AK56" i="1" s="1"/>
  <c r="M23" i="35"/>
  <c r="C6" i="35"/>
  <c r="AV56" i="1" s="1"/>
  <c r="H13" i="35"/>
  <c r="EG56" i="1" s="1"/>
  <c r="B8" i="35"/>
  <c r="BS56" i="1" s="1"/>
  <c r="G14" i="35"/>
  <c r="ER56" i="1" s="1"/>
  <c r="H28" i="35"/>
  <c r="L12" i="35"/>
  <c r="DY56" i="1" s="1"/>
  <c r="H20" i="35"/>
  <c r="L10" i="35"/>
  <c r="DA56" i="1" s="1"/>
  <c r="B6" i="35"/>
  <c r="B5" i="35"/>
  <c r="F13" i="35"/>
  <c r="EE56" i="1" s="1"/>
  <c r="K15" i="35"/>
  <c r="FH56" i="1" s="1"/>
  <c r="E14" i="35"/>
  <c r="EP56" i="1" s="1"/>
  <c r="B18" i="35"/>
  <c r="J21" i="35"/>
  <c r="K22" i="35"/>
  <c r="B12" i="35"/>
  <c r="DO56" i="1" s="1"/>
  <c r="L17" i="35"/>
  <c r="GG56" i="1" s="1"/>
  <c r="I9" i="35"/>
  <c r="CL56" i="1" s="1"/>
  <c r="K23" i="35"/>
  <c r="L16" i="35"/>
  <c r="FU56" i="1" s="1"/>
  <c r="F28" i="35"/>
  <c r="M18" i="35"/>
  <c r="GT56" i="1" s="1"/>
  <c r="K9" i="35"/>
  <c r="CN56" i="1" s="1"/>
  <c r="H22" i="35"/>
  <c r="H3" i="35"/>
  <c r="I12" i="35"/>
  <c r="L27" i="35"/>
  <c r="F10" i="35"/>
  <c r="H15" i="35"/>
  <c r="FE56" i="1" s="1"/>
  <c r="M22" i="35"/>
  <c r="D23" i="35"/>
  <c r="M25" i="35"/>
  <c r="H26" i="35"/>
  <c r="G23" i="35"/>
  <c r="E19" i="35"/>
  <c r="E8" i="35"/>
  <c r="BV56" i="1" s="1"/>
  <c r="H8" i="35"/>
  <c r="BY56" i="1" s="1"/>
  <c r="I13" i="35"/>
  <c r="EH56" i="1" s="1"/>
  <c r="G17" i="35"/>
  <c r="GB56" i="1" s="1"/>
  <c r="B20" i="35"/>
  <c r="K18" i="35"/>
  <c r="GR56" i="1" s="1"/>
  <c r="H18" i="35"/>
  <c r="GO56" i="1" s="1"/>
  <c r="F18" i="35"/>
  <c r="GM56" i="1" s="1"/>
  <c r="B15" i="35"/>
  <c r="EY56" i="1" s="1"/>
  <c r="K13" i="35"/>
  <c r="EJ56" i="1" s="1"/>
  <c r="D17" i="35"/>
  <c r="FY56" i="1" s="1"/>
  <c r="C4" i="35"/>
  <c r="X56" i="1" s="1"/>
  <c r="F8" i="35"/>
  <c r="BW56" i="1" s="1"/>
  <c r="L14" i="35"/>
  <c r="EW56" i="1" s="1"/>
  <c r="H10" i="35"/>
  <c r="CW56" i="1" s="1"/>
  <c r="D14" i="35"/>
  <c r="EO56" i="1" s="1"/>
  <c r="M13" i="35"/>
  <c r="EL56" i="1" s="1"/>
  <c r="M12" i="35"/>
  <c r="DZ56" i="1" s="1"/>
  <c r="I17" i="35"/>
  <c r="GD56" i="1" s="1"/>
  <c r="F21" i="35"/>
  <c r="I26" i="35"/>
  <c r="D6" i="35"/>
  <c r="AW56" i="1" s="1"/>
  <c r="L7" i="35"/>
  <c r="BQ56" i="1" s="1"/>
  <c r="G25" i="35"/>
  <c r="F3" i="35"/>
  <c r="E9" i="35"/>
  <c r="CH56" i="1" s="1"/>
  <c r="C27" i="35"/>
  <c r="G21" i="35"/>
  <c r="B3" i="35"/>
  <c r="J4" i="35"/>
  <c r="AE56" i="1" s="1"/>
  <c r="E21" i="35"/>
  <c r="C13" i="35"/>
  <c r="I6" i="35"/>
  <c r="BB56" i="1" s="1"/>
  <c r="B17" i="35"/>
  <c r="J27" i="35"/>
  <c r="D16" i="35"/>
  <c r="FM56" i="1" s="1"/>
  <c r="F4" i="35"/>
  <c r="F12" i="35"/>
  <c r="DS56" i="1" s="1"/>
  <c r="K11" i="35"/>
  <c r="DL56" i="1" s="1"/>
  <c r="M8" i="35"/>
  <c r="CD56" i="1" s="1"/>
  <c r="B9" i="35"/>
  <c r="F19" i="35"/>
  <c r="B19" i="35"/>
  <c r="F24" i="35"/>
  <c r="B16" i="35"/>
  <c r="E27" i="35"/>
  <c r="L9" i="35"/>
  <c r="CO56" i="1" s="1"/>
  <c r="I11" i="35"/>
  <c r="DJ56" i="1" s="1"/>
  <c r="C28" i="35"/>
  <c r="F14" i="35"/>
  <c r="EQ56" i="1" s="1"/>
  <c r="L23" i="35"/>
  <c r="K27" i="35"/>
  <c r="E10" i="35"/>
  <c r="CT56" i="1" s="1"/>
  <c r="J15" i="35"/>
  <c r="FG56" i="1" s="1"/>
  <c r="C25" i="35"/>
  <c r="G4" i="35"/>
  <c r="AB56" i="1" s="1"/>
  <c r="F22" i="35"/>
  <c r="E16" i="35"/>
  <c r="FN56" i="1" s="1"/>
  <c r="F16" i="35"/>
  <c r="FO56" i="1" s="1"/>
  <c r="J26" i="35"/>
  <c r="L22" i="35"/>
  <c r="G6" i="35"/>
  <c r="AZ56" i="1" s="1"/>
  <c r="L13" i="35"/>
  <c r="EK56" i="1" s="1"/>
  <c r="E3" i="35"/>
  <c r="G10" i="35"/>
  <c r="CV56" i="1" s="1"/>
  <c r="D15" i="35"/>
  <c r="FA56" i="1" s="1"/>
  <c r="I28" i="35"/>
  <c r="M20" i="35"/>
  <c r="F15" i="35"/>
  <c r="FC56" i="1" s="1"/>
  <c r="E18" i="35"/>
  <c r="GL56" i="1" s="1"/>
  <c r="B4" i="35"/>
  <c r="W56" i="1" s="1"/>
  <c r="L15" i="35"/>
  <c r="FI56" i="1" s="1"/>
  <c r="I18" i="35"/>
  <c r="GP56" i="1" s="1"/>
  <c r="B7" i="35"/>
  <c r="BG56" i="1" s="1"/>
  <c r="C26" i="35"/>
  <c r="J17" i="35"/>
  <c r="GE56" i="1" s="1"/>
  <c r="H7" i="35"/>
  <c r="BM56" i="1" s="1"/>
  <c r="F6" i="35"/>
  <c r="AY56" i="1" s="1"/>
  <c r="B11" i="35"/>
  <c r="DC56" i="1" s="1"/>
  <c r="J28" i="35"/>
  <c r="C16" i="35"/>
  <c r="FL56" i="1" s="1"/>
  <c r="M10" i="35"/>
  <c r="DB56" i="1" s="1"/>
  <c r="G8" i="35"/>
  <c r="BX56" i="1" s="1"/>
  <c r="I25" i="35"/>
  <c r="D18" i="35"/>
  <c r="GK56" i="1" s="1"/>
  <c r="I20" i="35"/>
  <c r="I4" i="35"/>
  <c r="AD56" i="1" s="1"/>
  <c r="J24" i="35"/>
  <c r="F23" i="35"/>
  <c r="E4" i="35"/>
  <c r="Z56" i="1" s="1"/>
  <c r="C5" i="35"/>
  <c r="AJ56" i="1" s="1"/>
  <c r="K6" i="35"/>
  <c r="BD56" i="1" s="1"/>
  <c r="C7" i="35"/>
  <c r="I15" i="35"/>
  <c r="FF56" i="1" s="1"/>
  <c r="B22" i="35"/>
  <c r="M21" i="35"/>
  <c r="D8" i="35"/>
  <c r="J8" i="35"/>
  <c r="CA56" i="1" s="1"/>
  <c r="L8" i="35"/>
  <c r="CC56" i="1" s="1"/>
  <c r="J10" i="35"/>
  <c r="CY56" i="1" s="1"/>
  <c r="I22" i="35"/>
  <c r="G3" i="35"/>
  <c r="C20" i="35"/>
  <c r="D26" i="35"/>
  <c r="I21" i="35"/>
  <c r="F20" i="35"/>
  <c r="C18" i="35"/>
  <c r="GJ56" i="1" s="1"/>
  <c r="F17" i="35"/>
  <c r="GA56" i="1" s="1"/>
  <c r="F27" i="35"/>
  <c r="M7" i="35"/>
  <c r="BR56" i="1" s="1"/>
  <c r="G19" i="35"/>
  <c r="C15" i="35"/>
  <c r="J3" i="35"/>
  <c r="L4" i="35"/>
  <c r="AG56" i="1" s="1"/>
  <c r="E25" i="35"/>
  <c r="H27" i="35"/>
  <c r="D25" i="35"/>
  <c r="M9" i="35"/>
  <c r="CP56" i="1" s="1"/>
  <c r="K4" i="35"/>
  <c r="AF56" i="1" s="1"/>
  <c r="H25" i="35"/>
  <c r="I27" i="35"/>
  <c r="K17" i="35"/>
  <c r="GF56" i="1" s="1"/>
  <c r="J20" i="35"/>
  <c r="H16" i="35"/>
  <c r="FQ56" i="1" s="1"/>
  <c r="B21" i="35"/>
  <c r="C8" i="35"/>
  <c r="BT56" i="1" s="1"/>
  <c r="I24" i="35"/>
  <c r="M17" i="35"/>
  <c r="GH56" i="1" s="1"/>
  <c r="M6" i="35"/>
  <c r="BF56" i="1" s="1"/>
  <c r="B10" i="35"/>
  <c r="CQ56" i="1" s="1"/>
  <c r="F7" i="35"/>
  <c r="BK56" i="1" s="1"/>
  <c r="M15" i="35"/>
  <c r="FJ56" i="1" s="1"/>
  <c r="K24" i="35"/>
  <c r="K3" i="35"/>
  <c r="C24" i="35"/>
  <c r="D19" i="35"/>
  <c r="G27" i="35"/>
  <c r="D24" i="35"/>
  <c r="L21" i="35"/>
  <c r="I10" i="35"/>
  <c r="CX56" i="1" s="1"/>
  <c r="K8" i="35"/>
  <c r="CB56" i="1" s="1"/>
  <c r="G5" i="35"/>
  <c r="AN56" i="1" s="1"/>
  <c r="E17" i="35"/>
  <c r="FZ56" i="1" s="1"/>
  <c r="I5" i="35"/>
  <c r="AP56" i="1" s="1"/>
  <c r="J6" i="35"/>
  <c r="BC56" i="1" s="1"/>
  <c r="L24" i="35"/>
  <c r="D4" i="35"/>
  <c r="Y56" i="1" s="1"/>
  <c r="J13" i="35"/>
  <c r="EI56" i="1" s="1"/>
  <c r="M3" i="35"/>
  <c r="E7" i="35"/>
  <c r="BJ56" i="1" s="1"/>
  <c r="C23" i="35"/>
  <c r="J14" i="35"/>
  <c r="EU56" i="1" s="1"/>
  <c r="B23" i="35"/>
  <c r="L19" i="35"/>
  <c r="K5" i="35"/>
  <c r="AR56" i="1" s="1"/>
  <c r="I8" i="35"/>
  <c r="BZ56" i="1" s="1"/>
  <c r="K14" i="35"/>
  <c r="EV56" i="1" s="1"/>
  <c r="I23" i="35"/>
  <c r="K21" i="35"/>
  <c r="L11" i="35"/>
  <c r="DM56" i="1" s="1"/>
  <c r="G13" i="35"/>
  <c r="EF56" i="1" s="1"/>
  <c r="B27" i="35"/>
  <c r="E26" i="35"/>
  <c r="H5" i="35"/>
  <c r="AO56" i="1" s="1"/>
  <c r="H19" i="35"/>
  <c r="H17" i="35"/>
  <c r="GC56" i="1" s="1"/>
  <c r="F25" i="35"/>
  <c r="C3" i="35"/>
  <c r="K28" i="35"/>
  <c r="J12" i="35"/>
  <c r="DW56" i="1" s="1"/>
  <c r="G9" i="35"/>
  <c r="CJ56" i="1" s="1"/>
  <c r="B24" i="35"/>
  <c r="D21" i="35"/>
  <c r="E15" i="35"/>
  <c r="FB56" i="1" s="1"/>
  <c r="M27" i="35"/>
  <c r="K26" i="35"/>
  <c r="G12" i="35"/>
  <c r="DT56" i="1" s="1"/>
  <c r="D12" i="35"/>
  <c r="DQ56" i="1" s="1"/>
  <c r="G16" i="35"/>
  <c r="FP56" i="1" s="1"/>
  <c r="D13" i="35"/>
  <c r="EC56" i="1" s="1"/>
  <c r="G386" i="6"/>
  <c r="G379" i="6"/>
  <c r="G367" i="6"/>
  <c r="G361" i="6"/>
  <c r="G312" i="6"/>
  <c r="G208" i="6"/>
  <c r="G215" i="6"/>
  <c r="G222" i="6"/>
  <c r="G229" i="6"/>
  <c r="G112" i="6"/>
  <c r="G61" i="6"/>
  <c r="G463" i="6"/>
  <c r="G237" i="6"/>
  <c r="G244" i="6"/>
  <c r="G45" i="6"/>
  <c r="G366" i="6"/>
  <c r="G362" i="6"/>
  <c r="G352" i="6"/>
  <c r="G139" i="6"/>
  <c r="G62" i="6"/>
  <c r="G290" i="6"/>
  <c r="G278" i="6"/>
  <c r="G273" i="6"/>
  <c r="G2" i="6"/>
  <c r="G461" i="6"/>
  <c r="G455" i="6"/>
  <c r="G448" i="6"/>
  <c r="G441" i="6"/>
  <c r="G434" i="6"/>
  <c r="G425" i="6"/>
  <c r="G433" i="6"/>
  <c r="G384" i="6"/>
  <c r="G353" i="6"/>
  <c r="G333" i="6"/>
  <c r="G311" i="6"/>
  <c r="G284" i="6"/>
  <c r="G262" i="6"/>
  <c r="G257" i="6"/>
  <c r="G319" i="6"/>
  <c r="G129" i="6"/>
  <c r="G144" i="6"/>
  <c r="G185" i="6"/>
  <c r="G63" i="6"/>
  <c r="G70" i="6"/>
  <c r="G77" i="6"/>
  <c r="G91" i="6"/>
  <c r="G99" i="6"/>
  <c r="G110" i="6"/>
  <c r="G3" i="6"/>
  <c r="G10" i="6"/>
  <c r="G17" i="6"/>
  <c r="G117" i="6"/>
  <c r="G171" i="6"/>
  <c r="G48" i="6"/>
  <c r="G226" i="6"/>
  <c r="G326" i="6"/>
  <c r="G318" i="6"/>
  <c r="G292" i="6"/>
  <c r="G212" i="6"/>
  <c r="G233" i="6"/>
  <c r="G240" i="6"/>
  <c r="G389" i="6"/>
  <c r="G382" i="6"/>
  <c r="G331" i="6"/>
  <c r="G269" i="6"/>
  <c r="G264" i="6"/>
  <c r="G184" i="6"/>
  <c r="G192" i="6"/>
  <c r="G199" i="6"/>
  <c r="G206" i="6"/>
  <c r="G213" i="6"/>
  <c r="G220" i="6"/>
  <c r="G234" i="6"/>
  <c r="G413" i="6"/>
  <c r="G459" i="6"/>
  <c r="G452" i="6"/>
  <c r="G445" i="6"/>
  <c r="G438" i="6"/>
  <c r="G429" i="6"/>
  <c r="G422" i="6"/>
  <c r="G410" i="6"/>
  <c r="G388" i="6"/>
  <c r="G369" i="6"/>
  <c r="G360" i="6"/>
  <c r="G330" i="6"/>
  <c r="G313" i="6"/>
  <c r="G307" i="6"/>
  <c r="G302" i="6"/>
  <c r="G297" i="6"/>
  <c r="G280" i="6"/>
  <c r="G275" i="6"/>
  <c r="G265" i="6"/>
  <c r="G200" i="6"/>
  <c r="G221" i="6"/>
  <c r="G228" i="6"/>
  <c r="G235" i="6"/>
  <c r="G251" i="6"/>
  <c r="G125" i="6"/>
  <c r="G147" i="6"/>
  <c r="G13" i="6"/>
  <c r="G20" i="6"/>
  <c r="G35" i="6"/>
  <c r="G368" i="6"/>
  <c r="G359" i="6"/>
  <c r="G350" i="6"/>
  <c r="G179" i="6"/>
  <c r="G111" i="6"/>
  <c r="G133" i="6"/>
  <c r="G141" i="6"/>
  <c r="G162" i="6"/>
  <c r="G113" i="6"/>
  <c r="G14" i="6"/>
  <c r="G400" i="6"/>
  <c r="G381" i="6"/>
  <c r="G340" i="6"/>
  <c r="G321" i="6"/>
  <c r="G301" i="6"/>
  <c r="G296" i="6"/>
  <c r="G198" i="6"/>
  <c r="G205" i="6"/>
  <c r="G247" i="6"/>
  <c r="G76" i="6"/>
  <c r="G90" i="6"/>
  <c r="G103" i="6"/>
  <c r="G9" i="6"/>
  <c r="G457" i="6"/>
  <c r="G450" i="6"/>
  <c r="G443" i="6"/>
  <c r="G427" i="6"/>
  <c r="G420" i="6"/>
  <c r="G391" i="6"/>
  <c r="G387" i="6"/>
  <c r="G380" i="6"/>
  <c r="G25" i="6"/>
  <c r="G124" i="6"/>
  <c r="G442" i="6"/>
  <c r="G419" i="6"/>
  <c r="G308" i="6"/>
  <c r="G214" i="6"/>
  <c r="G449" i="6"/>
  <c r="G426" i="6"/>
  <c r="G462" i="6"/>
  <c r="G437" i="6"/>
  <c r="G385" i="6"/>
  <c r="G378" i="6"/>
  <c r="G335" i="6"/>
  <c r="G289" i="6"/>
  <c r="G236" i="6"/>
  <c r="G252" i="6"/>
  <c r="G40" i="6"/>
  <c r="G418" i="6"/>
  <c r="G377" i="6"/>
  <c r="G346" i="6"/>
  <c r="G339" i="6"/>
  <c r="G343" i="6"/>
  <c r="G323" i="6"/>
  <c r="G195" i="6"/>
  <c r="G209" i="6"/>
  <c r="G216" i="6"/>
  <c r="G223" i="6"/>
  <c r="G230" i="6"/>
  <c r="G94" i="6"/>
  <c r="G27" i="6"/>
  <c r="G395" i="6"/>
  <c r="G338" i="6"/>
  <c r="G256" i="6"/>
  <c r="G286" i="6"/>
  <c r="G114" i="6"/>
  <c r="G134" i="6"/>
  <c r="G67" i="6"/>
  <c r="G74" i="6"/>
  <c r="G105" i="6"/>
  <c r="G106" i="6"/>
  <c r="G6" i="6"/>
  <c r="G383" i="6"/>
  <c r="G163" i="6"/>
  <c r="G68" i="6"/>
  <c r="G96" i="6"/>
  <c r="G399" i="6"/>
  <c r="G322" i="6"/>
  <c r="G414" i="6"/>
  <c r="G357" i="6"/>
  <c r="G348" i="6"/>
  <c r="G365" i="6"/>
  <c r="G327" i="6"/>
  <c r="G300" i="6"/>
  <c r="G295" i="6"/>
  <c r="G285" i="6"/>
  <c r="G197" i="6"/>
  <c r="G204" i="6"/>
  <c r="G211" i="6"/>
  <c r="G239" i="6"/>
  <c r="G69" i="6"/>
  <c r="G28" i="6"/>
  <c r="G217" i="6"/>
  <c r="G411" i="6"/>
  <c r="G249" i="6"/>
  <c r="G282" i="6"/>
  <c r="G421" i="6"/>
  <c r="G409" i="6"/>
  <c r="G407" i="6"/>
  <c r="G347" i="6"/>
  <c r="G283" i="6"/>
  <c r="G207" i="6"/>
  <c r="G227" i="6"/>
  <c r="G241" i="6"/>
  <c r="G250" i="6"/>
  <c r="G60" i="6"/>
  <c r="G73" i="6"/>
  <c r="G80" i="6"/>
  <c r="G12" i="6"/>
  <c r="G33" i="6"/>
  <c r="G47" i="6"/>
  <c r="G54" i="6"/>
  <c r="G464" i="6"/>
  <c r="G370" i="6"/>
  <c r="G294" i="6"/>
  <c r="G201" i="6"/>
  <c r="G242" i="6"/>
  <c r="G373" i="6"/>
  <c r="G358" i="6"/>
  <c r="G349" i="6"/>
  <c r="G332" i="6"/>
  <c r="G279" i="6"/>
  <c r="G181" i="6"/>
  <c r="G189" i="6"/>
  <c r="G175" i="6"/>
  <c r="G34" i="6"/>
  <c r="G408" i="6"/>
  <c r="G397" i="6"/>
  <c r="G390" i="6"/>
  <c r="G341" i="6"/>
  <c r="G274" i="6"/>
  <c r="G263" i="6"/>
  <c r="G203" i="6"/>
  <c r="G210" i="6"/>
  <c r="G253" i="6"/>
  <c r="G140" i="6"/>
  <c r="G29" i="6"/>
  <c r="G456" i="6"/>
  <c r="G243" i="6"/>
  <c r="G351" i="6"/>
  <c r="G183" i="6"/>
  <c r="G191" i="6"/>
  <c r="G231" i="6"/>
  <c r="G417" i="6"/>
  <c r="G454" i="6"/>
  <c r="G447" i="6"/>
  <c r="G440" i="6"/>
  <c r="G431" i="6"/>
  <c r="G424" i="6"/>
  <c r="G329" i="6"/>
  <c r="G314" i="6"/>
  <c r="G303" i="6"/>
  <c r="G298" i="6"/>
  <c r="G324" i="6"/>
  <c r="G288" i="6"/>
  <c r="G270" i="6"/>
  <c r="G259" i="6"/>
  <c r="G254" i="6"/>
  <c r="G127" i="6"/>
  <c r="G84" i="6"/>
  <c r="G51" i="6"/>
  <c r="G435" i="6"/>
  <c r="G398" i="6"/>
  <c r="G75" i="6"/>
  <c r="G416" i="6"/>
  <c r="G415" i="6"/>
  <c r="G453" i="6"/>
  <c r="G446" i="6"/>
  <c r="G372" i="6"/>
  <c r="G320" i="6"/>
  <c r="G315" i="6"/>
  <c r="G309" i="6"/>
  <c r="G304" i="6"/>
  <c r="G299" i="6"/>
  <c r="G271" i="6"/>
  <c r="G260" i="6"/>
  <c r="G186" i="6"/>
  <c r="G193" i="6"/>
  <c r="G219" i="6"/>
  <c r="G128" i="6"/>
  <c r="G85" i="6"/>
  <c r="G92" i="6"/>
  <c r="G170" i="6"/>
  <c r="G42" i="6"/>
  <c r="G8" i="6"/>
  <c r="C76" i="1"/>
  <c r="K76" i="1" s="1"/>
  <c r="D77" i="1"/>
  <c r="L77" i="1" s="1"/>
  <c r="C74" i="1"/>
  <c r="K74" i="1" s="1"/>
  <c r="CT48" i="1"/>
  <c r="H34" i="9"/>
  <c r="C24" i="10"/>
  <c r="E24" i="10" s="1"/>
  <c r="V9" i="9"/>
  <c r="V12" i="9"/>
  <c r="N14" i="9"/>
  <c r="N15" i="9" s="1"/>
  <c r="P15" i="9"/>
  <c r="F1077" i="2"/>
  <c r="O90" i="5"/>
  <c r="O87" i="5"/>
  <c r="N86" i="5"/>
  <c r="N91" i="5"/>
  <c r="N90" i="5"/>
  <c r="N93" i="5"/>
  <c r="O91" i="5"/>
  <c r="O89" i="5"/>
  <c r="N87" i="5"/>
  <c r="O93" i="5"/>
  <c r="O86" i="5"/>
  <c r="O85" i="5"/>
  <c r="N89" i="5"/>
  <c r="N88" i="5"/>
  <c r="O92" i="5"/>
  <c r="O88" i="5"/>
  <c r="N94" i="5"/>
  <c r="O94" i="5"/>
  <c r="N92" i="5"/>
  <c r="N85" i="5"/>
  <c r="O51" i="5"/>
  <c r="N45" i="5"/>
  <c r="E3" i="5"/>
  <c r="N119" i="5"/>
  <c r="N70" i="5"/>
  <c r="O75" i="5"/>
  <c r="O39" i="5"/>
  <c r="O102" i="5"/>
  <c r="N138" i="5"/>
  <c r="O130" i="5"/>
  <c r="N39" i="5"/>
  <c r="N80" i="5"/>
  <c r="O133" i="5"/>
  <c r="O50" i="5"/>
  <c r="O105" i="5"/>
  <c r="N64" i="5"/>
  <c r="O163" i="5"/>
  <c r="N81" i="5"/>
  <c r="N76" i="5"/>
  <c r="O122" i="5"/>
  <c r="O143" i="5"/>
  <c r="O125" i="5"/>
  <c r="O150" i="5"/>
  <c r="N40" i="5"/>
  <c r="O142" i="5"/>
  <c r="N146" i="5"/>
  <c r="N159" i="5"/>
  <c r="N68" i="5"/>
  <c r="O78" i="5"/>
  <c r="N153" i="5"/>
  <c r="N133" i="5"/>
  <c r="O127" i="5"/>
  <c r="O107" i="5"/>
  <c r="N99" i="5"/>
  <c r="N122" i="5"/>
  <c r="O49" i="5"/>
  <c r="O115" i="5"/>
  <c r="O148" i="5"/>
  <c r="O45" i="5"/>
  <c r="N109" i="5"/>
  <c r="N105" i="5"/>
  <c r="N130" i="5"/>
  <c r="N113" i="5"/>
  <c r="O137" i="5"/>
  <c r="N97" i="5"/>
  <c r="N129" i="5"/>
  <c r="O120" i="5"/>
  <c r="N152" i="5"/>
  <c r="N69" i="5"/>
  <c r="N139" i="5"/>
  <c r="O116" i="5"/>
  <c r="O129" i="5"/>
  <c r="O46" i="5"/>
  <c r="O42" i="5"/>
  <c r="N160" i="5"/>
  <c r="N149" i="5"/>
  <c r="O71" i="5"/>
  <c r="O151" i="5"/>
  <c r="O65" i="5"/>
  <c r="N125" i="5"/>
  <c r="N162" i="5"/>
  <c r="N73" i="5"/>
  <c r="O99" i="5"/>
  <c r="N78" i="5"/>
  <c r="O83" i="5"/>
  <c r="N102" i="5"/>
  <c r="O128" i="5"/>
  <c r="O145" i="5"/>
  <c r="N148" i="5"/>
  <c r="O66" i="5"/>
  <c r="O38" i="5"/>
  <c r="O41" i="5"/>
  <c r="N165" i="5"/>
  <c r="O149" i="5"/>
  <c r="N71" i="5"/>
  <c r="O160" i="5"/>
  <c r="O155" i="5"/>
  <c r="N128" i="5"/>
  <c r="N98" i="5"/>
  <c r="N134" i="5"/>
  <c r="O77" i="5"/>
  <c r="O132" i="5"/>
  <c r="N82" i="5"/>
  <c r="N124" i="5"/>
  <c r="N108" i="5"/>
  <c r="O158" i="5"/>
  <c r="O114" i="5"/>
  <c r="N145" i="5"/>
  <c r="N120" i="5"/>
  <c r="P120" i="5" s="1"/>
  <c r="O117" i="5"/>
  <c r="O53" i="5"/>
  <c r="N56" i="5"/>
  <c r="O157" i="5"/>
  <c r="N117" i="5"/>
  <c r="N104" i="5"/>
  <c r="O60" i="5"/>
  <c r="N116" i="5"/>
  <c r="O108" i="5"/>
  <c r="N52" i="5"/>
  <c r="N143" i="5"/>
  <c r="O76" i="5"/>
  <c r="N112" i="5"/>
  <c r="N136" i="5"/>
  <c r="O63" i="5"/>
  <c r="N54" i="5"/>
  <c r="N61" i="5"/>
  <c r="O80" i="5"/>
  <c r="O147" i="5"/>
  <c r="N164" i="5"/>
  <c r="O112" i="5"/>
  <c r="N114" i="5"/>
  <c r="O164" i="5"/>
  <c r="O113" i="5"/>
  <c r="N43" i="5"/>
  <c r="O140" i="5"/>
  <c r="N107" i="5"/>
  <c r="O126" i="5"/>
  <c r="O141" i="5"/>
  <c r="O104" i="5"/>
  <c r="N144" i="5"/>
  <c r="N47" i="5"/>
  <c r="N166" i="5"/>
  <c r="N110" i="5"/>
  <c r="N163" i="5"/>
  <c r="N156" i="5"/>
  <c r="N84" i="5"/>
  <c r="O61" i="5"/>
  <c r="N65" i="5"/>
  <c r="N46" i="5"/>
  <c r="O109" i="5"/>
  <c r="O67" i="5"/>
  <c r="N140" i="5"/>
  <c r="O118" i="5"/>
  <c r="O136" i="5"/>
  <c r="N126" i="5"/>
  <c r="N48" i="5"/>
  <c r="O44" i="5"/>
  <c r="N127" i="5"/>
  <c r="O146" i="5"/>
  <c r="N96" i="5"/>
  <c r="O144" i="5"/>
  <c r="O119" i="5"/>
  <c r="O121" i="5"/>
  <c r="O56" i="5"/>
  <c r="N154" i="5"/>
  <c r="O59" i="5"/>
  <c r="N155" i="5"/>
  <c r="N135" i="5"/>
  <c r="O54" i="5"/>
  <c r="O47" i="5"/>
  <c r="O139" i="5"/>
  <c r="O62" i="5"/>
  <c r="O103" i="5"/>
  <c r="N118" i="5"/>
  <c r="N51" i="5"/>
  <c r="O84" i="5"/>
  <c r="N157" i="5"/>
  <c r="O70" i="5"/>
  <c r="N121" i="5"/>
  <c r="P121" i="5" s="1"/>
  <c r="N59" i="5"/>
  <c r="N42" i="5"/>
  <c r="O165" i="5"/>
  <c r="N137" i="5"/>
  <c r="O123" i="5"/>
  <c r="N95" i="5"/>
  <c r="O40" i="5"/>
  <c r="O74" i="5"/>
  <c r="O166" i="5"/>
  <c r="N123" i="5"/>
  <c r="O154" i="5"/>
  <c r="N72" i="5"/>
  <c r="O152" i="5"/>
  <c r="O96" i="5"/>
  <c r="N75" i="5"/>
  <c r="O111" i="5"/>
  <c r="O162" i="5"/>
  <c r="N115" i="5"/>
  <c r="O73" i="5"/>
  <c r="O72" i="5"/>
  <c r="N158" i="5"/>
  <c r="O52" i="5"/>
  <c r="O124" i="5"/>
  <c r="O55" i="5"/>
  <c r="O156" i="5"/>
  <c r="N111" i="5"/>
  <c r="O43" i="5"/>
  <c r="D74" i="1"/>
  <c r="L74" i="1" s="1"/>
  <c r="S23" i="9"/>
  <c r="S17" i="9" s="1"/>
  <c r="S18" i="9" s="1"/>
  <c r="E76" i="1"/>
  <c r="M76" i="1" s="1"/>
  <c r="F77" i="1"/>
  <c r="N77" i="1" s="1"/>
  <c r="F1085" i="2"/>
  <c r="I30" i="1"/>
  <c r="C35" i="10"/>
  <c r="E35" i="10" s="1"/>
  <c r="R5" i="10"/>
  <c r="AD16" i="11"/>
  <c r="AE10" i="11"/>
  <c r="AE15" i="11"/>
  <c r="AE11" i="11"/>
  <c r="AE13" i="11"/>
  <c r="AB34" i="11"/>
  <c r="AE7" i="11"/>
  <c r="E17" i="11"/>
  <c r="M89" i="11" s="1"/>
  <c r="AD41" i="11"/>
  <c r="AE8" i="11"/>
  <c r="BT73" i="11"/>
  <c r="CK73" i="11"/>
  <c r="AE14" i="11"/>
  <c r="AD20" i="11"/>
  <c r="Q53" i="11"/>
  <c r="Q55" i="11"/>
  <c r="Q57" i="11"/>
  <c r="M75" i="11"/>
  <c r="Q51" i="11"/>
  <c r="Q54" i="11"/>
  <c r="P81" i="11"/>
  <c r="P62" i="11"/>
  <c r="Q52" i="11"/>
  <c r="Q56" i="11"/>
  <c r="AK54" i="11"/>
  <c r="AJ62" i="11"/>
  <c r="AK57" i="11"/>
  <c r="AK56" i="11"/>
  <c r="AK51" i="11"/>
  <c r="AK53" i="11"/>
  <c r="AK59" i="11"/>
  <c r="AK52" i="11"/>
  <c r="AH75" i="11"/>
  <c r="AG75" i="11"/>
  <c r="F19" i="11"/>
  <c r="AN20" i="11"/>
  <c r="BD40" i="11"/>
  <c r="AH81" i="11"/>
  <c r="AI54" i="11"/>
  <c r="AI53" i="11"/>
  <c r="AI59" i="11"/>
  <c r="AI52" i="11"/>
  <c r="AI51" i="11"/>
  <c r="AF75" i="11"/>
  <c r="AH62" i="11"/>
  <c r="E62" i="11" s="1"/>
  <c r="AE75" i="11"/>
  <c r="P64" i="11"/>
  <c r="AH64" i="11"/>
  <c r="X62" i="11"/>
  <c r="Y59" i="11"/>
  <c r="Y51" i="11"/>
  <c r="Y55" i="11"/>
  <c r="Y52" i="11"/>
  <c r="Y53" i="11"/>
  <c r="X81" i="11"/>
  <c r="BC15" i="11"/>
  <c r="BC8" i="11"/>
  <c r="AZ34" i="11"/>
  <c r="BB16" i="11"/>
  <c r="BC10" i="11"/>
  <c r="BC7" i="11"/>
  <c r="BC13" i="11"/>
  <c r="BC9" i="11"/>
  <c r="BC14" i="11"/>
  <c r="BB41" i="11"/>
  <c r="BC11" i="11"/>
  <c r="BP73" i="11"/>
  <c r="BR72" i="11"/>
  <c r="BR80" i="11" s="1"/>
  <c r="Q59" i="11"/>
  <c r="N75" i="11"/>
  <c r="BB20" i="11"/>
  <c r="AP29" i="11"/>
  <c r="AP30" i="11" s="1"/>
  <c r="BD73" i="11"/>
  <c r="BW22" i="1"/>
  <c r="BW74" i="1" s="1"/>
  <c r="BO73" i="11"/>
  <c r="CD73" i="11"/>
  <c r="BT72" i="11"/>
  <c r="BT80" i="11" s="1"/>
  <c r="BQ73" i="11"/>
  <c r="BA25" i="11"/>
  <c r="D19" i="11"/>
  <c r="P20" i="11"/>
  <c r="BM51" i="11"/>
  <c r="CG23" i="1"/>
  <c r="BM59" i="11"/>
  <c r="BM56" i="11"/>
  <c r="BL62" i="11"/>
  <c r="BM53" i="11"/>
  <c r="BM55" i="11"/>
  <c r="BL64" i="11"/>
  <c r="BM52" i="11"/>
  <c r="W16" i="11"/>
  <c r="Y9" i="11"/>
  <c r="Y12" i="11"/>
  <c r="Y8" i="11"/>
  <c r="W41" i="11"/>
  <c r="Y10" i="11"/>
  <c r="Y14" i="11"/>
  <c r="Y13" i="11"/>
  <c r="Y11" i="11"/>
  <c r="T66" i="11"/>
  <c r="S66" i="11"/>
  <c r="AM73" i="11"/>
  <c r="AP72" i="11"/>
  <c r="AP80" i="11" s="1"/>
  <c r="AF25" i="11"/>
  <c r="AH29" i="11"/>
  <c r="AH30" i="11" s="1"/>
  <c r="BU13" i="11"/>
  <c r="BR19" i="11"/>
  <c r="S53" i="11"/>
  <c r="R62" i="11"/>
  <c r="P75" i="11"/>
  <c r="S54" i="11"/>
  <c r="O75" i="11"/>
  <c r="S51" i="11"/>
  <c r="S52" i="11"/>
  <c r="S57" i="11"/>
  <c r="S56" i="11"/>
  <c r="S55" i="11"/>
  <c r="AP25" i="11"/>
  <c r="BC73" i="11"/>
  <c r="BF72" i="11"/>
  <c r="BF80" i="11" s="1"/>
  <c r="BD27" i="11"/>
  <c r="BD25" i="11"/>
  <c r="V75" i="11"/>
  <c r="AN41" i="11"/>
  <c r="AK34" i="11"/>
  <c r="AO13" i="11"/>
  <c r="BH22" i="1"/>
  <c r="AL34" i="11"/>
  <c r="F17" i="11"/>
  <c r="N89" i="11" s="1"/>
  <c r="AO15" i="11"/>
  <c r="AO10" i="11"/>
  <c r="AO8" i="11"/>
  <c r="AO12" i="11"/>
  <c r="AO7" i="11"/>
  <c r="D60" i="11"/>
  <c r="L94" i="11" s="1"/>
  <c r="AA13" i="11"/>
  <c r="E72" i="11"/>
  <c r="AJ81" i="11"/>
  <c r="Y15" i="11"/>
  <c r="AE12" i="11"/>
  <c r="G19" i="11"/>
  <c r="Y56" i="11"/>
  <c r="AD73" i="11"/>
  <c r="AP73" i="11"/>
  <c r="AC66" i="11"/>
  <c r="AT66" i="11"/>
  <c r="AS66" i="11"/>
  <c r="AJ29" i="11"/>
  <c r="AJ30" i="11" s="1"/>
  <c r="AG25" i="11"/>
  <c r="AO36" i="11"/>
  <c r="AP36" i="11"/>
  <c r="AR40" i="11"/>
  <c r="AS9" i="11"/>
  <c r="AB36" i="11"/>
  <c r="AE9" i="11"/>
  <c r="AD40" i="11"/>
  <c r="S59" i="11"/>
  <c r="R64" i="11"/>
  <c r="W20" i="11"/>
  <c r="Y57" i="11"/>
  <c r="AK55" i="11"/>
  <c r="AN16" i="11"/>
  <c r="AA14" i="11"/>
  <c r="AA12" i="11"/>
  <c r="AA10" i="11"/>
  <c r="AA7" i="11"/>
  <c r="AA8" i="11"/>
  <c r="Z16" i="11"/>
  <c r="S9" i="11"/>
  <c r="P36" i="11"/>
  <c r="R40" i="11"/>
  <c r="AR29" i="11"/>
  <c r="AR30" i="11" s="1"/>
  <c r="CS73" i="11"/>
  <c r="CG72" i="11"/>
  <c r="H109" i="11"/>
  <c r="BI15" i="11"/>
  <c r="BI10" i="11"/>
  <c r="BI11" i="11"/>
  <c r="D70" i="11"/>
  <c r="M71" i="11"/>
  <c r="AR16" i="11"/>
  <c r="AS12" i="11"/>
  <c r="AX72" i="11"/>
  <c r="BG55" i="11"/>
  <c r="BG59" i="11"/>
  <c r="F71" i="11"/>
  <c r="BF31" i="11"/>
  <c r="BR31" i="11"/>
  <c r="BQ52" i="11"/>
  <c r="BQ53" i="11"/>
  <c r="BQ59" i="11"/>
  <c r="BQ51" i="11"/>
  <c r="BN75" i="11"/>
  <c r="AX73" i="11"/>
  <c r="AS8" i="11"/>
  <c r="N62" i="11"/>
  <c r="O59" i="11"/>
  <c r="AG11" i="11"/>
  <c r="AF20" i="11"/>
  <c r="AF16" i="11"/>
  <c r="AG15" i="11"/>
  <c r="F77" i="11"/>
  <c r="F95" i="11" s="1"/>
  <c r="D63" i="11"/>
  <c r="Q8" i="11"/>
  <c r="Q14" i="11"/>
  <c r="Q12" i="11"/>
  <c r="M34" i="11"/>
  <c r="N34" i="11" s="1"/>
  <c r="AN36" i="11"/>
  <c r="AM36" i="11"/>
  <c r="AV41" i="11"/>
  <c r="AV16" i="11"/>
  <c r="AW13" i="11"/>
  <c r="AW12" i="11"/>
  <c r="AS34" i="11"/>
  <c r="AA25" i="11"/>
  <c r="E24" i="11"/>
  <c r="BS54" i="11"/>
  <c r="CD31" i="11"/>
  <c r="Q10" i="11"/>
  <c r="BO59" i="11"/>
  <c r="O54" i="11"/>
  <c r="AQ55" i="11"/>
  <c r="BD75" i="11"/>
  <c r="AS14" i="11"/>
  <c r="AU9" i="11"/>
  <c r="AO34" i="11"/>
  <c r="AP34" i="11" s="1"/>
  <c r="AS15" i="11"/>
  <c r="W64" i="11"/>
  <c r="R16" i="11"/>
  <c r="AH16" i="11"/>
  <c r="AI7" i="11"/>
  <c r="AI15" i="11"/>
  <c r="AU51" i="11"/>
  <c r="AU53" i="11"/>
  <c r="AU57" i="11"/>
  <c r="AU55" i="11"/>
  <c r="G77" i="11"/>
  <c r="G95" i="11" s="1"/>
  <c r="X73" i="11"/>
  <c r="BG56" i="11"/>
  <c r="Y36" i="11"/>
  <c r="BM75" i="11"/>
  <c r="BP62" i="11"/>
  <c r="O57" i="11"/>
  <c r="AP40" i="11"/>
  <c r="O51" i="11"/>
  <c r="Q13" i="11"/>
  <c r="AS7" i="11"/>
  <c r="BO57" i="11"/>
  <c r="BO53" i="11"/>
  <c r="BO55" i="11"/>
  <c r="BR17" i="11"/>
  <c r="BR16" i="11" s="1"/>
  <c r="BF62" i="11"/>
  <c r="AU74" i="1"/>
  <c r="AC54" i="11"/>
  <c r="Z75" i="11"/>
  <c r="AC57" i="11"/>
  <c r="AC52" i="11"/>
  <c r="AW51" i="11"/>
  <c r="AW56" i="11"/>
  <c r="AS75" i="11"/>
  <c r="BM27" i="11"/>
  <c r="BN25" i="11"/>
  <c r="H24" i="11"/>
  <c r="AY73" i="11"/>
  <c r="Q7" i="11"/>
  <c r="O56" i="11"/>
  <c r="D17" i="11"/>
  <c r="L89" i="11" s="1"/>
  <c r="AR41" i="11"/>
  <c r="CA23" i="1"/>
  <c r="AT34" i="11"/>
  <c r="AS11" i="11"/>
  <c r="AY57" i="11"/>
  <c r="AY53" i="11"/>
  <c r="AY59" i="11"/>
  <c r="AY56" i="11"/>
  <c r="AY54" i="11"/>
  <c r="Z29" i="11"/>
  <c r="Z30" i="11" s="1"/>
  <c r="AF73" i="11"/>
  <c r="AN72" i="11"/>
  <c r="U14" i="11"/>
  <c r="U12" i="11"/>
  <c r="U7" i="11"/>
  <c r="U11" i="11"/>
  <c r="U15" i="11"/>
  <c r="U10" i="11"/>
  <c r="T41" i="11"/>
  <c r="U9" i="11"/>
  <c r="AB66" i="11"/>
  <c r="AA66" i="11"/>
  <c r="AN66" i="11"/>
  <c r="AM66" i="11"/>
  <c r="D24" i="11"/>
  <c r="BI36" i="11"/>
  <c r="AJ64" i="11"/>
  <c r="AQ52" i="11"/>
  <c r="AQ56" i="11"/>
  <c r="AM75" i="11"/>
  <c r="AP81" i="11"/>
  <c r="AB40" i="11"/>
  <c r="E40" i="11" s="1"/>
  <c r="E92" i="11" s="1"/>
  <c r="E9" i="11"/>
  <c r="AU7" i="11"/>
  <c r="AU15" i="11"/>
  <c r="AR34" i="11"/>
  <c r="AU10" i="11"/>
  <c r="AU8" i="11"/>
  <c r="BO22" i="1"/>
  <c r="AM25" i="11"/>
  <c r="BI9" i="11"/>
  <c r="BB72" i="11"/>
  <c r="BG57" i="11"/>
  <c r="BI7" i="11"/>
  <c r="R25" i="11"/>
  <c r="N64" i="11"/>
  <c r="BH16" i="11"/>
  <c r="O52" i="11"/>
  <c r="AT72" i="11"/>
  <c r="AW14" i="11"/>
  <c r="AG8" i="11"/>
  <c r="Z20" i="11"/>
  <c r="U59" i="11"/>
  <c r="U56" i="11"/>
  <c r="T81" i="11"/>
  <c r="T62" i="11"/>
  <c r="Q75" i="11"/>
  <c r="T64" i="11"/>
  <c r="BG73" i="11"/>
  <c r="BI52" i="11"/>
  <c r="BI51" i="11"/>
  <c r="BI53" i="11"/>
  <c r="BK34" i="11"/>
  <c r="BE57" i="11"/>
  <c r="BE52" i="11"/>
  <c r="BA75" i="11"/>
  <c r="BE55" i="11"/>
  <c r="AB20" i="11"/>
  <c r="AE51" i="11"/>
  <c r="AE55" i="11"/>
  <c r="AE54" i="11"/>
  <c r="O10" i="11"/>
  <c r="L34" i="11"/>
  <c r="AW73" i="11"/>
  <c r="AW9" i="11"/>
  <c r="I72" i="11"/>
  <c r="F63" i="11"/>
  <c r="AF36" i="11"/>
  <c r="AE36" i="11"/>
  <c r="AX9" i="11"/>
  <c r="F9" i="11" s="1"/>
  <c r="AY8" i="11"/>
  <c r="BV72" i="11"/>
  <c r="F23" i="1"/>
  <c r="N23" i="1" s="1"/>
  <c r="BK56" i="11"/>
  <c r="AH58" i="11"/>
  <c r="BK53" i="11"/>
  <c r="BK59" i="11"/>
  <c r="CE23" i="1"/>
  <c r="I70" i="11"/>
  <c r="BS51" i="11"/>
  <c r="E23" i="1"/>
  <c r="M23" i="1" s="1"/>
  <c r="D3" i="41" s="1"/>
  <c r="BS73" i="11"/>
  <c r="H71" i="11"/>
  <c r="H96" i="11" s="1"/>
  <c r="CH73" i="11"/>
  <c r="CW70" i="11"/>
  <c r="L14" i="9"/>
  <c r="Q13" i="5"/>
  <c r="P13" i="5" s="1"/>
  <c r="F436" i="2"/>
  <c r="F435" i="2"/>
  <c r="F437" i="2"/>
  <c r="F439" i="2"/>
  <c r="F440" i="2"/>
  <c r="F438" i="2"/>
  <c r="F441" i="2"/>
  <c r="F444" i="2"/>
  <c r="CQ69" i="1"/>
  <c r="Q30" i="1"/>
  <c r="F443" i="2"/>
  <c r="F446" i="2"/>
  <c r="F450" i="2"/>
  <c r="F449" i="2"/>
  <c r="F468" i="2"/>
  <c r="F471" i="2"/>
  <c r="F470" i="2"/>
  <c r="F1093" i="2"/>
  <c r="F472" i="2"/>
  <c r="F1019" i="2"/>
  <c r="F1083" i="2"/>
  <c r="F453" i="2"/>
  <c r="F451" i="2"/>
  <c r="CM73" i="11"/>
  <c r="I71" i="11"/>
  <c r="I96" i="11" s="1"/>
  <c r="K96" i="11" s="1"/>
  <c r="I30" i="11"/>
  <c r="I28" i="11"/>
  <c r="CW71" i="11"/>
  <c r="CW73" i="11" s="1"/>
  <c r="BT77" i="11"/>
  <c r="BS77" i="11"/>
  <c r="H51" i="11"/>
  <c r="BV80" i="11"/>
  <c r="D252" i="9"/>
  <c r="D157" i="9"/>
  <c r="D38" i="9"/>
  <c r="D83" i="9"/>
  <c r="E167" i="9"/>
  <c r="E98" i="9"/>
  <c r="D59" i="9"/>
  <c r="E118" i="9"/>
  <c r="D76" i="9"/>
  <c r="E99" i="9"/>
  <c r="E174" i="9"/>
  <c r="E97" i="9"/>
  <c r="D101" i="9"/>
  <c r="E206" i="9"/>
  <c r="D116" i="9"/>
  <c r="E144" i="9"/>
  <c r="E129" i="9"/>
  <c r="E238" i="9"/>
  <c r="D185" i="9"/>
  <c r="E30" i="9"/>
  <c r="D80" i="9"/>
  <c r="E64" i="9"/>
  <c r="E94" i="9"/>
  <c r="E136" i="9"/>
  <c r="E246" i="9"/>
  <c r="E86" i="9"/>
  <c r="E228" i="9"/>
  <c r="D70" i="9"/>
  <c r="D120" i="9"/>
  <c r="D216" i="9"/>
  <c r="E235" i="9"/>
  <c r="E41" i="9"/>
  <c r="D154" i="9"/>
  <c r="E140" i="9"/>
  <c r="D223" i="9"/>
  <c r="E102" i="9"/>
  <c r="D188" i="9"/>
  <c r="E70" i="9"/>
  <c r="E149" i="9"/>
  <c r="D265" i="9"/>
  <c r="D229" i="9"/>
  <c r="D151" i="9"/>
  <c r="D167" i="9"/>
  <c r="D94" i="9"/>
  <c r="E186" i="9"/>
  <c r="D96" i="9"/>
  <c r="E67" i="9"/>
  <c r="D255" i="9"/>
  <c r="E120" i="9"/>
  <c r="D66" i="9"/>
  <c r="E55" i="9"/>
  <c r="E105" i="9"/>
  <c r="E210" i="9"/>
  <c r="E104" i="9"/>
  <c r="D98" i="9"/>
  <c r="E78" i="9"/>
  <c r="E47" i="9"/>
  <c r="E123" i="9"/>
  <c r="D81" i="9"/>
  <c r="D169" i="9"/>
  <c r="D171" i="9"/>
  <c r="D42" i="9"/>
  <c r="D103" i="9"/>
  <c r="D231" i="9"/>
  <c r="E39" i="9"/>
  <c r="D199" i="9"/>
  <c r="D266" i="9"/>
  <c r="D57" i="9"/>
  <c r="E236" i="9"/>
  <c r="D159" i="9"/>
  <c r="E132" i="9"/>
  <c r="E133" i="9"/>
  <c r="E87" i="9"/>
  <c r="E143" i="9"/>
  <c r="E96" i="9"/>
  <c r="E245" i="9"/>
  <c r="D138" i="9"/>
  <c r="E220" i="9"/>
  <c r="D112" i="9"/>
  <c r="D48" i="9"/>
  <c r="D262" i="9"/>
  <c r="E63" i="9"/>
  <c r="E188" i="9"/>
  <c r="E66" i="9"/>
  <c r="E262" i="9"/>
  <c r="E193" i="9"/>
  <c r="E224" i="9"/>
  <c r="D203" i="9"/>
  <c r="D52" i="9"/>
  <c r="D232" i="9"/>
  <c r="D210" i="9"/>
  <c r="D51" i="9"/>
  <c r="D158" i="9"/>
  <c r="E109" i="9"/>
  <c r="D115" i="9"/>
  <c r="D69" i="9"/>
  <c r="E103" i="9"/>
  <c r="D179" i="9"/>
  <c r="D84" i="9"/>
  <c r="E53" i="9"/>
  <c r="D174" i="9"/>
  <c r="E40" i="9"/>
  <c r="E243" i="9"/>
  <c r="E100" i="9"/>
  <c r="E187" i="9"/>
  <c r="D133" i="9"/>
  <c r="E49" i="9"/>
  <c r="E240" i="9"/>
  <c r="E80" i="9"/>
  <c r="D143" i="9"/>
  <c r="E122" i="9"/>
  <c r="E71" i="9"/>
  <c r="D28" i="9"/>
  <c r="D125" i="9"/>
  <c r="E135" i="9"/>
  <c r="D191" i="9"/>
  <c r="E196" i="9"/>
  <c r="E176" i="9"/>
  <c r="E166" i="9"/>
  <c r="D230" i="9"/>
  <c r="D150" i="9"/>
  <c r="D56" i="9"/>
  <c r="D63" i="9"/>
  <c r="P23" i="9"/>
  <c r="E170" i="9"/>
  <c r="D239" i="9"/>
  <c r="D32" i="9"/>
  <c r="D195" i="9"/>
  <c r="E131" i="9"/>
  <c r="E219" i="9"/>
  <c r="D198" i="9"/>
  <c r="E172" i="9"/>
  <c r="E150" i="9"/>
  <c r="D173" i="9"/>
  <c r="D263" i="9"/>
  <c r="E221" i="9"/>
  <c r="D187" i="9"/>
  <c r="D54" i="9"/>
  <c r="E107" i="9"/>
  <c r="D61" i="9"/>
  <c r="E42" i="9"/>
  <c r="J23" i="9"/>
  <c r="E156" i="9"/>
  <c r="D235" i="9"/>
  <c r="E211" i="9"/>
  <c r="D40" i="9"/>
  <c r="E117" i="9"/>
  <c r="E184" i="9"/>
  <c r="E153" i="9"/>
  <c r="D122" i="9"/>
  <c r="E48" i="9"/>
  <c r="D139" i="9"/>
  <c r="D105" i="9"/>
  <c r="D178" i="9"/>
  <c r="D208" i="9"/>
  <c r="E205" i="9"/>
  <c r="D111" i="9"/>
  <c r="D37" i="9"/>
  <c r="N23" i="9"/>
  <c r="D123" i="9"/>
  <c r="D219" i="9"/>
  <c r="E181" i="9"/>
  <c r="E207" i="9"/>
  <c r="D88" i="9"/>
  <c r="E214" i="9"/>
  <c r="E173" i="9"/>
  <c r="E218" i="9"/>
  <c r="E244" i="9"/>
  <c r="E168" i="9"/>
  <c r="E250" i="9"/>
  <c r="E152" i="9"/>
  <c r="D77" i="9"/>
  <c r="D189" i="9"/>
  <c r="E68" i="9"/>
  <c r="D85" i="9"/>
  <c r="E253" i="9"/>
  <c r="D256" i="9"/>
  <c r="E142" i="9"/>
  <c r="E237" i="9"/>
  <c r="D152" i="9"/>
  <c r="D135" i="9"/>
  <c r="D253" i="9"/>
  <c r="E161" i="9"/>
  <c r="D237" i="9"/>
  <c r="E159" i="9"/>
  <c r="E247" i="9"/>
  <c r="D73" i="9"/>
  <c r="D74" i="9"/>
  <c r="D244" i="9"/>
  <c r="D218" i="9"/>
  <c r="D33" i="9"/>
  <c r="E51" i="9"/>
  <c r="E239" i="9"/>
  <c r="E189" i="9"/>
  <c r="E165" i="9"/>
  <c r="D161" i="9"/>
  <c r="E251" i="9"/>
  <c r="E38" i="9"/>
  <c r="E69" i="9"/>
  <c r="E232" i="9"/>
  <c r="D75" i="9"/>
  <c r="E50" i="9"/>
  <c r="E175" i="9"/>
  <c r="E215" i="9"/>
  <c r="D193" i="9"/>
  <c r="D60" i="9"/>
  <c r="D44" i="9"/>
  <c r="D202" i="9"/>
  <c r="E106" i="9"/>
  <c r="E36" i="9"/>
  <c r="N66" i="5"/>
  <c r="N142" i="5"/>
  <c r="N100" i="5"/>
  <c r="O131" i="5"/>
  <c r="O153" i="5"/>
  <c r="O95" i="5"/>
  <c r="O110" i="5"/>
  <c r="O69" i="5"/>
  <c r="O58" i="5"/>
  <c r="N38" i="5"/>
  <c r="N79" i="5"/>
  <c r="N161" i="5"/>
  <c r="N77" i="5"/>
  <c r="O79" i="5"/>
  <c r="O98" i="5"/>
  <c r="O135" i="5"/>
  <c r="O134" i="5"/>
  <c r="N150" i="5"/>
  <c r="O101" i="5"/>
  <c r="N151" i="5"/>
  <c r="O64" i="5"/>
  <c r="P64" i="5" s="1"/>
  <c r="T64" i="5" s="1"/>
  <c r="N131" i="5"/>
  <c r="O48" i="5"/>
  <c r="O97" i="5"/>
  <c r="N147" i="5"/>
  <c r="N44" i="5"/>
  <c r="P44" i="5" s="1"/>
  <c r="T44" i="5" s="1"/>
  <c r="N83" i="5"/>
  <c r="O82" i="5"/>
  <c r="O161" i="5"/>
  <c r="O106" i="5"/>
  <c r="O100" i="5"/>
  <c r="N132" i="5"/>
  <c r="O138" i="5"/>
  <c r="N103" i="5"/>
  <c r="O57" i="5"/>
  <c r="N50" i="5"/>
  <c r="N53" i="5"/>
  <c r="N49" i="5"/>
  <c r="E183" i="9"/>
  <c r="D226" i="9"/>
  <c r="N41" i="5"/>
  <c r="N101" i="5"/>
  <c r="N141" i="5"/>
  <c r="O68" i="5"/>
  <c r="N106" i="5"/>
  <c r="O81" i="5"/>
  <c r="N60" i="5"/>
  <c r="O159" i="5"/>
  <c r="N62" i="5"/>
  <c r="N74" i="5"/>
  <c r="N55" i="5"/>
  <c r="N67" i="5"/>
  <c r="N63" i="5"/>
  <c r="N57" i="5"/>
  <c r="N58" i="5"/>
  <c r="D182" i="9"/>
  <c r="E154" i="9"/>
  <c r="D241" i="9"/>
  <c r="D205" i="9"/>
  <c r="E119" i="9"/>
  <c r="D39" i="9"/>
  <c r="D183" i="9"/>
  <c r="D165" i="9"/>
  <c r="D212" i="9"/>
  <c r="D134" i="9"/>
  <c r="E77" i="1"/>
  <c r="M77" i="1" s="1"/>
  <c r="E265" i="9"/>
  <c r="D200" i="9"/>
  <c r="D190" i="9"/>
  <c r="E110" i="9"/>
  <c r="E226" i="9"/>
  <c r="E58" i="9"/>
  <c r="D206" i="9"/>
  <c r="D137" i="9"/>
  <c r="E85" i="9"/>
  <c r="E91" i="9"/>
  <c r="E32" i="9"/>
  <c r="E137" i="9"/>
  <c r="D45" i="9"/>
  <c r="D153" i="9"/>
  <c r="E203" i="9"/>
  <c r="F452" i="2"/>
  <c r="F1368" i="2"/>
  <c r="F455" i="2"/>
  <c r="F458" i="2"/>
  <c r="F457" i="2"/>
  <c r="F454" i="2"/>
  <c r="F456" i="2"/>
  <c r="F460" i="2"/>
  <c r="F630" i="2"/>
  <c r="F550" i="2"/>
  <c r="F1679" i="2"/>
  <c r="F1291" i="2"/>
  <c r="F1437" i="2"/>
  <c r="F1246" i="2"/>
  <c r="F636" i="2"/>
  <c r="F610" i="2"/>
  <c r="F531" i="2"/>
  <c r="F678" i="2"/>
  <c r="F1671" i="2"/>
  <c r="F1297" i="2"/>
  <c r="F459" i="2"/>
  <c r="F1625" i="2"/>
  <c r="F1404" i="2"/>
  <c r="F1308" i="2"/>
  <c r="F934" i="2"/>
  <c r="F691" i="2"/>
  <c r="F618" i="2"/>
  <c r="F1347" i="2"/>
  <c r="F1277" i="2"/>
  <c r="F1221" i="2"/>
  <c r="F721" i="2"/>
  <c r="F632" i="2"/>
  <c r="F605" i="2"/>
  <c r="F564" i="2"/>
  <c r="F547" i="2"/>
  <c r="F1617" i="2"/>
  <c r="F461" i="2"/>
  <c r="F1359" i="2"/>
  <c r="F573" i="2"/>
  <c r="F640" i="2"/>
  <c r="F614" i="2"/>
  <c r="F535" i="2"/>
  <c r="F1811" i="2"/>
  <c r="F1180" i="2"/>
  <c r="F1189" i="2"/>
  <c r="F675" i="2"/>
  <c r="F596" i="2"/>
  <c r="F571" i="2"/>
  <c r="F1452" i="2"/>
  <c r="F1138" i="2"/>
  <c r="F626" i="2"/>
  <c r="F1288" i="2"/>
  <c r="F844" i="2"/>
  <c r="F819" i="2"/>
  <c r="F541" i="2"/>
  <c r="F1131" i="2"/>
  <c r="F835" i="2"/>
  <c r="F813" i="2"/>
  <c r="F912" i="2"/>
  <c r="F840" i="2"/>
  <c r="F815" i="2"/>
  <c r="F538" i="2"/>
  <c r="F1294" i="2"/>
  <c r="F1258" i="2"/>
  <c r="F1230" i="2"/>
  <c r="F1168" i="2"/>
  <c r="F1115" i="2"/>
  <c r="F1021" i="2"/>
  <c r="F1003" i="2"/>
  <c r="F848" i="2"/>
  <c r="F823" i="2"/>
  <c r="F623" i="2"/>
  <c r="F1071" i="2"/>
  <c r="F1127" i="2"/>
  <c r="F1102" i="2"/>
  <c r="F831" i="2"/>
  <c r="F1254" i="2"/>
  <c r="F1227" i="2"/>
  <c r="F1164" i="2"/>
  <c r="F1194" i="2"/>
  <c r="F1834" i="2"/>
  <c r="F1302" i="2"/>
  <c r="F1184" i="2"/>
  <c r="F1177" i="2"/>
  <c r="F1123" i="2"/>
  <c r="F1049" i="2"/>
  <c r="F1052" i="2"/>
  <c r="F931" i="2"/>
  <c r="F865" i="2"/>
  <c r="F1826" i="2"/>
  <c r="F1382" i="2"/>
  <c r="F549" i="2"/>
  <c r="F1430" i="2"/>
  <c r="F1350" i="2"/>
  <c r="F1204" i="2"/>
  <c r="F1072" i="2"/>
  <c r="F1875" i="2"/>
  <c r="F1363" i="2"/>
  <c r="F1278" i="2"/>
  <c r="F705" i="2"/>
  <c r="F1070" i="2"/>
  <c r="F936" i="2"/>
  <c r="F809" i="2"/>
  <c r="F1081" i="2"/>
  <c r="F1119" i="2"/>
  <c r="F1111" i="2"/>
  <c r="F1025" i="2"/>
  <c r="F1007" i="2"/>
  <c r="F852" i="2"/>
  <c r="F826" i="2"/>
  <c r="F805" i="2"/>
  <c r="F1818" i="2"/>
  <c r="F903" i="2"/>
  <c r="F1100" i="2"/>
  <c r="F1282" i="2"/>
  <c r="F983" i="2"/>
  <c r="F528" i="2"/>
  <c r="F1309" i="2"/>
  <c r="F1209" i="2"/>
  <c r="F1134" i="2"/>
  <c r="F1105" i="2"/>
  <c r="F1044" i="2"/>
  <c r="F1040" i="2"/>
  <c r="F1034" i="2"/>
  <c r="F1029" i="2"/>
  <c r="F1016" i="2"/>
  <c r="F1009" i="2"/>
  <c r="F981" i="2"/>
  <c r="F977" i="2"/>
  <c r="F972" i="2"/>
  <c r="F970" i="2"/>
  <c r="F964" i="2"/>
  <c r="F958" i="2"/>
  <c r="F950" i="2"/>
  <c r="F946" i="2"/>
  <c r="F942" i="2"/>
  <c r="F927" i="2"/>
  <c r="F933" i="2"/>
  <c r="F922" i="2"/>
  <c r="F917" i="2"/>
  <c r="F915" i="2"/>
  <c r="F910" i="2"/>
  <c r="F905" i="2"/>
  <c r="F898" i="2"/>
  <c r="F897" i="2"/>
  <c r="F893" i="2"/>
  <c r="F879" i="2"/>
  <c r="F889" i="2"/>
  <c r="F878" i="2"/>
  <c r="F874" i="2"/>
  <c r="F871" i="2"/>
  <c r="F866" i="2"/>
  <c r="F828" i="2"/>
  <c r="F801" i="2"/>
  <c r="F796" i="2"/>
  <c r="F792" i="2"/>
  <c r="F788" i="2"/>
  <c r="F784" i="2"/>
  <c r="F775" i="2"/>
  <c r="F770" i="2"/>
  <c r="F768" i="2"/>
  <c r="F762" i="2"/>
  <c r="F758" i="2"/>
  <c r="F754" i="2"/>
  <c r="F750" i="2"/>
  <c r="F746" i="2"/>
  <c r="F741" i="2"/>
  <c r="F737" i="2"/>
  <c r="F742" i="2"/>
  <c r="F730" i="2"/>
  <c r="F778" i="2"/>
  <c r="F763" i="2"/>
  <c r="F726" i="2"/>
  <c r="F723" i="2"/>
  <c r="F719" i="2"/>
  <c r="F711" i="2"/>
  <c r="F643" i="2"/>
  <c r="F595" i="2"/>
  <c r="F572" i="2"/>
  <c r="F2238" i="2"/>
  <c r="F707" i="2"/>
  <c r="F703" i="2"/>
  <c r="F689" i="2"/>
  <c r="F753" i="2"/>
  <c r="F749" i="2"/>
  <c r="F656" i="2"/>
  <c r="F1954" i="2"/>
  <c r="F1926" i="2"/>
  <c r="F713" i="2"/>
  <c r="F686" i="2"/>
  <c r="F682" i="2"/>
  <c r="F680" i="2"/>
  <c r="F676" i="2"/>
  <c r="F672" i="2"/>
  <c r="F667" i="2"/>
  <c r="F662" i="2"/>
  <c r="F665" i="2"/>
  <c r="F653" i="2"/>
  <c r="F664" i="2"/>
  <c r="F646" i="2"/>
  <c r="F642" i="2"/>
  <c r="F600" i="2"/>
  <c r="F597" i="2"/>
  <c r="F569" i="2"/>
  <c r="F560" i="2"/>
  <c r="F555" i="2"/>
  <c r="F552" i="2"/>
  <c r="F545" i="2"/>
  <c r="F546" i="2"/>
  <c r="F539" i="2"/>
  <c r="F1172" i="2"/>
  <c r="F586" i="2"/>
  <c r="F1515" i="2"/>
  <c r="F1342" i="2"/>
  <c r="F1006" i="2"/>
  <c r="F988" i="2"/>
  <c r="F935" i="2"/>
  <c r="F930" i="2"/>
  <c r="F886" i="2"/>
  <c r="F877" i="2"/>
  <c r="F847" i="2"/>
  <c r="F839" i="2"/>
  <c r="F834" i="2"/>
  <c r="F838" i="2"/>
  <c r="F822" i="2"/>
  <c r="F700" i="2"/>
  <c r="F533" i="2"/>
  <c r="F1319" i="2"/>
  <c r="F1311" i="2"/>
  <c r="F1299" i="2"/>
  <c r="F1290" i="2"/>
  <c r="F1273" i="2"/>
  <c r="F1268" i="2"/>
  <c r="F1265" i="2"/>
  <c r="F1261" i="2"/>
  <c r="F1251" i="2"/>
  <c r="F1243" i="2"/>
  <c r="F1239" i="2"/>
  <c r="F1235" i="2"/>
  <c r="F1231" i="2"/>
  <c r="F1217" i="2"/>
  <c r="F1211" i="2"/>
  <c r="F1208" i="2"/>
  <c r="F2399" i="2"/>
  <c r="F2395" i="2"/>
  <c r="F2391" i="2"/>
  <c r="F2383" i="2"/>
  <c r="F2379" i="2"/>
  <c r="F2294" i="2"/>
  <c r="F2290" i="2"/>
  <c r="F2286" i="2"/>
  <c r="F2282" i="2"/>
  <c r="F2274" i="2"/>
  <c r="F2270" i="2"/>
  <c r="F2262" i="2"/>
  <c r="F1124" i="2"/>
  <c r="F1120" i="2"/>
  <c r="F1112" i="2"/>
  <c r="F1557" i="2"/>
  <c r="F1201" i="2"/>
  <c r="F1197" i="2"/>
  <c r="F1192" i="2"/>
  <c r="F1162" i="2"/>
  <c r="F1169" i="2"/>
  <c r="F1154" i="2"/>
  <c r="F1146" i="2"/>
  <c r="F1140" i="2"/>
  <c r="F1135" i="2"/>
  <c r="F991" i="2"/>
  <c r="F980" i="2"/>
  <c r="F976" i="2"/>
  <c r="F957" i="2"/>
  <c r="F870" i="2"/>
  <c r="F674" i="2"/>
  <c r="F607" i="2"/>
  <c r="F1517" i="2"/>
  <c r="F1817" i="2"/>
  <c r="F601" i="2"/>
  <c r="F1854" i="2"/>
  <c r="F1848" i="2"/>
  <c r="F561" i="2"/>
  <c r="F557" i="2"/>
  <c r="F553" i="2"/>
  <c r="F544" i="2"/>
  <c r="F2388" i="2"/>
  <c r="F2263" i="2"/>
  <c r="F2247" i="2"/>
  <c r="F2215" i="2"/>
  <c r="F2163" i="2"/>
  <c r="F2151" i="2"/>
  <c r="F1835" i="2"/>
  <c r="F1720" i="2"/>
  <c r="F1676" i="2"/>
  <c r="F1666" i="2"/>
  <c r="F1657" i="2"/>
  <c r="F1185" i="2"/>
  <c r="F1181" i="2"/>
  <c r="F1178" i="2"/>
  <c r="F637" i="2"/>
  <c r="F615" i="2"/>
  <c r="F606" i="2"/>
  <c r="F602" i="2"/>
  <c r="F593" i="2"/>
  <c r="F536" i="2"/>
  <c r="F532" i="2"/>
  <c r="F2029" i="2"/>
  <c r="F2123" i="2"/>
  <c r="F2107" i="2"/>
  <c r="F2087" i="2"/>
  <c r="F2079" i="2"/>
  <c r="F2063" i="2"/>
  <c r="F2023" i="2"/>
  <c r="F2011" i="2"/>
  <c r="F1983" i="2"/>
  <c r="F1971" i="2"/>
  <c r="F1943" i="2"/>
  <c r="F1927" i="2"/>
  <c r="F1923" i="2"/>
  <c r="F2258" i="2"/>
  <c r="F588" i="2"/>
  <c r="F938" i="2"/>
  <c r="F932" i="2"/>
  <c r="F1874" i="2"/>
  <c r="F1787" i="2"/>
  <c r="F1603" i="2"/>
  <c r="F1599" i="2"/>
  <c r="F1563" i="2"/>
  <c r="F1537" i="2"/>
  <c r="F1529" i="2"/>
  <c r="F1525" i="2"/>
  <c r="F1508" i="2"/>
  <c r="F1506" i="2"/>
  <c r="F1492" i="2"/>
  <c r="F1488" i="2"/>
  <c r="F1476" i="2"/>
  <c r="F1472" i="2"/>
  <c r="F1464" i="2"/>
  <c r="F1460" i="2"/>
  <c r="F1364" i="2"/>
  <c r="F1303" i="2"/>
  <c r="F1174" i="2"/>
  <c r="F1171" i="2"/>
  <c r="F1165" i="2"/>
  <c r="F709" i="2"/>
  <c r="F1094" i="2"/>
  <c r="F1087" i="2"/>
  <c r="F1078" i="2"/>
  <c r="F854" i="2"/>
  <c r="F845" i="2"/>
  <c r="F841" i="2"/>
  <c r="F827" i="2"/>
  <c r="F824" i="2"/>
  <c r="F853" i="2"/>
  <c r="F806" i="2"/>
  <c r="F714" i="2"/>
  <c r="F1589" i="2"/>
  <c r="F1445" i="2"/>
  <c r="F1446" i="2"/>
  <c r="F1411" i="2"/>
  <c r="F1406" i="2"/>
  <c r="F1401" i="2"/>
  <c r="F1370" i="2"/>
  <c r="F1345" i="2"/>
  <c r="F1320" i="2"/>
  <c r="F1312" i="2"/>
  <c r="F1266" i="2"/>
  <c r="F1250" i="2"/>
  <c r="F1244" i="2"/>
  <c r="F1240" i="2"/>
  <c r="F1224" i="2"/>
  <c r="F1212" i="2"/>
  <c r="F1202" i="2"/>
  <c r="F1195" i="2"/>
  <c r="F1158" i="2"/>
  <c r="F1830" i="2"/>
  <c r="F1786" i="2"/>
  <c r="F1782" i="2"/>
  <c r="F1748" i="2"/>
  <c r="F1745" i="2"/>
  <c r="F1738" i="2"/>
  <c r="F1675" i="2"/>
  <c r="F1663" i="2"/>
  <c r="F1655" i="2"/>
  <c r="F1647" i="2"/>
  <c r="F1624" i="2"/>
  <c r="F1610" i="2"/>
  <c r="F1606" i="2"/>
  <c r="F1566" i="2"/>
  <c r="F1064" i="2"/>
  <c r="F1056" i="2"/>
  <c r="F1046" i="2"/>
  <c r="F1041" i="2"/>
  <c r="F1035" i="2"/>
  <c r="F1031" i="2"/>
  <c r="F1017" i="2"/>
  <c r="F1010" i="2"/>
  <c r="F997" i="2"/>
  <c r="F993" i="2"/>
  <c r="F990" i="2"/>
  <c r="F986" i="2"/>
  <c r="F982" i="2"/>
  <c r="F978" i="2"/>
  <c r="F975" i="2"/>
  <c r="F971" i="2"/>
  <c r="F923" i="2"/>
  <c r="F918" i="2"/>
  <c r="F916" i="2"/>
  <c r="F906" i="2"/>
  <c r="F902" i="2"/>
  <c r="F899" i="2"/>
  <c r="F894" i="2"/>
  <c r="F908" i="2"/>
  <c r="F885" i="2"/>
  <c r="F881" i="2"/>
  <c r="F875" i="2"/>
  <c r="F872" i="2"/>
  <c r="F867" i="2"/>
  <c r="F861" i="2"/>
  <c r="F802" i="2"/>
  <c r="F798" i="2"/>
  <c r="F793" i="2"/>
  <c r="F789" i="2"/>
  <c r="F785" i="2"/>
  <c r="F776" i="2"/>
  <c r="F771" i="2"/>
  <c r="F765" i="2"/>
  <c r="F759" i="2"/>
  <c r="F755" i="2"/>
  <c r="F751" i="2"/>
  <c r="F747" i="2"/>
  <c r="F743" i="2"/>
  <c r="F738" i="2"/>
  <c r="F734" i="2"/>
  <c r="F731" i="2"/>
  <c r="F727" i="2"/>
  <c r="F764" i="2"/>
  <c r="F779" i="2"/>
  <c r="F725" i="2"/>
  <c r="F720" i="2"/>
  <c r="F708" i="2"/>
  <c r="F704" i="2"/>
  <c r="F698" i="2"/>
  <c r="F694" i="2"/>
  <c r="F690" i="2"/>
  <c r="F677" i="2"/>
  <c r="F670" i="2"/>
  <c r="F663" i="2"/>
  <c r="F659" i="2"/>
  <c r="F644" i="2"/>
  <c r="F2422" i="2"/>
  <c r="F1534" i="2"/>
  <c r="F1461" i="2"/>
  <c r="F1457" i="2"/>
  <c r="F1389" i="2"/>
  <c r="F1386" i="2"/>
  <c r="F1801" i="2"/>
  <c r="F1643" i="2"/>
  <c r="F1530" i="2"/>
  <c r="F1592" i="2"/>
  <c r="F1561" i="2"/>
  <c r="F1547" i="2"/>
  <c r="F1405" i="2"/>
  <c r="F1366" i="2"/>
  <c r="F1339" i="2"/>
  <c r="F1335" i="2"/>
  <c r="F1331" i="2"/>
  <c r="F1327" i="2"/>
  <c r="F1322" i="2"/>
  <c r="F1315" i="2"/>
  <c r="F1719" i="2"/>
  <c r="F1426" i="2"/>
  <c r="F1395" i="2"/>
  <c r="F1391" i="2"/>
  <c r="F911" i="2"/>
  <c r="F860" i="2"/>
  <c r="F856" i="2"/>
  <c r="F851" i="2"/>
  <c r="F843" i="2"/>
  <c r="F830" i="2"/>
  <c r="F818" i="2"/>
  <c r="F812" i="2"/>
  <c r="F1602" i="2"/>
  <c r="F1600" i="2"/>
  <c r="F1598" i="2"/>
  <c r="F1387" i="2"/>
  <c r="F1353" i="2"/>
  <c r="F1590" i="2"/>
  <c r="F1559" i="2"/>
  <c r="F1440" i="2"/>
  <c r="F1436" i="2"/>
  <c r="F1104" i="2"/>
  <c r="F928" i="2"/>
  <c r="F575" i="2"/>
  <c r="F566" i="2"/>
  <c r="F1862" i="2"/>
  <c r="F1755" i="2"/>
  <c r="F1739" i="2"/>
  <c r="F1724" i="2"/>
  <c r="F1683" i="2"/>
  <c r="F1674" i="2"/>
  <c r="F1584" i="2"/>
  <c r="F1550" i="2"/>
  <c r="F1568" i="2"/>
  <c r="F1438" i="2"/>
  <c r="F2254" i="2"/>
  <c r="F2250" i="2"/>
  <c r="F2246" i="2"/>
  <c r="F2242" i="2"/>
  <c r="F2234" i="2"/>
  <c r="F2226" i="2"/>
  <c r="F2218" i="2"/>
  <c r="F2214" i="2"/>
  <c r="F2210" i="2"/>
  <c r="F2206" i="2"/>
  <c r="F2202" i="2"/>
  <c r="F2198" i="2"/>
  <c r="F2190" i="2"/>
  <c r="F2186" i="2"/>
  <c r="F2182" i="2"/>
  <c r="F2178" i="2"/>
  <c r="F2174" i="2"/>
  <c r="F2170" i="2"/>
  <c r="F2166" i="2"/>
  <c r="F2154" i="2"/>
  <c r="F2150" i="2"/>
  <c r="F2146" i="2"/>
  <c r="F2142" i="2"/>
  <c r="F2138" i="2"/>
  <c r="F2130" i="2"/>
  <c r="F2126" i="2"/>
  <c r="F2122" i="2"/>
  <c r="F2118" i="2"/>
  <c r="F2114" i="2"/>
  <c r="F2070" i="2"/>
  <c r="F2038" i="2"/>
  <c r="F1884" i="2"/>
  <c r="F1868" i="2"/>
  <c r="F1798" i="2"/>
  <c r="F1639" i="2"/>
  <c r="F808" i="2"/>
  <c r="F2462" i="2"/>
  <c r="F2438" i="2"/>
  <c r="F2434" i="2"/>
  <c r="F2426" i="2"/>
  <c r="F2384" i="2"/>
  <c r="F2380" i="2"/>
  <c r="F2327" i="2"/>
  <c r="F2295" i="2"/>
  <c r="F2271" i="2"/>
  <c r="F2267" i="2"/>
  <c r="F2259" i="2"/>
  <c r="F2227" i="2"/>
  <c r="F2223" i="2"/>
  <c r="F2211" i="2"/>
  <c r="F2207" i="2"/>
  <c r="F2187" i="2"/>
  <c r="F2175" i="2"/>
  <c r="F2171" i="2"/>
  <c r="F2167" i="2"/>
  <c r="F2159" i="2"/>
  <c r="F2155" i="2"/>
  <c r="F2143" i="2"/>
  <c r="F2139" i="2"/>
  <c r="F2135" i="2"/>
  <c r="F2131" i="2"/>
  <c r="F2127" i="2"/>
  <c r="F2119" i="2"/>
  <c r="F2115" i="2"/>
  <c r="F2103" i="2"/>
  <c r="F2099" i="2"/>
  <c r="F2095" i="2"/>
  <c r="F2091" i="2"/>
  <c r="F2083" i="2"/>
  <c r="F2075" i="2"/>
  <c r="F2067" i="2"/>
  <c r="F2059" i="2"/>
  <c r="F2055" i="2"/>
  <c r="F2047" i="2"/>
  <c r="F2043" i="2"/>
  <c r="F2039" i="2"/>
  <c r="F2031" i="2"/>
  <c r="F2027" i="2"/>
  <c r="F2019" i="2"/>
  <c r="F2015" i="2"/>
  <c r="F2007" i="2"/>
  <c r="F2003" i="2"/>
  <c r="F1995" i="2"/>
  <c r="F1991" i="2"/>
  <c r="F1987" i="2"/>
  <c r="F1979" i="2"/>
  <c r="F1975" i="2"/>
  <c r="F1963" i="2"/>
  <c r="F1959" i="2"/>
  <c r="F1955" i="2"/>
  <c r="F1951" i="2"/>
  <c r="F1947" i="2"/>
  <c r="F1939" i="2"/>
  <c r="F1935" i="2"/>
  <c r="F1918" i="2"/>
  <c r="F1914" i="2"/>
  <c r="F1909" i="2"/>
  <c r="F1907" i="2"/>
  <c r="F1898" i="2"/>
  <c r="F1891" i="2"/>
  <c r="F1921" i="2"/>
  <c r="F1878" i="2"/>
  <c r="F1867" i="2"/>
  <c r="F1863" i="2"/>
  <c r="F1858" i="2"/>
  <c r="F1831" i="2"/>
  <c r="F1827" i="2"/>
  <c r="F1812" i="2"/>
  <c r="F1808" i="2"/>
  <c r="F1805" i="2"/>
  <c r="F1802" i="2"/>
  <c r="F1799" i="2"/>
  <c r="F1796" i="2"/>
  <c r="F1792" i="2"/>
  <c r="F1783" i="2"/>
  <c r="F1774" i="2"/>
  <c r="F1771" i="2"/>
  <c r="F1758" i="2"/>
  <c r="F1751" i="2"/>
  <c r="F1749" i="2"/>
  <c r="F1744" i="2"/>
  <c r="F1742" i="2"/>
  <c r="F1734" i="2"/>
  <c r="F1730" i="2"/>
  <c r="F1726" i="2"/>
  <c r="F1712" i="2"/>
  <c r="F1708" i="2"/>
  <c r="F1703" i="2"/>
  <c r="F1699" i="2"/>
  <c r="F1693" i="2"/>
  <c r="F1697" i="2"/>
  <c r="F1690" i="2"/>
  <c r="F1680" i="2"/>
  <c r="F1672" i="2"/>
  <c r="F1668" i="2"/>
  <c r="F1649" i="2"/>
  <c r="F1648" i="2"/>
  <c r="F1644" i="2"/>
  <c r="F1640" i="2"/>
  <c r="F1636" i="2"/>
  <c r="F1633" i="2"/>
  <c r="F1630" i="2"/>
  <c r="F1626" i="2"/>
  <c r="F1618" i="2"/>
  <c r="F1614" i="2"/>
  <c r="F1607" i="2"/>
  <c r="F1588" i="2"/>
  <c r="F1581" i="2"/>
  <c r="F1576" i="2"/>
  <c r="F1567" i="2"/>
  <c r="F1553" i="2"/>
  <c r="F1540" i="2"/>
  <c r="F1524" i="2"/>
  <c r="F1521" i="2"/>
  <c r="F1500" i="2"/>
  <c r="F1496" i="2"/>
  <c r="F1484" i="2"/>
  <c r="F1480" i="2"/>
  <c r="F1468" i="2"/>
  <c r="F1449" i="2"/>
  <c r="F1431" i="2"/>
  <c r="F1422" i="2"/>
  <c r="F1247" i="2"/>
  <c r="F1741" i="2"/>
  <c r="F1733" i="2"/>
  <c r="F1727" i="2"/>
  <c r="F1711" i="2"/>
  <c r="F1717" i="2"/>
  <c r="F1723" i="2"/>
  <c r="F1062" i="2"/>
  <c r="F1054" i="2"/>
  <c r="F1777" i="2"/>
  <c r="F1769" i="2"/>
  <c r="F1753" i="2"/>
  <c r="F1361" i="2"/>
  <c r="F1344" i="2"/>
  <c r="F1333" i="2"/>
  <c r="F1304" i="2"/>
  <c r="F1280" i="2"/>
  <c r="F1283" i="2"/>
  <c r="F1206" i="2"/>
  <c r="F1179" i="2"/>
  <c r="F1175" i="2"/>
  <c r="F1160" i="2"/>
  <c r="F1005" i="2"/>
  <c r="F998" i="2"/>
  <c r="F987" i="2"/>
  <c r="F979" i="2"/>
  <c r="F914" i="2"/>
  <c r="F900" i="2"/>
  <c r="F655" i="2"/>
  <c r="F651" i="2"/>
  <c r="F633" i="2"/>
  <c r="F621" i="2"/>
  <c r="F612" i="2"/>
  <c r="F589" i="2"/>
  <c r="F585" i="2"/>
  <c r="F556" i="2"/>
  <c r="F576" i="2"/>
  <c r="F2418" i="2"/>
  <c r="F2400" i="2"/>
  <c r="F2392" i="2"/>
  <c r="F2287" i="2"/>
  <c r="F2283" i="2"/>
  <c r="F2279" i="2"/>
  <c r="F2275" i="2"/>
  <c r="F2255" i="2"/>
  <c r="F2243" i="2"/>
  <c r="F2239" i="2"/>
  <c r="F2235" i="2"/>
  <c r="F2231" i="2"/>
  <c r="F2203" i="2"/>
  <c r="F2199" i="2"/>
  <c r="F2195" i="2"/>
  <c r="F2191" i="2"/>
  <c r="F2179" i="2"/>
  <c r="F2598" i="2"/>
  <c r="F2586" i="2"/>
  <c r="F2554" i="2"/>
  <c r="F2546" i="2"/>
  <c r="F2534" i="2"/>
  <c r="F2518" i="2"/>
  <c r="F2506" i="2"/>
  <c r="F2502" i="2"/>
  <c r="F2498" i="2"/>
  <c r="F2494" i="2"/>
  <c r="F2486" i="2"/>
  <c r="F2482" i="2"/>
  <c r="F2474" i="2"/>
  <c r="F2466" i="2"/>
  <c r="F2454" i="2"/>
  <c r="F2450" i="2"/>
  <c r="F2446" i="2"/>
  <c r="F2413" i="2"/>
  <c r="F2409" i="2"/>
  <c r="F2375" i="2"/>
  <c r="F2371" i="2"/>
  <c r="F2367" i="2"/>
  <c r="F2363" i="2"/>
  <c r="F2359" i="2"/>
  <c r="F2355" i="2"/>
  <c r="F2347" i="2"/>
  <c r="F2343" i="2"/>
  <c r="F2339" i="2"/>
  <c r="F2335" i="2"/>
  <c r="F2331" i="2"/>
  <c r="F2323" i="2"/>
  <c r="F2319" i="2"/>
  <c r="F2311" i="2"/>
  <c r="F2307" i="2"/>
  <c r="F2303" i="2"/>
  <c r="F2299" i="2"/>
  <c r="F1754" i="2"/>
  <c r="F1448" i="2"/>
  <c r="F1443" i="2"/>
  <c r="F1441" i="2"/>
  <c r="F1433" i="2"/>
  <c r="F1421" i="2"/>
  <c r="F1417" i="2"/>
  <c r="F1413" i="2"/>
  <c r="F1408" i="2"/>
  <c r="F1403" i="2"/>
  <c r="F1399" i="2"/>
  <c r="F1059" i="2"/>
  <c r="F1050" i="2"/>
  <c r="F1096" i="2"/>
  <c r="F2567" i="2"/>
  <c r="F1886" i="2"/>
  <c r="F1861" i="2"/>
  <c r="F1840" i="2"/>
  <c r="F1836" i="2"/>
  <c r="F1822" i="2"/>
  <c r="F1804" i="2"/>
  <c r="F1793" i="2"/>
  <c r="F1789" i="2"/>
  <c r="F1775" i="2"/>
  <c r="F1768" i="2"/>
  <c r="F1761" i="2"/>
  <c r="F1656" i="2"/>
  <c r="F1634" i="2"/>
  <c r="F1631" i="2"/>
  <c r="F1628" i="2"/>
  <c r="F1619" i="2"/>
  <c r="F1615" i="2"/>
  <c r="F1593" i="2"/>
  <c r="F1580" i="2"/>
  <c r="F1577" i="2"/>
  <c r="F1573" i="2"/>
  <c r="F1554" i="2"/>
  <c r="F1548" i="2"/>
  <c r="F1539" i="2"/>
  <c r="F1541" i="2"/>
  <c r="F1516" i="2"/>
  <c r="F1450" i="2"/>
  <c r="F1439" i="2"/>
  <c r="F1435" i="2"/>
  <c r="F1423" i="2"/>
  <c r="F1419" i="2"/>
  <c r="F1415" i="2"/>
  <c r="F1410" i="2"/>
  <c r="F1397" i="2"/>
  <c r="F1396" i="2"/>
  <c r="F1377" i="2"/>
  <c r="F1375" i="2"/>
  <c r="F1355" i="2"/>
  <c r="F1306" i="2"/>
  <c r="F1296" i="2"/>
  <c r="F1274" i="2"/>
  <c r="F1262" i="2"/>
  <c r="F1248" i="2"/>
  <c r="F1236" i="2"/>
  <c r="F1232" i="2"/>
  <c r="F1228" i="2"/>
  <c r="F1218" i="2"/>
  <c r="F1198" i="2"/>
  <c r="F1191" i="2"/>
  <c r="F1163" i="2"/>
  <c r="F1155" i="2"/>
  <c r="F1151" i="2"/>
  <c r="F1147" i="2"/>
  <c r="F1144" i="2"/>
  <c r="F1141" i="2"/>
  <c r="F1132" i="2"/>
  <c r="F1088" i="2"/>
  <c r="F1079" i="2"/>
  <c r="F1065" i="2"/>
  <c r="F1057" i="2"/>
  <c r="F1026" i="2"/>
  <c r="F1022" i="2"/>
  <c r="F1008" i="2"/>
  <c r="F1004" i="2"/>
  <c r="F937" i="2"/>
  <c r="F913" i="2"/>
  <c r="F858" i="2"/>
  <c r="F849" i="2"/>
  <c r="F836" i="2"/>
  <c r="F832" i="2"/>
  <c r="F820" i="2"/>
  <c r="F810" i="2"/>
  <c r="F683" i="2"/>
  <c r="F681" i="2"/>
  <c r="F673" i="2"/>
  <c r="F654" i="2"/>
  <c r="F650" i="2"/>
  <c r="F647" i="2"/>
  <c r="F635" i="2"/>
  <c r="F631" i="2"/>
  <c r="F627" i="2"/>
  <c r="F2795" i="2"/>
  <c r="F2791" i="2"/>
  <c r="F2763" i="2"/>
  <c r="F2759" i="2"/>
  <c r="F2755" i="2"/>
  <c r="F2751" i="2"/>
  <c r="F2747" i="2"/>
  <c r="F2743" i="2"/>
  <c r="F2739" i="2"/>
  <c r="F2735" i="2"/>
  <c r="F2727" i="2"/>
  <c r="F2715" i="2"/>
  <c r="F2703" i="2"/>
  <c r="F2695" i="2"/>
  <c r="F2691" i="2"/>
  <c r="F2683" i="2"/>
  <c r="F2671" i="2"/>
  <c r="F2667" i="2"/>
  <c r="F2663" i="2"/>
  <c r="F2659" i="2"/>
  <c r="F2643" i="2"/>
  <c r="F2639" i="2"/>
  <c r="F2635" i="2"/>
  <c r="F2631" i="2"/>
  <c r="F2627" i="2"/>
  <c r="F2623" i="2"/>
  <c r="F2619" i="2"/>
  <c r="F2611" i="2"/>
  <c r="F2607" i="2"/>
  <c r="F2603" i="2"/>
  <c r="F2591" i="2"/>
  <c r="F2579" i="2"/>
  <c r="F2575" i="2"/>
  <c r="F2571" i="2"/>
  <c r="F2563" i="2"/>
  <c r="F2559" i="2"/>
  <c r="F2555" i="2"/>
  <c r="F2547" i="2"/>
  <c r="F2543" i="2"/>
  <c r="F2539" i="2"/>
  <c r="F2535" i="2"/>
  <c r="F2527" i="2"/>
  <c r="F2519" i="2"/>
  <c r="F2515" i="2"/>
  <c r="F2511" i="2"/>
  <c r="F2507" i="2"/>
  <c r="F2503" i="2"/>
  <c r="F2499" i="2"/>
  <c r="F2495" i="2"/>
  <c r="F2491" i="2"/>
  <c r="F2487" i="2"/>
  <c r="F2483" i="2"/>
  <c r="F2475" i="2"/>
  <c r="F2471" i="2"/>
  <c r="F2467" i="2"/>
  <c r="F2463" i="2"/>
  <c r="F2459" i="2"/>
  <c r="F2455" i="2"/>
  <c r="F2451" i="2"/>
  <c r="F2447" i="2"/>
  <c r="F2443" i="2"/>
  <c r="F2414" i="2"/>
  <c r="F2410" i="2"/>
  <c r="F2406" i="2"/>
  <c r="F2360" i="2"/>
  <c r="F2356" i="2"/>
  <c r="F2352" i="2"/>
  <c r="F2348" i="2"/>
  <c r="F2344" i="2"/>
  <c r="F2340" i="2"/>
  <c r="F2336" i="2"/>
  <c r="F2332" i="2"/>
  <c r="F2324" i="2"/>
  <c r="F2320" i="2"/>
  <c r="F2316" i="2"/>
  <c r="F2312" i="2"/>
  <c r="F2308" i="2"/>
  <c r="F2304" i="2"/>
  <c r="F2300" i="2"/>
  <c r="F1128" i="2"/>
  <c r="F1116" i="2"/>
  <c r="F620" i="2"/>
  <c r="F619" i="2"/>
  <c r="F611" i="2"/>
  <c r="F1846" i="2"/>
  <c r="F2774" i="2"/>
  <c r="F2746" i="2"/>
  <c r="F2682" i="2"/>
  <c r="F2662" i="2"/>
  <c r="F2634" i="2"/>
  <c r="F2437" i="2"/>
  <c r="F2433" i="2"/>
  <c r="F2429" i="2"/>
  <c r="F2425" i="2"/>
  <c r="F2417" i="2"/>
  <c r="F2404" i="2"/>
  <c r="F2110" i="2"/>
  <c r="F2106" i="2"/>
  <c r="F2102" i="2"/>
  <c r="F2098" i="2"/>
  <c r="F2090" i="2"/>
  <c r="F2082" i="2"/>
  <c r="F2078" i="2"/>
  <c r="F2074" i="2"/>
  <c r="F2066" i="2"/>
  <c r="F2062" i="2"/>
  <c r="F2058" i="2"/>
  <c r="F2054" i="2"/>
  <c r="F2050" i="2"/>
  <c r="F2042" i="2"/>
  <c r="F2030" i="2"/>
  <c r="F2026" i="2"/>
  <c r="F2022" i="2"/>
  <c r="F2018" i="2"/>
  <c r="F2014" i="2"/>
  <c r="F2010" i="2"/>
  <c r="F2002" i="2"/>
  <c r="F1998" i="2"/>
  <c r="F1994" i="2"/>
  <c r="F2477" i="2"/>
  <c r="F2469" i="2"/>
  <c r="F1069" i="2"/>
  <c r="F1091" i="2"/>
  <c r="F1075" i="2"/>
  <c r="F1028" i="2"/>
  <c r="F984" i="2"/>
  <c r="F961" i="2"/>
  <c r="F890" i="2"/>
  <c r="F921" i="2"/>
  <c r="F920" i="2"/>
  <c r="F904" i="2"/>
  <c r="F873" i="2"/>
  <c r="F791" i="2"/>
  <c r="F787" i="2"/>
  <c r="F783" i="2"/>
  <c r="F740" i="2"/>
  <c r="F1832" i="2"/>
  <c r="F1828" i="2"/>
  <c r="F1820" i="2"/>
  <c r="F1815" i="2"/>
  <c r="F1813" i="2"/>
  <c r="F1809" i="2"/>
  <c r="F1803" i="2"/>
  <c r="F1788" i="2"/>
  <c r="F1784" i="2"/>
  <c r="F1764" i="2"/>
  <c r="F1669" i="2"/>
  <c r="F1665" i="2"/>
  <c r="F1637" i="2"/>
  <c r="F1632" i="2"/>
  <c r="F1622" i="2"/>
  <c r="F1608" i="2"/>
  <c r="F1604" i="2"/>
  <c r="F1586" i="2"/>
  <c r="F1585" i="2"/>
  <c r="F1571" i="2"/>
  <c r="F1569" i="2"/>
  <c r="F1564" i="2"/>
  <c r="F1538" i="2"/>
  <c r="F1532" i="2"/>
  <c r="F1526" i="2"/>
  <c r="F1523" i="2"/>
  <c r="F1520" i="2"/>
  <c r="F1510" i="2"/>
  <c r="F1497" i="2"/>
  <c r="F1493" i="2"/>
  <c r="F1509" i="2"/>
  <c r="F1502" i="2"/>
  <c r="F1503" i="2"/>
  <c r="F1489" i="2"/>
  <c r="F1485" i="2"/>
  <c r="F1481" i="2"/>
  <c r="F1477" i="2"/>
  <c r="F1473" i="2"/>
  <c r="F1469" i="2"/>
  <c r="F1465" i="2"/>
  <c r="F1428" i="2"/>
  <c r="F1424" i="2"/>
  <c r="F1365" i="2"/>
  <c r="F1352" i="2"/>
  <c r="F1285" i="2"/>
  <c r="F1256" i="2"/>
  <c r="F1186" i="2"/>
  <c r="F1182" i="2"/>
  <c r="F1166" i="2"/>
  <c r="F1066" i="2"/>
  <c r="F1014" i="2"/>
  <c r="F1011" i="2"/>
  <c r="F1001" i="2"/>
  <c r="F994" i="2"/>
  <c r="F973" i="2"/>
  <c r="F968" i="2"/>
  <c r="F963" i="2"/>
  <c r="F960" i="2"/>
  <c r="F956" i="2"/>
  <c r="F952" i="2"/>
  <c r="F948" i="2"/>
  <c r="F944" i="2"/>
  <c r="F941" i="2"/>
  <c r="F925" i="2"/>
  <c r="F907" i="2"/>
  <c r="F888" i="2"/>
  <c r="F862" i="2"/>
  <c r="F772" i="2"/>
  <c r="F766" i="2"/>
  <c r="F739" i="2"/>
  <c r="F732" i="2"/>
  <c r="F728" i="2"/>
  <c r="F782" i="2"/>
  <c r="F780" i="2"/>
  <c r="F773" i="2"/>
  <c r="F722" i="2"/>
  <c r="F717" i="2"/>
  <c r="F701" i="2"/>
  <c r="F699" i="2"/>
  <c r="F695" i="2"/>
  <c r="F687" i="2"/>
  <c r="F645" i="2"/>
  <c r="F581" i="2"/>
  <c r="F567" i="2"/>
  <c r="F562" i="2"/>
  <c r="F554" i="2"/>
  <c r="F548" i="2"/>
  <c r="F543" i="2"/>
  <c r="F463" i="2"/>
  <c r="F2390" i="2"/>
  <c r="F2378" i="2"/>
  <c r="F2362" i="2"/>
  <c r="F2354" i="2"/>
  <c r="F2342" i="2"/>
  <c r="F2338" i="2"/>
  <c r="F2334" i="2"/>
  <c r="F2330" i="2"/>
  <c r="F2326" i="2"/>
  <c r="F2322" i="2"/>
  <c r="F2318" i="2"/>
  <c r="F2306" i="2"/>
  <c r="F2302" i="2"/>
  <c r="F2297" i="2"/>
  <c r="F1838" i="2"/>
  <c r="F1791" i="2"/>
  <c r="F1770" i="2"/>
  <c r="F1704" i="2"/>
  <c r="F1702" i="2"/>
  <c r="F1698" i="2"/>
  <c r="F1696" i="2"/>
  <c r="F1689" i="2"/>
  <c r="F1686" i="2"/>
  <c r="F1682" i="2"/>
  <c r="F1681" i="2"/>
  <c r="F1659" i="2"/>
  <c r="F1635" i="2"/>
  <c r="F1629" i="2"/>
  <c r="F1621" i="2"/>
  <c r="F1613" i="2"/>
  <c r="F1560" i="2"/>
  <c r="F1514" i="2"/>
  <c r="F1378" i="2"/>
  <c r="F1372" i="2"/>
  <c r="F1373" i="2"/>
  <c r="F1357" i="2"/>
  <c r="F1354" i="2"/>
  <c r="F1341" i="2"/>
  <c r="F1338" i="2"/>
  <c r="F1334" i="2"/>
  <c r="F1330" i="2"/>
  <c r="F1326" i="2"/>
  <c r="F1321" i="2"/>
  <c r="F1314" i="2"/>
  <c r="F1310" i="2"/>
  <c r="F1307" i="2"/>
  <c r="F1295" i="2"/>
  <c r="F1276" i="2"/>
  <c r="F1272" i="2"/>
  <c r="F1271" i="2"/>
  <c r="F1264" i="2"/>
  <c r="F1260" i="2"/>
  <c r="F1252" i="2"/>
  <c r="F1242" i="2"/>
  <c r="F1238" i="2"/>
  <c r="F1234" i="2"/>
  <c r="F1226" i="2"/>
  <c r="F1222" i="2"/>
  <c r="F1157" i="2"/>
  <c r="F1153" i="2"/>
  <c r="F1149" i="2"/>
  <c r="F1145" i="2"/>
  <c r="F1142" i="2"/>
  <c r="F1139" i="2"/>
  <c r="F1110" i="2"/>
  <c r="F1108" i="2"/>
  <c r="F1024" i="2"/>
  <c r="F1020" i="2"/>
  <c r="F940" i="2"/>
  <c r="F863" i="2"/>
  <c r="F685" i="2"/>
  <c r="F679" i="2"/>
  <c r="F634" i="2"/>
  <c r="F629" i="2"/>
  <c r="F625" i="2"/>
  <c r="F590" i="2"/>
  <c r="F577" i="2"/>
  <c r="F534" i="2"/>
  <c r="F462" i="2"/>
  <c r="F2369" i="2"/>
  <c r="F2361" i="2"/>
  <c r="F1841" i="2"/>
  <c r="F1794" i="2"/>
  <c r="F1772" i="2"/>
  <c r="F1760" i="2"/>
  <c r="F1743" i="2"/>
  <c r="F1731" i="2"/>
  <c r="F1728" i="2"/>
  <c r="F1714" i="2"/>
  <c r="F1710" i="2"/>
  <c r="F1715" i="2"/>
  <c r="F1707" i="2"/>
  <c r="F1701" i="2"/>
  <c r="F1695" i="2"/>
  <c r="F1692" i="2"/>
  <c r="F1688" i="2"/>
  <c r="F1685" i="2"/>
  <c r="F1661" i="2"/>
  <c r="F1652" i="2"/>
  <c r="F1596" i="2"/>
  <c r="F1594" i="2"/>
  <c r="F1579" i="2"/>
  <c r="F1578" i="2"/>
  <c r="F1574" i="2"/>
  <c r="F1555" i="2"/>
  <c r="F1549" i="2"/>
  <c r="F1542" i="2"/>
  <c r="F1513" i="2"/>
  <c r="F1478" i="2"/>
  <c r="F1451" i="2"/>
  <c r="F1447" i="2"/>
  <c r="F1432" i="2"/>
  <c r="F1420" i="2"/>
  <c r="F1416" i="2"/>
  <c r="F1412" i="2"/>
  <c r="F1407" i="2"/>
  <c r="F1402" i="2"/>
  <c r="F1398" i="2"/>
  <c r="F1380" i="2"/>
  <c r="F1376" i="2"/>
  <c r="F1371" i="2"/>
  <c r="F1356" i="2"/>
  <c r="F1346" i="2"/>
  <c r="F1340" i="2"/>
  <c r="F1329" i="2"/>
  <c r="F1325" i="2"/>
  <c r="F1323" i="2"/>
  <c r="F1317" i="2"/>
  <c r="F1313" i="2"/>
  <c r="F1301" i="2"/>
  <c r="F1298" i="2"/>
  <c r="F1293" i="2"/>
  <c r="F1275" i="2"/>
  <c r="F1270" i="2"/>
  <c r="F1267" i="2"/>
  <c r="F1259" i="2"/>
  <c r="F1233" i="2"/>
  <c r="F1219" i="2"/>
  <c r="F1215" i="2"/>
  <c r="F1213" i="2"/>
  <c r="F1199" i="2"/>
  <c r="F1190" i="2"/>
  <c r="F1159" i="2"/>
  <c r="F1156" i="2"/>
  <c r="F1152" i="2"/>
  <c r="F1148" i="2"/>
  <c r="F1137" i="2"/>
  <c r="F1133" i="2"/>
  <c r="F1129" i="2"/>
  <c r="F1125" i="2"/>
  <c r="F1121" i="2"/>
  <c r="F1117" i="2"/>
  <c r="F1109" i="2"/>
  <c r="F1107" i="2"/>
  <c r="F1101" i="2"/>
  <c r="F1023" i="2"/>
  <c r="F1000" i="2"/>
  <c r="F939" i="2"/>
  <c r="F715" i="2"/>
  <c r="F684" i="2"/>
  <c r="F669" i="2"/>
  <c r="F2285" i="2"/>
  <c r="F2273" i="2"/>
  <c r="F2269" i="2"/>
  <c r="F2265" i="2"/>
  <c r="F2253" i="2"/>
  <c r="F1305" i="2"/>
  <c r="F1286" i="2"/>
  <c r="F1176" i="2"/>
  <c r="F696" i="2"/>
  <c r="F464" i="2"/>
  <c r="F1990" i="2"/>
  <c r="F1986" i="2"/>
  <c r="F1982" i="2"/>
  <c r="F1978" i="2"/>
  <c r="F1974" i="2"/>
  <c r="F1970" i="2"/>
  <c r="F1966" i="2"/>
  <c r="F1962" i="2"/>
  <c r="F1950" i="2"/>
  <c r="F1946" i="2"/>
  <c r="F1938" i="2"/>
  <c r="F1934" i="2"/>
  <c r="F1930" i="2"/>
  <c r="F1922" i="2"/>
  <c r="F2233" i="2"/>
  <c r="F2229" i="2"/>
  <c r="F2225" i="2"/>
  <c r="F2213" i="2"/>
  <c r="F2201" i="2"/>
  <c r="F2193" i="2"/>
  <c r="F2189" i="2"/>
  <c r="F2185" i="2"/>
  <c r="F2173" i="2"/>
  <c r="F2161" i="2"/>
  <c r="F2157" i="2"/>
  <c r="F2153" i="2"/>
  <c r="F2141" i="2"/>
  <c r="F2133" i="2"/>
  <c r="F2125" i="2"/>
  <c r="F2117" i="2"/>
  <c r="F2113" i="2"/>
  <c r="F2101" i="2"/>
  <c r="F2089" i="2"/>
  <c r="F2085" i="2"/>
  <c r="F2081" i="2"/>
  <c r="F2069" i="2"/>
  <c r="F2057" i="2"/>
  <c r="F2053" i="2"/>
  <c r="F2049" i="2"/>
  <c r="F2045" i="2"/>
  <c r="F2037" i="2"/>
  <c r="F2017" i="2"/>
  <c r="F2009" i="2"/>
  <c r="F1997" i="2"/>
  <c r="F1993" i="2"/>
  <c r="F1989" i="2"/>
  <c r="F1977" i="2"/>
  <c r="F1969" i="2"/>
  <c r="F1957" i="2"/>
  <c r="F1953" i="2"/>
  <c r="F1949" i="2"/>
  <c r="F1937" i="2"/>
  <c r="F1925" i="2"/>
  <c r="F1916" i="2"/>
  <c r="F1911" i="2"/>
  <c r="F1913" i="2"/>
  <c r="F1896" i="2"/>
  <c r="F1883" i="2"/>
  <c r="F1881" i="2"/>
  <c r="F1870" i="2"/>
  <c r="F1852" i="2"/>
  <c r="F1847" i="2"/>
  <c r="F1800" i="2"/>
  <c r="F1785" i="2"/>
  <c r="F1765" i="2"/>
  <c r="F1747" i="2"/>
  <c r="F1737" i="2"/>
  <c r="F1718" i="2"/>
  <c r="F1706" i="2"/>
  <c r="F1678" i="2"/>
  <c r="F1670" i="2"/>
  <c r="F1662" i="2"/>
  <c r="F1664" i="2"/>
  <c r="F1474" i="2"/>
  <c r="F1454" i="2"/>
  <c r="F1082" i="2"/>
  <c r="F1063" i="2"/>
  <c r="F1055" i="2"/>
  <c r="F1092" i="2"/>
  <c r="F1084" i="2"/>
  <c r="F1076" i="2"/>
  <c r="F1060" i="2"/>
  <c r="F1051" i="2"/>
  <c r="F1097" i="2"/>
  <c r="F1089" i="2"/>
  <c r="F1073" i="2"/>
  <c r="F666" i="2"/>
  <c r="F660" i="2"/>
  <c r="F648" i="2"/>
  <c r="F638" i="2"/>
  <c r="F628" i="2"/>
  <c r="F624" i="2"/>
  <c r="F616" i="2"/>
  <c r="F608" i="2"/>
  <c r="F603" i="2"/>
  <c r="F592" i="2"/>
  <c r="F537" i="2"/>
  <c r="F466" i="2"/>
  <c r="F1917" i="2"/>
  <c r="F1912" i="2"/>
  <c r="F1908" i="2"/>
  <c r="F1904" i="2"/>
  <c r="F1893" i="2"/>
  <c r="F1890" i="2"/>
  <c r="F1885" i="2"/>
  <c r="F1873" i="2"/>
  <c r="F1839" i="2"/>
  <c r="F1806" i="2"/>
  <c r="F2725" i="2"/>
  <c r="F2565" i="2"/>
  <c r="F1651" i="2"/>
  <c r="F1646" i="2"/>
  <c r="F1642" i="2"/>
  <c r="F1638" i="2"/>
  <c r="F1605" i="2"/>
  <c r="F1572" i="2"/>
  <c r="F1570" i="2"/>
  <c r="F1565" i="2"/>
  <c r="F1544" i="2"/>
  <c r="F1535" i="2"/>
  <c r="F1533" i="2"/>
  <c r="F1531" i="2"/>
  <c r="F1527" i="2"/>
  <c r="F1519" i="2"/>
  <c r="F1511" i="2"/>
  <c r="F1498" i="2"/>
  <c r="F1494" i="2"/>
  <c r="F1501" i="2"/>
  <c r="F1504" i="2"/>
  <c r="F1490" i="2"/>
  <c r="F1486" i="2"/>
  <c r="F1482" i="2"/>
  <c r="F1470" i="2"/>
  <c r="F1466" i="2"/>
  <c r="F1462" i="2"/>
  <c r="F1458" i="2"/>
  <c r="F1455" i="2"/>
  <c r="F1429" i="2"/>
  <c r="F1425" i="2"/>
  <c r="F1394" i="2"/>
  <c r="F1390" i="2"/>
  <c r="F1367" i="2"/>
  <c r="F1362" i="2"/>
  <c r="F1358" i="2"/>
  <c r="F1281" i="2"/>
  <c r="F1257" i="2"/>
  <c r="F1253" i="2"/>
  <c r="F1113" i="2"/>
  <c r="F1068" i="2"/>
  <c r="F1048" i="2"/>
  <c r="F1045" i="2"/>
  <c r="F1039" i="2"/>
  <c r="F1037" i="2"/>
  <c r="F1033" i="2"/>
  <c r="F1043" i="2"/>
  <c r="F1012" i="2"/>
  <c r="F999" i="2"/>
  <c r="F995" i="2"/>
  <c r="F974" i="2"/>
  <c r="F969" i="2"/>
  <c r="F965" i="2"/>
  <c r="F954" i="2"/>
  <c r="F949" i="2"/>
  <c r="F945" i="2"/>
  <c r="F926" i="2"/>
  <c r="F909" i="2"/>
  <c r="F901" i="2"/>
  <c r="F896" i="2"/>
  <c r="F892" i="2"/>
  <c r="F883" i="2"/>
  <c r="F880" i="2"/>
  <c r="F864" i="2"/>
  <c r="F814" i="2"/>
  <c r="F804" i="2"/>
  <c r="F800" i="2"/>
  <c r="F799" i="2"/>
  <c r="F795" i="2"/>
  <c r="F774" i="2"/>
  <c r="F769" i="2"/>
  <c r="F767" i="2"/>
  <c r="F761" i="2"/>
  <c r="F757" i="2"/>
  <c r="F745" i="2"/>
  <c r="F736" i="2"/>
  <c r="F733" i="2"/>
  <c r="F729" i="2"/>
  <c r="F724" i="2"/>
  <c r="F692" i="2"/>
  <c r="F688" i="2"/>
  <c r="F582" i="2"/>
  <c r="F579" i="2"/>
  <c r="F568" i="2"/>
  <c r="F551" i="2"/>
  <c r="F542" i="2"/>
  <c r="C72" i="5"/>
  <c r="F465" i="2"/>
  <c r="F469" i="2"/>
  <c r="F467" i="2"/>
  <c r="F474" i="2"/>
  <c r="F2291" i="2"/>
  <c r="F2251" i="2"/>
  <c r="F2219" i="2"/>
  <c r="F2183" i="2"/>
  <c r="F2147" i="2"/>
  <c r="F2678" i="2"/>
  <c r="F2550" i="2"/>
  <c r="F2538" i="2"/>
  <c r="F473" i="2"/>
  <c r="F2111" i="2"/>
  <c r="F2071" i="2"/>
  <c r="F2051" i="2"/>
  <c r="F2035" i="2"/>
  <c r="F1999" i="2"/>
  <c r="F1967" i="2"/>
  <c r="F1931" i="2"/>
  <c r="F2698" i="2"/>
  <c r="F2514" i="2"/>
  <c r="F2470" i="2"/>
  <c r="F475" i="2"/>
  <c r="F1837" i="2"/>
  <c r="F1759" i="2"/>
  <c r="F2775" i="2"/>
  <c r="F2767" i="2"/>
  <c r="F2711" i="2"/>
  <c r="F2679" i="2"/>
  <c r="F2647" i="2"/>
  <c r="F2615" i="2"/>
  <c r="F2551" i="2"/>
  <c r="F2523" i="2"/>
  <c r="F2479" i="2"/>
  <c r="F2430" i="2"/>
  <c r="F2396" i="2"/>
  <c r="F2372" i="2"/>
  <c r="F2368" i="2"/>
  <c r="F2364" i="2"/>
  <c r="F2328" i="2"/>
  <c r="F1790" i="2"/>
  <c r="F1894" i="2"/>
  <c r="F1869" i="2"/>
  <c r="F476" i="2"/>
  <c r="F477" i="2"/>
  <c r="F478" i="2"/>
  <c r="F2769" i="2"/>
  <c r="F2765" i="2"/>
  <c r="F2721" i="2"/>
  <c r="F2705" i="2"/>
  <c r="F2701" i="2"/>
  <c r="F2681" i="2"/>
  <c r="F2677" i="2"/>
  <c r="F2645" i="2"/>
  <c r="F2641" i="2"/>
  <c r="F2633" i="2"/>
  <c r="F2609" i="2"/>
  <c r="F2605" i="2"/>
  <c r="F2577" i="2"/>
  <c r="F2561" i="2"/>
  <c r="F2529" i="2"/>
  <c r="F2521" i="2"/>
  <c r="F2493" i="2"/>
  <c r="F2489" i="2"/>
  <c r="F2485" i="2"/>
  <c r="F2481" i="2"/>
  <c r="F2473" i="2"/>
  <c r="F2465" i="2"/>
  <c r="F2461" i="2"/>
  <c r="F2457" i="2"/>
  <c r="F2453" i="2"/>
  <c r="F2449" i="2"/>
  <c r="F2445" i="2"/>
  <c r="F2432" i="2"/>
  <c r="F2428" i="2"/>
  <c r="F2416" i="2"/>
  <c r="F2412" i="2"/>
  <c r="F2408" i="2"/>
  <c r="F1546" i="2"/>
  <c r="F1507" i="2"/>
  <c r="F1374" i="2"/>
  <c r="F1349" i="2"/>
  <c r="F1255" i="2"/>
  <c r="F1249" i="2"/>
  <c r="F1237" i="2"/>
  <c r="F1225" i="2"/>
  <c r="F1183" i="2"/>
  <c r="F1167" i="2"/>
  <c r="F706" i="2"/>
  <c r="F702" i="2"/>
  <c r="F996" i="2"/>
  <c r="F479" i="2"/>
  <c r="F2180" i="2"/>
  <c r="F2168" i="2"/>
  <c r="F1976" i="2"/>
  <c r="F1844" i="2"/>
  <c r="F1816" i="2"/>
  <c r="F985" i="2"/>
  <c r="F1122" i="2"/>
  <c r="F1752" i="2"/>
  <c r="F1750" i="2"/>
  <c r="F1677" i="2"/>
  <c r="F1673" i="2"/>
  <c r="F1658" i="2"/>
  <c r="F1645" i="2"/>
  <c r="F1612" i="2"/>
  <c r="F1591" i="2"/>
  <c r="F1505" i="2"/>
  <c r="F1463" i="2"/>
  <c r="F1427" i="2"/>
  <c r="F1369" i="2"/>
  <c r="F2427" i="2"/>
  <c r="F2252" i="2"/>
  <c r="F2248" i="2"/>
  <c r="F1972" i="2"/>
  <c r="F480" i="2"/>
  <c r="F1086" i="2"/>
  <c r="F1038" i="2"/>
  <c r="F2385" i="2"/>
  <c r="F2377" i="2"/>
  <c r="F2321" i="2"/>
  <c r="F2064" i="2"/>
  <c r="F2060" i="2"/>
  <c r="F1910" i="2"/>
  <c r="F1780" i="2"/>
  <c r="F2052" i="2"/>
  <c r="F1716" i="2"/>
  <c r="F1360" i="2"/>
  <c r="F1348" i="2"/>
  <c r="F1343" i="2"/>
  <c r="F1289" i="2"/>
  <c r="F1220" i="2"/>
  <c r="F1210" i="2"/>
  <c r="F1207" i="2"/>
  <c r="F1188" i="2"/>
  <c r="F1161" i="2"/>
  <c r="F1150" i="2"/>
  <c r="F1053" i="2"/>
  <c r="F1098" i="2"/>
  <c r="F1090" i="2"/>
  <c r="F1058" i="2"/>
  <c r="F951" i="2"/>
  <c r="F947" i="2"/>
  <c r="F895" i="2"/>
  <c r="F891" i="2"/>
  <c r="F884" i="2"/>
  <c r="F842" i="2"/>
  <c r="F807" i="2"/>
  <c r="F786" i="2"/>
  <c r="F777" i="2"/>
  <c r="F668" i="2"/>
  <c r="F622" i="2"/>
  <c r="F617" i="2"/>
  <c r="F613" i="2"/>
  <c r="F587" i="2"/>
  <c r="F527" i="2"/>
  <c r="F2793" i="2"/>
  <c r="F2789" i="2"/>
  <c r="F2785" i="2"/>
  <c r="F2781" i="2"/>
  <c r="F2777" i="2"/>
  <c r="F2773" i="2"/>
  <c r="F2761" i="2"/>
  <c r="F2757" i="2"/>
  <c r="F2753" i="2"/>
  <c r="F2749" i="2"/>
  <c r="F2745" i="2"/>
  <c r="F2741" i="2"/>
  <c r="F2737" i="2"/>
  <c r="F2733" i="2"/>
  <c r="F2729" i="2"/>
  <c r="F2717" i="2"/>
  <c r="F2713" i="2"/>
  <c r="F2709" i="2"/>
  <c r="F2693" i="2"/>
  <c r="F2689" i="2"/>
  <c r="F2685" i="2"/>
  <c r="F2673" i="2"/>
  <c r="F2669" i="2"/>
  <c r="F2665" i="2"/>
  <c r="F2661" i="2"/>
  <c r="F2657" i="2"/>
  <c r="F2653" i="2"/>
  <c r="F2649" i="2"/>
  <c r="F2637" i="2"/>
  <c r="F2629" i="2"/>
  <c r="F2625" i="2"/>
  <c r="F2621" i="2"/>
  <c r="F2617" i="2"/>
  <c r="F2613" i="2"/>
  <c r="F2601" i="2"/>
  <c r="F2597" i="2"/>
  <c r="F2593" i="2"/>
  <c r="F2585" i="2"/>
  <c r="F2581" i="2"/>
  <c r="F2573" i="2"/>
  <c r="F2569" i="2"/>
  <c r="F2557" i="2"/>
  <c r="F2553" i="2"/>
  <c r="F2549" i="2"/>
  <c r="F2545" i="2"/>
  <c r="F2541" i="2"/>
  <c r="F2537" i="2"/>
  <c r="F2533" i="2"/>
  <c r="F2525" i="2"/>
  <c r="F2517" i="2"/>
  <c r="F2513" i="2"/>
  <c r="F2509" i="2"/>
  <c r="F2505" i="2"/>
  <c r="F2501" i="2"/>
  <c r="F2497" i="2"/>
  <c r="F1536" i="2"/>
  <c r="F2787" i="2"/>
  <c r="F2783" i="2"/>
  <c r="F2779" i="2"/>
  <c r="F2771" i="2"/>
  <c r="F2731" i="2"/>
  <c r="F2723" i="2"/>
  <c r="F2719" i="2"/>
  <c r="F2707" i="2"/>
  <c r="F2699" i="2"/>
  <c r="F2687" i="2"/>
  <c r="F2675" i="2"/>
  <c r="F2655" i="2"/>
  <c r="F2651" i="2"/>
  <c r="F2599" i="2"/>
  <c r="F2595" i="2"/>
  <c r="F2587" i="2"/>
  <c r="F2583" i="2"/>
  <c r="F2531" i="2"/>
  <c r="F481" i="2"/>
  <c r="F2431" i="2"/>
  <c r="F2423" i="2"/>
  <c r="F2419" i="2"/>
  <c r="F2389" i="2"/>
  <c r="F2381" i="2"/>
  <c r="F2296" i="2"/>
  <c r="F2292" i="2"/>
  <c r="F2288" i="2"/>
  <c r="F2284" i="2"/>
  <c r="F2280" i="2"/>
  <c r="F2276" i="2"/>
  <c r="F2272" i="2"/>
  <c r="F2268" i="2"/>
  <c r="F2264" i="2"/>
  <c r="F2260" i="2"/>
  <c r="F2256" i="2"/>
  <c r="F2244" i="2"/>
  <c r="F2240" i="2"/>
  <c r="F2236" i="2"/>
  <c r="F2232" i="2"/>
  <c r="F2228" i="2"/>
  <c r="F2224" i="2"/>
  <c r="F2220" i="2"/>
  <c r="F2216" i="2"/>
  <c r="F2212" i="2"/>
  <c r="F2208" i="2"/>
  <c r="F1545" i="2"/>
  <c r="F967" i="2"/>
  <c r="F483" i="2"/>
  <c r="F482" i="2"/>
  <c r="F1721" i="2"/>
  <c r="F484" i="2"/>
  <c r="F2435" i="2"/>
  <c r="F1879" i="2"/>
  <c r="F1871" i="2"/>
  <c r="F1864" i="2"/>
  <c r="F1856" i="2"/>
  <c r="F1851" i="2"/>
  <c r="F1849" i="2"/>
  <c r="F1845" i="2"/>
  <c r="F1660" i="2"/>
  <c r="F1582" i="2"/>
  <c r="F1575" i="2"/>
  <c r="F1556" i="2"/>
  <c r="F1552" i="2"/>
  <c r="F1495" i="2"/>
  <c r="F1491" i="2"/>
  <c r="F1483" i="2"/>
  <c r="F1479" i="2"/>
  <c r="F1475" i="2"/>
  <c r="F1099" i="2"/>
  <c r="F1080" i="2"/>
  <c r="F1047" i="2"/>
  <c r="F1042" i="2"/>
  <c r="F955" i="2"/>
  <c r="F943" i="2"/>
  <c r="F929" i="2"/>
  <c r="F924" i="2"/>
  <c r="F671" i="2"/>
  <c r="F584" i="2"/>
  <c r="F580" i="2"/>
  <c r="F574" i="2"/>
  <c r="F570" i="2"/>
  <c r="F485" i="2"/>
  <c r="F2738" i="2"/>
  <c r="F2730" i="2"/>
  <c r="F2666" i="2"/>
  <c r="F2614" i="2"/>
  <c r="F2610" i="2"/>
  <c r="F1444" i="2"/>
  <c r="F1173" i="2"/>
  <c r="F1061" i="2"/>
  <c r="F1074" i="2"/>
  <c r="F876" i="2"/>
  <c r="F887" i="2"/>
  <c r="F882" i="2"/>
  <c r="F855" i="2"/>
  <c r="F846" i="2"/>
  <c r="F837" i="2"/>
  <c r="F829" i="2"/>
  <c r="F825" i="2"/>
  <c r="F811" i="2"/>
  <c r="F794" i="2"/>
  <c r="F744" i="2"/>
  <c r="F735" i="2"/>
  <c r="F781" i="2"/>
  <c r="F693" i="2"/>
  <c r="F649" i="2"/>
  <c r="F594" i="2"/>
  <c r="F591" i="2"/>
  <c r="F487" i="2"/>
  <c r="F486" i="2"/>
  <c r="F488" i="2"/>
  <c r="F1833" i="2"/>
  <c r="F1829" i="2"/>
  <c r="F1823" i="2"/>
  <c r="F1821" i="2"/>
  <c r="F1814" i="2"/>
  <c r="F1797" i="2"/>
  <c r="F1781" i="2"/>
  <c r="F1757" i="2"/>
  <c r="F1756" i="2"/>
  <c r="F1740" i="2"/>
  <c r="F1735" i="2"/>
  <c r="F1732" i="2"/>
  <c r="F1729" i="2"/>
  <c r="F1713" i="2"/>
  <c r="F1709" i="2"/>
  <c r="F1725" i="2"/>
  <c r="F1700" i="2"/>
  <c r="F1694" i="2"/>
  <c r="F1691" i="2"/>
  <c r="F1687" i="2"/>
  <c r="F1442" i="2"/>
  <c r="F1118" i="2"/>
  <c r="F1106" i="2"/>
  <c r="F2566" i="2"/>
  <c r="F2794" i="2"/>
  <c r="F2782" i="2"/>
  <c r="F2766" i="2"/>
  <c r="F2742" i="2"/>
  <c r="F2714" i="2"/>
  <c r="F2710" i="2"/>
  <c r="F2694" i="2"/>
  <c r="F2646" i="2"/>
  <c r="F2642" i="2"/>
  <c r="F2630" i="2"/>
  <c r="F2582" i="2"/>
  <c r="F2578" i="2"/>
  <c r="F2562" i="2"/>
  <c r="F2530" i="2"/>
  <c r="F2526" i="2"/>
  <c r="F1287" i="2"/>
  <c r="F489" i="2"/>
  <c r="F2764" i="2"/>
  <c r="F2692" i="2"/>
  <c r="F2620" i="2"/>
  <c r="F2444" i="2"/>
  <c r="F2337" i="2"/>
  <c r="F2301" i="2"/>
  <c r="F2204" i="2"/>
  <c r="F2200" i="2"/>
  <c r="F2196" i="2"/>
  <c r="F2192" i="2"/>
  <c r="F2188" i="2"/>
  <c r="F2184" i="2"/>
  <c r="F2176" i="2"/>
  <c r="F2172" i="2"/>
  <c r="F2164" i="2"/>
  <c r="F2160" i="2"/>
  <c r="F2156" i="2"/>
  <c r="F2152" i="2"/>
  <c r="F2148" i="2"/>
  <c r="F2144" i="2"/>
  <c r="F2140" i="2"/>
  <c r="F2136" i="2"/>
  <c r="F2132" i="2"/>
  <c r="F2128" i="2"/>
  <c r="F2124" i="2"/>
  <c r="F2120" i="2"/>
  <c r="F2116" i="2"/>
  <c r="F2112" i="2"/>
  <c r="F2108" i="2"/>
  <c r="F2104" i="2"/>
  <c r="F2100" i="2"/>
  <c r="F2096" i="2"/>
  <c r="F2092" i="2"/>
  <c r="F2088" i="2"/>
  <c r="F2040" i="2"/>
  <c r="F2036" i="2"/>
  <c r="F2008" i="2"/>
  <c r="F2000" i="2"/>
  <c r="F1992" i="2"/>
  <c r="F1980" i="2"/>
  <c r="F1944" i="2"/>
  <c r="F1932" i="2"/>
  <c r="F1924" i="2"/>
  <c r="F1905" i="2"/>
  <c r="F1853" i="2"/>
  <c r="F1434" i="2"/>
  <c r="F1400" i="2"/>
  <c r="F1392" i="2"/>
  <c r="F1383" i="2"/>
  <c r="F1379" i="2"/>
  <c r="F1351" i="2"/>
  <c r="F1336" i="2"/>
  <c r="F1316" i="2"/>
  <c r="F1269" i="2"/>
  <c r="F1216" i="2"/>
  <c r="F1203" i="2"/>
  <c r="F1196" i="2"/>
  <c r="F1136" i="2"/>
  <c r="F490" i="2"/>
  <c r="F2510" i="2"/>
  <c r="F2490" i="2"/>
  <c r="F2478" i="2"/>
  <c r="F2458" i="2"/>
  <c r="F2442" i="2"/>
  <c r="F2351" i="2"/>
  <c r="F2315" i="2"/>
  <c r="F491" i="2"/>
  <c r="F2084" i="2"/>
  <c r="F2080" i="2"/>
  <c r="F2076" i="2"/>
  <c r="F2072" i="2"/>
  <c r="F2068" i="2"/>
  <c r="F2056" i="2"/>
  <c r="F2048" i="2"/>
  <c r="F2044" i="2"/>
  <c r="F2032" i="2"/>
  <c r="F2028" i="2"/>
  <c r="F2024" i="2"/>
  <c r="F2020" i="2"/>
  <c r="F2016" i="2"/>
  <c r="F2012" i="2"/>
  <c r="F2004" i="2"/>
  <c r="F1996" i="2"/>
  <c r="F1988" i="2"/>
  <c r="F1984" i="2"/>
  <c r="F1968" i="2"/>
  <c r="F1964" i="2"/>
  <c r="F1960" i="2"/>
  <c r="F1956" i="2"/>
  <c r="F1952" i="2"/>
  <c r="F1948" i="2"/>
  <c r="F1940" i="2"/>
  <c r="F1936" i="2"/>
  <c r="F1928" i="2"/>
  <c r="F1919" i="2"/>
  <c r="F1915" i="2"/>
  <c r="F1684" i="2"/>
  <c r="F1583" i="2"/>
  <c r="F1543" i="2"/>
  <c r="F2421" i="2"/>
  <c r="F2387" i="2"/>
  <c r="F2278" i="2"/>
  <c r="F2266" i="2"/>
  <c r="F2230" i="2"/>
  <c r="F2222" i="2"/>
  <c r="F2194" i="2"/>
  <c r="F2162" i="2"/>
  <c r="F2158" i="2"/>
  <c r="F2134" i="2"/>
  <c r="F2094" i="2"/>
  <c r="F1958" i="2"/>
  <c r="F1942" i="2"/>
  <c r="F1901" i="2"/>
  <c r="F1843" i="2"/>
  <c r="F1558" i="2"/>
  <c r="F1318" i="2"/>
  <c r="F2778" i="2"/>
  <c r="F2762" i="2"/>
  <c r="F2758" i="2"/>
  <c r="F2726" i="2"/>
  <c r="F2706" i="2"/>
  <c r="F2674" i="2"/>
  <c r="F2650" i="2"/>
  <c r="F2618" i="2"/>
  <c r="F2602" i="2"/>
  <c r="F2570" i="2"/>
  <c r="F2558" i="2"/>
  <c r="F2542" i="2"/>
  <c r="F2522" i="2"/>
  <c r="F2086" i="2"/>
  <c r="F2046" i="2"/>
  <c r="F2034" i="2"/>
  <c r="F2006" i="2"/>
  <c r="F1860" i="2"/>
  <c r="F1776" i="2"/>
  <c r="F1653" i="2"/>
  <c r="F1528" i="2"/>
  <c r="F1627" i="2"/>
  <c r="F1620" i="2"/>
  <c r="F1616" i="2"/>
  <c r="F1609" i="2"/>
  <c r="F1601" i="2"/>
  <c r="F1597" i="2"/>
  <c r="F1067" i="2"/>
  <c r="F1015" i="2"/>
  <c r="F661" i="2"/>
  <c r="F658" i="2"/>
  <c r="F641" i="2"/>
  <c r="F639" i="2"/>
  <c r="F609" i="2"/>
  <c r="F604" i="2"/>
  <c r="F563" i="2"/>
  <c r="F558" i="2"/>
  <c r="F559" i="2"/>
  <c r="F492" i="2"/>
  <c r="F1522" i="2"/>
  <c r="F1518" i="2"/>
  <c r="F1512" i="2"/>
  <c r="F1499" i="2"/>
  <c r="F1487" i="2"/>
  <c r="F1471" i="2"/>
  <c r="F1467" i="2"/>
  <c r="F1459" i="2"/>
  <c r="F1456" i="2"/>
  <c r="F1453" i="2"/>
  <c r="F1418" i="2"/>
  <c r="F1414" i="2"/>
  <c r="F1409" i="2"/>
  <c r="F1284" i="2"/>
  <c r="F1279" i="2"/>
  <c r="F1245" i="2"/>
  <c r="F1241" i="2"/>
  <c r="F1229" i="2"/>
  <c r="F1036" i="2"/>
  <c r="F1032" i="2"/>
  <c r="F1002" i="2"/>
  <c r="F992" i="2"/>
  <c r="F989" i="2"/>
  <c r="F803" i="2"/>
  <c r="F797" i="2"/>
  <c r="F760" i="2"/>
  <c r="F718" i="2"/>
  <c r="F710" i="2"/>
  <c r="F599" i="2"/>
  <c r="F598" i="2"/>
  <c r="F565" i="2"/>
  <c r="F493" i="2"/>
  <c r="F2784" i="2"/>
  <c r="F2680" i="2"/>
  <c r="F2664" i="2"/>
  <c r="F2660" i="2"/>
  <c r="F2580" i="2"/>
  <c r="F2576" i="2"/>
  <c r="F2556" i="2"/>
  <c r="F2540" i="2"/>
  <c r="F2504" i="2"/>
  <c r="F2496" i="2"/>
  <c r="F2484" i="2"/>
  <c r="F2472" i="2"/>
  <c r="F2456" i="2"/>
  <c r="F2373" i="2"/>
  <c r="F2365" i="2"/>
  <c r="F2357" i="2"/>
  <c r="F2353" i="2"/>
  <c r="F2345" i="2"/>
  <c r="F2341" i="2"/>
  <c r="F2333" i="2"/>
  <c r="F2329" i="2"/>
  <c r="F2325" i="2"/>
  <c r="F2317" i="2"/>
  <c r="F2313" i="2"/>
  <c r="F2309" i="2"/>
  <c r="F2305" i="2"/>
  <c r="F1902" i="2"/>
  <c r="F1899" i="2"/>
  <c r="F1897" i="2"/>
  <c r="F1895" i="2"/>
  <c r="F1888" i="2"/>
  <c r="F1887" i="2"/>
  <c r="F1882" i="2"/>
  <c r="F1880" i="2"/>
  <c r="F1865" i="2"/>
  <c r="F1855" i="2"/>
  <c r="F1810" i="2"/>
  <c r="F1819" i="2"/>
  <c r="F1795" i="2"/>
  <c r="F1778" i="2"/>
  <c r="F1773" i="2"/>
  <c r="F1763" i="2"/>
  <c r="F1746" i="2"/>
  <c r="F1736" i="2"/>
  <c r="F1705" i="2"/>
  <c r="F1667" i="2"/>
  <c r="F1650" i="2"/>
  <c r="F1641" i="2"/>
  <c r="F1623" i="2"/>
  <c r="F1595" i="2"/>
  <c r="F1587" i="2"/>
  <c r="F1562" i="2"/>
  <c r="F1551" i="2"/>
  <c r="F1388" i="2"/>
  <c r="F1332" i="2"/>
  <c r="F1328" i="2"/>
  <c r="F1324" i="2"/>
  <c r="F1300" i="2"/>
  <c r="F1292" i="2"/>
  <c r="F1214" i="2"/>
  <c r="F1200" i="2"/>
  <c r="F1193" i="2"/>
  <c r="F1170" i="2"/>
  <c r="F1143" i="2"/>
  <c r="F1114" i="2"/>
  <c r="F1095" i="2"/>
  <c r="F962" i="2"/>
  <c r="F959" i="2"/>
  <c r="F919" i="2"/>
  <c r="F868" i="2"/>
  <c r="F859" i="2"/>
  <c r="F857" i="2"/>
  <c r="F850" i="2"/>
  <c r="F833" i="2"/>
  <c r="F821" i="2"/>
  <c r="F817" i="2"/>
  <c r="F869" i="2"/>
  <c r="F756" i="2"/>
  <c r="F752" i="2"/>
  <c r="F748" i="2"/>
  <c r="F716" i="2"/>
  <c r="F712" i="2"/>
  <c r="F697" i="2"/>
  <c r="F652" i="2"/>
  <c r="F657" i="2"/>
  <c r="F540" i="2"/>
  <c r="F494" i="2"/>
  <c r="F790" i="2"/>
  <c r="F2790" i="2"/>
  <c r="F2786" i="2"/>
  <c r="F2770" i="2"/>
  <c r="F2754" i="2"/>
  <c r="F2750" i="2"/>
  <c r="F2734" i="2"/>
  <c r="F2722" i="2"/>
  <c r="F2718" i="2"/>
  <c r="F2702" i="2"/>
  <c r="F2690" i="2"/>
  <c r="F2686" i="2"/>
  <c r="F2670" i="2"/>
  <c r="F2658" i="2"/>
  <c r="F2654" i="2"/>
  <c r="F2638" i="2"/>
  <c r="F2626" i="2"/>
  <c r="F2622" i="2"/>
  <c r="F2606" i="2"/>
  <c r="F2594" i="2"/>
  <c r="F2590" i="2"/>
  <c r="F2574" i="2"/>
  <c r="F495" i="2"/>
  <c r="F500" i="2"/>
  <c r="F496" i="2"/>
  <c r="F2612" i="2"/>
  <c r="F2552" i="2"/>
  <c r="F2508" i="2"/>
  <c r="F2488" i="2"/>
  <c r="F2452" i="2"/>
  <c r="F2411" i="2"/>
  <c r="F2407" i="2"/>
  <c r="F2760" i="2"/>
  <c r="F2740" i="2"/>
  <c r="F2716" i="2"/>
  <c r="F2439" i="2"/>
  <c r="F2401" i="2"/>
  <c r="F2397" i="2"/>
  <c r="F2393" i="2"/>
  <c r="F499" i="2"/>
  <c r="F497" i="2"/>
  <c r="F498" i="2"/>
  <c r="F1877" i="2"/>
  <c r="F1866" i="2"/>
  <c r="F1779" i="2"/>
  <c r="F1766" i="2"/>
  <c r="CS11" i="1"/>
  <c r="CS69" i="1" s="1"/>
  <c r="CQ76" i="1"/>
  <c r="CP69" i="1"/>
  <c r="CO69" i="1"/>
  <c r="H12" i="1"/>
  <c r="H13" i="1" s="1"/>
  <c r="P13" i="1" s="1"/>
  <c r="CZ16" i="1"/>
  <c r="DA16" i="1" s="1"/>
  <c r="DB16" i="1" s="1"/>
  <c r="F501" i="2"/>
  <c r="F502" i="2"/>
  <c r="F2293" i="2"/>
  <c r="F2289" i="2"/>
  <c r="F2281" i="2"/>
  <c r="F2277" i="2"/>
  <c r="F2261" i="2"/>
  <c r="F2257" i="2"/>
  <c r="F2249" i="2"/>
  <c r="F2245" i="2"/>
  <c r="F2241" i="2"/>
  <c r="F2221" i="2"/>
  <c r="F2217" i="2"/>
  <c r="F2209" i="2"/>
  <c r="F2205" i="2"/>
  <c r="F2197" i="2"/>
  <c r="F2181" i="2"/>
  <c r="F2177" i="2"/>
  <c r="F2169" i="2"/>
  <c r="F2165" i="2"/>
  <c r="F2149" i="2"/>
  <c r="F2145" i="2"/>
  <c r="F2137" i="2"/>
  <c r="F2129" i="2"/>
  <c r="F2109" i="2"/>
  <c r="F2105" i="2"/>
  <c r="F2097" i="2"/>
  <c r="F2093" i="2"/>
  <c r="F2077" i="2"/>
  <c r="F2073" i="2"/>
  <c r="F2065" i="2"/>
  <c r="F2061" i="2"/>
  <c r="F2041" i="2"/>
  <c r="F2033" i="2"/>
  <c r="F2025" i="2"/>
  <c r="F2021" i="2"/>
  <c r="F2013" i="2"/>
  <c r="F2005" i="2"/>
  <c r="F2001" i="2"/>
  <c r="F1981" i="2"/>
  <c r="F1973" i="2"/>
  <c r="F1965" i="2"/>
  <c r="F1961" i="2"/>
  <c r="F1945" i="2"/>
  <c r="F1941" i="2"/>
  <c r="F1872" i="2"/>
  <c r="F1876" i="2"/>
  <c r="F1857" i="2"/>
  <c r="F1850" i="2"/>
  <c r="F1842" i="2"/>
  <c r="F1825" i="2"/>
  <c r="F1824" i="2"/>
  <c r="F1807" i="2"/>
  <c r="F2748" i="2"/>
  <c r="F2744" i="2"/>
  <c r="F2736" i="2"/>
  <c r="F2732" i="2"/>
  <c r="F2728" i="2"/>
  <c r="F2724" i="2"/>
  <c r="F2720" i="2"/>
  <c r="F2712" i="2"/>
  <c r="F2708" i="2"/>
  <c r="F2704" i="2"/>
  <c r="F2700" i="2"/>
  <c r="F2696" i="2"/>
  <c r="F2688" i="2"/>
  <c r="F2684" i="2"/>
  <c r="F2676" i="2"/>
  <c r="F2672" i="2"/>
  <c r="F2668" i="2"/>
  <c r="F2656" i="2"/>
  <c r="F2652" i="2"/>
  <c r="F2648" i="2"/>
  <c r="F2644" i="2"/>
  <c r="F2640" i="2"/>
  <c r="F2636" i="2"/>
  <c r="F2632" i="2"/>
  <c r="F2628" i="2"/>
  <c r="F2624" i="2"/>
  <c r="F2616" i="2"/>
  <c r="F2608" i="2"/>
  <c r="F2604" i="2"/>
  <c r="F2600" i="2"/>
  <c r="F2596" i="2"/>
  <c r="F2592" i="2"/>
  <c r="F2588" i="2"/>
  <c r="F2584" i="2"/>
  <c r="F2572" i="2"/>
  <c r="F2568" i="2"/>
  <c r="F2564" i="2"/>
  <c r="F2560" i="2"/>
  <c r="F2548" i="2"/>
  <c r="F2544" i="2"/>
  <c r="F2536" i="2"/>
  <c r="F2532" i="2"/>
  <c r="F2528" i="2"/>
  <c r="F2524" i="2"/>
  <c r="F2520" i="2"/>
  <c r="F2516" i="2"/>
  <c r="F2512" i="2"/>
  <c r="F2476" i="2"/>
  <c r="F2468" i="2"/>
  <c r="F2464" i="2"/>
  <c r="F2460" i="2"/>
  <c r="F2448" i="2"/>
  <c r="F2349" i="2"/>
  <c r="F520" i="2"/>
  <c r="F514" i="2"/>
  <c r="F513" i="2"/>
  <c r="F511" i="2"/>
  <c r="F503" i="2"/>
  <c r="F1654" i="2"/>
  <c r="F1611" i="2"/>
  <c r="F522" i="2"/>
  <c r="F2589" i="2"/>
  <c r="F2441" i="2"/>
  <c r="F2374" i="2"/>
  <c r="F2370" i="2"/>
  <c r="F2366" i="2"/>
  <c r="F2358" i="2"/>
  <c r="F2350" i="2"/>
  <c r="F2346" i="2"/>
  <c r="F2314" i="2"/>
  <c r="F2310" i="2"/>
  <c r="F1767" i="2"/>
  <c r="F1762" i="2"/>
  <c r="F2792" i="2"/>
  <c r="F2788" i="2"/>
  <c r="F2780" i="2"/>
  <c r="F2776" i="2"/>
  <c r="F2772" i="2"/>
  <c r="F2768" i="2"/>
  <c r="F2756" i="2"/>
  <c r="F2752" i="2"/>
  <c r="F1205" i="2"/>
  <c r="F519" i="2"/>
  <c r="F1393" i="2"/>
  <c r="F1933" i="2"/>
  <c r="F1920" i="2"/>
  <c r="F1906" i="2"/>
  <c r="F523" i="2"/>
  <c r="F521" i="2"/>
  <c r="F517" i="2"/>
  <c r="F512" i="2"/>
  <c r="F509" i="2"/>
  <c r="F508" i="2"/>
  <c r="F2500" i="2"/>
  <c r="F2492" i="2"/>
  <c r="F2480" i="2"/>
  <c r="F2697" i="2"/>
  <c r="F1929" i="2"/>
  <c r="F1903" i="2"/>
  <c r="F1900" i="2"/>
  <c r="F1892" i="2"/>
  <c r="F1889" i="2"/>
  <c r="F510" i="2"/>
  <c r="F506" i="2"/>
  <c r="F2436" i="2"/>
  <c r="F2424" i="2"/>
  <c r="F2420" i="2"/>
  <c r="F2398" i="2"/>
  <c r="F2394" i="2"/>
  <c r="F2386" i="2"/>
  <c r="F2382" i="2"/>
  <c r="F525" i="2"/>
  <c r="F1223" i="2"/>
  <c r="F966" i="2"/>
  <c r="F953" i="2"/>
  <c r="F816" i="2"/>
  <c r="F583" i="2"/>
  <c r="F515" i="2"/>
  <c r="F507" i="2"/>
  <c r="F524" i="2"/>
  <c r="F518" i="2"/>
  <c r="F516" i="2"/>
  <c r="F504" i="2"/>
  <c r="F2237" i="2"/>
  <c r="F2121" i="2"/>
  <c r="F1985" i="2"/>
  <c r="F1030" i="2"/>
  <c r="F526" i="2"/>
  <c r="F529" i="2"/>
  <c r="F505" i="2"/>
  <c r="F1130" i="2"/>
  <c r="F1126" i="2"/>
  <c r="F1103" i="2"/>
  <c r="F1337" i="2"/>
  <c r="F1263" i="2"/>
  <c r="F530" i="2"/>
  <c r="H53" i="11"/>
  <c r="H55" i="11"/>
  <c r="H15" i="11"/>
  <c r="BY15" i="11"/>
  <c r="H7" i="11"/>
  <c r="BT36" i="11"/>
  <c r="BV9" i="11"/>
  <c r="P83" i="5" l="1"/>
  <c r="H72" i="11"/>
  <c r="G72" i="11"/>
  <c r="BN80" i="11"/>
  <c r="BN81" i="11"/>
  <c r="F75" i="11"/>
  <c r="F94" i="11" s="1"/>
  <c r="F108" i="11"/>
  <c r="F20" i="11"/>
  <c r="D30" i="11"/>
  <c r="G17" i="11"/>
  <c r="O89" i="11" s="1"/>
  <c r="BD41" i="11"/>
  <c r="BE9" i="11"/>
  <c r="O96" i="11"/>
  <c r="G96" i="11"/>
  <c r="J96" i="11" s="1"/>
  <c r="BS55" i="11"/>
  <c r="BS52" i="11"/>
  <c r="BR62" i="11"/>
  <c r="BR81" i="11"/>
  <c r="BP75" i="11"/>
  <c r="CM23" i="1"/>
  <c r="BS53" i="11"/>
  <c r="BS56" i="11"/>
  <c r="BL80" i="11"/>
  <c r="BL81" i="11"/>
  <c r="F64" i="11"/>
  <c r="CC73" i="11"/>
  <c r="CT73" i="11"/>
  <c r="BD20" i="11"/>
  <c r="G20" i="11" s="1"/>
  <c r="BE14" i="11"/>
  <c r="G111" i="11" s="1"/>
  <c r="BE13" i="11"/>
  <c r="G110" i="11" s="1"/>
  <c r="BY22" i="1"/>
  <c r="BA34" i="11"/>
  <c r="BB34" i="11" s="1"/>
  <c r="BE15" i="11"/>
  <c r="BD16" i="11"/>
  <c r="BE7" i="11"/>
  <c r="BE12" i="11"/>
  <c r="G109" i="11" s="1"/>
  <c r="BE8" i="11"/>
  <c r="G105" i="11" s="1"/>
  <c r="BE10" i="11"/>
  <c r="G107" i="11" s="1"/>
  <c r="BE11" i="11"/>
  <c r="G108" i="11" s="1"/>
  <c r="BP80" i="11"/>
  <c r="BP81" i="11"/>
  <c r="BS59" i="11"/>
  <c r="BO75" i="11"/>
  <c r="BS57" i="11"/>
  <c r="E16" i="11"/>
  <c r="E106" i="11"/>
  <c r="E34" i="11"/>
  <c r="E89" i="11" s="1"/>
  <c r="BH80" i="11"/>
  <c r="BH81" i="11"/>
  <c r="M96" i="11"/>
  <c r="M97" i="11" s="1"/>
  <c r="E96" i="11"/>
  <c r="AZ62" i="11"/>
  <c r="G62" i="11" s="1"/>
  <c r="BA53" i="11"/>
  <c r="BA56" i="11"/>
  <c r="B56" i="11" s="1"/>
  <c r="BA52" i="11"/>
  <c r="B52" i="11" s="1"/>
  <c r="AZ64" i="11"/>
  <c r="G64" i="11" s="1"/>
  <c r="BA57" i="11"/>
  <c r="B57" i="11" s="1"/>
  <c r="AX75" i="11"/>
  <c r="BA54" i="11"/>
  <c r="B54" i="11" s="1"/>
  <c r="BA55" i="11"/>
  <c r="AW75" i="11"/>
  <c r="G75" i="11" s="1"/>
  <c r="G94" i="11" s="1"/>
  <c r="BA51" i="11"/>
  <c r="B51" i="11" s="1"/>
  <c r="G60" i="11"/>
  <c r="O94" i="11" s="1"/>
  <c r="BT23" i="1"/>
  <c r="G23" i="1" s="1"/>
  <c r="O23" i="1" s="1"/>
  <c r="L36" i="11"/>
  <c r="N40" i="11"/>
  <c r="D9" i="11"/>
  <c r="E41" i="11"/>
  <c r="B55" i="11"/>
  <c r="E81" i="11"/>
  <c r="E111" i="11"/>
  <c r="E109" i="11"/>
  <c r="E107" i="11"/>
  <c r="D36" i="11"/>
  <c r="D90" i="11" s="1"/>
  <c r="D40" i="11"/>
  <c r="D92" i="11" s="1"/>
  <c r="F30" i="11"/>
  <c r="M53" i="11"/>
  <c r="D110" i="11"/>
  <c r="E75" i="11"/>
  <c r="E94" i="11" s="1"/>
  <c r="D109" i="11"/>
  <c r="D112" i="11"/>
  <c r="D41" i="11"/>
  <c r="BR28" i="11"/>
  <c r="BR41" i="11" s="1"/>
  <c r="CC31" i="11"/>
  <c r="BL28" i="11"/>
  <c r="BI31" i="11"/>
  <c r="E80" i="11"/>
  <c r="E97" i="11" s="1"/>
  <c r="BH40" i="11"/>
  <c r="BH30" i="11"/>
  <c r="AV81" i="11"/>
  <c r="AV80" i="11"/>
  <c r="AR80" i="11"/>
  <c r="AR81" i="11"/>
  <c r="BD81" i="11"/>
  <c r="BD80" i="11"/>
  <c r="AX34" i="11"/>
  <c r="AZ81" i="11"/>
  <c r="BA59" i="11"/>
  <c r="B59" i="11" s="1"/>
  <c r="H113" i="11"/>
  <c r="F111" i="11"/>
  <c r="F112" i="11"/>
  <c r="D104" i="11"/>
  <c r="E30" i="11"/>
  <c r="E108" i="11"/>
  <c r="G112" i="11"/>
  <c r="B53" i="11"/>
  <c r="E104" i="11"/>
  <c r="E112" i="11"/>
  <c r="G104" i="11"/>
  <c r="F110" i="11"/>
  <c r="D111" i="11"/>
  <c r="H36" i="11"/>
  <c r="H90" i="11" s="1"/>
  <c r="J90" i="11" s="1"/>
  <c r="F106" i="11"/>
  <c r="F109" i="11"/>
  <c r="F107" i="11"/>
  <c r="B16" i="11"/>
  <c r="F105" i="11"/>
  <c r="BL34" i="11"/>
  <c r="E58" i="11"/>
  <c r="P66" i="5"/>
  <c r="T66" i="5" s="1"/>
  <c r="P142" i="5"/>
  <c r="P153" i="5"/>
  <c r="P110" i="5"/>
  <c r="P77" i="5"/>
  <c r="T77" i="5" s="1"/>
  <c r="U17" i="9"/>
  <c r="U18" i="9" s="1"/>
  <c r="U24" i="9"/>
  <c r="O24" i="9"/>
  <c r="P41" i="5"/>
  <c r="T41" i="5" s="1"/>
  <c r="P102" i="5"/>
  <c r="P151" i="5"/>
  <c r="T24" i="9"/>
  <c r="P59" i="5"/>
  <c r="T59" i="5" s="1"/>
  <c r="H9" i="41"/>
  <c r="D19" i="41"/>
  <c r="C7" i="41"/>
  <c r="G9" i="41"/>
  <c r="E7" i="40"/>
  <c r="E23" i="40"/>
  <c r="E9" i="41"/>
  <c r="C23" i="40"/>
  <c r="C9" i="41"/>
  <c r="K53" i="1"/>
  <c r="B9" i="41"/>
  <c r="P108" i="5"/>
  <c r="D14" i="1"/>
  <c r="L11" i="1"/>
  <c r="C16" i="41" s="1"/>
  <c r="C19" i="41" s="1"/>
  <c r="D13" i="1"/>
  <c r="L13" i="1" s="1"/>
  <c r="CE18" i="1"/>
  <c r="CF18" i="1" s="1"/>
  <c r="CA74" i="1"/>
  <c r="P71" i="5"/>
  <c r="T71" i="5" s="1"/>
  <c r="P76" i="5"/>
  <c r="T76" i="5" s="1"/>
  <c r="N2" i="10"/>
  <c r="M58" i="1"/>
  <c r="P106" i="5"/>
  <c r="P68" i="5"/>
  <c r="T68" i="5" s="1"/>
  <c r="F10" i="5"/>
  <c r="F15" i="5" s="1"/>
  <c r="AZ18" i="1"/>
  <c r="AZ74" i="1" s="1"/>
  <c r="AY74" i="1"/>
  <c r="N53" i="1"/>
  <c r="N3" i="10"/>
  <c r="M24" i="1"/>
  <c r="G30" i="1"/>
  <c r="O30" i="1" s="1"/>
  <c r="M9" i="10"/>
  <c r="D30" i="1"/>
  <c r="L30" i="1" s="1"/>
  <c r="AI69" i="1"/>
  <c r="D10" i="5"/>
  <c r="D15" i="5" s="1"/>
  <c r="K60" i="1"/>
  <c r="C30" i="1"/>
  <c r="K30" i="1" s="1"/>
  <c r="BF18" i="1"/>
  <c r="BE74" i="1"/>
  <c r="B23" i="40"/>
  <c r="H30" i="1"/>
  <c r="N10" i="5"/>
  <c r="O10" i="5" s="1"/>
  <c r="L2" i="10"/>
  <c r="K58" i="1"/>
  <c r="L24" i="1"/>
  <c r="M3" i="10"/>
  <c r="P55" i="5"/>
  <c r="T55" i="5" s="1"/>
  <c r="P97" i="5"/>
  <c r="P38" i="5"/>
  <c r="T38" i="5" s="1"/>
  <c r="P137" i="5"/>
  <c r="T25" i="5"/>
  <c r="T27" i="5"/>
  <c r="CA53" i="1"/>
  <c r="CB48" i="1"/>
  <c r="F4" i="40"/>
  <c r="F7" i="40" s="1"/>
  <c r="F9" i="41" s="1"/>
  <c r="P51" i="5"/>
  <c r="T51" i="5" s="1"/>
  <c r="E16" i="5"/>
  <c r="P135" i="5"/>
  <c r="D23" i="40"/>
  <c r="BM16" i="1"/>
  <c r="P62" i="5"/>
  <c r="T62" i="5" s="1"/>
  <c r="P50" i="5"/>
  <c r="P131" i="5"/>
  <c r="P122" i="5"/>
  <c r="P89" i="5"/>
  <c r="P3" i="10"/>
  <c r="O24" i="1"/>
  <c r="L10" i="5"/>
  <c r="M10" i="5" s="1"/>
  <c r="E18" i="1"/>
  <c r="M18" i="1" s="1"/>
  <c r="P74" i="5"/>
  <c r="T74" i="5" s="1"/>
  <c r="P40" i="5"/>
  <c r="T40" i="5" s="1"/>
  <c r="Q12" i="5"/>
  <c r="P90" i="5"/>
  <c r="P42" i="5"/>
  <c r="T42" i="5" s="1"/>
  <c r="P69" i="5"/>
  <c r="T69" i="5" s="1"/>
  <c r="P103" i="5"/>
  <c r="P95" i="5"/>
  <c r="Q24" i="9"/>
  <c r="Q25" i="9" s="1"/>
  <c r="B44" i="42"/>
  <c r="B45" i="42" s="1"/>
  <c r="B46" i="42" s="1"/>
  <c r="B28" i="42"/>
  <c r="B29" i="42" s="1"/>
  <c r="B30" i="42" s="1"/>
  <c r="C44" i="42"/>
  <c r="C45" i="42" s="1"/>
  <c r="C46" i="42" s="1"/>
  <c r="C28" i="42"/>
  <c r="C29" i="42" s="1"/>
  <c r="C30" i="42" s="1"/>
  <c r="D44" i="42"/>
  <c r="D45" i="42" s="1"/>
  <c r="D46" i="42" s="1"/>
  <c r="D28" i="42"/>
  <c r="D29" i="42" s="1"/>
  <c r="D30" i="42" s="1"/>
  <c r="P152" i="5"/>
  <c r="P70" i="5"/>
  <c r="T70" i="5" s="1"/>
  <c r="P112" i="5"/>
  <c r="P127" i="5"/>
  <c r="P72" i="5"/>
  <c r="T72" i="5" s="1"/>
  <c r="P46" i="5"/>
  <c r="T46" i="5" s="1"/>
  <c r="P159" i="5"/>
  <c r="P82" i="5"/>
  <c r="T82" i="5" s="1"/>
  <c r="I31" i="9"/>
  <c r="L30" i="9"/>
  <c r="H30" i="29"/>
  <c r="M3" i="15"/>
  <c r="M8" i="15"/>
  <c r="J14" i="15"/>
  <c r="M9" i="15"/>
  <c r="M4" i="15"/>
  <c r="M12" i="15"/>
  <c r="K14" i="15"/>
  <c r="M7" i="15"/>
  <c r="M10" i="15"/>
  <c r="M5" i="15"/>
  <c r="L14" i="15"/>
  <c r="M11" i="15"/>
  <c r="M6" i="15"/>
  <c r="I30" i="29"/>
  <c r="J28" i="33"/>
  <c r="N9" i="29"/>
  <c r="N14" i="33"/>
  <c r="EX26" i="1"/>
  <c r="N26" i="29"/>
  <c r="N6" i="29"/>
  <c r="N21" i="33"/>
  <c r="N12" i="33"/>
  <c r="DZ26" i="1"/>
  <c r="N4" i="29"/>
  <c r="B30" i="29"/>
  <c r="N18" i="29"/>
  <c r="N16" i="29"/>
  <c r="N12" i="29"/>
  <c r="N29" i="29"/>
  <c r="DN26" i="1"/>
  <c r="N11" i="33"/>
  <c r="N16" i="33"/>
  <c r="FV26" i="1"/>
  <c r="N10" i="33"/>
  <c r="DB26" i="1"/>
  <c r="N18" i="33"/>
  <c r="GT26" i="1"/>
  <c r="T26" i="1"/>
  <c r="L28" i="33"/>
  <c r="CD26" i="1"/>
  <c r="N8" i="33"/>
  <c r="N27" i="29"/>
  <c r="N26" i="33"/>
  <c r="N14" i="29"/>
  <c r="N7" i="29"/>
  <c r="J30" i="29"/>
  <c r="K30" i="29"/>
  <c r="K28" i="33"/>
  <c r="S26" i="1"/>
  <c r="U26" i="1"/>
  <c r="M28" i="33"/>
  <c r="N25" i="33"/>
  <c r="N17" i="33"/>
  <c r="GH26" i="1"/>
  <c r="N28" i="29"/>
  <c r="EL26" i="1"/>
  <c r="N13" i="33"/>
  <c r="N5" i="29"/>
  <c r="G30" i="29"/>
  <c r="N6" i="33"/>
  <c r="BF26" i="1"/>
  <c r="H28" i="33"/>
  <c r="M30" i="29"/>
  <c r="N9" i="33"/>
  <c r="CP26" i="1"/>
  <c r="N27" i="33"/>
  <c r="F30" i="29"/>
  <c r="N22" i="33"/>
  <c r="C28" i="33"/>
  <c r="N13" i="29"/>
  <c r="N23" i="29"/>
  <c r="N22" i="29"/>
  <c r="N2" i="33"/>
  <c r="B28" i="33"/>
  <c r="D30" i="29"/>
  <c r="N19" i="29"/>
  <c r="C30" i="29"/>
  <c r="N10" i="29"/>
  <c r="N21" i="29"/>
  <c r="FJ26" i="1"/>
  <c r="N15" i="33"/>
  <c r="N24" i="33"/>
  <c r="N23" i="33"/>
  <c r="N3" i="33"/>
  <c r="V26" i="1"/>
  <c r="F28" i="33"/>
  <c r="N17" i="29"/>
  <c r="L30" i="29"/>
  <c r="N24" i="29"/>
  <c r="N20" i="33"/>
  <c r="N8" i="29"/>
  <c r="D28" i="33"/>
  <c r="N4" i="33"/>
  <c r="AH26" i="1"/>
  <c r="AH27" i="1" s="1"/>
  <c r="E28" i="33"/>
  <c r="G28" i="33"/>
  <c r="N15" i="29"/>
  <c r="N25" i="29"/>
  <c r="BR26" i="1"/>
  <c r="N7" i="33"/>
  <c r="N20" i="29"/>
  <c r="E30" i="29"/>
  <c r="I28" i="33"/>
  <c r="N5" i="33"/>
  <c r="AT26" i="1"/>
  <c r="N19" i="33"/>
  <c r="N11" i="29"/>
  <c r="T56" i="1"/>
  <c r="T62" i="1" s="1"/>
  <c r="T64" i="1" s="1"/>
  <c r="T31" i="1" s="1"/>
  <c r="K29" i="35"/>
  <c r="N10" i="35"/>
  <c r="CU56" i="1"/>
  <c r="I56" i="1" s="1"/>
  <c r="N26" i="35"/>
  <c r="N17" i="35"/>
  <c r="FW56" i="1"/>
  <c r="N18" i="35"/>
  <c r="GI56" i="1"/>
  <c r="D29" i="35"/>
  <c r="N12" i="35"/>
  <c r="DV56" i="1"/>
  <c r="N24" i="35"/>
  <c r="G29" i="35"/>
  <c r="N13" i="35"/>
  <c r="EB56" i="1"/>
  <c r="H29" i="35"/>
  <c r="N16" i="35"/>
  <c r="FK56" i="1"/>
  <c r="N21" i="35"/>
  <c r="N5" i="35"/>
  <c r="AI56" i="1"/>
  <c r="AI62" i="1" s="1"/>
  <c r="L29" i="35"/>
  <c r="U56" i="1"/>
  <c r="U62" i="1" s="1"/>
  <c r="U64" i="1" s="1"/>
  <c r="U31" i="1" s="1"/>
  <c r="S56" i="1"/>
  <c r="S62" i="1" s="1"/>
  <c r="S64" i="1" s="1"/>
  <c r="S31" i="1" s="1"/>
  <c r="J29" i="35"/>
  <c r="N22" i="35"/>
  <c r="N19" i="35"/>
  <c r="B29" i="35"/>
  <c r="N6" i="35"/>
  <c r="AU56" i="1"/>
  <c r="E56" i="1" s="1"/>
  <c r="C29" i="35"/>
  <c r="N15" i="35"/>
  <c r="EZ56" i="1"/>
  <c r="N14" i="35"/>
  <c r="EM56" i="1"/>
  <c r="E29" i="35"/>
  <c r="N23" i="35"/>
  <c r="N8" i="35"/>
  <c r="BU56" i="1"/>
  <c r="BU62" i="1" s="1"/>
  <c r="N25" i="35"/>
  <c r="N9" i="35"/>
  <c r="CE56" i="1"/>
  <c r="H56" i="1" s="1"/>
  <c r="N27" i="35"/>
  <c r="I29" i="35"/>
  <c r="F29" i="35"/>
  <c r="N20" i="35"/>
  <c r="N28" i="35"/>
  <c r="N3" i="35"/>
  <c r="M29" i="35"/>
  <c r="V56" i="1"/>
  <c r="N7" i="35"/>
  <c r="BH56" i="1"/>
  <c r="F56" i="1" s="1"/>
  <c r="N4" i="35"/>
  <c r="AA56" i="1"/>
  <c r="AA62" i="1" s="1"/>
  <c r="AA64" i="1" s="1"/>
  <c r="N11" i="35"/>
  <c r="P125" i="5"/>
  <c r="P49" i="5"/>
  <c r="T49" i="5" s="1"/>
  <c r="P136" i="5"/>
  <c r="P162" i="5"/>
  <c r="P54" i="5"/>
  <c r="T54" i="5" s="1"/>
  <c r="P81" i="5"/>
  <c r="T81" i="5" s="1"/>
  <c r="P147" i="5"/>
  <c r="P45" i="5"/>
  <c r="T45" i="5" s="1"/>
  <c r="P138" i="5"/>
  <c r="P132" i="5"/>
  <c r="P150" i="5"/>
  <c r="P115" i="5"/>
  <c r="P96" i="5"/>
  <c r="P84" i="5"/>
  <c r="P149" i="5"/>
  <c r="P130" i="5"/>
  <c r="P93" i="5"/>
  <c r="P98" i="5"/>
  <c r="CT53" i="1"/>
  <c r="CU48" i="1"/>
  <c r="H35" i="9"/>
  <c r="V14" i="9"/>
  <c r="V15" i="9" s="1"/>
  <c r="P141" i="5"/>
  <c r="S24" i="9"/>
  <c r="S22" i="9" s="1"/>
  <c r="P107" i="5"/>
  <c r="P129" i="5"/>
  <c r="P119" i="5"/>
  <c r="P99" i="5"/>
  <c r="P111" i="5"/>
  <c r="P157" i="5"/>
  <c r="P140" i="5"/>
  <c r="P87" i="5"/>
  <c r="P75" i="5"/>
  <c r="T75" i="5" s="1"/>
  <c r="P134" i="5"/>
  <c r="P100" i="5"/>
  <c r="P154" i="5"/>
  <c r="P65" i="5"/>
  <c r="T65" i="5" s="1"/>
  <c r="P43" i="5"/>
  <c r="T43" i="5" s="1"/>
  <c r="P143" i="5"/>
  <c r="P123" i="5"/>
  <c r="P52" i="5"/>
  <c r="T52" i="5" s="1"/>
  <c r="P113" i="5"/>
  <c r="P63" i="5"/>
  <c r="T63" i="5" s="1"/>
  <c r="P124" i="5"/>
  <c r="P67" i="5"/>
  <c r="T67" i="5" s="1"/>
  <c r="P156" i="5"/>
  <c r="P114" i="5"/>
  <c r="P116" i="5"/>
  <c r="P148" i="5"/>
  <c r="P160" i="5"/>
  <c r="P105" i="5"/>
  <c r="P133" i="5"/>
  <c r="P92" i="5"/>
  <c r="P118" i="5"/>
  <c r="P85" i="5"/>
  <c r="P158" i="5"/>
  <c r="P163" i="5"/>
  <c r="P145" i="5"/>
  <c r="P109" i="5"/>
  <c r="P146" i="5"/>
  <c r="P80" i="5"/>
  <c r="T80" i="5" s="1"/>
  <c r="P91" i="5"/>
  <c r="P164" i="5"/>
  <c r="P104" i="5"/>
  <c r="P39" i="5"/>
  <c r="T39" i="5" s="1"/>
  <c r="P94" i="5"/>
  <c r="P86" i="5"/>
  <c r="P73" i="5"/>
  <c r="T73" i="5" s="1"/>
  <c r="P166" i="5"/>
  <c r="P117" i="5"/>
  <c r="P155" i="5"/>
  <c r="P126" i="5"/>
  <c r="P47" i="5"/>
  <c r="T47" i="5" s="1"/>
  <c r="P60" i="5"/>
  <c r="T60" i="5" s="1"/>
  <c r="P53" i="5"/>
  <c r="T53" i="5" s="1"/>
  <c r="P48" i="5"/>
  <c r="T48" i="5" s="1"/>
  <c r="P165" i="5"/>
  <c r="P144" i="5"/>
  <c r="P61" i="5"/>
  <c r="T61" i="5" s="1"/>
  <c r="P56" i="5"/>
  <c r="P128" i="5"/>
  <c r="P78" i="5"/>
  <c r="T78" i="5" s="1"/>
  <c r="P139" i="5"/>
  <c r="P88" i="5"/>
  <c r="R6" i="10"/>
  <c r="Y2" i="10"/>
  <c r="Y4" i="10"/>
  <c r="Y3" i="10"/>
  <c r="F22" i="1"/>
  <c r="N22" i="1" s="1"/>
  <c r="E3" i="41" s="1"/>
  <c r="E36" i="11"/>
  <c r="E90" i="11" s="1"/>
  <c r="D105" i="11"/>
  <c r="B8" i="11"/>
  <c r="Y73" i="11"/>
  <c r="D71" i="11"/>
  <c r="F104" i="11"/>
  <c r="BD31" i="11"/>
  <c r="BF28" i="11"/>
  <c r="BP31" i="11"/>
  <c r="G27" i="11"/>
  <c r="P96" i="11"/>
  <c r="BR20" i="11"/>
  <c r="CM22" i="1"/>
  <c r="BS8" i="11"/>
  <c r="BS9" i="11"/>
  <c r="E105" i="11"/>
  <c r="D75" i="11"/>
  <c r="D94" i="11" s="1"/>
  <c r="BY31" i="11"/>
  <c r="BM31" i="11"/>
  <c r="BP28" i="11"/>
  <c r="H27" i="11"/>
  <c r="M92" i="11"/>
  <c r="M98" i="11"/>
  <c r="D107" i="11"/>
  <c r="B10" i="11"/>
  <c r="AT80" i="11"/>
  <c r="AT81" i="11"/>
  <c r="N98" i="11"/>
  <c r="N92" i="11"/>
  <c r="D108" i="11"/>
  <c r="BT13" i="11"/>
  <c r="H13" i="11" s="1"/>
  <c r="H110" i="11"/>
  <c r="B13" i="11"/>
  <c r="BS7" i="11"/>
  <c r="B15" i="11"/>
  <c r="F96" i="11"/>
  <c r="N96" i="11"/>
  <c r="N97" i="11" s="1"/>
  <c r="F16" i="11"/>
  <c r="BO34" i="11"/>
  <c r="D64" i="11"/>
  <c r="L92" i="11"/>
  <c r="L98" i="11"/>
  <c r="E64" i="11"/>
  <c r="E20" i="11"/>
  <c r="BF81" i="11"/>
  <c r="D62" i="11"/>
  <c r="E110" i="11"/>
  <c r="F34" i="11"/>
  <c r="F89" i="11" s="1"/>
  <c r="AN80" i="11"/>
  <c r="F72" i="11"/>
  <c r="AN81" i="11"/>
  <c r="AX81" i="11"/>
  <c r="AX80" i="11"/>
  <c r="F41" i="11"/>
  <c r="B7" i="11"/>
  <c r="AX40" i="11"/>
  <c r="F40" i="11" s="1"/>
  <c r="F92" i="11" s="1"/>
  <c r="AY9" i="11"/>
  <c r="AV36" i="11"/>
  <c r="AU36" i="11"/>
  <c r="D16" i="11"/>
  <c r="D34" i="11"/>
  <c r="D89" i="11" s="1"/>
  <c r="B11" i="11"/>
  <c r="B14" i="11"/>
  <c r="D106" i="11"/>
  <c r="D20" i="11"/>
  <c r="BB81" i="11"/>
  <c r="BB80" i="11"/>
  <c r="B12" i="11"/>
  <c r="D81" i="11"/>
  <c r="Q96" i="11"/>
  <c r="S96" i="11" s="1"/>
  <c r="I16" i="1"/>
  <c r="Q16" i="1"/>
  <c r="I29" i="11"/>
  <c r="I91" i="11" s="1"/>
  <c r="Q91" i="11"/>
  <c r="H77" i="11"/>
  <c r="H95" i="11" s="1"/>
  <c r="J95" i="11" s="1"/>
  <c r="H57" i="11"/>
  <c r="J17" i="9"/>
  <c r="J18" i="9" s="1"/>
  <c r="J24" i="9"/>
  <c r="J16" i="9" s="1"/>
  <c r="P161" i="5"/>
  <c r="P79" i="5"/>
  <c r="T79" i="5" s="1"/>
  <c r="P24" i="9"/>
  <c r="P16" i="9" s="1"/>
  <c r="P17" i="9"/>
  <c r="P18" i="9" s="1"/>
  <c r="P58" i="5"/>
  <c r="T58" i="5" s="1"/>
  <c r="N17" i="9"/>
  <c r="N24" i="9"/>
  <c r="N16" i="9" s="1"/>
  <c r="P101" i="5"/>
  <c r="P57" i="5"/>
  <c r="T57" i="5" s="1"/>
  <c r="X4" i="10"/>
  <c r="X5" i="10"/>
  <c r="X2" i="10"/>
  <c r="Q6" i="10"/>
  <c r="X3" i="10"/>
  <c r="O6" i="10"/>
  <c r="V5" i="10"/>
  <c r="V3" i="10"/>
  <c r="V2" i="10"/>
  <c r="V4" i="10"/>
  <c r="CR13" i="1"/>
  <c r="CR76" i="1"/>
  <c r="CS13" i="1"/>
  <c r="CS76" i="1"/>
  <c r="DC16" i="1"/>
  <c r="AL62" i="1"/>
  <c r="AL64" i="1" s="1"/>
  <c r="BE62" i="1"/>
  <c r="AP62" i="1"/>
  <c r="AP64" i="1" s="1"/>
  <c r="BL62" i="1"/>
  <c r="CB62" i="1"/>
  <c r="AM62" i="1"/>
  <c r="AM75" i="1" s="1"/>
  <c r="AM78" i="1" s="1"/>
  <c r="AK62" i="1"/>
  <c r="AK75" i="1" s="1"/>
  <c r="AK78" i="1" s="1"/>
  <c r="BA62" i="1"/>
  <c r="AQ62" i="1"/>
  <c r="AQ64" i="1" s="1"/>
  <c r="AT62" i="1"/>
  <c r="AD62" i="1"/>
  <c r="AN62" i="1"/>
  <c r="AN64" i="1" s="1"/>
  <c r="BD62" i="1"/>
  <c r="AR62" i="1"/>
  <c r="AR64" i="1" s="1"/>
  <c r="AS62" i="1"/>
  <c r="AS64" i="1" s="1"/>
  <c r="AO62" i="1"/>
  <c r="AO64" i="1" s="1"/>
  <c r="AJ62" i="1"/>
  <c r="H54" i="11"/>
  <c r="BY14" i="11"/>
  <c r="H14" i="11"/>
  <c r="BY12" i="11"/>
  <c r="H12" i="11"/>
  <c r="BY13" i="11"/>
  <c r="H9" i="11"/>
  <c r="BV40" i="11"/>
  <c r="H11" i="11"/>
  <c r="BY11" i="11"/>
  <c r="O16" i="9" l="1"/>
  <c r="O10" i="9"/>
  <c r="O25" i="9"/>
  <c r="U25" i="9"/>
  <c r="U16" i="9"/>
  <c r="U22" i="9"/>
  <c r="U10" i="9"/>
  <c r="H80" i="11"/>
  <c r="H97" i="11" s="1"/>
  <c r="G34" i="11"/>
  <c r="G89" i="11" s="1"/>
  <c r="R96" i="11"/>
  <c r="F113" i="11"/>
  <c r="G106" i="11"/>
  <c r="F100" i="11"/>
  <c r="G16" i="11"/>
  <c r="C35" i="11"/>
  <c r="C80" i="11"/>
  <c r="BY74" i="1"/>
  <c r="G22" i="1"/>
  <c r="O22" i="1" s="1"/>
  <c r="F3" i="41" s="1"/>
  <c r="E100" i="11"/>
  <c r="G100" i="11"/>
  <c r="F36" i="11"/>
  <c r="F90" i="11" s="1"/>
  <c r="O97" i="11"/>
  <c r="O98" i="11"/>
  <c r="BR30" i="11"/>
  <c r="BR40" i="11"/>
  <c r="BL30" i="11"/>
  <c r="BL40" i="11"/>
  <c r="BL41" i="11"/>
  <c r="G80" i="11"/>
  <c r="G97" i="11" s="1"/>
  <c r="G113" i="11"/>
  <c r="D113" i="11"/>
  <c r="G81" i="11"/>
  <c r="E113" i="11"/>
  <c r="BP34" i="11"/>
  <c r="T22" i="9"/>
  <c r="T16" i="9"/>
  <c r="T25" i="9"/>
  <c r="T10" i="9"/>
  <c r="BI18" i="1"/>
  <c r="BI74" i="1" s="1"/>
  <c r="T50" i="5"/>
  <c r="E7" i="10"/>
  <c r="D7" i="41"/>
  <c r="G56" i="1"/>
  <c r="D56" i="1"/>
  <c r="C56" i="1"/>
  <c r="AT64" i="1"/>
  <c r="AD335" i="10" s="1"/>
  <c r="B2" i="41"/>
  <c r="F16" i="5"/>
  <c r="E74" i="1"/>
  <c r="M74" i="1" s="1"/>
  <c r="BN16" i="1"/>
  <c r="BG18" i="1"/>
  <c r="BF74" i="1"/>
  <c r="CH18" i="1"/>
  <c r="U3" i="10"/>
  <c r="P9" i="5"/>
  <c r="Q9" i="5" s="1"/>
  <c r="Q10" i="9"/>
  <c r="CC48" i="1"/>
  <c r="CB53" i="1"/>
  <c r="CB74" i="1" s="1"/>
  <c r="L5" i="10"/>
  <c r="S2" i="10" s="1"/>
  <c r="M5" i="10"/>
  <c r="N5" i="10"/>
  <c r="U2" i="10"/>
  <c r="P5" i="10"/>
  <c r="W3" i="10" s="1"/>
  <c r="Q16" i="9"/>
  <c r="Q22" i="9"/>
  <c r="I32" i="9"/>
  <c r="L31" i="9"/>
  <c r="D335" i="10"/>
  <c r="U65" i="1"/>
  <c r="T65" i="1"/>
  <c r="C335" i="10"/>
  <c r="B335" i="10"/>
  <c r="O12" i="15"/>
  <c r="N11" i="15"/>
  <c r="O8" i="15"/>
  <c r="N7" i="15"/>
  <c r="N5" i="15"/>
  <c r="O6" i="15"/>
  <c r="O11" i="15"/>
  <c r="N10" i="15"/>
  <c r="N4" i="15"/>
  <c r="O5" i="15"/>
  <c r="N9" i="15"/>
  <c r="O10" i="15"/>
  <c r="O7" i="15"/>
  <c r="N6" i="15"/>
  <c r="N8" i="15"/>
  <c r="O9" i="15"/>
  <c r="O13" i="15"/>
  <c r="N12" i="15"/>
  <c r="N13" i="15"/>
  <c r="O4" i="15"/>
  <c r="M14" i="15"/>
  <c r="T27" i="1"/>
  <c r="T70" i="1" s="1"/>
  <c r="T71" i="1" s="1"/>
  <c r="T72" i="1" s="1"/>
  <c r="T81" i="1"/>
  <c r="T82" i="1" s="1"/>
  <c r="N30" i="29"/>
  <c r="U27" i="1"/>
  <c r="U70" i="1" s="1"/>
  <c r="U71" i="1" s="1"/>
  <c r="U72" i="1" s="1"/>
  <c r="U81" i="1"/>
  <c r="U82" i="1" s="1"/>
  <c r="N28" i="33"/>
  <c r="S27" i="1"/>
  <c r="S81" i="1"/>
  <c r="S82" i="1" s="1"/>
  <c r="S75" i="1"/>
  <c r="S78" i="1" s="1"/>
  <c r="T75" i="1"/>
  <c r="T78" i="1" s="1"/>
  <c r="U75" i="1"/>
  <c r="U78" i="1" s="1"/>
  <c r="N29" i="35"/>
  <c r="AC62" i="1"/>
  <c r="AC75" i="1" s="1"/>
  <c r="AC78" i="1" s="1"/>
  <c r="BI62" i="1"/>
  <c r="BI64" i="1" s="1"/>
  <c r="AS335" i="10" s="1"/>
  <c r="BB62" i="1"/>
  <c r="BB64" i="1" s="1"/>
  <c r="AL335" i="10" s="1"/>
  <c r="BP62" i="1"/>
  <c r="BP64" i="1" s="1"/>
  <c r="BC62" i="1"/>
  <c r="BC64" i="1" s="1"/>
  <c r="CA62" i="1"/>
  <c r="CA64" i="1" s="1"/>
  <c r="AH62" i="1"/>
  <c r="CC62" i="1"/>
  <c r="AX62" i="1"/>
  <c r="AX64" i="1" s="1"/>
  <c r="AH335" i="10" s="1"/>
  <c r="V62" i="1"/>
  <c r="BR62" i="1"/>
  <c r="BT62" i="1"/>
  <c r="BT64" i="1" s="1"/>
  <c r="BD335" i="10" s="1"/>
  <c r="BW62" i="1"/>
  <c r="BW64" i="1" s="1"/>
  <c r="BN62" i="1"/>
  <c r="BN75" i="1" s="1"/>
  <c r="BM62" i="1"/>
  <c r="BM64" i="1" s="1"/>
  <c r="BS62" i="1"/>
  <c r="BS64" i="1" s="1"/>
  <c r="BS31" i="1" s="1"/>
  <c r="BZ62" i="1"/>
  <c r="BZ75" i="1" s="1"/>
  <c r="BZ78" i="1" s="1"/>
  <c r="BO62" i="1"/>
  <c r="BO64" i="1" s="1"/>
  <c r="BF62" i="1"/>
  <c r="AG62" i="1"/>
  <c r="AG64" i="1" s="1"/>
  <c r="BJ62" i="1"/>
  <c r="BJ64" i="1" s="1"/>
  <c r="BJ31" i="1" s="1"/>
  <c r="AW62" i="1"/>
  <c r="AW75" i="1" s="1"/>
  <c r="AW78" i="1" s="1"/>
  <c r="X62" i="1"/>
  <c r="X64" i="1" s="1"/>
  <c r="AY62" i="1"/>
  <c r="AY64" i="1" s="1"/>
  <c r="AI335" i="10" s="1"/>
  <c r="AB62" i="1"/>
  <c r="AB64" i="1" s="1"/>
  <c r="K335" i="10" s="1"/>
  <c r="BX62" i="1"/>
  <c r="BX64" i="1" s="1"/>
  <c r="AU62" i="1"/>
  <c r="AU64" i="1" s="1"/>
  <c r="BY62" i="1"/>
  <c r="BY75" i="1" s="1"/>
  <c r="Z62" i="1"/>
  <c r="Z75" i="1" s="1"/>
  <c r="Z78" i="1" s="1"/>
  <c r="AZ62" i="1"/>
  <c r="AZ64" i="1" s="1"/>
  <c r="AZ31" i="1" s="1"/>
  <c r="AV62" i="1"/>
  <c r="AV64" i="1" s="1"/>
  <c r="AE62" i="1"/>
  <c r="AE64" i="1" s="1"/>
  <c r="BH62" i="1"/>
  <c r="BH64" i="1" s="1"/>
  <c r="AR335" i="10" s="1"/>
  <c r="AF62" i="1"/>
  <c r="AF64" i="1" s="1"/>
  <c r="O335" i="10" s="1"/>
  <c r="BV62" i="1"/>
  <c r="BV64" i="1" s="1"/>
  <c r="BG62" i="1"/>
  <c r="BG64" i="1" s="1"/>
  <c r="AQ335" i="10" s="1"/>
  <c r="Y62" i="1"/>
  <c r="Y64" i="1" s="1"/>
  <c r="Y31" i="1" s="1"/>
  <c r="BK62" i="1"/>
  <c r="BK64" i="1" s="1"/>
  <c r="BK31" i="1" s="1"/>
  <c r="BQ62" i="1"/>
  <c r="BQ64" i="1" s="1"/>
  <c r="AB81" i="1"/>
  <c r="AB82" i="1" s="1"/>
  <c r="AE27" i="1"/>
  <c r="Z27" i="1"/>
  <c r="AA27" i="1"/>
  <c r="AV27" i="1"/>
  <c r="BY27" i="1"/>
  <c r="X27" i="1"/>
  <c r="BD27" i="1"/>
  <c r="BE27" i="1"/>
  <c r="AX27" i="1"/>
  <c r="AD27" i="1"/>
  <c r="CC27" i="1"/>
  <c r="BF27" i="1"/>
  <c r="BB27" i="1"/>
  <c r="AU27" i="1"/>
  <c r="AW27" i="1"/>
  <c r="Y27" i="1"/>
  <c r="BV27" i="1"/>
  <c r="CB27" i="1"/>
  <c r="BU27" i="1"/>
  <c r="CA27" i="1"/>
  <c r="W27" i="1"/>
  <c r="D26" i="1"/>
  <c r="AH81" i="1"/>
  <c r="AQ81" i="1"/>
  <c r="AQ82" i="1" s="1"/>
  <c r="AM81" i="1"/>
  <c r="AM82" i="1" s="1"/>
  <c r="AI81" i="1"/>
  <c r="AI82" i="1" s="1"/>
  <c r="AN81" i="1"/>
  <c r="AN82" i="1" s="1"/>
  <c r="AJ81" i="1"/>
  <c r="AJ82" i="1" s="1"/>
  <c r="AP81" i="1"/>
  <c r="AP82" i="1" s="1"/>
  <c r="AO81" i="1"/>
  <c r="AO82" i="1" s="1"/>
  <c r="AK81" i="1"/>
  <c r="AK82" i="1" s="1"/>
  <c r="AS81" i="1"/>
  <c r="AS82" i="1" s="1"/>
  <c r="AR81" i="1"/>
  <c r="AR82" i="1" s="1"/>
  <c r="AL81" i="1"/>
  <c r="AL82" i="1" s="1"/>
  <c r="BK81" i="1"/>
  <c r="BK82" i="1" s="1"/>
  <c r="BF81" i="1"/>
  <c r="BF82" i="1" s="1"/>
  <c r="BB81" i="1"/>
  <c r="BB82" i="1" s="1"/>
  <c r="I9" i="5"/>
  <c r="K9" i="5" s="1"/>
  <c r="CU53" i="1"/>
  <c r="CV48" i="1"/>
  <c r="S16" i="9"/>
  <c r="H36" i="9"/>
  <c r="P22" i="9"/>
  <c r="T56" i="5"/>
  <c r="BO18" i="1"/>
  <c r="S25" i="9"/>
  <c r="L9" i="5"/>
  <c r="L15" i="5" s="1"/>
  <c r="S10" i="9"/>
  <c r="I10" i="5"/>
  <c r="H9" i="5"/>
  <c r="H15" i="5" s="1"/>
  <c r="H16" i="5" s="1"/>
  <c r="G9" i="5"/>
  <c r="G15" i="5" s="1"/>
  <c r="F81" i="11"/>
  <c r="F80" i="11"/>
  <c r="F97" i="11" s="1"/>
  <c r="BT19" i="11"/>
  <c r="BT17" i="11"/>
  <c r="BT16" i="11" s="1"/>
  <c r="L96" i="11"/>
  <c r="L97" i="11" s="1"/>
  <c r="D96" i="11"/>
  <c r="B9" i="11"/>
  <c r="BP40" i="11"/>
  <c r="BP41" i="11"/>
  <c r="BP30" i="11"/>
  <c r="H28" i="11"/>
  <c r="D100" i="11"/>
  <c r="BF30" i="11"/>
  <c r="G30" i="11" s="1"/>
  <c r="BF40" i="11"/>
  <c r="G28" i="11"/>
  <c r="BF41" i="11"/>
  <c r="AP75" i="1"/>
  <c r="AP78" i="1" s="1"/>
  <c r="D13" i="10"/>
  <c r="C13" i="10"/>
  <c r="N18" i="9"/>
  <c r="N9" i="5"/>
  <c r="J10" i="9"/>
  <c r="J25" i="9"/>
  <c r="J22" i="9"/>
  <c r="N25" i="9"/>
  <c r="N10" i="9"/>
  <c r="P10" i="9"/>
  <c r="P25" i="9"/>
  <c r="AL75" i="1"/>
  <c r="AL78" i="1" s="1"/>
  <c r="AM64" i="1"/>
  <c r="AM31" i="1" s="1"/>
  <c r="AM70" i="1" s="1"/>
  <c r="AM71" i="1" s="1"/>
  <c r="AM72" i="1" s="1"/>
  <c r="BD81" i="1"/>
  <c r="BD82" i="1" s="1"/>
  <c r="CA81" i="1"/>
  <c r="CA82" i="1" s="1"/>
  <c r="BS81" i="1"/>
  <c r="BS82" i="1" s="1"/>
  <c r="BV81" i="1"/>
  <c r="BV82" i="1" s="1"/>
  <c r="AN75" i="1"/>
  <c r="AN78" i="1" s="1"/>
  <c r="AQ75" i="1"/>
  <c r="AQ78" i="1" s="1"/>
  <c r="AS75" i="1"/>
  <c r="AS78" i="1" s="1"/>
  <c r="CT76" i="1"/>
  <c r="DD16" i="1"/>
  <c r="AK64" i="1"/>
  <c r="T335" i="10" s="1"/>
  <c r="AO75" i="1"/>
  <c r="AO78" i="1" s="1"/>
  <c r="AR75" i="1"/>
  <c r="AR78" i="1" s="1"/>
  <c r="EA62" i="1"/>
  <c r="EA64" i="1" s="1"/>
  <c r="DK335" i="10" s="1"/>
  <c r="DQ62" i="1"/>
  <c r="DQ64" i="1" s="1"/>
  <c r="BE75" i="1"/>
  <c r="BE78" i="1" s="1"/>
  <c r="BE64" i="1"/>
  <c r="BL64" i="1"/>
  <c r="BL75" i="1"/>
  <c r="AJ64" i="1"/>
  <c r="AJ75" i="1"/>
  <c r="AJ78" i="1" s="1"/>
  <c r="BA75" i="1"/>
  <c r="BA78" i="1" s="1"/>
  <c r="BA64" i="1"/>
  <c r="BD64" i="1"/>
  <c r="BD75" i="1"/>
  <c r="BD78" i="1" s="1"/>
  <c r="BU75" i="1"/>
  <c r="BU78" i="1" s="1"/>
  <c r="BU64" i="1"/>
  <c r="CB64" i="1"/>
  <c r="CB75" i="1"/>
  <c r="AD75" i="1"/>
  <c r="AD78" i="1" s="1"/>
  <c r="AD64" i="1"/>
  <c r="U335" i="10"/>
  <c r="AL31" i="1"/>
  <c r="AL70" i="1" s="1"/>
  <c r="AL71" i="1" s="1"/>
  <c r="AL72" i="1" s="1"/>
  <c r="AO31" i="1"/>
  <c r="AO70" i="1" s="1"/>
  <c r="AO71" i="1" s="1"/>
  <c r="AO72" i="1" s="1"/>
  <c r="Y335" i="10"/>
  <c r="AB335" i="10"/>
  <c r="AR31" i="1"/>
  <c r="AR70" i="1" s="1"/>
  <c r="AR71" i="1" s="1"/>
  <c r="AR72" i="1" s="1"/>
  <c r="AN31" i="1"/>
  <c r="AN70" i="1" s="1"/>
  <c r="AN71" i="1" s="1"/>
  <c r="AN72" i="1" s="1"/>
  <c r="W335" i="10"/>
  <c r="AA335" i="10"/>
  <c r="AQ31" i="1"/>
  <c r="AQ70" i="1" s="1"/>
  <c r="AQ71" i="1" s="1"/>
  <c r="AQ72" i="1" s="1"/>
  <c r="AI75" i="1"/>
  <c r="AI64" i="1"/>
  <c r="AS31" i="1"/>
  <c r="AS70" i="1" s="1"/>
  <c r="AS71" i="1" s="1"/>
  <c r="AS72" i="1" s="1"/>
  <c r="AC335" i="10"/>
  <c r="AP31" i="1"/>
  <c r="AP70" i="1" s="1"/>
  <c r="AP71" i="1" s="1"/>
  <c r="AP72" i="1" s="1"/>
  <c r="Z335" i="10"/>
  <c r="J335" i="10"/>
  <c r="AA31" i="1"/>
  <c r="CB78" i="1" l="1"/>
  <c r="J97" i="11"/>
  <c r="BY78" i="1"/>
  <c r="H30" i="11"/>
  <c r="BT20" i="11"/>
  <c r="H40" i="11"/>
  <c r="H92" i="11" s="1"/>
  <c r="G40" i="11"/>
  <c r="G92" i="11" s="1"/>
  <c r="J92" i="11" s="1"/>
  <c r="C40" i="11"/>
  <c r="G41" i="11"/>
  <c r="P15" i="5"/>
  <c r="Q15" i="5" s="1"/>
  <c r="AT31" i="1"/>
  <c r="BR64" i="1"/>
  <c r="BB335" i="10" s="1"/>
  <c r="G62" i="1"/>
  <c r="BF64" i="1"/>
  <c r="AP335" i="10" s="1"/>
  <c r="F62" i="1"/>
  <c r="E62" i="1"/>
  <c r="AH64" i="1"/>
  <c r="D64" i="1" s="1"/>
  <c r="L64" i="1" s="1"/>
  <c r="D62" i="1"/>
  <c r="V64" i="1"/>
  <c r="E335" i="10" s="1"/>
  <c r="B13" i="41"/>
  <c r="B19" i="41"/>
  <c r="N56" i="1"/>
  <c r="N62" i="1" s="1"/>
  <c r="AW64" i="1"/>
  <c r="E64" i="1" s="1"/>
  <c r="C13" i="41"/>
  <c r="I15" i="5"/>
  <c r="C17" i="10"/>
  <c r="CI18" i="1"/>
  <c r="CI27" i="1" s="1"/>
  <c r="M6" i="10"/>
  <c r="T5" i="10"/>
  <c r="T4" i="10"/>
  <c r="T2" i="10"/>
  <c r="T3" i="10"/>
  <c r="BH18" i="1"/>
  <c r="BG74" i="1"/>
  <c r="W5" i="10"/>
  <c r="W4" i="10"/>
  <c r="W2" i="10"/>
  <c r="P6" i="10"/>
  <c r="BO16" i="1"/>
  <c r="U5" i="10"/>
  <c r="U4" i="10"/>
  <c r="N6" i="10"/>
  <c r="L6" i="10"/>
  <c r="S3" i="10"/>
  <c r="S5" i="10"/>
  <c r="S4" i="10"/>
  <c r="CD48" i="1"/>
  <c r="CC53" i="1"/>
  <c r="CC74" i="1" s="1"/>
  <c r="M9" i="5"/>
  <c r="C21" i="10"/>
  <c r="G16" i="5"/>
  <c r="I33" i="9"/>
  <c r="L32" i="9"/>
  <c r="AT335" i="10"/>
  <c r="BO75" i="1"/>
  <c r="AU75" i="1"/>
  <c r="AU78" i="1" s="1"/>
  <c r="BM75" i="1"/>
  <c r="AE75" i="1"/>
  <c r="AE78" i="1" s="1"/>
  <c r="Z64" i="1"/>
  <c r="Z31" i="1" s="1"/>
  <c r="Z70" i="1" s="1"/>
  <c r="Z71" i="1" s="1"/>
  <c r="Z72" i="1" s="1"/>
  <c r="AK31" i="1"/>
  <c r="AK70" i="1" s="1"/>
  <c r="AK71" i="1" s="1"/>
  <c r="AK72" i="1" s="1"/>
  <c r="CA75" i="1"/>
  <c r="CA78" i="1" s="1"/>
  <c r="S32" i="1"/>
  <c r="S70" i="1"/>
  <c r="S71" i="1" s="1"/>
  <c r="S72" i="1" s="1"/>
  <c r="AA70" i="1"/>
  <c r="AA71" i="1" s="1"/>
  <c r="AA72" i="1" s="1"/>
  <c r="K10" i="5"/>
  <c r="K15" i="5" s="1"/>
  <c r="K16" i="5" s="1"/>
  <c r="AX31" i="1"/>
  <c r="AX70" i="1" s="1"/>
  <c r="AX71" i="1" s="1"/>
  <c r="AX72" i="1" s="1"/>
  <c r="AC64" i="1"/>
  <c r="AC31" i="1" s="1"/>
  <c r="BC75" i="1"/>
  <c r="BC78" i="1" s="1"/>
  <c r="BY64" i="1"/>
  <c r="BI335" i="10" s="1"/>
  <c r="BZ64" i="1"/>
  <c r="BJ335" i="10" s="1"/>
  <c r="BV75" i="1"/>
  <c r="BV78" i="1" s="1"/>
  <c r="AB31" i="1"/>
  <c r="BI31" i="1"/>
  <c r="BN64" i="1"/>
  <c r="V335" i="10"/>
  <c r="BP75" i="1"/>
  <c r="BG31" i="1"/>
  <c r="BB31" i="1"/>
  <c r="BB70" i="1" s="1"/>
  <c r="BB71" i="1" s="1"/>
  <c r="BB72" i="1" s="1"/>
  <c r="BH31" i="1"/>
  <c r="BT31" i="1"/>
  <c r="AX75" i="1"/>
  <c r="AX78" i="1" s="1"/>
  <c r="AH75" i="1"/>
  <c r="AH78" i="1" s="1"/>
  <c r="DD62" i="1"/>
  <c r="DD64" i="1" s="1"/>
  <c r="CN336" i="10" s="1"/>
  <c r="EC62" i="1"/>
  <c r="EC64" i="1" s="1"/>
  <c r="DM336" i="10" s="1"/>
  <c r="DO62" i="1"/>
  <c r="DO64" i="1" s="1"/>
  <c r="CY336" i="10" s="1"/>
  <c r="AU335" i="10"/>
  <c r="Y70" i="1"/>
  <c r="Y71" i="1" s="1"/>
  <c r="Y72" i="1" s="1"/>
  <c r="H335" i="10"/>
  <c r="P335" i="10"/>
  <c r="AG31" i="1"/>
  <c r="AF75" i="1"/>
  <c r="AF78" i="1" s="1"/>
  <c r="BJ75" i="1"/>
  <c r="EB62" i="1"/>
  <c r="EB64" i="1" s="1"/>
  <c r="DL335" i="10" s="1"/>
  <c r="DP62" i="1"/>
  <c r="DP64" i="1" s="1"/>
  <c r="CZ335" i="10" s="1"/>
  <c r="G335" i="10"/>
  <c r="X31" i="1"/>
  <c r="X70" i="1" s="1"/>
  <c r="X71" i="1" s="1"/>
  <c r="X72" i="1" s="1"/>
  <c r="DE62" i="1"/>
  <c r="DE64" i="1" s="1"/>
  <c r="CO335" i="10" s="1"/>
  <c r="CW62" i="1"/>
  <c r="BU81" i="1"/>
  <c r="BU82" i="1" s="1"/>
  <c r="CG27" i="1"/>
  <c r="CG62" i="1"/>
  <c r="CY62" i="1"/>
  <c r="BE81" i="1"/>
  <c r="BE82" i="1" s="1"/>
  <c r="CU62" i="1"/>
  <c r="CU64" i="1" s="1"/>
  <c r="CU31" i="1" s="1"/>
  <c r="CS62" i="1"/>
  <c r="CS64" i="1" s="1"/>
  <c r="CS31" i="1" s="1"/>
  <c r="CL62" i="1"/>
  <c r="DF62" i="1"/>
  <c r="CX62" i="1"/>
  <c r="DC62" i="1"/>
  <c r="DC64" i="1" s="1"/>
  <c r="CM336" i="10" s="1"/>
  <c r="CF27" i="1"/>
  <c r="BB75" i="1"/>
  <c r="BB78" i="1" s="1"/>
  <c r="Z81" i="1"/>
  <c r="Z82" i="1" s="1"/>
  <c r="CZ62" i="1"/>
  <c r="CZ64" i="1" s="1"/>
  <c r="CJ336" i="10" s="1"/>
  <c r="CT62" i="1"/>
  <c r="CJ62" i="1"/>
  <c r="CD27" i="1"/>
  <c r="CH27" i="1"/>
  <c r="CH62" i="1"/>
  <c r="EI62" i="1"/>
  <c r="CE27" i="1"/>
  <c r="CE62" i="1"/>
  <c r="CM62" i="1"/>
  <c r="EJ62" i="1"/>
  <c r="AW81" i="1"/>
  <c r="AW82" i="1" s="1"/>
  <c r="BO81" i="1"/>
  <c r="BO82" i="1" s="1"/>
  <c r="CR62" i="1"/>
  <c r="CR64" i="1" s="1"/>
  <c r="BF75" i="1"/>
  <c r="BF78" i="1" s="1"/>
  <c r="AJ335" i="10"/>
  <c r="BM81" i="1"/>
  <c r="BM82" i="1" s="1"/>
  <c r="F26" i="1"/>
  <c r="N26" i="1" s="1"/>
  <c r="CC75" i="1"/>
  <c r="CC81" i="1"/>
  <c r="CC82" i="1" s="1"/>
  <c r="AE81" i="1"/>
  <c r="AE82" i="1" s="1"/>
  <c r="X81" i="1"/>
  <c r="X82" i="1" s="1"/>
  <c r="Y75" i="1"/>
  <c r="Y78" i="1" s="1"/>
  <c r="BS75" i="1"/>
  <c r="AD81" i="1"/>
  <c r="AD82" i="1" s="1"/>
  <c r="CB81" i="1"/>
  <c r="CB82" i="1" s="1"/>
  <c r="AU81" i="1"/>
  <c r="AU82" i="1" s="1"/>
  <c r="BY81" i="1"/>
  <c r="BY82" i="1" s="1"/>
  <c r="BR75" i="1"/>
  <c r="BG81" i="1"/>
  <c r="BG82" i="1" s="1"/>
  <c r="BG27" i="1"/>
  <c r="BI81" i="1"/>
  <c r="BI82" i="1" s="1"/>
  <c r="BI27" i="1"/>
  <c r="AT75" i="1"/>
  <c r="AT78" i="1" s="1"/>
  <c r="AT27" i="1"/>
  <c r="BQ75" i="1"/>
  <c r="X75" i="1"/>
  <c r="X78" i="1" s="1"/>
  <c r="V75" i="1"/>
  <c r="V78" i="1" s="1"/>
  <c r="V27" i="1"/>
  <c r="AV75" i="1"/>
  <c r="AV78" i="1" s="1"/>
  <c r="AG81" i="1"/>
  <c r="AG82" i="1" s="1"/>
  <c r="AG27" i="1"/>
  <c r="AZ81" i="1"/>
  <c r="AZ82" i="1" s="1"/>
  <c r="AZ27" i="1"/>
  <c r="AZ70" i="1" s="1"/>
  <c r="AZ71" i="1" s="1"/>
  <c r="AZ72" i="1" s="1"/>
  <c r="Y81" i="1"/>
  <c r="Y82" i="1" s="1"/>
  <c r="AA75" i="1"/>
  <c r="AA78" i="1" s="1"/>
  <c r="BL81" i="1"/>
  <c r="BL82" i="1" s="1"/>
  <c r="BP81" i="1"/>
  <c r="BP82" i="1" s="1"/>
  <c r="BA81" i="1"/>
  <c r="BA82" i="1" s="1"/>
  <c r="BA27" i="1"/>
  <c r="W81" i="1"/>
  <c r="W82" i="1" s="1"/>
  <c r="BW81" i="1"/>
  <c r="BW82" i="1" s="1"/>
  <c r="BW27" i="1"/>
  <c r="BK75" i="1"/>
  <c r="BZ81" i="1"/>
  <c r="BZ82" i="1" s="1"/>
  <c r="BZ27" i="1"/>
  <c r="BC81" i="1"/>
  <c r="BC82" i="1" s="1"/>
  <c r="BC27" i="1"/>
  <c r="AY75" i="1"/>
  <c r="AY78" i="1" s="1"/>
  <c r="AY27" i="1"/>
  <c r="AT81" i="1"/>
  <c r="AT82" i="1" s="1"/>
  <c r="BH81" i="1"/>
  <c r="BH82" i="1" s="1"/>
  <c r="AB75" i="1"/>
  <c r="AB78" i="1" s="1"/>
  <c r="AB27" i="1"/>
  <c r="AZ75" i="1"/>
  <c r="AZ78" i="1" s="1"/>
  <c r="AV81" i="1"/>
  <c r="AV82" i="1" s="1"/>
  <c r="AA81" i="1"/>
  <c r="AA82" i="1" s="1"/>
  <c r="BN81" i="1"/>
  <c r="BN82" i="1" s="1"/>
  <c r="BJ81" i="1"/>
  <c r="BJ82" i="1" s="1"/>
  <c r="BG75" i="1"/>
  <c r="BT75" i="1"/>
  <c r="AY81" i="1"/>
  <c r="AY82" i="1" s="1"/>
  <c r="AF81" i="1"/>
  <c r="AF82" i="1" s="1"/>
  <c r="AF27" i="1"/>
  <c r="BT81" i="1"/>
  <c r="BT82" i="1" s="1"/>
  <c r="AX81" i="1"/>
  <c r="AX82" i="1" s="1"/>
  <c r="AG75" i="1"/>
  <c r="AG78" i="1" s="1"/>
  <c r="BX81" i="1"/>
  <c r="BX82" i="1" s="1"/>
  <c r="BX27" i="1"/>
  <c r="AC81" i="1"/>
  <c r="AC82" i="1" s="1"/>
  <c r="AC27" i="1"/>
  <c r="BR81" i="1"/>
  <c r="G26" i="1"/>
  <c r="O26" i="1" s="1"/>
  <c r="BW75" i="1"/>
  <c r="BW78" i="1" s="1"/>
  <c r="V81" i="1"/>
  <c r="V82" i="1" s="1"/>
  <c r="BH75" i="1"/>
  <c r="BI75" i="1"/>
  <c r="BI78" i="1" s="1"/>
  <c r="E26" i="1"/>
  <c r="E27" i="1" s="1"/>
  <c r="M27" i="1" s="1"/>
  <c r="BX75" i="1"/>
  <c r="BX78" i="1" s="1"/>
  <c r="BQ81" i="1"/>
  <c r="BQ82" i="1" s="1"/>
  <c r="C26" i="1"/>
  <c r="C27" i="1" s="1"/>
  <c r="K27" i="1" s="1"/>
  <c r="CI62" i="1"/>
  <c r="CN62" i="1"/>
  <c r="CN75" i="1" s="1"/>
  <c r="DB62" i="1"/>
  <c r="DB64" i="1" s="1"/>
  <c r="CL336" i="10" s="1"/>
  <c r="CV62" i="1"/>
  <c r="CO62" i="1"/>
  <c r="CK62" i="1"/>
  <c r="DA62" i="1"/>
  <c r="DA64" i="1" s="1"/>
  <c r="CK336" i="10" s="1"/>
  <c r="AH82" i="1"/>
  <c r="D82" i="1" s="1"/>
  <c r="L82" i="1" s="1"/>
  <c r="D81" i="1"/>
  <c r="L81" i="1" s="1"/>
  <c r="L26" i="1"/>
  <c r="D27" i="1"/>
  <c r="L27" i="1" s="1"/>
  <c r="CE81" i="1"/>
  <c r="CE82" i="1" s="1"/>
  <c r="CW81" i="1"/>
  <c r="CW82" i="1" s="1"/>
  <c r="CU81" i="1"/>
  <c r="CU82" i="1" s="1"/>
  <c r="CY81" i="1"/>
  <c r="CY82" i="1" s="1"/>
  <c r="DB81" i="1"/>
  <c r="DB82" i="1" s="1"/>
  <c r="CV53" i="1"/>
  <c r="CW48" i="1"/>
  <c r="H37" i="9"/>
  <c r="E13" i="10"/>
  <c r="BC335" i="10"/>
  <c r="BO74" i="1"/>
  <c r="BP18" i="1"/>
  <c r="DG62" i="1"/>
  <c r="G29" i="11"/>
  <c r="G91" i="11" s="1"/>
  <c r="O91" i="11"/>
  <c r="O92" i="11" s="1"/>
  <c r="P91" i="11"/>
  <c r="H29" i="11"/>
  <c r="H91" i="11" s="1"/>
  <c r="BQ34" i="11"/>
  <c r="BU8" i="11"/>
  <c r="H105" i="11" s="1"/>
  <c r="BT41" i="11"/>
  <c r="C41" i="11" s="1"/>
  <c r="BU7" i="11"/>
  <c r="H104" i="11" s="1"/>
  <c r="BR34" i="11"/>
  <c r="BU9" i="11"/>
  <c r="H106" i="11" s="1"/>
  <c r="CO22" i="1"/>
  <c r="H22" i="1" s="1"/>
  <c r="P22" i="1" s="1"/>
  <c r="CK51" i="11"/>
  <c r="CN51" i="11"/>
  <c r="CF77" i="11" s="1"/>
  <c r="L78" i="11"/>
  <c r="L79" i="11" s="1"/>
  <c r="CP51" i="11"/>
  <c r="CJ77" i="11" s="1"/>
  <c r="CC51" i="11"/>
  <c r="CG51" i="11"/>
  <c r="AY31" i="1"/>
  <c r="CP62" i="1"/>
  <c r="M56" i="1"/>
  <c r="M62" i="1" s="1"/>
  <c r="CQ81" i="1"/>
  <c r="CQ82" i="1" s="1"/>
  <c r="N15" i="5"/>
  <c r="O9" i="5"/>
  <c r="M15" i="5"/>
  <c r="DS62" i="1"/>
  <c r="AF31" i="1"/>
  <c r="EE62" i="1"/>
  <c r="DV62" i="1"/>
  <c r="EH62" i="1"/>
  <c r="DJ62" i="1"/>
  <c r="DX62" i="1"/>
  <c r="DL62" i="1"/>
  <c r="DW62" i="1"/>
  <c r="DK62" i="1"/>
  <c r="DH62" i="1"/>
  <c r="L56" i="1"/>
  <c r="L62" i="1" s="1"/>
  <c r="CX81" i="1"/>
  <c r="CX82" i="1" s="1"/>
  <c r="CO81" i="1"/>
  <c r="CO82" i="1" s="1"/>
  <c r="CI81" i="1"/>
  <c r="CI82" i="1" s="1"/>
  <c r="CF81" i="1"/>
  <c r="CF82" i="1" s="1"/>
  <c r="CL81" i="1"/>
  <c r="CL82" i="1" s="1"/>
  <c r="CP81" i="1"/>
  <c r="CP82" i="1" s="1"/>
  <c r="CG81" i="1"/>
  <c r="CG82" i="1" s="1"/>
  <c r="CM81" i="1"/>
  <c r="CM82" i="1" s="1"/>
  <c r="CT81" i="1"/>
  <c r="CT82" i="1" s="1"/>
  <c r="CN81" i="1"/>
  <c r="CN82" i="1" s="1"/>
  <c r="CV81" i="1"/>
  <c r="CV82" i="1" s="1"/>
  <c r="CH81" i="1"/>
  <c r="CH82" i="1" s="1"/>
  <c r="CK81" i="1"/>
  <c r="CK82" i="1" s="1"/>
  <c r="DK336" i="10"/>
  <c r="CU76" i="1"/>
  <c r="CU13" i="1"/>
  <c r="CV69" i="1"/>
  <c r="DE16" i="1"/>
  <c r="BA335" i="10"/>
  <c r="BQ31" i="1"/>
  <c r="AV31" i="1"/>
  <c r="AV70" i="1" s="1"/>
  <c r="AV71" i="1" s="1"/>
  <c r="AV72" i="1" s="1"/>
  <c r="AF335" i="10"/>
  <c r="BW31" i="1"/>
  <c r="BG335" i="10"/>
  <c r="DT62" i="1"/>
  <c r="EF62" i="1"/>
  <c r="ED62" i="1"/>
  <c r="DR62" i="1"/>
  <c r="BH335" i="10"/>
  <c r="BX31" i="1"/>
  <c r="AO335" i="10"/>
  <c r="BE31" i="1"/>
  <c r="BE70" i="1" s="1"/>
  <c r="BE71" i="1" s="1"/>
  <c r="BE72" i="1" s="1"/>
  <c r="EN62" i="1"/>
  <c r="EN64" i="1" s="1"/>
  <c r="CQ62" i="1"/>
  <c r="AY335" i="10"/>
  <c r="BO31" i="1"/>
  <c r="BK335" i="10"/>
  <c r="CA31" i="1"/>
  <c r="CA70" i="1" s="1"/>
  <c r="CA71" i="1" s="1"/>
  <c r="CA72" i="1" s="1"/>
  <c r="DA335" i="10"/>
  <c r="DA336" i="10"/>
  <c r="BL335" i="10"/>
  <c r="CB31" i="1"/>
  <c r="CB70" i="1" s="1"/>
  <c r="CB71" i="1" s="1"/>
  <c r="CB72" i="1" s="1"/>
  <c r="BF335" i="10"/>
  <c r="BV31" i="1"/>
  <c r="BV70" i="1" s="1"/>
  <c r="BV71" i="1" s="1"/>
  <c r="BV72" i="1" s="1"/>
  <c r="M335" i="10"/>
  <c r="AD31" i="1"/>
  <c r="AD70" i="1" s="1"/>
  <c r="AD71" i="1" s="1"/>
  <c r="AD72" i="1" s="1"/>
  <c r="DN62" i="1"/>
  <c r="EL62" i="1"/>
  <c r="DZ62" i="1"/>
  <c r="BU31" i="1"/>
  <c r="BU70" i="1" s="1"/>
  <c r="BU71" i="1" s="1"/>
  <c r="BU72" i="1" s="1"/>
  <c r="BE335" i="10"/>
  <c r="S335" i="10"/>
  <c r="AJ31" i="1"/>
  <c r="AJ70" i="1" s="1"/>
  <c r="AJ71" i="1" s="1"/>
  <c r="AJ72" i="1" s="1"/>
  <c r="DY62" i="1"/>
  <c r="EK62" i="1"/>
  <c r="DM62" i="1"/>
  <c r="W62" i="1"/>
  <c r="C62" i="1" s="1"/>
  <c r="AN335" i="10"/>
  <c r="BD31" i="1"/>
  <c r="BD70" i="1" s="1"/>
  <c r="BD71" i="1" s="1"/>
  <c r="BD72" i="1" s="1"/>
  <c r="BA31" i="1"/>
  <c r="AK335" i="10"/>
  <c r="AZ335" i="10"/>
  <c r="BP31" i="1"/>
  <c r="EG62" i="1"/>
  <c r="DI62" i="1"/>
  <c r="DU62" i="1"/>
  <c r="N335" i="10"/>
  <c r="AE31" i="1"/>
  <c r="AE70" i="1" s="1"/>
  <c r="AE71" i="1" s="1"/>
  <c r="AE72" i="1" s="1"/>
  <c r="CF62" i="1"/>
  <c r="AM335" i="10"/>
  <c r="BC31" i="1"/>
  <c r="AW335" i="10"/>
  <c r="BM31" i="1"/>
  <c r="AV335" i="10"/>
  <c r="BL31" i="1"/>
  <c r="AI31" i="1"/>
  <c r="R335" i="10"/>
  <c r="AI78" i="1"/>
  <c r="AU31" i="1"/>
  <c r="AE335" i="10"/>
  <c r="CY75" i="1" l="1"/>
  <c r="CX75" i="1"/>
  <c r="CW75" i="1"/>
  <c r="CJ37" i="11"/>
  <c r="CJ38" i="11"/>
  <c r="CJ39" i="11" s="1"/>
  <c r="CF37" i="11"/>
  <c r="CF38" i="11"/>
  <c r="BU38" i="11"/>
  <c r="CN38" i="11"/>
  <c r="CN39" i="11" s="1"/>
  <c r="AW37" i="11"/>
  <c r="BW37" i="11"/>
  <c r="AN37" i="11"/>
  <c r="AO37" i="11"/>
  <c r="CE37" i="11"/>
  <c r="AS37" i="11"/>
  <c r="BS37" i="11"/>
  <c r="BE37" i="11"/>
  <c r="CH37" i="11"/>
  <c r="BY37" i="11"/>
  <c r="BV37" i="11"/>
  <c r="BJ37" i="11"/>
  <c r="BW38" i="11"/>
  <c r="BI37" i="11"/>
  <c r="AG37" i="11"/>
  <c r="CA37" i="11"/>
  <c r="BU37" i="11"/>
  <c r="AC37" i="11"/>
  <c r="L37" i="11"/>
  <c r="AQ37" i="11"/>
  <c r="AN38" i="11"/>
  <c r="AN39" i="11" s="1"/>
  <c r="BA37" i="11"/>
  <c r="BP38" i="11"/>
  <c r="BP39" i="11" s="1"/>
  <c r="CK38" i="11"/>
  <c r="BX38" i="11"/>
  <c r="AT38" i="11"/>
  <c r="AT39" i="11" s="1"/>
  <c r="AK37" i="11"/>
  <c r="CC7" i="11"/>
  <c r="CH38" i="11"/>
  <c r="BF37" i="11"/>
  <c r="AI37" i="11"/>
  <c r="AQ38" i="11"/>
  <c r="AQ39" i="11" s="1"/>
  <c r="AJ38" i="11"/>
  <c r="AJ39" i="11" s="1"/>
  <c r="O38" i="11"/>
  <c r="O39" i="11" s="1"/>
  <c r="AB37" i="11"/>
  <c r="BK38" i="11"/>
  <c r="BK39" i="11" s="1"/>
  <c r="BG37" i="11"/>
  <c r="Z37" i="11"/>
  <c r="CK7" i="11"/>
  <c r="M37" i="11"/>
  <c r="AC38" i="11"/>
  <c r="AC39" i="11" s="1"/>
  <c r="AH38" i="11"/>
  <c r="AH39" i="11" s="1"/>
  <c r="AU38" i="11"/>
  <c r="AU39" i="11" s="1"/>
  <c r="AW38" i="11"/>
  <c r="AI38" i="11"/>
  <c r="AI39" i="11" s="1"/>
  <c r="CC38" i="11"/>
  <c r="CG7" i="11"/>
  <c r="AJ37" i="11"/>
  <c r="AH37" i="11"/>
  <c r="BH37" i="11"/>
  <c r="BV38" i="11"/>
  <c r="BO37" i="11"/>
  <c r="Q37" i="11"/>
  <c r="BQ37" i="11"/>
  <c r="Y37" i="11"/>
  <c r="BM37" i="11"/>
  <c r="AR37" i="11"/>
  <c r="BM38" i="11"/>
  <c r="BM39" i="11" s="1"/>
  <c r="Y38" i="11"/>
  <c r="AX37" i="11"/>
  <c r="Z38" i="11"/>
  <c r="Z39" i="11" s="1"/>
  <c r="AV37" i="11"/>
  <c r="T37" i="11"/>
  <c r="BP37" i="11"/>
  <c r="L38" i="11"/>
  <c r="L39" i="11" s="1"/>
  <c r="W38" i="11"/>
  <c r="W39" i="11" s="1"/>
  <c r="W37" i="11"/>
  <c r="U38" i="11"/>
  <c r="U39" i="11" s="1"/>
  <c r="Q38" i="11"/>
  <c r="Q39" i="11" s="1"/>
  <c r="AK38" i="11"/>
  <c r="R37" i="11"/>
  <c r="AL37" i="11"/>
  <c r="CM37" i="11"/>
  <c r="AB38" i="11"/>
  <c r="AB39" i="11" s="1"/>
  <c r="BB38" i="11"/>
  <c r="BB39" i="11" s="1"/>
  <c r="X38" i="11"/>
  <c r="X39" i="11" s="1"/>
  <c r="BZ37" i="11"/>
  <c r="CG38" i="11"/>
  <c r="AS38" i="11"/>
  <c r="AS39" i="11" s="1"/>
  <c r="AA38" i="11"/>
  <c r="AA39" i="11" s="1"/>
  <c r="AL38" i="11"/>
  <c r="AL39" i="11" s="1"/>
  <c r="BO38" i="11"/>
  <c r="BO39" i="11" s="1"/>
  <c r="CN37" i="11"/>
  <c r="BC38" i="11"/>
  <c r="BC39" i="11" s="1"/>
  <c r="BQ38" i="11"/>
  <c r="BQ39" i="11" s="1"/>
  <c r="CA38" i="11"/>
  <c r="P38" i="11"/>
  <c r="P39" i="11" s="1"/>
  <c r="R38" i="11"/>
  <c r="R39" i="11" s="1"/>
  <c r="CM38" i="11"/>
  <c r="CM39" i="11" s="1"/>
  <c r="M38" i="11"/>
  <c r="BJ38" i="11"/>
  <c r="BJ39" i="11" s="1"/>
  <c r="AF37" i="11"/>
  <c r="BZ38" i="11"/>
  <c r="BL37" i="11"/>
  <c r="AU37" i="11"/>
  <c r="BY38" i="11"/>
  <c r="BC37" i="11"/>
  <c r="CG37" i="11"/>
  <c r="O37" i="11"/>
  <c r="AR38" i="11"/>
  <c r="AR39" i="11" s="1"/>
  <c r="BB37" i="11"/>
  <c r="X37" i="11"/>
  <c r="S38" i="11"/>
  <c r="S39" i="11" s="1"/>
  <c r="AZ38" i="11"/>
  <c r="AZ39" i="11" s="1"/>
  <c r="N38" i="11"/>
  <c r="N39" i="11" s="1"/>
  <c r="BR37" i="11"/>
  <c r="U37" i="11"/>
  <c r="CE38" i="11"/>
  <c r="BR38" i="11"/>
  <c r="BR39" i="11" s="1"/>
  <c r="BE38" i="11"/>
  <c r="BE39" i="11" s="1"/>
  <c r="AY37" i="11"/>
  <c r="AX38" i="11"/>
  <c r="AX39" i="11" s="1"/>
  <c r="BS38" i="11"/>
  <c r="BN38" i="11"/>
  <c r="BN39" i="11" s="1"/>
  <c r="BH38" i="11"/>
  <c r="BH39" i="11" s="1"/>
  <c r="BF38" i="11"/>
  <c r="BF39" i="11" s="1"/>
  <c r="AT37" i="11"/>
  <c r="AZ37" i="11"/>
  <c r="CK37" i="11"/>
  <c r="BN37" i="11"/>
  <c r="S37" i="11"/>
  <c r="BX37" i="11"/>
  <c r="T38" i="11"/>
  <c r="T39" i="11" s="1"/>
  <c r="N37" i="11"/>
  <c r="BK37" i="11"/>
  <c r="CC37" i="11"/>
  <c r="AA37" i="11"/>
  <c r="V37" i="11"/>
  <c r="BI38" i="11"/>
  <c r="BG38" i="11"/>
  <c r="BG39" i="11" s="1"/>
  <c r="AF38" i="11"/>
  <c r="AF39" i="11" s="1"/>
  <c r="AD37" i="11"/>
  <c r="AE37" i="11"/>
  <c r="AE38" i="11"/>
  <c r="AE39" i="11" s="1"/>
  <c r="V38" i="11"/>
  <c r="V39" i="11" s="1"/>
  <c r="P37" i="11"/>
  <c r="AV38" i="11"/>
  <c r="AV39" i="11" s="1"/>
  <c r="BA38" i="11"/>
  <c r="BA39" i="11" s="1"/>
  <c r="BT37" i="11"/>
  <c r="AP38" i="11"/>
  <c r="AP39" i="11" s="1"/>
  <c r="AO38" i="11"/>
  <c r="AO39" i="11" s="1"/>
  <c r="AD38" i="11"/>
  <c r="AD39" i="11" s="1"/>
  <c r="AG38" i="11"/>
  <c r="AG39" i="11" s="1"/>
  <c r="AM38" i="11"/>
  <c r="AM39" i="11" s="1"/>
  <c r="BD37" i="11"/>
  <c r="AP37" i="11"/>
  <c r="AM37" i="11"/>
  <c r="BT38" i="11"/>
  <c r="BD38" i="11"/>
  <c r="BD39" i="11" s="1"/>
  <c r="AY38" i="11"/>
  <c r="AY39" i="11" s="1"/>
  <c r="BL38" i="11"/>
  <c r="BL39" i="11" s="1"/>
  <c r="CN7" i="11"/>
  <c r="CF36" i="11" s="1"/>
  <c r="C34" i="11"/>
  <c r="CV74" i="1"/>
  <c r="CV64" i="1"/>
  <c r="CV75" i="1"/>
  <c r="CE335" i="10"/>
  <c r="CU75" i="1"/>
  <c r="BR31" i="1"/>
  <c r="AT70" i="1"/>
  <c r="AT71" i="1" s="1"/>
  <c r="AT72" i="1" s="1"/>
  <c r="AH31" i="1"/>
  <c r="D31" i="1" s="1"/>
  <c r="L31" i="1" s="1"/>
  <c r="Q335" i="10"/>
  <c r="V31" i="1"/>
  <c r="V70" i="1" s="1"/>
  <c r="V71" i="1" s="1"/>
  <c r="V72" i="1" s="1"/>
  <c r="I62" i="1"/>
  <c r="M64" i="1"/>
  <c r="BF31" i="1"/>
  <c r="BF70" i="1" s="1"/>
  <c r="BF71" i="1" s="1"/>
  <c r="BF72" i="1" s="1"/>
  <c r="F64" i="1"/>
  <c r="N64" i="1" s="1"/>
  <c r="V65" i="1"/>
  <c r="AW31" i="1"/>
  <c r="AW70" i="1" s="1"/>
  <c r="AW71" i="1" s="1"/>
  <c r="AW72" i="1" s="1"/>
  <c r="AG335" i="10"/>
  <c r="CT64" i="1"/>
  <c r="CT75" i="1"/>
  <c r="L16" i="5"/>
  <c r="C23" i="5"/>
  <c r="D23" i="5" s="1"/>
  <c r="E23" i="5" s="1"/>
  <c r="I16" i="5"/>
  <c r="BJ18" i="1"/>
  <c r="BH74" i="1"/>
  <c r="BH78" i="1" s="1"/>
  <c r="CC64" i="1"/>
  <c r="G64" i="1" s="1"/>
  <c r="BH27" i="1"/>
  <c r="BH70" i="1" s="1"/>
  <c r="BH71" i="1" s="1"/>
  <c r="BH72" i="1" s="1"/>
  <c r="BP16" i="1"/>
  <c r="BP27" i="1" s="1"/>
  <c r="BP70" i="1" s="1"/>
  <c r="BP71" i="1" s="1"/>
  <c r="BP72" i="1" s="1"/>
  <c r="F16" i="1"/>
  <c r="N16" i="1" s="1"/>
  <c r="BO27" i="1"/>
  <c r="BO70" i="1" s="1"/>
  <c r="BO71" i="1" s="1"/>
  <c r="BO72" i="1" s="1"/>
  <c r="F18" i="40"/>
  <c r="O48" i="1"/>
  <c r="BG78" i="1"/>
  <c r="CC78" i="1"/>
  <c r="CE48" i="1"/>
  <c r="CD53" i="1"/>
  <c r="CJ18" i="1"/>
  <c r="D13" i="41"/>
  <c r="M16" i="5"/>
  <c r="I34" i="9"/>
  <c r="L33" i="9"/>
  <c r="BO78" i="1"/>
  <c r="CK75" i="1"/>
  <c r="AX335" i="10"/>
  <c r="BN31" i="1"/>
  <c r="I335" i="10"/>
  <c r="AB70" i="1"/>
  <c r="AB71" i="1" s="1"/>
  <c r="AB72" i="1" s="1"/>
  <c r="BI70" i="1"/>
  <c r="BI71" i="1" s="1"/>
  <c r="BI72" i="1" s="1"/>
  <c r="AC70" i="1"/>
  <c r="AC71" i="1" s="1"/>
  <c r="AC72" i="1" s="1"/>
  <c r="BA70" i="1"/>
  <c r="BA71" i="1" s="1"/>
  <c r="BA72" i="1" s="1"/>
  <c r="BC70" i="1"/>
  <c r="BC71" i="1" s="1"/>
  <c r="BC72" i="1" s="1"/>
  <c r="T10" i="1"/>
  <c r="T14" i="1" s="1"/>
  <c r="T32" i="1" s="1"/>
  <c r="B336" i="10"/>
  <c r="BY31" i="1"/>
  <c r="BY70" i="1" s="1"/>
  <c r="BY71" i="1" s="1"/>
  <c r="BY72" i="1" s="1"/>
  <c r="L335" i="10"/>
  <c r="BZ31" i="1"/>
  <c r="BZ70" i="1" s="1"/>
  <c r="BZ71" i="1" s="1"/>
  <c r="BZ72" i="1" s="1"/>
  <c r="D78" i="1"/>
  <c r="L78" i="1" s="1"/>
  <c r="E78" i="1"/>
  <c r="M78" i="1" s="1"/>
  <c r="E75" i="1"/>
  <c r="M75" i="1" s="1"/>
  <c r="F75" i="1"/>
  <c r="N75" i="1" s="1"/>
  <c r="D75" i="1"/>
  <c r="L75" i="1" s="1"/>
  <c r="BG70" i="1"/>
  <c r="BG71" i="1" s="1"/>
  <c r="BG72" i="1" s="1"/>
  <c r="CN335" i="10"/>
  <c r="CZ336" i="10"/>
  <c r="CM335" i="10"/>
  <c r="DM335" i="10"/>
  <c r="AG70" i="1"/>
  <c r="AG71" i="1" s="1"/>
  <c r="AG72" i="1" s="1"/>
  <c r="DL336" i="10"/>
  <c r="CY335" i="10"/>
  <c r="GN62" i="1"/>
  <c r="GN64" i="1" s="1"/>
  <c r="FV62" i="1"/>
  <c r="GB62" i="1"/>
  <c r="GL62" i="1"/>
  <c r="GM62" i="1"/>
  <c r="FF62" i="1"/>
  <c r="FB62" i="1"/>
  <c r="FC62" i="1"/>
  <c r="FT62" i="1"/>
  <c r="EW62" i="1"/>
  <c r="GP62" i="1"/>
  <c r="GQ62" i="1"/>
  <c r="FG62" i="1"/>
  <c r="EV62" i="1"/>
  <c r="FS62" i="1"/>
  <c r="EZ62" i="1"/>
  <c r="EZ64" i="1" s="1"/>
  <c r="EJ335" i="10" s="1"/>
  <c r="ET62" i="1"/>
  <c r="EU62" i="1"/>
  <c r="FU62" i="1"/>
  <c r="GD62" i="1"/>
  <c r="GE62" i="1"/>
  <c r="FR62" i="1"/>
  <c r="FQ62" i="1"/>
  <c r="GF62" i="1"/>
  <c r="FA62" i="1"/>
  <c r="FA64" i="1" s="1"/>
  <c r="EK336" i="10" s="1"/>
  <c r="GA62" i="1"/>
  <c r="GG62" i="1"/>
  <c r="GC62" i="1"/>
  <c r="FY62" i="1"/>
  <c r="FY64" i="1" s="1"/>
  <c r="FI335" i="10" s="1"/>
  <c r="FZ62" i="1"/>
  <c r="GR62" i="1"/>
  <c r="GR64" i="1" s="1"/>
  <c r="GB335" i="10" s="1"/>
  <c r="ES62" i="1"/>
  <c r="ER62" i="1"/>
  <c r="FH62" i="1"/>
  <c r="FI62" i="1"/>
  <c r="GH62" i="1"/>
  <c r="GI62" i="1"/>
  <c r="GI64" i="1" s="1"/>
  <c r="FE62" i="1"/>
  <c r="FJ62" i="1"/>
  <c r="FK62" i="1"/>
  <c r="FK64" i="1" s="1"/>
  <c r="EU335" i="10" s="1"/>
  <c r="FD62" i="1"/>
  <c r="FP62" i="1"/>
  <c r="EP62" i="1"/>
  <c r="EQ62" i="1"/>
  <c r="FN62" i="1"/>
  <c r="FO62" i="1"/>
  <c r="EX62" i="1"/>
  <c r="EY62" i="1"/>
  <c r="EY64" i="1" s="1"/>
  <c r="FL62" i="1"/>
  <c r="FL64" i="1" s="1"/>
  <c r="EV336" i="10" s="1"/>
  <c r="CH75" i="1"/>
  <c r="CM75" i="1"/>
  <c r="CL75" i="1"/>
  <c r="EO62" i="1"/>
  <c r="EO64" i="1" s="1"/>
  <c r="DY335" i="10" s="1"/>
  <c r="M26" i="1"/>
  <c r="CO336" i="10"/>
  <c r="BX70" i="1"/>
  <c r="BX71" i="1" s="1"/>
  <c r="BX72" i="1" s="1"/>
  <c r="FX62" i="1"/>
  <c r="FX64" i="1" s="1"/>
  <c r="FH336" i="10" s="1"/>
  <c r="GK62" i="1"/>
  <c r="GK64" i="1" s="1"/>
  <c r="FU336" i="10" s="1"/>
  <c r="Q26" i="1"/>
  <c r="C25" i="10" s="1"/>
  <c r="CS81" i="1"/>
  <c r="CS82" i="1" s="1"/>
  <c r="CR81" i="1"/>
  <c r="CR82" i="1" s="1"/>
  <c r="AF70" i="1"/>
  <c r="AF71" i="1" s="1"/>
  <c r="AF72" i="1" s="1"/>
  <c r="FW62" i="1"/>
  <c r="FW64" i="1" s="1"/>
  <c r="FG335" i="10" s="1"/>
  <c r="CD62" i="1"/>
  <c r="G81" i="1"/>
  <c r="O81" i="1" s="1"/>
  <c r="DA81" i="1"/>
  <c r="DA82" i="1" s="1"/>
  <c r="FM62" i="1"/>
  <c r="FM64" i="1" s="1"/>
  <c r="EW336" i="10" s="1"/>
  <c r="CO75" i="1"/>
  <c r="CZ81" i="1"/>
  <c r="CZ82" i="1" s="1"/>
  <c r="BR82" i="1"/>
  <c r="G82" i="1" s="1"/>
  <c r="O82" i="1" s="1"/>
  <c r="CJ81" i="1"/>
  <c r="CJ82" i="1" s="1"/>
  <c r="BW70" i="1"/>
  <c r="BW71" i="1" s="1"/>
  <c r="BW72" i="1" s="1"/>
  <c r="E81" i="1"/>
  <c r="M81" i="1" s="1"/>
  <c r="E82" i="1"/>
  <c r="M82" i="1" s="1"/>
  <c r="CI75" i="1"/>
  <c r="C82" i="1"/>
  <c r="K82" i="1" s="1"/>
  <c r="DZ81" i="1"/>
  <c r="DZ82" i="1" s="1"/>
  <c r="DI81" i="1"/>
  <c r="DI82" i="1" s="1"/>
  <c r="EI81" i="1"/>
  <c r="EI82" i="1" s="1"/>
  <c r="DD81" i="1"/>
  <c r="DD82" i="1" s="1"/>
  <c r="DK81" i="1"/>
  <c r="DK82" i="1" s="1"/>
  <c r="DQ81" i="1"/>
  <c r="DQ82" i="1" s="1"/>
  <c r="EK81" i="1"/>
  <c r="EK82" i="1" s="1"/>
  <c r="EF81" i="1"/>
  <c r="EF82" i="1" s="1"/>
  <c r="F81" i="1"/>
  <c r="N81" i="1" s="1"/>
  <c r="EG81" i="1"/>
  <c r="EG82" i="1" s="1"/>
  <c r="DW81" i="1"/>
  <c r="DW82" i="1" s="1"/>
  <c r="DF81" i="1"/>
  <c r="DF82" i="1" s="1"/>
  <c r="EA81" i="1"/>
  <c r="EA82" i="1" s="1"/>
  <c r="DY81" i="1"/>
  <c r="DY82" i="1" s="1"/>
  <c r="DU81" i="1"/>
  <c r="DU82" i="1" s="1"/>
  <c r="DO81" i="1"/>
  <c r="DO82" i="1" s="1"/>
  <c r="AY70" i="1"/>
  <c r="AY71" i="1" s="1"/>
  <c r="AY72" i="1" s="1"/>
  <c r="DR81" i="1"/>
  <c r="DR82" i="1" s="1"/>
  <c r="DJ81" i="1"/>
  <c r="DJ82" i="1" s="1"/>
  <c r="DL81" i="1"/>
  <c r="DL82" i="1" s="1"/>
  <c r="EE81" i="1"/>
  <c r="EE82" i="1" s="1"/>
  <c r="ED81" i="1"/>
  <c r="ED82" i="1" s="1"/>
  <c r="EH81" i="1"/>
  <c r="EH82" i="1" s="1"/>
  <c r="C81" i="1"/>
  <c r="K81" i="1" s="1"/>
  <c r="DX81" i="1"/>
  <c r="DX82" i="1" s="1"/>
  <c r="DH81" i="1"/>
  <c r="DH82" i="1" s="1"/>
  <c r="EC81" i="1"/>
  <c r="EC82" i="1" s="1"/>
  <c r="DS81" i="1"/>
  <c r="DS82" i="1" s="1"/>
  <c r="DP81" i="1"/>
  <c r="DP82" i="1" s="1"/>
  <c r="DE81" i="1"/>
  <c r="DE82" i="1" s="1"/>
  <c r="EB81" i="1"/>
  <c r="EB82" i="1" s="1"/>
  <c r="DM81" i="1"/>
  <c r="DM82" i="1" s="1"/>
  <c r="EJ81" i="1"/>
  <c r="EJ82" i="1" s="1"/>
  <c r="DG81" i="1"/>
  <c r="DG82" i="1" s="1"/>
  <c r="DT81" i="1"/>
  <c r="DT82" i="1" s="1"/>
  <c r="DC81" i="1"/>
  <c r="DC82" i="1" s="1"/>
  <c r="DN81" i="1"/>
  <c r="DN82" i="1" s="1"/>
  <c r="DV81" i="1"/>
  <c r="DV82" i="1" s="1"/>
  <c r="F82" i="1"/>
  <c r="N82" i="1" s="1"/>
  <c r="G75" i="1"/>
  <c r="O75" i="1" s="1"/>
  <c r="K26" i="1"/>
  <c r="CG75" i="1"/>
  <c r="CJ335" i="10"/>
  <c r="CL335" i="10"/>
  <c r="Q56" i="1"/>
  <c r="C30" i="10" s="1"/>
  <c r="E30" i="10" s="1"/>
  <c r="CJ75" i="1"/>
  <c r="CK335" i="10"/>
  <c r="I26" i="1"/>
  <c r="CC335" i="10"/>
  <c r="CS75" i="1"/>
  <c r="CB335" i="10"/>
  <c r="CR31" i="1"/>
  <c r="CW53" i="1"/>
  <c r="CX48" i="1"/>
  <c r="H38" i="9"/>
  <c r="CR75" i="1"/>
  <c r="BQ18" i="1"/>
  <c r="BQ27" i="1" s="1"/>
  <c r="CE75" i="1"/>
  <c r="I51" i="11"/>
  <c r="BU77" i="11"/>
  <c r="BX80" i="11"/>
  <c r="BV77" i="11"/>
  <c r="BX9" i="11"/>
  <c r="CB15" i="11"/>
  <c r="CB12" i="11"/>
  <c r="CB13" i="11"/>
  <c r="CB14" i="11"/>
  <c r="CB11" i="11"/>
  <c r="CG80" i="11"/>
  <c r="CC77" i="11"/>
  <c r="CB77" i="11"/>
  <c r="BX36" i="11"/>
  <c r="BZ9" i="11"/>
  <c r="BZ40" i="11" s="1"/>
  <c r="BW36" i="11"/>
  <c r="BX77" i="11"/>
  <c r="BW77" i="11"/>
  <c r="BZ80" i="11"/>
  <c r="J91" i="11"/>
  <c r="K91" i="11"/>
  <c r="R91" i="11"/>
  <c r="S91" i="11"/>
  <c r="CN80" i="11"/>
  <c r="CK77" i="11"/>
  <c r="CH77" i="11"/>
  <c r="BY77" i="11"/>
  <c r="BZ77" i="11"/>
  <c r="CC80" i="11"/>
  <c r="CK80" i="11"/>
  <c r="CD77" i="11"/>
  <c r="CG77" i="11"/>
  <c r="CP75" i="1"/>
  <c r="CQ75" i="1"/>
  <c r="Q62" i="1"/>
  <c r="O15" i="5"/>
  <c r="N16" i="5"/>
  <c r="P16" i="5"/>
  <c r="CD81" i="1"/>
  <c r="H26" i="1"/>
  <c r="P26" i="1" s="1"/>
  <c r="CV13" i="1"/>
  <c r="CV76" i="1"/>
  <c r="DF16" i="1"/>
  <c r="GO62" i="1"/>
  <c r="GO64" i="1" s="1"/>
  <c r="GS62" i="1"/>
  <c r="GS64" i="1" s="1"/>
  <c r="K56" i="1"/>
  <c r="K62" i="1" s="1"/>
  <c r="DX335" i="10"/>
  <c r="DX336" i="10"/>
  <c r="W64" i="1"/>
  <c r="C64" i="1" s="1"/>
  <c r="W75" i="1"/>
  <c r="GJ62" i="1"/>
  <c r="GJ64" i="1" s="1"/>
  <c r="EM62" i="1"/>
  <c r="EM64" i="1" s="1"/>
  <c r="CF75" i="1"/>
  <c r="AI70" i="1"/>
  <c r="AI71" i="1" s="1"/>
  <c r="AI72" i="1" s="1"/>
  <c r="AU70" i="1"/>
  <c r="AU71" i="1" s="1"/>
  <c r="AU72" i="1" s="1"/>
  <c r="CW74" i="1" l="1"/>
  <c r="CW78" i="1" s="1"/>
  <c r="CW64" i="1"/>
  <c r="CW31" i="1" s="1"/>
  <c r="CF335" i="10"/>
  <c r="CV31" i="1"/>
  <c r="CV78" i="1"/>
  <c r="CD15" i="11"/>
  <c r="CC15" i="11" s="1"/>
  <c r="CH15" i="11" s="1"/>
  <c r="CG15" i="11" s="1"/>
  <c r="CD12" i="11"/>
  <c r="CC12" i="11" s="1"/>
  <c r="CH12" i="11" s="1"/>
  <c r="CG12" i="11" s="1"/>
  <c r="BZ13" i="11"/>
  <c r="CD13" i="11" s="1"/>
  <c r="CC13" i="11" s="1"/>
  <c r="CH13" i="11" s="1"/>
  <c r="CG13" i="11" s="1"/>
  <c r="CD14" i="11"/>
  <c r="CC14" i="11" s="1"/>
  <c r="CH14" i="11" s="1"/>
  <c r="CG14" i="11" s="1"/>
  <c r="CD11" i="11"/>
  <c r="CC11" i="11" s="1"/>
  <c r="CH11" i="11" s="1"/>
  <c r="CG11" i="11" s="1"/>
  <c r="I38" i="11"/>
  <c r="G37" i="11"/>
  <c r="H37" i="11"/>
  <c r="D37" i="11"/>
  <c r="F37" i="11"/>
  <c r="I37" i="11"/>
  <c r="E37" i="11"/>
  <c r="BY36" i="11"/>
  <c r="CC9" i="11"/>
  <c r="CC40" i="11" s="1"/>
  <c r="BZ36" i="11"/>
  <c r="CE36" i="11"/>
  <c r="CG36" i="11"/>
  <c r="CK9" i="11"/>
  <c r="G38" i="11"/>
  <c r="AW39" i="11"/>
  <c r="G39" i="11" s="1"/>
  <c r="CC36" i="11"/>
  <c r="CA36" i="11"/>
  <c r="CG9" i="11"/>
  <c r="CG40" i="11" s="1"/>
  <c r="Y39" i="11"/>
  <c r="E39" i="11" s="1"/>
  <c r="E38" i="11"/>
  <c r="F38" i="11"/>
  <c r="AK39" i="11"/>
  <c r="F39" i="11" s="1"/>
  <c r="M39" i="11"/>
  <c r="D38" i="11"/>
  <c r="BI39" i="11"/>
  <c r="H38" i="11"/>
  <c r="CH36" i="11"/>
  <c r="CN9" i="11"/>
  <c r="I7" i="11"/>
  <c r="CK36" i="11"/>
  <c r="CD335" i="10"/>
  <c r="CT31" i="1"/>
  <c r="AH70" i="1"/>
  <c r="AH71" i="1" s="1"/>
  <c r="AH72" i="1" s="1"/>
  <c r="F31" i="1"/>
  <c r="N31" i="1" s="1"/>
  <c r="CD74" i="1"/>
  <c r="CD75" i="1"/>
  <c r="H75" i="1" s="1"/>
  <c r="P75" i="1" s="1"/>
  <c r="H62" i="1"/>
  <c r="O53" i="1"/>
  <c r="F5" i="41"/>
  <c r="P56" i="1"/>
  <c r="P62" i="1" s="1"/>
  <c r="O56" i="1"/>
  <c r="O62" i="1" s="1"/>
  <c r="E31" i="1"/>
  <c r="M31" i="1" s="1"/>
  <c r="BP74" i="1"/>
  <c r="BP78" i="1" s="1"/>
  <c r="CC31" i="1"/>
  <c r="CC70" i="1" s="1"/>
  <c r="CC71" i="1" s="1"/>
  <c r="CC72" i="1" s="1"/>
  <c r="BM335" i="10"/>
  <c r="CK18" i="1"/>
  <c r="CJ27" i="1"/>
  <c r="F20" i="40"/>
  <c r="F23" i="40" s="1"/>
  <c r="BK18" i="1"/>
  <c r="BJ74" i="1"/>
  <c r="BJ78" i="1" s="1"/>
  <c r="BJ27" i="1"/>
  <c r="BJ70" i="1" s="1"/>
  <c r="BJ71" i="1" s="1"/>
  <c r="BJ72" i="1" s="1"/>
  <c r="CE53" i="1"/>
  <c r="CF48" i="1"/>
  <c r="I35" i="9"/>
  <c r="L34" i="9"/>
  <c r="EJ336" i="10"/>
  <c r="FG336" i="10"/>
  <c r="T33" i="1"/>
  <c r="C336" i="10"/>
  <c r="U10" i="1"/>
  <c r="U14" i="1" s="1"/>
  <c r="U32" i="1" s="1"/>
  <c r="EK335" i="10"/>
  <c r="FH335" i="10"/>
  <c r="FI336" i="10"/>
  <c r="EU336" i="10"/>
  <c r="FS335" i="10"/>
  <c r="FS336" i="10"/>
  <c r="EI336" i="10"/>
  <c r="EI335" i="10"/>
  <c r="EW335" i="10"/>
  <c r="EV335" i="10"/>
  <c r="GB336" i="10"/>
  <c r="GT62" i="1"/>
  <c r="GT64" i="1" s="1"/>
  <c r="GD335" i="10" s="1"/>
  <c r="DY336" i="10"/>
  <c r="FU335" i="10"/>
  <c r="CD64" i="1"/>
  <c r="FJ81" i="1"/>
  <c r="FJ82" i="1" s="1"/>
  <c r="FU81" i="1"/>
  <c r="FU82" i="1" s="1"/>
  <c r="FS81" i="1"/>
  <c r="FS82" i="1" s="1"/>
  <c r="FV81" i="1"/>
  <c r="FV82" i="1" s="1"/>
  <c r="FY81" i="1"/>
  <c r="FY82" i="1" s="1"/>
  <c r="FX81" i="1"/>
  <c r="FX82" i="1" s="1"/>
  <c r="GD81" i="1"/>
  <c r="GD82" i="1" s="1"/>
  <c r="FB81" i="1"/>
  <c r="FB82" i="1" s="1"/>
  <c r="EX81" i="1"/>
  <c r="EX82" i="1" s="1"/>
  <c r="ER81" i="1"/>
  <c r="ER82" i="1" s="1"/>
  <c r="GO81" i="1"/>
  <c r="GO82" i="1" s="1"/>
  <c r="EM81" i="1"/>
  <c r="EM82" i="1" s="1"/>
  <c r="FE81" i="1"/>
  <c r="FE82" i="1" s="1"/>
  <c r="FA81" i="1"/>
  <c r="FA82" i="1" s="1"/>
  <c r="GE81" i="1"/>
  <c r="GE82" i="1" s="1"/>
  <c r="FR81" i="1"/>
  <c r="FR82" i="1" s="1"/>
  <c r="GM81" i="1"/>
  <c r="GM82" i="1" s="1"/>
  <c r="FC81" i="1"/>
  <c r="FC82" i="1" s="1"/>
  <c r="GJ81" i="1"/>
  <c r="GJ82" i="1" s="1"/>
  <c r="EZ81" i="1"/>
  <c r="EZ82" i="1" s="1"/>
  <c r="ET81" i="1"/>
  <c r="ET82" i="1" s="1"/>
  <c r="FQ81" i="1"/>
  <c r="FQ82" i="1" s="1"/>
  <c r="EY81" i="1"/>
  <c r="EY82" i="1" s="1"/>
  <c r="GB81" i="1"/>
  <c r="GB82" i="1" s="1"/>
  <c r="FP81" i="1"/>
  <c r="FP82" i="1" s="1"/>
  <c r="EU81" i="1"/>
  <c r="EU82" i="1" s="1"/>
  <c r="GC81" i="1"/>
  <c r="GC82" i="1" s="1"/>
  <c r="FL81" i="1"/>
  <c r="FL82" i="1" s="1"/>
  <c r="FW81" i="1"/>
  <c r="FW82" i="1" s="1"/>
  <c r="GH81" i="1"/>
  <c r="GH82" i="1" s="1"/>
  <c r="GP81" i="1"/>
  <c r="GP82" i="1" s="1"/>
  <c r="FK81" i="1"/>
  <c r="FK82" i="1" s="1"/>
  <c r="FN81" i="1"/>
  <c r="FN82" i="1" s="1"/>
  <c r="FD81" i="1"/>
  <c r="FD82" i="1" s="1"/>
  <c r="EW81" i="1"/>
  <c r="EW82" i="1" s="1"/>
  <c r="FZ81" i="1"/>
  <c r="FZ82" i="1" s="1"/>
  <c r="EV81" i="1"/>
  <c r="EV82" i="1" s="1"/>
  <c r="EN81" i="1"/>
  <c r="EN82" i="1" s="1"/>
  <c r="FG81" i="1"/>
  <c r="FG82" i="1" s="1"/>
  <c r="GF81" i="1"/>
  <c r="GF82" i="1" s="1"/>
  <c r="GG81" i="1"/>
  <c r="GG82" i="1" s="1"/>
  <c r="ES81" i="1"/>
  <c r="ES82" i="1" s="1"/>
  <c r="EQ81" i="1"/>
  <c r="EQ82" i="1" s="1"/>
  <c r="FT81" i="1"/>
  <c r="FT82" i="1" s="1"/>
  <c r="GR81" i="1"/>
  <c r="GR82" i="1" s="1"/>
  <c r="FF81" i="1"/>
  <c r="FF82" i="1" s="1"/>
  <c r="GA81" i="1"/>
  <c r="GA82" i="1" s="1"/>
  <c r="EO81" i="1"/>
  <c r="EO82" i="1" s="1"/>
  <c r="GN81" i="1"/>
  <c r="GN82" i="1" s="1"/>
  <c r="FM81" i="1"/>
  <c r="FM82" i="1" s="1"/>
  <c r="GQ81" i="1"/>
  <c r="GQ82" i="1" s="1"/>
  <c r="GI81" i="1"/>
  <c r="GI82" i="1" s="1"/>
  <c r="FH81" i="1"/>
  <c r="FH82" i="1" s="1"/>
  <c r="GS81" i="1"/>
  <c r="GS82" i="1" s="1"/>
  <c r="EL81" i="1"/>
  <c r="EL82" i="1" s="1"/>
  <c r="EP81" i="1"/>
  <c r="EP82" i="1" s="1"/>
  <c r="FI81" i="1"/>
  <c r="FI82" i="1" s="1"/>
  <c r="GK81" i="1"/>
  <c r="GK82" i="1" s="1"/>
  <c r="GL81" i="1"/>
  <c r="GL82" i="1" s="1"/>
  <c r="FO81" i="1"/>
  <c r="FO82" i="1" s="1"/>
  <c r="CX53" i="1"/>
  <c r="CY48" i="1"/>
  <c r="H39" i="9"/>
  <c r="BQ70" i="1"/>
  <c r="BQ71" i="1" s="1"/>
  <c r="BQ72" i="1" s="1"/>
  <c r="BR18" i="1"/>
  <c r="BR27" i="1" s="1"/>
  <c r="BQ74" i="1"/>
  <c r="BV36" i="11"/>
  <c r="BU36" i="11"/>
  <c r="BX40" i="11"/>
  <c r="I80" i="11"/>
  <c r="I97" i="11" s="1"/>
  <c r="K97" i="11" s="1"/>
  <c r="I77" i="11"/>
  <c r="I95" i="11" s="1"/>
  <c r="K95" i="11" s="1"/>
  <c r="O16" i="5"/>
  <c r="Q16" i="5"/>
  <c r="E25" i="10"/>
  <c r="C26" i="10"/>
  <c r="CD82" i="1"/>
  <c r="H82" i="1" s="1"/>
  <c r="P82" i="1" s="1"/>
  <c r="H81" i="1"/>
  <c r="P81" i="1" s="1"/>
  <c r="CW76" i="1"/>
  <c r="CW13" i="1"/>
  <c r="CX69" i="1"/>
  <c r="DG16" i="1"/>
  <c r="FY335" i="10"/>
  <c r="FY336" i="10"/>
  <c r="GC335" i="10"/>
  <c r="GC336" i="10"/>
  <c r="W78" i="1"/>
  <c r="C78" i="1" s="1"/>
  <c r="K78" i="1" s="1"/>
  <c r="C75" i="1"/>
  <c r="K75" i="1" s="1"/>
  <c r="W31" i="1"/>
  <c r="C31" i="1" s="1"/>
  <c r="F335" i="10"/>
  <c r="W65" i="1"/>
  <c r="DW335" i="10"/>
  <c r="DW336" i="10"/>
  <c r="FT335" i="10"/>
  <c r="FT336" i="10"/>
  <c r="FX335" i="10"/>
  <c r="FX336" i="10"/>
  <c r="D32" i="1"/>
  <c r="CX74" i="1" l="1"/>
  <c r="CX64" i="1"/>
  <c r="CG335" i="10"/>
  <c r="CL15" i="11"/>
  <c r="CM15" i="11"/>
  <c r="CK15" i="11" s="1"/>
  <c r="CO15" i="11" s="1"/>
  <c r="CN15" i="11" s="1"/>
  <c r="I15" i="11" s="1"/>
  <c r="CM12" i="11"/>
  <c r="CK12" i="11" s="1"/>
  <c r="CO12" i="11" s="1"/>
  <c r="CN12" i="11" s="1"/>
  <c r="I12" i="11" s="1"/>
  <c r="CL12" i="11"/>
  <c r="CL13" i="11"/>
  <c r="CM13" i="11"/>
  <c r="CK13" i="11" s="1"/>
  <c r="CO13" i="11" s="1"/>
  <c r="CN13" i="11" s="1"/>
  <c r="I13" i="11" s="1"/>
  <c r="CM14" i="11"/>
  <c r="CK14" i="11" s="1"/>
  <c r="CO14" i="11" s="1"/>
  <c r="CN14" i="11" s="1"/>
  <c r="I14" i="11" s="1"/>
  <c r="CL14" i="11"/>
  <c r="CM11" i="11"/>
  <c r="CK11" i="11" s="1"/>
  <c r="CO11" i="11" s="1"/>
  <c r="CN11" i="11" s="1"/>
  <c r="I11" i="11" s="1"/>
  <c r="CL11" i="11"/>
  <c r="CK40" i="11"/>
  <c r="D39" i="11"/>
  <c r="C39" i="11"/>
  <c r="CN40" i="11"/>
  <c r="I40" i="11" s="1"/>
  <c r="I92" i="11" s="1"/>
  <c r="K92" i="11" s="1"/>
  <c r="I9" i="11"/>
  <c r="CD78" i="1"/>
  <c r="D14" i="41"/>
  <c r="D18" i="41" s="1"/>
  <c r="D20" i="41" s="1"/>
  <c r="C14" i="41"/>
  <c r="C18" i="41" s="1"/>
  <c r="C20" i="41" s="1"/>
  <c r="E32" i="1"/>
  <c r="M32" i="1" s="1"/>
  <c r="M33" i="1" s="1"/>
  <c r="G31" i="1"/>
  <c r="O31" i="1" s="1"/>
  <c r="CE74" i="1"/>
  <c r="CE78" i="1" s="1"/>
  <c r="CE64" i="1"/>
  <c r="CL18" i="1"/>
  <c r="CK27" i="1"/>
  <c r="CF53" i="1"/>
  <c r="CG48" i="1"/>
  <c r="BL18" i="1"/>
  <c r="BK74" i="1"/>
  <c r="BK78" i="1" s="1"/>
  <c r="BK27" i="1"/>
  <c r="BK70" i="1" s="1"/>
  <c r="BK71" i="1" s="1"/>
  <c r="BK72" i="1" s="1"/>
  <c r="I36" i="9"/>
  <c r="L35" i="9"/>
  <c r="C10" i="1"/>
  <c r="U33" i="1"/>
  <c r="V10" i="1"/>
  <c r="V14" i="1" s="1"/>
  <c r="V32" i="1" s="1"/>
  <c r="D336" i="10"/>
  <c r="GD336" i="10"/>
  <c r="CD31" i="1"/>
  <c r="CD70" i="1" s="1"/>
  <c r="CD71" i="1" s="1"/>
  <c r="CD72" i="1" s="1"/>
  <c r="BN335" i="10"/>
  <c r="O64" i="1"/>
  <c r="GT81" i="1"/>
  <c r="GT82" i="1" s="1"/>
  <c r="CY53" i="1"/>
  <c r="CZ48" i="1"/>
  <c r="H40" i="9"/>
  <c r="BQ78" i="1"/>
  <c r="BR74" i="1"/>
  <c r="BR78" i="1" s="1"/>
  <c r="BS18" i="1"/>
  <c r="BS27" i="1" s="1"/>
  <c r="BR70" i="1"/>
  <c r="BR71" i="1" s="1"/>
  <c r="BR72" i="1" s="1"/>
  <c r="I36" i="11"/>
  <c r="I90" i="11" s="1"/>
  <c r="K90" i="11" s="1"/>
  <c r="E26" i="10"/>
  <c r="CX76" i="1"/>
  <c r="CY69" i="1"/>
  <c r="CX13" i="1"/>
  <c r="DH16" i="1"/>
  <c r="AG65" i="1"/>
  <c r="Z65" i="1"/>
  <c r="K64" i="1"/>
  <c r="AH65" i="1"/>
  <c r="AC65" i="1"/>
  <c r="AF65" i="1"/>
  <c r="AD65" i="1"/>
  <c r="AE65" i="1"/>
  <c r="Y65" i="1"/>
  <c r="X65" i="1"/>
  <c r="AB65" i="1"/>
  <c r="AA65" i="1"/>
  <c r="W70" i="1"/>
  <c r="W71" i="1" s="1"/>
  <c r="W72" i="1" s="1"/>
  <c r="L32" i="1"/>
  <c r="L33" i="1" s="1"/>
  <c r="D33" i="1"/>
  <c r="CY74" i="1" l="1"/>
  <c r="CY64" i="1"/>
  <c r="C4" i="10"/>
  <c r="E4" i="10"/>
  <c r="E3" i="10" s="1"/>
  <c r="CH335" i="10"/>
  <c r="CX31" i="1"/>
  <c r="CX78" i="1"/>
  <c r="E33" i="1"/>
  <c r="BM18" i="1"/>
  <c r="BL74" i="1"/>
  <c r="BL78" i="1" s="1"/>
  <c r="BL27" i="1"/>
  <c r="BL70" i="1" s="1"/>
  <c r="BL71" i="1" s="1"/>
  <c r="BL72" i="1" s="1"/>
  <c r="CH48" i="1"/>
  <c r="CG53" i="1"/>
  <c r="BO335" i="10"/>
  <c r="CE31" i="1"/>
  <c r="CF74" i="1"/>
  <c r="CF78" i="1" s="1"/>
  <c r="CF64" i="1"/>
  <c r="CM18" i="1"/>
  <c r="CL27" i="1"/>
  <c r="I37" i="9"/>
  <c r="L36" i="9"/>
  <c r="V33" i="1"/>
  <c r="E336" i="10"/>
  <c r="W10" i="1"/>
  <c r="W14" i="1" s="1"/>
  <c r="W32" i="1" s="1"/>
  <c r="CZ53" i="1"/>
  <c r="DA48" i="1"/>
  <c r="H41" i="9"/>
  <c r="BS74" i="1"/>
  <c r="BS78" i="1" s="1"/>
  <c r="BT18" i="1"/>
  <c r="BT27" i="1" s="1"/>
  <c r="BS70" i="1"/>
  <c r="BS71" i="1" s="1"/>
  <c r="BS72" i="1" s="1"/>
  <c r="CZ11" i="1"/>
  <c r="CY76" i="1"/>
  <c r="CY13" i="1"/>
  <c r="DI16" i="1"/>
  <c r="C32" i="1"/>
  <c r="K31" i="1"/>
  <c r="CY31" i="1" l="1"/>
  <c r="CI335" i="10"/>
  <c r="F4" i="10"/>
  <c r="C7" i="10"/>
  <c r="B3" i="1"/>
  <c r="F3" i="10"/>
  <c r="I3" i="10" s="1"/>
  <c r="B4" i="1" s="1"/>
  <c r="CY78" i="1"/>
  <c r="B14" i="41"/>
  <c r="B18" i="41" s="1"/>
  <c r="B20" i="41" s="1"/>
  <c r="CN18" i="1"/>
  <c r="CM27" i="1"/>
  <c r="CG74" i="1"/>
  <c r="CG78" i="1" s="1"/>
  <c r="CG64" i="1"/>
  <c r="BP335" i="10"/>
  <c r="CF31" i="1"/>
  <c r="CE70" i="1"/>
  <c r="CE71" i="1" s="1"/>
  <c r="CE72" i="1" s="1"/>
  <c r="CH53" i="1"/>
  <c r="CI48" i="1"/>
  <c r="BN18" i="1"/>
  <c r="BM74" i="1"/>
  <c r="BM27" i="1"/>
  <c r="BM70" i="1" s="1"/>
  <c r="BM71" i="1" s="1"/>
  <c r="BM72" i="1" s="1"/>
  <c r="I38" i="9"/>
  <c r="L37" i="9"/>
  <c r="F336" i="10"/>
  <c r="W33" i="1"/>
  <c r="X10" i="1"/>
  <c r="X14" i="1" s="1"/>
  <c r="X32" i="1" s="1"/>
  <c r="DB48" i="1"/>
  <c r="DA53" i="1"/>
  <c r="H42" i="9"/>
  <c r="G18" i="1"/>
  <c r="BT70" i="1"/>
  <c r="BT71" i="1" s="1"/>
  <c r="BT72" i="1" s="1"/>
  <c r="BT74" i="1"/>
  <c r="BT78" i="1" s="1"/>
  <c r="G78" i="1" s="1"/>
  <c r="O78" i="1" s="1"/>
  <c r="CZ72" i="1"/>
  <c r="CZ76" i="1"/>
  <c r="DB11" i="1"/>
  <c r="CZ13" i="1"/>
  <c r="DA11" i="1"/>
  <c r="I11" i="1" s="1"/>
  <c r="DJ16" i="1"/>
  <c r="C33" i="1"/>
  <c r="K32" i="1"/>
  <c r="K33" i="1" s="1"/>
  <c r="F7" i="10" l="1"/>
  <c r="G7" i="10" s="1"/>
  <c r="D7" i="10"/>
  <c r="CG31" i="1"/>
  <c r="BQ335" i="10"/>
  <c r="CH74" i="1"/>
  <c r="CH78" i="1" s="1"/>
  <c r="CH64" i="1"/>
  <c r="BM78" i="1"/>
  <c r="BN27" i="1"/>
  <c r="BN70" i="1" s="1"/>
  <c r="BN71" i="1" s="1"/>
  <c r="BN72" i="1" s="1"/>
  <c r="BN74" i="1"/>
  <c r="BN78" i="1" s="1"/>
  <c r="F18" i="1"/>
  <c r="CO18" i="1"/>
  <c r="CN27" i="1"/>
  <c r="CF70" i="1"/>
  <c r="CF71" i="1" s="1"/>
  <c r="CF72" i="1" s="1"/>
  <c r="CJ48" i="1"/>
  <c r="CI53" i="1"/>
  <c r="I39" i="9"/>
  <c r="L38" i="9"/>
  <c r="G336" i="10"/>
  <c r="Y10" i="1"/>
  <c r="Y14" i="1" s="1"/>
  <c r="Y32" i="1" s="1"/>
  <c r="X33" i="1"/>
  <c r="DC48" i="1"/>
  <c r="DB53" i="1"/>
  <c r="H43" i="9"/>
  <c r="O18" i="1"/>
  <c r="F2" i="41" s="1"/>
  <c r="F19" i="41" s="1"/>
  <c r="G27" i="1"/>
  <c r="G74" i="1"/>
  <c r="O74" i="1" s="1"/>
  <c r="R9" i="10"/>
  <c r="Y5" i="10"/>
  <c r="I13" i="1"/>
  <c r="I14" i="1"/>
  <c r="Q11" i="1"/>
  <c r="H16" i="41" s="1"/>
  <c r="DA76" i="1"/>
  <c r="DA72" i="1"/>
  <c r="DA13" i="1"/>
  <c r="DB76" i="1"/>
  <c r="DC11" i="1"/>
  <c r="DB13" i="1"/>
  <c r="DB72" i="1"/>
  <c r="DK16" i="1"/>
  <c r="F13" i="41" l="1"/>
  <c r="CP18" i="1"/>
  <c r="H18" i="1"/>
  <c r="F78" i="1"/>
  <c r="N78" i="1" s="1"/>
  <c r="N18" i="1"/>
  <c r="E2" i="41" s="1"/>
  <c r="E19" i="41" s="1"/>
  <c r="F27" i="1"/>
  <c r="CH31" i="1"/>
  <c r="BR335" i="10"/>
  <c r="F74" i="1"/>
  <c r="N74" i="1" s="1"/>
  <c r="CI64" i="1"/>
  <c r="CI74" i="1"/>
  <c r="CI78" i="1" s="1"/>
  <c r="CK48" i="1"/>
  <c r="CJ53" i="1"/>
  <c r="CG70" i="1"/>
  <c r="CG71" i="1" s="1"/>
  <c r="CG72" i="1" s="1"/>
  <c r="I40" i="9"/>
  <c r="L39" i="9"/>
  <c r="Y33" i="1"/>
  <c r="Z10" i="1"/>
  <c r="Z14" i="1" s="1"/>
  <c r="Z32" i="1" s="1"/>
  <c r="H336" i="10"/>
  <c r="DC53" i="1"/>
  <c r="DD48" i="1"/>
  <c r="H44" i="9"/>
  <c r="O27" i="1"/>
  <c r="G32" i="1"/>
  <c r="Q13" i="1"/>
  <c r="DD11" i="1"/>
  <c r="DC13" i="1"/>
  <c r="DC76" i="1"/>
  <c r="DC72" i="1"/>
  <c r="DL16" i="1"/>
  <c r="F14" i="41" l="1"/>
  <c r="F18" i="41" s="1"/>
  <c r="F20" i="41" s="1"/>
  <c r="E13" i="41"/>
  <c r="CL48" i="1"/>
  <c r="CK53" i="1"/>
  <c r="CI31" i="1"/>
  <c r="CI70" i="1" s="1"/>
  <c r="CI71" i="1" s="1"/>
  <c r="CI72" i="1" s="1"/>
  <c r="BS335" i="10"/>
  <c r="CH70" i="1"/>
  <c r="CH71" i="1" s="1"/>
  <c r="CH72" i="1" s="1"/>
  <c r="N27" i="1"/>
  <c r="F32" i="1"/>
  <c r="CJ64" i="1"/>
  <c r="CJ74" i="1"/>
  <c r="CJ78" i="1" s="1"/>
  <c r="CQ18" i="1"/>
  <c r="CP27" i="1"/>
  <c r="I41" i="9"/>
  <c r="L40" i="9"/>
  <c r="AA10" i="1"/>
  <c r="AA14" i="1" s="1"/>
  <c r="AA32" i="1" s="1"/>
  <c r="I336" i="10"/>
  <c r="Z33" i="1"/>
  <c r="DE48" i="1"/>
  <c r="DD53" i="1"/>
  <c r="H45" i="9"/>
  <c r="O32" i="1"/>
  <c r="O33" i="1" s="1"/>
  <c r="G33" i="1"/>
  <c r="D34" i="10"/>
  <c r="C34" i="10"/>
  <c r="DE11" i="1"/>
  <c r="DD72" i="1"/>
  <c r="DD76" i="1"/>
  <c r="DD13" i="1"/>
  <c r="DM16" i="1"/>
  <c r="E14" i="41" l="1"/>
  <c r="E18" i="41" s="1"/>
  <c r="E20" i="41" s="1"/>
  <c r="F33" i="1"/>
  <c r="N32" i="1"/>
  <c r="N33" i="1" s="1"/>
  <c r="CR18" i="1"/>
  <c r="CK64" i="1"/>
  <c r="CK74" i="1"/>
  <c r="CK78" i="1" s="1"/>
  <c r="CM48" i="1"/>
  <c r="CL53" i="1"/>
  <c r="BT335" i="10"/>
  <c r="CJ31" i="1"/>
  <c r="I42" i="9"/>
  <c r="L41" i="9"/>
  <c r="J336" i="10"/>
  <c r="AA33" i="1"/>
  <c r="AB10" i="1"/>
  <c r="AB14" i="1" s="1"/>
  <c r="AB32" i="1" s="1"/>
  <c r="DE53" i="1"/>
  <c r="DF48" i="1"/>
  <c r="H46" i="9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E34" i="10"/>
  <c r="DF11" i="1"/>
  <c r="DE13" i="1"/>
  <c r="DE72" i="1"/>
  <c r="DE76" i="1"/>
  <c r="DN16" i="1"/>
  <c r="CM53" i="1" l="1"/>
  <c r="CN48" i="1"/>
  <c r="CJ70" i="1"/>
  <c r="CJ71" i="1" s="1"/>
  <c r="CJ72" i="1" s="1"/>
  <c r="CL64" i="1"/>
  <c r="CL74" i="1"/>
  <c r="CL78" i="1" s="1"/>
  <c r="CK31" i="1"/>
  <c r="CK70" i="1" s="1"/>
  <c r="CK71" i="1" s="1"/>
  <c r="CK72" i="1" s="1"/>
  <c r="BU335" i="10"/>
  <c r="CR74" i="1"/>
  <c r="CR78" i="1" s="1"/>
  <c r="CR27" i="1"/>
  <c r="CR70" i="1" s="1"/>
  <c r="CR71" i="1" s="1"/>
  <c r="I43" i="9"/>
  <c r="L42" i="9"/>
  <c r="AB33" i="1"/>
  <c r="AC10" i="1"/>
  <c r="AC14" i="1" s="1"/>
  <c r="AC32" i="1" s="1"/>
  <c r="K336" i="10"/>
  <c r="DG48" i="1"/>
  <c r="DF53" i="1"/>
  <c r="DF64" i="1" s="1"/>
  <c r="H143" i="9"/>
  <c r="DF76" i="1"/>
  <c r="DG11" i="1"/>
  <c r="DF72" i="1"/>
  <c r="DF13" i="1"/>
  <c r="DO16" i="1"/>
  <c r="CR72" i="1" l="1"/>
  <c r="BV335" i="10"/>
  <c r="CL31" i="1"/>
  <c r="CL70" i="1" s="1"/>
  <c r="CL71" i="1" s="1"/>
  <c r="CL72" i="1" s="1"/>
  <c r="CM64" i="1"/>
  <c r="CM74" i="1"/>
  <c r="CM78" i="1" s="1"/>
  <c r="CT74" i="1"/>
  <c r="CT78" i="1" s="1"/>
  <c r="CO48" i="1"/>
  <c r="H48" i="1" s="1"/>
  <c r="CN53" i="1"/>
  <c r="I44" i="9"/>
  <c r="L43" i="9"/>
  <c r="AD10" i="1"/>
  <c r="AD14" i="1" s="1"/>
  <c r="AD32" i="1" s="1"/>
  <c r="L336" i="10"/>
  <c r="AC33" i="1"/>
  <c r="DH48" i="1"/>
  <c r="DG53" i="1"/>
  <c r="DG64" i="1" s="1"/>
  <c r="CP335" i="10"/>
  <c r="H144" i="9"/>
  <c r="DG13" i="1"/>
  <c r="DH11" i="1"/>
  <c r="DG76" i="1"/>
  <c r="DG72" i="1"/>
  <c r="DP16" i="1"/>
  <c r="CU18" i="1" l="1"/>
  <c r="CV18" i="1" s="1"/>
  <c r="CT27" i="1"/>
  <c r="CT70" i="1" s="1"/>
  <c r="CT71" i="1" s="1"/>
  <c r="CT72" i="1" s="1"/>
  <c r="CM31" i="1"/>
  <c r="BW335" i="10"/>
  <c r="CN64" i="1"/>
  <c r="CN74" i="1"/>
  <c r="CN78" i="1" s="1"/>
  <c r="CP48" i="1"/>
  <c r="CO53" i="1"/>
  <c r="I45" i="9"/>
  <c r="L44" i="9"/>
  <c r="AD33" i="1"/>
  <c r="M336" i="10"/>
  <c r="AE10" i="1"/>
  <c r="AE14" i="1" s="1"/>
  <c r="AE32" i="1" s="1"/>
  <c r="CQ335" i="10"/>
  <c r="DH53" i="1"/>
  <c r="DH64" i="1" s="1"/>
  <c r="DI48" i="1"/>
  <c r="H145" i="9"/>
  <c r="DI11" i="1"/>
  <c r="DH72" i="1"/>
  <c r="DH76" i="1"/>
  <c r="DH13" i="1"/>
  <c r="DQ16" i="1"/>
  <c r="CO64" i="1" l="1"/>
  <c r="H64" i="1" s="1"/>
  <c r="H53" i="1"/>
  <c r="CM70" i="1"/>
  <c r="CM71" i="1" s="1"/>
  <c r="CM72" i="1" s="1"/>
  <c r="CP53" i="1"/>
  <c r="CQ48" i="1"/>
  <c r="I48" i="1" s="1"/>
  <c r="CN31" i="1"/>
  <c r="CN70" i="1" s="1"/>
  <c r="CN71" i="1" s="1"/>
  <c r="CN72" i="1" s="1"/>
  <c r="BX335" i="10"/>
  <c r="CW18" i="1"/>
  <c r="CV27" i="1"/>
  <c r="CV70" i="1" s="1"/>
  <c r="CV71" i="1" s="1"/>
  <c r="CV72" i="1" s="1"/>
  <c r="I46" i="9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L45" i="9"/>
  <c r="AE33" i="1"/>
  <c r="N336" i="10"/>
  <c r="AF10" i="1"/>
  <c r="AF14" i="1" s="1"/>
  <c r="AF32" i="1" s="1"/>
  <c r="DJ48" i="1"/>
  <c r="DI53" i="1"/>
  <c r="DI64" i="1" s="1"/>
  <c r="CR335" i="10"/>
  <c r="H146" i="9"/>
  <c r="DJ11" i="1"/>
  <c r="DI13" i="1"/>
  <c r="DI76" i="1"/>
  <c r="DI72" i="1"/>
  <c r="DR16" i="1"/>
  <c r="CO31" i="1" l="1"/>
  <c r="H31" i="1" s="1"/>
  <c r="P31" i="1" s="1"/>
  <c r="BY335" i="10"/>
  <c r="G18" i="40"/>
  <c r="G20" i="40" s="1"/>
  <c r="G23" i="40" s="1"/>
  <c r="P48" i="1"/>
  <c r="CX18" i="1"/>
  <c r="CQ53" i="1"/>
  <c r="CQ64" i="1" s="1"/>
  <c r="CP64" i="1"/>
  <c r="CP74" i="1"/>
  <c r="CP78" i="1" s="1"/>
  <c r="I143" i="9"/>
  <c r="L142" i="9"/>
  <c r="AF33" i="1"/>
  <c r="O336" i="10"/>
  <c r="AG10" i="1"/>
  <c r="AG14" i="1" s="1"/>
  <c r="AG32" i="1" s="1"/>
  <c r="CS335" i="10"/>
  <c r="DJ53" i="1"/>
  <c r="DJ64" i="1" s="1"/>
  <c r="DK48" i="1"/>
  <c r="H147" i="9"/>
  <c r="DJ76" i="1"/>
  <c r="DJ13" i="1"/>
  <c r="DJ72" i="1"/>
  <c r="DK11" i="1"/>
  <c r="DS16" i="1"/>
  <c r="I64" i="1" l="1"/>
  <c r="Q64" i="1" s="1"/>
  <c r="I53" i="1"/>
  <c r="P53" i="1"/>
  <c r="G5" i="41"/>
  <c r="CP31" i="1"/>
  <c r="BZ335" i="10"/>
  <c r="P64" i="1"/>
  <c r="CQ31" i="1"/>
  <c r="CA335" i="10"/>
  <c r="H18" i="40"/>
  <c r="H20" i="40" s="1"/>
  <c r="H23" i="40" s="1"/>
  <c r="Q48" i="1"/>
  <c r="CY18" i="1"/>
  <c r="CZ18" i="1" s="1"/>
  <c r="CX27" i="1"/>
  <c r="I144" i="9"/>
  <c r="L143" i="9"/>
  <c r="K35" i="1"/>
  <c r="P336" i="10"/>
  <c r="C35" i="1"/>
  <c r="D10" i="1" s="1"/>
  <c r="AH10" i="1"/>
  <c r="AH14" i="1" s="1"/>
  <c r="AH32" i="1" s="1"/>
  <c r="AG33" i="1"/>
  <c r="DK53" i="1"/>
  <c r="DK64" i="1" s="1"/>
  <c r="DL48" i="1"/>
  <c r="CT335" i="10"/>
  <c r="H148" i="9"/>
  <c r="DL11" i="1"/>
  <c r="DK13" i="1"/>
  <c r="DK76" i="1"/>
  <c r="DK72" i="1"/>
  <c r="DT16" i="1"/>
  <c r="CX70" i="1" l="1"/>
  <c r="CX71" i="1" s="1"/>
  <c r="CX72" i="1" s="1"/>
  <c r="Q53" i="1"/>
  <c r="C28" i="10" s="1"/>
  <c r="H5" i="41"/>
  <c r="B71" i="1"/>
  <c r="CQ65" i="1" s="1"/>
  <c r="DA18" i="1"/>
  <c r="CZ27" i="1"/>
  <c r="CP70" i="1"/>
  <c r="CP71" i="1" s="1"/>
  <c r="CP72" i="1" s="1"/>
  <c r="I31" i="1"/>
  <c r="Q31" i="1"/>
  <c r="I145" i="9"/>
  <c r="L144" i="9"/>
  <c r="AI10" i="1"/>
  <c r="AI14" i="1" s="1"/>
  <c r="AI32" i="1" s="1"/>
  <c r="AH33" i="1"/>
  <c r="Q336" i="10"/>
  <c r="DM48" i="1"/>
  <c r="DL53" i="1"/>
  <c r="DL64" i="1" s="1"/>
  <c r="CU335" i="10"/>
  <c r="H149" i="9"/>
  <c r="L148" i="9"/>
  <c r="DN11" i="1"/>
  <c r="DL13" i="1"/>
  <c r="DM11" i="1"/>
  <c r="DL72" i="1"/>
  <c r="DL76" i="1"/>
  <c r="DU16" i="1"/>
  <c r="C31" i="10" l="1"/>
  <c r="E31" i="10" s="1"/>
  <c r="E28" i="10"/>
  <c r="DD65" i="1"/>
  <c r="AN65" i="1"/>
  <c r="DC65" i="1"/>
  <c r="AJ65" i="1"/>
  <c r="CV65" i="1"/>
  <c r="EM65" i="1"/>
  <c r="AK65" i="1"/>
  <c r="CJ65" i="1"/>
  <c r="BV65" i="1"/>
  <c r="CI65" i="1"/>
  <c r="CF65" i="1"/>
  <c r="DA65" i="1"/>
  <c r="CT65" i="1"/>
  <c r="AW65" i="1"/>
  <c r="BS65" i="1"/>
  <c r="AT65" i="1"/>
  <c r="BW65" i="1"/>
  <c r="BJ65" i="1"/>
  <c r="AL65" i="1"/>
  <c r="BH65" i="1"/>
  <c r="CO65" i="1"/>
  <c r="CZ65" i="1"/>
  <c r="CU65" i="1"/>
  <c r="CL65" i="1"/>
  <c r="EO65" i="1"/>
  <c r="DB65" i="1"/>
  <c r="BL65" i="1"/>
  <c r="CM65" i="1"/>
  <c r="AY65" i="1"/>
  <c r="EB65" i="1"/>
  <c r="AZ65" i="1"/>
  <c r="AI65" i="1"/>
  <c r="BC65" i="1"/>
  <c r="BN65" i="1"/>
  <c r="CP65" i="1"/>
  <c r="DQ65" i="1"/>
  <c r="BG65" i="1"/>
  <c r="BE65" i="1"/>
  <c r="DI65" i="1"/>
  <c r="BA65" i="1"/>
  <c r="BT65" i="1"/>
  <c r="DK65" i="1"/>
  <c r="CN65" i="1"/>
  <c r="AP65" i="1"/>
  <c r="BI65" i="1"/>
  <c r="CA65" i="1"/>
  <c r="DO65" i="1"/>
  <c r="DG65" i="1"/>
  <c r="AR65" i="1"/>
  <c r="CB65" i="1"/>
  <c r="CK65" i="1"/>
  <c r="CS65" i="1"/>
  <c r="BR65" i="1"/>
  <c r="DH65" i="1"/>
  <c r="DE65" i="1"/>
  <c r="EN65" i="1"/>
  <c r="CY65" i="1"/>
  <c r="BU65" i="1"/>
  <c r="AS65" i="1"/>
  <c r="CD65" i="1"/>
  <c r="BY65" i="1"/>
  <c r="AM65" i="1"/>
  <c r="BX65" i="1"/>
  <c r="BZ65" i="1"/>
  <c r="BB65" i="1"/>
  <c r="BF65" i="1"/>
  <c r="EC65" i="1"/>
  <c r="CH65" i="1"/>
  <c r="EA65" i="1"/>
  <c r="AX65" i="1"/>
  <c r="BO65" i="1"/>
  <c r="CG65" i="1"/>
  <c r="AV65" i="1"/>
  <c r="AU65" i="1"/>
  <c r="CW65" i="1"/>
  <c r="CX65" i="1"/>
  <c r="BD65" i="1"/>
  <c r="AQ65" i="1"/>
  <c r="DP65" i="1"/>
  <c r="CE65" i="1"/>
  <c r="CR65" i="1"/>
  <c r="BP65" i="1"/>
  <c r="DF65" i="1"/>
  <c r="BM65" i="1"/>
  <c r="CC65" i="1"/>
  <c r="BQ65" i="1"/>
  <c r="AO65" i="1"/>
  <c r="BK65" i="1"/>
  <c r="DJ65" i="1"/>
  <c r="DB18" i="1"/>
  <c r="I18" i="1"/>
  <c r="Q18" i="1"/>
  <c r="H2" i="41" s="1"/>
  <c r="I146" i="9"/>
  <c r="L145" i="9"/>
  <c r="R336" i="10"/>
  <c r="AJ10" i="1"/>
  <c r="AJ14" i="1" s="1"/>
  <c r="AJ32" i="1" s="1"/>
  <c r="AI33" i="1"/>
  <c r="CV335" i="10"/>
  <c r="DL65" i="1"/>
  <c r="DM53" i="1"/>
  <c r="DM64" i="1" s="1"/>
  <c r="DN48" i="1"/>
  <c r="H150" i="9"/>
  <c r="L149" i="9"/>
  <c r="DM76" i="1"/>
  <c r="DM13" i="1"/>
  <c r="DM72" i="1"/>
  <c r="DN72" i="1"/>
  <c r="DN13" i="1"/>
  <c r="DO11" i="1"/>
  <c r="DN76" i="1"/>
  <c r="DV16" i="1"/>
  <c r="D17" i="10" l="1"/>
  <c r="D21" i="10" s="1"/>
  <c r="E21" i="10" s="1"/>
  <c r="DC18" i="1"/>
  <c r="DB27" i="1"/>
  <c r="I147" i="9"/>
  <c r="L146" i="9"/>
  <c r="AJ33" i="1"/>
  <c r="AK10" i="1"/>
  <c r="AK14" i="1" s="1"/>
  <c r="AK32" i="1" s="1"/>
  <c r="S336" i="10"/>
  <c r="DN53" i="1"/>
  <c r="DN64" i="1" s="1"/>
  <c r="DO48" i="1"/>
  <c r="CW335" i="10"/>
  <c r="DM65" i="1"/>
  <c r="H151" i="9"/>
  <c r="L150" i="9"/>
  <c r="DO76" i="1"/>
  <c r="DP11" i="1"/>
  <c r="DO13" i="1"/>
  <c r="DO72" i="1"/>
  <c r="DW16" i="1"/>
  <c r="E17" i="10" l="1"/>
  <c r="DD18" i="1"/>
  <c r="DC27" i="1"/>
  <c r="I23" i="9"/>
  <c r="L147" i="9"/>
  <c r="AK33" i="1"/>
  <c r="AL10" i="1"/>
  <c r="AL14" i="1" s="1"/>
  <c r="AL32" i="1" s="1"/>
  <c r="T336" i="10"/>
  <c r="DO53" i="1"/>
  <c r="DP48" i="1"/>
  <c r="CX335" i="10"/>
  <c r="DN65" i="1"/>
  <c r="L151" i="9"/>
  <c r="H152" i="9"/>
  <c r="DP76" i="1"/>
  <c r="DP72" i="1"/>
  <c r="DQ11" i="1"/>
  <c r="DP13" i="1"/>
  <c r="DX16" i="1"/>
  <c r="DE18" i="1" l="1"/>
  <c r="DD27" i="1"/>
  <c r="I17" i="9"/>
  <c r="I18" i="9" s="1"/>
  <c r="I24" i="9"/>
  <c r="AL33" i="1"/>
  <c r="AM10" i="1"/>
  <c r="AM14" i="1" s="1"/>
  <c r="AM32" i="1" s="1"/>
  <c r="U336" i="10"/>
  <c r="DP53" i="1"/>
  <c r="DQ48" i="1"/>
  <c r="L152" i="9"/>
  <c r="H153" i="9"/>
  <c r="DQ13" i="1"/>
  <c r="DQ76" i="1"/>
  <c r="DQ72" i="1"/>
  <c r="DR11" i="1"/>
  <c r="DY16" i="1"/>
  <c r="DF18" i="1" l="1"/>
  <c r="DE27" i="1"/>
  <c r="I16" i="9"/>
  <c r="I10" i="9"/>
  <c r="I25" i="9"/>
  <c r="AN10" i="1"/>
  <c r="AN14" i="1" s="1"/>
  <c r="AN32" i="1" s="1"/>
  <c r="AM33" i="1"/>
  <c r="V336" i="10"/>
  <c r="DQ53" i="1"/>
  <c r="DR48" i="1"/>
  <c r="H154" i="9"/>
  <c r="L153" i="9"/>
  <c r="DR13" i="1"/>
  <c r="DR76" i="1"/>
  <c r="DS11" i="1"/>
  <c r="DR72" i="1"/>
  <c r="DZ16" i="1"/>
  <c r="DG18" i="1" l="1"/>
  <c r="DF27" i="1"/>
  <c r="AO10" i="1"/>
  <c r="AO14" i="1" s="1"/>
  <c r="AO32" i="1" s="1"/>
  <c r="W336" i="10"/>
  <c r="AN33" i="1"/>
  <c r="DS48" i="1"/>
  <c r="DR53" i="1"/>
  <c r="DR64" i="1" s="1"/>
  <c r="H155" i="9"/>
  <c r="L154" i="9"/>
  <c r="DS76" i="1"/>
  <c r="DS72" i="1"/>
  <c r="DS13" i="1"/>
  <c r="DT11" i="1"/>
  <c r="EA16" i="1"/>
  <c r="DH18" i="1" l="1"/>
  <c r="DG27" i="1"/>
  <c r="AP10" i="1"/>
  <c r="AP14" i="1" s="1"/>
  <c r="AP32" i="1" s="1"/>
  <c r="AO33" i="1"/>
  <c r="Y336" i="10"/>
  <c r="DB335" i="10"/>
  <c r="DR65" i="1"/>
  <c r="DS53" i="1"/>
  <c r="DS64" i="1" s="1"/>
  <c r="DT48" i="1"/>
  <c r="L155" i="9"/>
  <c r="H156" i="9"/>
  <c r="DT76" i="1"/>
  <c r="DU11" i="1"/>
  <c r="DT13" i="1"/>
  <c r="DT72" i="1"/>
  <c r="EB16" i="1"/>
  <c r="DI18" i="1" l="1"/>
  <c r="DH27" i="1"/>
  <c r="AQ10" i="1"/>
  <c r="AQ14" i="1" s="1"/>
  <c r="AQ32" i="1" s="1"/>
  <c r="AP33" i="1"/>
  <c r="Z336" i="10"/>
  <c r="DT53" i="1"/>
  <c r="DT64" i="1" s="1"/>
  <c r="DU48" i="1"/>
  <c r="DC335" i="10"/>
  <c r="DS65" i="1"/>
  <c r="H157" i="9"/>
  <c r="L156" i="9"/>
  <c r="DV11" i="1"/>
  <c r="DU76" i="1"/>
  <c r="DU72" i="1"/>
  <c r="DU13" i="1"/>
  <c r="EC16" i="1"/>
  <c r="DJ18" i="1" l="1"/>
  <c r="DI27" i="1"/>
  <c r="AR10" i="1"/>
  <c r="AR14" i="1" s="1"/>
  <c r="AR32" i="1" s="1"/>
  <c r="AQ33" i="1"/>
  <c r="AA336" i="10"/>
  <c r="DV48" i="1"/>
  <c r="DU53" i="1"/>
  <c r="DU64" i="1" s="1"/>
  <c r="DD335" i="10"/>
  <c r="DT65" i="1"/>
  <c r="L157" i="9"/>
  <c r="H158" i="9"/>
  <c r="DV76" i="1"/>
  <c r="DV13" i="1"/>
  <c r="DW11" i="1"/>
  <c r="DV72" i="1"/>
  <c r="ED16" i="1"/>
  <c r="DK18" i="1" l="1"/>
  <c r="DJ27" i="1"/>
  <c r="AR33" i="1"/>
  <c r="AB336" i="10"/>
  <c r="AS10" i="1"/>
  <c r="AS14" i="1" s="1"/>
  <c r="AS32" i="1" s="1"/>
  <c r="DE335" i="10"/>
  <c r="DU65" i="1"/>
  <c r="DV53" i="1"/>
  <c r="DV64" i="1" s="1"/>
  <c r="DW48" i="1"/>
  <c r="L158" i="9"/>
  <c r="H159" i="9"/>
  <c r="DW13" i="1"/>
  <c r="DX11" i="1"/>
  <c r="DW76" i="1"/>
  <c r="DW72" i="1"/>
  <c r="EE16" i="1"/>
  <c r="DL18" i="1" l="1"/>
  <c r="DK27" i="1"/>
  <c r="L35" i="1"/>
  <c r="AS33" i="1"/>
  <c r="AT10" i="1"/>
  <c r="AT14" i="1" s="1"/>
  <c r="AT32" i="1" s="1"/>
  <c r="AC336" i="10"/>
  <c r="D35" i="1"/>
  <c r="E10" i="1" s="1"/>
  <c r="DW53" i="1"/>
  <c r="DW64" i="1" s="1"/>
  <c r="DX48" i="1"/>
  <c r="DF335" i="10"/>
  <c r="DV65" i="1"/>
  <c r="L159" i="9"/>
  <c r="H160" i="9"/>
  <c r="DY11" i="1"/>
  <c r="DX76" i="1"/>
  <c r="DX13" i="1"/>
  <c r="DZ11" i="1"/>
  <c r="DX72" i="1"/>
  <c r="EF16" i="1"/>
  <c r="DM18" i="1" l="1"/>
  <c r="DL27" i="1"/>
  <c r="AT33" i="1"/>
  <c r="AU10" i="1"/>
  <c r="AU14" i="1" s="1"/>
  <c r="AU32" i="1" s="1"/>
  <c r="AD336" i="10"/>
  <c r="DX53" i="1"/>
  <c r="DX64" i="1" s="1"/>
  <c r="DY48" i="1"/>
  <c r="DG335" i="10"/>
  <c r="DW65" i="1"/>
  <c r="H161" i="9"/>
  <c r="L160" i="9"/>
  <c r="DZ13" i="1"/>
  <c r="DZ76" i="1"/>
  <c r="DZ72" i="1"/>
  <c r="EA11" i="1"/>
  <c r="DY76" i="1"/>
  <c r="DY13" i="1"/>
  <c r="DY72" i="1"/>
  <c r="EG16" i="1"/>
  <c r="DN18" i="1" l="1"/>
  <c r="DM27" i="1"/>
  <c r="AV10" i="1"/>
  <c r="AV14" i="1" s="1"/>
  <c r="AV32" i="1" s="1"/>
  <c r="AU33" i="1"/>
  <c r="AE336" i="10"/>
  <c r="DY53" i="1"/>
  <c r="DY64" i="1" s="1"/>
  <c r="DZ48" i="1"/>
  <c r="DH335" i="10"/>
  <c r="DX65" i="1"/>
  <c r="H162" i="9"/>
  <c r="L161" i="9"/>
  <c r="EB11" i="1"/>
  <c r="EA13" i="1"/>
  <c r="EA76" i="1"/>
  <c r="EA72" i="1"/>
  <c r="EH16" i="1"/>
  <c r="DO18" i="1" l="1"/>
  <c r="DN27" i="1"/>
  <c r="AW10" i="1"/>
  <c r="AW14" i="1" s="1"/>
  <c r="AW32" i="1" s="1"/>
  <c r="AF336" i="10"/>
  <c r="AV33" i="1"/>
  <c r="EA48" i="1"/>
  <c r="DZ53" i="1"/>
  <c r="DZ64" i="1" s="1"/>
  <c r="DI335" i="10"/>
  <c r="DY65" i="1"/>
  <c r="L162" i="9"/>
  <c r="H163" i="9"/>
  <c r="EB72" i="1"/>
  <c r="EB13" i="1"/>
  <c r="EC11" i="1"/>
  <c r="EB76" i="1"/>
  <c r="EI16" i="1"/>
  <c r="DP18" i="1" l="1"/>
  <c r="DO27" i="1"/>
  <c r="AX10" i="1"/>
  <c r="AX14" i="1" s="1"/>
  <c r="AX32" i="1" s="1"/>
  <c r="AG336" i="10"/>
  <c r="AW33" i="1"/>
  <c r="DJ335" i="10"/>
  <c r="DZ65" i="1"/>
  <c r="EB48" i="1"/>
  <c r="EA53" i="1"/>
  <c r="L163" i="9"/>
  <c r="H164" i="9"/>
  <c r="EC76" i="1"/>
  <c r="EC72" i="1"/>
  <c r="ED11" i="1"/>
  <c r="EC13" i="1"/>
  <c r="EJ16" i="1"/>
  <c r="DQ18" i="1" l="1"/>
  <c r="DP27" i="1"/>
  <c r="AX33" i="1"/>
  <c r="AY10" i="1"/>
  <c r="AY14" i="1" s="1"/>
  <c r="AY32" i="1" s="1"/>
  <c r="AH336" i="10"/>
  <c r="EC48" i="1"/>
  <c r="EB53" i="1"/>
  <c r="L164" i="9"/>
  <c r="H165" i="9"/>
  <c r="ED76" i="1"/>
  <c r="ED72" i="1"/>
  <c r="ED13" i="1"/>
  <c r="EE11" i="1"/>
  <c r="EK16" i="1"/>
  <c r="DR18" i="1" l="1"/>
  <c r="DQ27" i="1"/>
  <c r="AZ10" i="1"/>
  <c r="AZ14" i="1" s="1"/>
  <c r="AZ32" i="1" s="1"/>
  <c r="AI336" i="10"/>
  <c r="AY33" i="1"/>
  <c r="EC53" i="1"/>
  <c r="ED48" i="1"/>
  <c r="L165" i="9"/>
  <c r="H166" i="9"/>
  <c r="EE13" i="1"/>
  <c r="EE76" i="1"/>
  <c r="EF11" i="1"/>
  <c r="EE72" i="1"/>
  <c r="EL16" i="1"/>
  <c r="DS18" i="1" l="1"/>
  <c r="DR27" i="1"/>
  <c r="AZ33" i="1"/>
  <c r="BA10" i="1"/>
  <c r="BA14" i="1" s="1"/>
  <c r="BA32" i="1" s="1"/>
  <c r="AJ336" i="10"/>
  <c r="ED53" i="1"/>
  <c r="ED64" i="1" s="1"/>
  <c r="EE48" i="1"/>
  <c r="L166" i="9"/>
  <c r="H167" i="9"/>
  <c r="EG11" i="1"/>
  <c r="EF76" i="1"/>
  <c r="EF72" i="1"/>
  <c r="EF13" i="1"/>
  <c r="EM16" i="1"/>
  <c r="DT18" i="1" l="1"/>
  <c r="DT27" i="1" s="1"/>
  <c r="DS27" i="1"/>
  <c r="AK336" i="10"/>
  <c r="BB10" i="1"/>
  <c r="BB14" i="1" s="1"/>
  <c r="BB32" i="1" s="1"/>
  <c r="BA33" i="1"/>
  <c r="EE53" i="1"/>
  <c r="EE64" i="1" s="1"/>
  <c r="EF48" i="1"/>
  <c r="DN335" i="10"/>
  <c r="ED65" i="1"/>
  <c r="H168" i="9"/>
  <c r="L167" i="9"/>
  <c r="EH11" i="1"/>
  <c r="EG72" i="1"/>
  <c r="EG76" i="1"/>
  <c r="EG13" i="1"/>
  <c r="EN16" i="1"/>
  <c r="AL336" i="10" l="1"/>
  <c r="BB33" i="1"/>
  <c r="BC10" i="1"/>
  <c r="BC14" i="1" s="1"/>
  <c r="BC32" i="1" s="1"/>
  <c r="EF53" i="1"/>
  <c r="EF64" i="1" s="1"/>
  <c r="EG48" i="1"/>
  <c r="DO335" i="10"/>
  <c r="EE65" i="1"/>
  <c r="H169" i="9"/>
  <c r="L168" i="9"/>
  <c r="EH13" i="1"/>
  <c r="EH76" i="1"/>
  <c r="EI11" i="1"/>
  <c r="EH72" i="1"/>
  <c r="EO16" i="1"/>
  <c r="BC33" i="1" l="1"/>
  <c r="AM336" i="10"/>
  <c r="BD10" i="1"/>
  <c r="BD14" i="1" s="1"/>
  <c r="BD32" i="1" s="1"/>
  <c r="EG53" i="1"/>
  <c r="EG64" i="1" s="1"/>
  <c r="EH48" i="1"/>
  <c r="DP335" i="10"/>
  <c r="EF65" i="1"/>
  <c r="L169" i="9"/>
  <c r="H170" i="9"/>
  <c r="EJ11" i="1"/>
  <c r="EI76" i="1"/>
  <c r="EI72" i="1"/>
  <c r="EI13" i="1"/>
  <c r="EP16" i="1"/>
  <c r="BD33" i="1" l="1"/>
  <c r="AN336" i="10"/>
  <c r="BE10" i="1"/>
  <c r="BE14" i="1" s="1"/>
  <c r="BE32" i="1" s="1"/>
  <c r="EI48" i="1"/>
  <c r="EH53" i="1"/>
  <c r="EH64" i="1" s="1"/>
  <c r="DQ335" i="10"/>
  <c r="EG65" i="1"/>
  <c r="H171" i="9"/>
  <c r="L170" i="9"/>
  <c r="EK11" i="1"/>
  <c r="EJ72" i="1"/>
  <c r="EJ13" i="1"/>
  <c r="EL11" i="1"/>
  <c r="EJ76" i="1"/>
  <c r="EQ16" i="1"/>
  <c r="M35" i="1" l="1"/>
  <c r="E35" i="1"/>
  <c r="F10" i="1" s="1"/>
  <c r="BF10" i="1"/>
  <c r="BF14" i="1" s="1"/>
  <c r="BF32" i="1" s="1"/>
  <c r="BE33" i="1"/>
  <c r="AO336" i="10"/>
  <c r="DR335" i="10"/>
  <c r="EH65" i="1"/>
  <c r="EJ48" i="1"/>
  <c r="EI53" i="1"/>
  <c r="EI64" i="1" s="1"/>
  <c r="L171" i="9"/>
  <c r="H172" i="9"/>
  <c r="EL76" i="1"/>
  <c r="EM11" i="1"/>
  <c r="EL72" i="1"/>
  <c r="EL13" i="1"/>
  <c r="EK13" i="1"/>
  <c r="EK76" i="1"/>
  <c r="EK72" i="1"/>
  <c r="ER16" i="1"/>
  <c r="BG10" i="1" l="1"/>
  <c r="BG14" i="1" s="1"/>
  <c r="BG32" i="1" s="1"/>
  <c r="BF33" i="1"/>
  <c r="AP336" i="10"/>
  <c r="DS335" i="10"/>
  <c r="EI65" i="1"/>
  <c r="EJ53" i="1"/>
  <c r="EJ64" i="1" s="1"/>
  <c r="EK48" i="1"/>
  <c r="L172" i="9"/>
  <c r="H173" i="9"/>
  <c r="EM13" i="1"/>
  <c r="EN11" i="1"/>
  <c r="EM72" i="1"/>
  <c r="EM76" i="1"/>
  <c r="ES16" i="1"/>
  <c r="BH10" i="1" l="1"/>
  <c r="BH14" i="1" s="1"/>
  <c r="BH32" i="1" s="1"/>
  <c r="AQ336" i="10"/>
  <c r="BG33" i="1"/>
  <c r="EK53" i="1"/>
  <c r="EK64" i="1" s="1"/>
  <c r="EL48" i="1"/>
  <c r="DT335" i="10"/>
  <c r="EJ65" i="1"/>
  <c r="H174" i="9"/>
  <c r="L173" i="9"/>
  <c r="EN13" i="1"/>
  <c r="EN76" i="1"/>
  <c r="EN72" i="1"/>
  <c r="EO11" i="1"/>
  <c r="ET16" i="1"/>
  <c r="BI10" i="1" l="1"/>
  <c r="BI14" i="1" s="1"/>
  <c r="BI32" i="1" s="1"/>
  <c r="BH33" i="1"/>
  <c r="AR336" i="10"/>
  <c r="EL53" i="1"/>
  <c r="EL64" i="1" s="1"/>
  <c r="EM48" i="1"/>
  <c r="DU335" i="10"/>
  <c r="EK65" i="1"/>
  <c r="H175" i="9"/>
  <c r="L174" i="9"/>
  <c r="EO13" i="1"/>
  <c r="EO76" i="1"/>
  <c r="EO72" i="1"/>
  <c r="EP11" i="1"/>
  <c r="EU16" i="1"/>
  <c r="BJ10" i="1" l="1"/>
  <c r="BJ14" i="1" s="1"/>
  <c r="BJ32" i="1" s="1"/>
  <c r="BI33" i="1"/>
  <c r="AS336" i="10"/>
  <c r="EM53" i="1"/>
  <c r="EN48" i="1"/>
  <c r="DV335" i="10"/>
  <c r="EL65" i="1"/>
  <c r="L175" i="9"/>
  <c r="H176" i="9"/>
  <c r="EP13" i="1"/>
  <c r="EQ11" i="1"/>
  <c r="EP76" i="1"/>
  <c r="EP72" i="1"/>
  <c r="EV16" i="1"/>
  <c r="BK10" i="1" l="1"/>
  <c r="BK14" i="1" s="1"/>
  <c r="BK32" i="1" s="1"/>
  <c r="BJ33" i="1"/>
  <c r="AT336" i="10"/>
  <c r="EO48" i="1"/>
  <c r="EN53" i="1"/>
  <c r="H177" i="9"/>
  <c r="L176" i="9"/>
  <c r="EQ76" i="1"/>
  <c r="ER11" i="1"/>
  <c r="EQ13" i="1"/>
  <c r="EQ72" i="1"/>
  <c r="EW16" i="1"/>
  <c r="BL10" i="1" l="1"/>
  <c r="BL14" i="1" s="1"/>
  <c r="BL32" i="1" s="1"/>
  <c r="BK33" i="1"/>
  <c r="AU336" i="10"/>
  <c r="EP48" i="1"/>
  <c r="EO53" i="1"/>
  <c r="L177" i="9"/>
  <c r="H178" i="9"/>
  <c r="ER76" i="1"/>
  <c r="ER13" i="1"/>
  <c r="ES11" i="1"/>
  <c r="ER72" i="1"/>
  <c r="EX16" i="1"/>
  <c r="BL33" i="1" l="1"/>
  <c r="AV336" i="10"/>
  <c r="BM10" i="1"/>
  <c r="BM14" i="1" s="1"/>
  <c r="BM32" i="1" s="1"/>
  <c r="EQ48" i="1"/>
  <c r="EP53" i="1"/>
  <c r="EP64" i="1" s="1"/>
  <c r="H179" i="9"/>
  <c r="L178" i="9"/>
  <c r="ES72" i="1"/>
  <c r="ES76" i="1"/>
  <c r="ET11" i="1"/>
  <c r="ES13" i="1"/>
  <c r="EY16" i="1"/>
  <c r="BN10" i="1" l="1"/>
  <c r="BN14" i="1" s="1"/>
  <c r="BN32" i="1" s="1"/>
  <c r="BM33" i="1"/>
  <c r="AW336" i="10"/>
  <c r="DZ335" i="10"/>
  <c r="EP65" i="1"/>
  <c r="EQ53" i="1"/>
  <c r="EQ64" i="1" s="1"/>
  <c r="ER48" i="1"/>
  <c r="H180" i="9"/>
  <c r="L179" i="9"/>
  <c r="EU11" i="1"/>
  <c r="ET76" i="1"/>
  <c r="ET13" i="1"/>
  <c r="ET72" i="1"/>
  <c r="EZ16" i="1"/>
  <c r="AX336" i="10" l="1"/>
  <c r="BN33" i="1"/>
  <c r="BO10" i="1"/>
  <c r="BO14" i="1" s="1"/>
  <c r="BO32" i="1" s="1"/>
  <c r="ER53" i="1"/>
  <c r="ER64" i="1" s="1"/>
  <c r="EB335" i="10" s="1"/>
  <c r="ES48" i="1"/>
  <c r="EA335" i="10"/>
  <c r="EQ65" i="1"/>
  <c r="L180" i="9"/>
  <c r="H181" i="9"/>
  <c r="EU76" i="1"/>
  <c r="EU72" i="1"/>
  <c r="EV11" i="1"/>
  <c r="EU13" i="1"/>
  <c r="FA16" i="1"/>
  <c r="BO33" i="1" l="1"/>
  <c r="BP10" i="1"/>
  <c r="BP14" i="1" s="1"/>
  <c r="BP32" i="1" s="1"/>
  <c r="AY336" i="10"/>
  <c r="ET48" i="1"/>
  <c r="ES53" i="1"/>
  <c r="ES64" i="1" s="1"/>
  <c r="EC335" i="10" s="1"/>
  <c r="L181" i="9"/>
  <c r="H182" i="9"/>
  <c r="EV13" i="1"/>
  <c r="EW11" i="1"/>
  <c r="EV76" i="1"/>
  <c r="EV72" i="1"/>
  <c r="FB16" i="1"/>
  <c r="AZ336" i="10" l="1"/>
  <c r="BP33" i="1"/>
  <c r="BQ10" i="1"/>
  <c r="BQ14" i="1" s="1"/>
  <c r="BQ32" i="1" s="1"/>
  <c r="ET53" i="1"/>
  <c r="ET64" i="1" s="1"/>
  <c r="ED335" i="10" s="1"/>
  <c r="EU48" i="1"/>
  <c r="H183" i="9"/>
  <c r="L182" i="9"/>
  <c r="EW72" i="1"/>
  <c r="EX11" i="1"/>
  <c r="EW76" i="1"/>
  <c r="EW13" i="1"/>
  <c r="FC16" i="1"/>
  <c r="N35" i="1" l="1"/>
  <c r="BR10" i="1"/>
  <c r="BR14" i="1" s="1"/>
  <c r="BR32" i="1" s="1"/>
  <c r="BA336" i="10"/>
  <c r="F35" i="1"/>
  <c r="G10" i="1" s="1"/>
  <c r="BQ33" i="1"/>
  <c r="EV48" i="1"/>
  <c r="EU53" i="1"/>
  <c r="EU64" i="1" s="1"/>
  <c r="EE335" i="10" s="1"/>
  <c r="L183" i="9"/>
  <c r="H184" i="9"/>
  <c r="EY11" i="1"/>
  <c r="EX13" i="1"/>
  <c r="EX72" i="1"/>
  <c r="EX76" i="1"/>
  <c r="FD16" i="1"/>
  <c r="BB336" i="10" l="1"/>
  <c r="BR33" i="1"/>
  <c r="BS10" i="1"/>
  <c r="BS14" i="1" s="1"/>
  <c r="BS32" i="1" s="1"/>
  <c r="EW48" i="1"/>
  <c r="EV53" i="1"/>
  <c r="EV64" i="1" s="1"/>
  <c r="EF335" i="10" s="1"/>
  <c r="H185" i="9"/>
  <c r="L184" i="9"/>
  <c r="EY13" i="1"/>
  <c r="EZ11" i="1"/>
  <c r="EY76" i="1"/>
  <c r="EY72" i="1"/>
  <c r="FE16" i="1"/>
  <c r="BT10" i="1" l="1"/>
  <c r="BT14" i="1" s="1"/>
  <c r="BT32" i="1" s="1"/>
  <c r="BS33" i="1"/>
  <c r="BC336" i="10"/>
  <c r="EW53" i="1"/>
  <c r="EW64" i="1" s="1"/>
  <c r="EG335" i="10" s="1"/>
  <c r="EX48" i="1"/>
  <c r="H186" i="9"/>
  <c r="L185" i="9"/>
  <c r="EZ13" i="1"/>
  <c r="EZ76" i="1"/>
  <c r="FA11" i="1"/>
  <c r="EZ72" i="1"/>
  <c r="FF16" i="1"/>
  <c r="BD336" i="10" l="1"/>
  <c r="BT33" i="1"/>
  <c r="BU10" i="1"/>
  <c r="BU14" i="1" s="1"/>
  <c r="BU32" i="1" s="1"/>
  <c r="EY48" i="1"/>
  <c r="EX53" i="1"/>
  <c r="EX64" i="1" s="1"/>
  <c r="EH335" i="10" s="1"/>
  <c r="L186" i="9"/>
  <c r="H187" i="9"/>
  <c r="FA72" i="1"/>
  <c r="FA76" i="1"/>
  <c r="FA13" i="1"/>
  <c r="FB11" i="1"/>
  <c r="FG16" i="1"/>
  <c r="BE336" i="10" l="1"/>
  <c r="BV10" i="1"/>
  <c r="BV14" i="1" s="1"/>
  <c r="BV32" i="1" s="1"/>
  <c r="BU33" i="1"/>
  <c r="EY53" i="1"/>
  <c r="EZ48" i="1"/>
  <c r="L187" i="9"/>
  <c r="H188" i="9"/>
  <c r="FB13" i="1"/>
  <c r="FC11" i="1"/>
  <c r="FB76" i="1"/>
  <c r="FB72" i="1"/>
  <c r="FH16" i="1"/>
  <c r="BF336" i="10" l="1"/>
  <c r="BV33" i="1"/>
  <c r="BW10" i="1"/>
  <c r="BW14" i="1" s="1"/>
  <c r="BW32" i="1" s="1"/>
  <c r="FA48" i="1"/>
  <c r="EZ53" i="1"/>
  <c r="L188" i="9"/>
  <c r="H189" i="9"/>
  <c r="FD11" i="1"/>
  <c r="FC76" i="1"/>
  <c r="FC72" i="1"/>
  <c r="FC13" i="1"/>
  <c r="FI16" i="1"/>
  <c r="BX10" i="1" l="1"/>
  <c r="BX14" i="1" s="1"/>
  <c r="BX32" i="1" s="1"/>
  <c r="BW33" i="1"/>
  <c r="BG336" i="10"/>
  <c r="FA53" i="1"/>
  <c r="FB48" i="1"/>
  <c r="H190" i="9"/>
  <c r="L189" i="9"/>
  <c r="FD76" i="1"/>
  <c r="FD13" i="1"/>
  <c r="FE11" i="1"/>
  <c r="FD72" i="1"/>
  <c r="FJ16" i="1"/>
  <c r="BX33" i="1" l="1"/>
  <c r="BY10" i="1"/>
  <c r="BY14" i="1" s="1"/>
  <c r="BY32" i="1" s="1"/>
  <c r="BH336" i="10"/>
  <c r="FC48" i="1"/>
  <c r="FB53" i="1"/>
  <c r="FB64" i="1" s="1"/>
  <c r="EL335" i="10" s="1"/>
  <c r="L190" i="9"/>
  <c r="H191" i="9"/>
  <c r="FE72" i="1"/>
  <c r="FE13" i="1"/>
  <c r="FE76" i="1"/>
  <c r="FF11" i="1"/>
  <c r="FK16" i="1"/>
  <c r="BI336" i="10" l="1"/>
  <c r="BZ10" i="1"/>
  <c r="BZ14" i="1" s="1"/>
  <c r="BZ32" i="1" s="1"/>
  <c r="BY33" i="1"/>
  <c r="FC53" i="1"/>
  <c r="FC64" i="1" s="1"/>
  <c r="EM335" i="10" s="1"/>
  <c r="FD48" i="1"/>
  <c r="L191" i="9"/>
  <c r="H192" i="9"/>
  <c r="FF76" i="1"/>
  <c r="FF72" i="1"/>
  <c r="FG11" i="1"/>
  <c r="FF13" i="1"/>
  <c r="FL16" i="1"/>
  <c r="BJ336" i="10" l="1"/>
  <c r="CA10" i="1"/>
  <c r="CA14" i="1" s="1"/>
  <c r="CA32" i="1" s="1"/>
  <c r="BZ33" i="1"/>
  <c r="FD53" i="1"/>
  <c r="FD64" i="1" s="1"/>
  <c r="EN335" i="10" s="1"/>
  <c r="FE48" i="1"/>
  <c r="L192" i="9"/>
  <c r="H193" i="9"/>
  <c r="FG76" i="1"/>
  <c r="FH11" i="1"/>
  <c r="FG13" i="1"/>
  <c r="FG72" i="1"/>
  <c r="FM16" i="1"/>
  <c r="BK336" i="10" l="1"/>
  <c r="CA33" i="1"/>
  <c r="CB10" i="1"/>
  <c r="CB14" i="1" s="1"/>
  <c r="CB32" i="1" s="1"/>
  <c r="FE53" i="1"/>
  <c r="FE64" i="1" s="1"/>
  <c r="EO335" i="10" s="1"/>
  <c r="FF48" i="1"/>
  <c r="H194" i="9"/>
  <c r="L193" i="9"/>
  <c r="FH72" i="1"/>
  <c r="FH13" i="1"/>
  <c r="FH76" i="1"/>
  <c r="FI11" i="1"/>
  <c r="FN16" i="1"/>
  <c r="CC10" i="1" l="1"/>
  <c r="CC14" i="1" s="1"/>
  <c r="CC32" i="1" s="1"/>
  <c r="CB33" i="1"/>
  <c r="BL336" i="10"/>
  <c r="FF53" i="1"/>
  <c r="FF64" i="1" s="1"/>
  <c r="EP335" i="10" s="1"/>
  <c r="FG48" i="1"/>
  <c r="H195" i="9"/>
  <c r="L194" i="9"/>
  <c r="FI13" i="1"/>
  <c r="FJ11" i="1"/>
  <c r="FI76" i="1"/>
  <c r="FI72" i="1"/>
  <c r="FO16" i="1"/>
  <c r="CD10" i="1" l="1"/>
  <c r="CD14" i="1" s="1"/>
  <c r="CD32" i="1" s="1"/>
  <c r="BM336" i="10"/>
  <c r="CC33" i="1"/>
  <c r="O35" i="1"/>
  <c r="G35" i="1"/>
  <c r="H10" i="1" s="1"/>
  <c r="FG53" i="1"/>
  <c r="FG64" i="1" s="1"/>
  <c r="EQ335" i="10" s="1"/>
  <c r="FH48" i="1"/>
  <c r="L195" i="9"/>
  <c r="H196" i="9"/>
  <c r="FJ76" i="1"/>
  <c r="FK11" i="1"/>
  <c r="FJ13" i="1"/>
  <c r="FJ72" i="1"/>
  <c r="FP16" i="1"/>
  <c r="CD33" i="1" l="1"/>
  <c r="BN336" i="10"/>
  <c r="CE10" i="1"/>
  <c r="CE14" i="1" s="1"/>
  <c r="CE32" i="1" s="1"/>
  <c r="FI48" i="1"/>
  <c r="FH53" i="1"/>
  <c r="FH64" i="1" s="1"/>
  <c r="ER335" i="10" s="1"/>
  <c r="H197" i="9"/>
  <c r="L196" i="9"/>
  <c r="FK13" i="1"/>
  <c r="FK76" i="1"/>
  <c r="FK72" i="1"/>
  <c r="FL11" i="1"/>
  <c r="FQ16" i="1"/>
  <c r="CE33" i="1" l="1"/>
  <c r="CF10" i="1"/>
  <c r="CF14" i="1" s="1"/>
  <c r="CF32" i="1" s="1"/>
  <c r="BO336" i="10"/>
  <c r="FJ48" i="1"/>
  <c r="FI53" i="1"/>
  <c r="FI64" i="1" s="1"/>
  <c r="ES335" i="10" s="1"/>
  <c r="H198" i="9"/>
  <c r="L197" i="9"/>
  <c r="FM11" i="1"/>
  <c r="FL13" i="1"/>
  <c r="FL76" i="1"/>
  <c r="FL72" i="1"/>
  <c r="FR16" i="1"/>
  <c r="BP336" i="10" l="1"/>
  <c r="CG10" i="1"/>
  <c r="CG14" i="1" s="1"/>
  <c r="CG32" i="1" s="1"/>
  <c r="CF33" i="1"/>
  <c r="FK48" i="1"/>
  <c r="FJ53" i="1"/>
  <c r="FJ64" i="1" s="1"/>
  <c r="ET335" i="10" s="1"/>
  <c r="H199" i="9"/>
  <c r="L198" i="9"/>
  <c r="FN11" i="1"/>
  <c r="FM76" i="1"/>
  <c r="FM72" i="1"/>
  <c r="FM13" i="1"/>
  <c r="FS16" i="1"/>
  <c r="CG33" i="1" l="1"/>
  <c r="CH10" i="1"/>
  <c r="CH14" i="1" s="1"/>
  <c r="CH32" i="1" s="1"/>
  <c r="BQ336" i="10"/>
  <c r="FK53" i="1"/>
  <c r="FL48" i="1"/>
  <c r="H200" i="9"/>
  <c r="L199" i="9"/>
  <c r="FN72" i="1"/>
  <c r="FO11" i="1"/>
  <c r="FN13" i="1"/>
  <c r="FN76" i="1"/>
  <c r="FT16" i="1"/>
  <c r="CI10" i="1" l="1"/>
  <c r="CI14" i="1" s="1"/>
  <c r="CI32" i="1" s="1"/>
  <c r="BR336" i="10"/>
  <c r="CH33" i="1"/>
  <c r="FL53" i="1"/>
  <c r="FM48" i="1"/>
  <c r="L200" i="9"/>
  <c r="H201" i="9"/>
  <c r="FO76" i="1"/>
  <c r="FP11" i="1"/>
  <c r="FO72" i="1"/>
  <c r="FO13" i="1"/>
  <c r="FU16" i="1"/>
  <c r="FU27" i="1" s="1"/>
  <c r="BS336" i="10" l="1"/>
  <c r="CJ10" i="1"/>
  <c r="CJ14" i="1" s="1"/>
  <c r="CJ32" i="1" s="1"/>
  <c r="CI33" i="1"/>
  <c r="FM53" i="1"/>
  <c r="FN48" i="1"/>
  <c r="L201" i="9"/>
  <c r="H202" i="9"/>
  <c r="FP13" i="1"/>
  <c r="FQ11" i="1"/>
  <c r="FP76" i="1"/>
  <c r="FP72" i="1"/>
  <c r="FV16" i="1"/>
  <c r="FV27" i="1" s="1"/>
  <c r="BT336" i="10" l="1"/>
  <c r="CJ33" i="1"/>
  <c r="CK10" i="1"/>
  <c r="CK14" i="1" s="1"/>
  <c r="CK32" i="1" s="1"/>
  <c r="FN53" i="1"/>
  <c r="FN64" i="1" s="1"/>
  <c r="EX335" i="10" s="1"/>
  <c r="FO48" i="1"/>
  <c r="L202" i="9"/>
  <c r="H203" i="9"/>
  <c r="FQ76" i="1"/>
  <c r="FQ72" i="1"/>
  <c r="FR11" i="1"/>
  <c r="FQ13" i="1"/>
  <c r="FW16" i="1"/>
  <c r="FW27" i="1" s="1"/>
  <c r="BU336" i="10" l="1"/>
  <c r="CL10" i="1"/>
  <c r="CL14" i="1" s="1"/>
  <c r="CL32" i="1" s="1"/>
  <c r="CK33" i="1"/>
  <c r="FO53" i="1"/>
  <c r="FO64" i="1" s="1"/>
  <c r="EY335" i="10" s="1"/>
  <c r="FP48" i="1"/>
  <c r="L203" i="9"/>
  <c r="H204" i="9"/>
  <c r="FR72" i="1"/>
  <c r="FR76" i="1"/>
  <c r="FR13" i="1"/>
  <c r="FS11" i="1"/>
  <c r="FX16" i="1"/>
  <c r="FX27" i="1" s="1"/>
  <c r="CL33" i="1" l="1"/>
  <c r="BV336" i="10"/>
  <c r="CM10" i="1"/>
  <c r="CM14" i="1" s="1"/>
  <c r="CM32" i="1" s="1"/>
  <c r="FP53" i="1"/>
  <c r="FP64" i="1" s="1"/>
  <c r="EZ335" i="10" s="1"/>
  <c r="FQ48" i="1"/>
  <c r="L204" i="9"/>
  <c r="H205" i="9"/>
  <c r="FS13" i="1"/>
  <c r="FS72" i="1"/>
  <c r="FS76" i="1"/>
  <c r="FT11" i="1"/>
  <c r="FY16" i="1"/>
  <c r="FY27" i="1" s="1"/>
  <c r="BW336" i="10" l="1"/>
  <c r="CN10" i="1"/>
  <c r="CN14" i="1" s="1"/>
  <c r="CN32" i="1" s="1"/>
  <c r="CM33" i="1"/>
  <c r="FQ53" i="1"/>
  <c r="FQ64" i="1" s="1"/>
  <c r="FA335" i="10" s="1"/>
  <c r="FR48" i="1"/>
  <c r="H206" i="9"/>
  <c r="L205" i="9"/>
  <c r="FU11" i="1"/>
  <c r="FT76" i="1"/>
  <c r="FT13" i="1"/>
  <c r="FT72" i="1"/>
  <c r="FZ16" i="1"/>
  <c r="FZ27" i="1" s="1"/>
  <c r="CN33" i="1" l="1"/>
  <c r="BX336" i="10"/>
  <c r="CO10" i="1"/>
  <c r="CO14" i="1" s="1"/>
  <c r="FR53" i="1"/>
  <c r="FR64" i="1" s="1"/>
  <c r="FB335" i="10" s="1"/>
  <c r="FS48" i="1"/>
  <c r="H207" i="9"/>
  <c r="L206" i="9"/>
  <c r="FV11" i="1"/>
  <c r="FU76" i="1"/>
  <c r="FU13" i="1"/>
  <c r="FU72" i="1"/>
  <c r="GA16" i="1"/>
  <c r="GA27" i="1" s="1"/>
  <c r="FT48" i="1" l="1"/>
  <c r="FS53" i="1"/>
  <c r="FS64" i="1" s="1"/>
  <c r="FC335" i="10" s="1"/>
  <c r="L207" i="9"/>
  <c r="H208" i="9"/>
  <c r="FV76" i="1"/>
  <c r="FV13" i="1"/>
  <c r="FV72" i="1"/>
  <c r="FW11" i="1"/>
  <c r="GB16" i="1"/>
  <c r="GB27" i="1" s="1"/>
  <c r="FU48" i="1" l="1"/>
  <c r="FT53" i="1"/>
  <c r="FT64" i="1" s="1"/>
  <c r="FD335" i="10" s="1"/>
  <c r="H209" i="9"/>
  <c r="L208" i="9"/>
  <c r="FW76" i="1"/>
  <c r="FX11" i="1"/>
  <c r="FW13" i="1"/>
  <c r="FW72" i="1"/>
  <c r="GC16" i="1"/>
  <c r="GC27" i="1" s="1"/>
  <c r="FU53" i="1" l="1"/>
  <c r="FU64" i="1" s="1"/>
  <c r="FE335" i="10" s="1"/>
  <c r="FV48" i="1"/>
  <c r="H210" i="9"/>
  <c r="L209" i="9"/>
  <c r="FX76" i="1"/>
  <c r="FY11" i="1"/>
  <c r="FX72" i="1"/>
  <c r="FX13" i="1"/>
  <c r="GD16" i="1"/>
  <c r="GD27" i="1" s="1"/>
  <c r="FW48" i="1" l="1"/>
  <c r="FV53" i="1"/>
  <c r="FV64" i="1" s="1"/>
  <c r="FF335" i="10" s="1"/>
  <c r="L210" i="9"/>
  <c r="H211" i="9"/>
  <c r="FY13" i="1"/>
  <c r="FY76" i="1"/>
  <c r="FZ11" i="1"/>
  <c r="FY72" i="1"/>
  <c r="GE16" i="1"/>
  <c r="GE27" i="1" s="1"/>
  <c r="FW53" i="1" l="1"/>
  <c r="FX48" i="1"/>
  <c r="H212" i="9"/>
  <c r="L211" i="9"/>
  <c r="FZ13" i="1"/>
  <c r="GA11" i="1"/>
  <c r="FZ76" i="1"/>
  <c r="FZ72" i="1"/>
  <c r="GF16" i="1"/>
  <c r="GF27" i="1" s="1"/>
  <c r="FX53" i="1" l="1"/>
  <c r="FY48" i="1"/>
  <c r="L212" i="9"/>
  <c r="H213" i="9"/>
  <c r="GB11" i="1"/>
  <c r="GA72" i="1"/>
  <c r="GA76" i="1"/>
  <c r="GA13" i="1"/>
  <c r="GG16" i="1"/>
  <c r="GG27" i="1" s="1"/>
  <c r="FY53" i="1" l="1"/>
  <c r="FZ48" i="1"/>
  <c r="L213" i="9"/>
  <c r="H214" i="9"/>
  <c r="GB76" i="1"/>
  <c r="GB13" i="1"/>
  <c r="GC11" i="1"/>
  <c r="GB72" i="1"/>
  <c r="GH16" i="1"/>
  <c r="GH27" i="1" s="1"/>
  <c r="GA48" i="1" l="1"/>
  <c r="FZ53" i="1"/>
  <c r="FZ64" i="1" s="1"/>
  <c r="FJ335" i="10" s="1"/>
  <c r="L214" i="9"/>
  <c r="H215" i="9"/>
  <c r="GD11" i="1"/>
  <c r="GC76" i="1"/>
  <c r="GC72" i="1"/>
  <c r="GC13" i="1"/>
  <c r="GI16" i="1"/>
  <c r="GI27" i="1" s="1"/>
  <c r="GB48" i="1" l="1"/>
  <c r="GA53" i="1"/>
  <c r="GA64" i="1" s="1"/>
  <c r="FK335" i="10" s="1"/>
  <c r="L215" i="9"/>
  <c r="H216" i="9"/>
  <c r="GD76" i="1"/>
  <c r="GE11" i="1"/>
  <c r="GD13" i="1"/>
  <c r="GD72" i="1"/>
  <c r="GJ16" i="1"/>
  <c r="GJ27" i="1" s="1"/>
  <c r="GC48" i="1" l="1"/>
  <c r="GB53" i="1"/>
  <c r="GB64" i="1" s="1"/>
  <c r="FL335" i="10" s="1"/>
  <c r="L216" i="9"/>
  <c r="H217" i="9"/>
  <c r="GE13" i="1"/>
  <c r="GE72" i="1"/>
  <c r="GE76" i="1"/>
  <c r="GF11" i="1"/>
  <c r="GK16" i="1"/>
  <c r="GK27" i="1" s="1"/>
  <c r="GC53" i="1" l="1"/>
  <c r="GC64" i="1" s="1"/>
  <c r="FM335" i="10" s="1"/>
  <c r="GD48" i="1"/>
  <c r="H218" i="9"/>
  <c r="L217" i="9"/>
  <c r="GF76" i="1"/>
  <c r="GG11" i="1"/>
  <c r="GF13" i="1"/>
  <c r="GF72" i="1"/>
  <c r="GL16" i="1"/>
  <c r="GL27" i="1" s="1"/>
  <c r="GE48" i="1" l="1"/>
  <c r="GD53" i="1"/>
  <c r="GD64" i="1" s="1"/>
  <c r="FN335" i="10" s="1"/>
  <c r="H219" i="9"/>
  <c r="L218" i="9"/>
  <c r="GG76" i="1"/>
  <c r="GH11" i="1"/>
  <c r="GG72" i="1"/>
  <c r="GG13" i="1"/>
  <c r="GM16" i="1"/>
  <c r="GM27" i="1" s="1"/>
  <c r="GF48" i="1" l="1"/>
  <c r="GE53" i="1"/>
  <c r="GE64" i="1" s="1"/>
  <c r="FO335" i="10" s="1"/>
  <c r="L219" i="9"/>
  <c r="H220" i="9"/>
  <c r="GI11" i="1"/>
  <c r="GH76" i="1"/>
  <c r="GH13" i="1"/>
  <c r="GH72" i="1"/>
  <c r="GN16" i="1"/>
  <c r="GN27" i="1" s="1"/>
  <c r="GF53" i="1" l="1"/>
  <c r="GF64" i="1" s="1"/>
  <c r="FP335" i="10" s="1"/>
  <c r="GG48" i="1"/>
  <c r="H221" i="9"/>
  <c r="L220" i="9"/>
  <c r="GI72" i="1"/>
  <c r="GI13" i="1"/>
  <c r="GJ11" i="1"/>
  <c r="GI76" i="1"/>
  <c r="GO16" i="1"/>
  <c r="GO27" i="1" s="1"/>
  <c r="GG53" i="1" l="1"/>
  <c r="GG64" i="1" s="1"/>
  <c r="FQ335" i="10" s="1"/>
  <c r="GH48" i="1"/>
  <c r="L221" i="9"/>
  <c r="H222" i="9"/>
  <c r="GJ72" i="1"/>
  <c r="GJ76" i="1"/>
  <c r="GK11" i="1"/>
  <c r="GJ13" i="1"/>
  <c r="GP16" i="1"/>
  <c r="GP27" i="1" s="1"/>
  <c r="GH53" i="1" l="1"/>
  <c r="GH64" i="1" s="1"/>
  <c r="FR335" i="10" s="1"/>
  <c r="GI48" i="1"/>
  <c r="H223" i="9"/>
  <c r="L222" i="9"/>
  <c r="GL11" i="1"/>
  <c r="GK72" i="1"/>
  <c r="GK76" i="1"/>
  <c r="GK13" i="1"/>
  <c r="GQ16" i="1"/>
  <c r="GQ27" i="1" s="1"/>
  <c r="GI53" i="1" l="1"/>
  <c r="GJ48" i="1"/>
  <c r="H224" i="9"/>
  <c r="L223" i="9"/>
  <c r="GL76" i="1"/>
  <c r="GL13" i="1"/>
  <c r="GM11" i="1"/>
  <c r="GL72" i="1"/>
  <c r="GR16" i="1"/>
  <c r="GR27" i="1" s="1"/>
  <c r="GJ53" i="1" l="1"/>
  <c r="GK48" i="1"/>
  <c r="L224" i="9"/>
  <c r="H225" i="9"/>
  <c r="GM76" i="1"/>
  <c r="GN11" i="1"/>
  <c r="GM13" i="1"/>
  <c r="GM72" i="1"/>
  <c r="GS16" i="1"/>
  <c r="GS27" i="1" s="1"/>
  <c r="GL48" i="1" l="1"/>
  <c r="GK53" i="1"/>
  <c r="L225" i="9"/>
  <c r="H226" i="9"/>
  <c r="GN13" i="1"/>
  <c r="GO11" i="1"/>
  <c r="GN76" i="1"/>
  <c r="GN72" i="1"/>
  <c r="GT16" i="1"/>
  <c r="GT27" i="1" s="1"/>
  <c r="GM48" i="1" l="1"/>
  <c r="GL53" i="1"/>
  <c r="GL64" i="1" s="1"/>
  <c r="FV335" i="10" s="1"/>
  <c r="H227" i="9"/>
  <c r="L226" i="9"/>
  <c r="GO76" i="1"/>
  <c r="GO72" i="1"/>
  <c r="GP11" i="1"/>
  <c r="GO13" i="1"/>
  <c r="GM53" i="1" l="1"/>
  <c r="GM64" i="1" s="1"/>
  <c r="FW335" i="10" s="1"/>
  <c r="GN48" i="1"/>
  <c r="H228" i="9"/>
  <c r="L227" i="9"/>
  <c r="GP72" i="1"/>
  <c r="GP13" i="1"/>
  <c r="GQ11" i="1"/>
  <c r="GP76" i="1"/>
  <c r="GO48" i="1" l="1"/>
  <c r="GN53" i="1"/>
  <c r="H229" i="9"/>
  <c r="L228" i="9"/>
  <c r="GQ13" i="1"/>
  <c r="GQ72" i="1"/>
  <c r="GR11" i="1"/>
  <c r="GQ76" i="1"/>
  <c r="GP48" i="1" l="1"/>
  <c r="GO53" i="1"/>
  <c r="H230" i="9"/>
  <c r="L229" i="9"/>
  <c r="GR72" i="1"/>
  <c r="GS11" i="1"/>
  <c r="GR76" i="1"/>
  <c r="GR13" i="1"/>
  <c r="GP53" i="1" l="1"/>
  <c r="GP64" i="1" s="1"/>
  <c r="FZ335" i="10" s="1"/>
  <c r="GQ48" i="1"/>
  <c r="H231" i="9"/>
  <c r="L230" i="9"/>
  <c r="GS72" i="1"/>
  <c r="GT11" i="1"/>
  <c r="GS76" i="1"/>
  <c r="GS13" i="1"/>
  <c r="GR48" i="1" l="1"/>
  <c r="GQ53" i="1"/>
  <c r="GQ64" i="1" s="1"/>
  <c r="GA335" i="10" s="1"/>
  <c r="H232" i="9"/>
  <c r="L231" i="9"/>
  <c r="GT13" i="1"/>
  <c r="GT72" i="1"/>
  <c r="GT76" i="1"/>
  <c r="GS48" i="1" l="1"/>
  <c r="GR53" i="1"/>
  <c r="L232" i="9"/>
  <c r="H233" i="9"/>
  <c r="L141" i="9"/>
  <c r="K23" i="9"/>
  <c r="L128" i="9"/>
  <c r="L72" i="9"/>
  <c r="L127" i="9"/>
  <c r="L71" i="9"/>
  <c r="L70" i="9"/>
  <c r="L69" i="9"/>
  <c r="L96" i="9"/>
  <c r="L67" i="9"/>
  <c r="L94" i="9"/>
  <c r="L65" i="9"/>
  <c r="L92" i="9"/>
  <c r="L133" i="9"/>
  <c r="L119" i="9"/>
  <c r="L105" i="9"/>
  <c r="L91" i="9"/>
  <c r="L77" i="9"/>
  <c r="L63" i="9"/>
  <c r="L49" i="9"/>
  <c r="L86" i="9"/>
  <c r="L99" i="9"/>
  <c r="L126" i="9"/>
  <c r="L84" i="9"/>
  <c r="L125" i="9"/>
  <c r="L83" i="9"/>
  <c r="L138" i="9"/>
  <c r="L68" i="9"/>
  <c r="L95" i="9"/>
  <c r="L122" i="9"/>
  <c r="L80" i="9"/>
  <c r="L107" i="9"/>
  <c r="L79" i="9"/>
  <c r="L106" i="9"/>
  <c r="L78" i="9"/>
  <c r="L132" i="9"/>
  <c r="L118" i="9"/>
  <c r="L104" i="9"/>
  <c r="L90" i="9"/>
  <c r="L76" i="9"/>
  <c r="L62" i="9"/>
  <c r="L48" i="9"/>
  <c r="L100" i="9"/>
  <c r="L85" i="9"/>
  <c r="L112" i="9"/>
  <c r="L56" i="9"/>
  <c r="L97" i="9"/>
  <c r="L82" i="9"/>
  <c r="L123" i="9"/>
  <c r="L81" i="9"/>
  <c r="L66" i="9"/>
  <c r="L121" i="9"/>
  <c r="L93" i="9"/>
  <c r="L50" i="9"/>
  <c r="L131" i="9"/>
  <c r="L117" i="9"/>
  <c r="L103" i="9"/>
  <c r="L89" i="9"/>
  <c r="L75" i="9"/>
  <c r="L61" i="9"/>
  <c r="L47" i="9"/>
  <c r="L113" i="9"/>
  <c r="L140" i="9"/>
  <c r="L111" i="9"/>
  <c r="L124" i="9"/>
  <c r="L137" i="9"/>
  <c r="L108" i="9"/>
  <c r="L134" i="9"/>
  <c r="L130" i="9"/>
  <c r="L116" i="9"/>
  <c r="L102" i="9"/>
  <c r="L88" i="9"/>
  <c r="L74" i="9"/>
  <c r="L60" i="9"/>
  <c r="L46" i="9"/>
  <c r="L114" i="9"/>
  <c r="L58" i="9"/>
  <c r="L57" i="9"/>
  <c r="L98" i="9"/>
  <c r="L139" i="9"/>
  <c r="L55" i="9"/>
  <c r="L110" i="9"/>
  <c r="L54" i="9"/>
  <c r="L109" i="9"/>
  <c r="L53" i="9"/>
  <c r="L136" i="9"/>
  <c r="L52" i="9"/>
  <c r="L135" i="9"/>
  <c r="L51" i="9"/>
  <c r="L120" i="9"/>
  <c r="L64" i="9"/>
  <c r="L129" i="9"/>
  <c r="L115" i="9"/>
  <c r="L101" i="9"/>
  <c r="L87" i="9"/>
  <c r="L73" i="9"/>
  <c r="L59" i="9"/>
  <c r="K22" i="9"/>
  <c r="L22" i="9" s="1"/>
  <c r="GT48" i="1" l="1"/>
  <c r="GT53" i="1" s="1"/>
  <c r="GS53" i="1"/>
  <c r="L233" i="9"/>
  <c r="H234" i="9"/>
  <c r="K17" i="9"/>
  <c r="K24" i="9"/>
  <c r="L234" i="9" l="1"/>
  <c r="H235" i="9"/>
  <c r="K25" i="9"/>
  <c r="K10" i="9"/>
  <c r="K16" i="9"/>
  <c r="K18" i="9"/>
  <c r="H236" i="9" l="1"/>
  <c r="L235" i="9"/>
  <c r="C6" i="9"/>
  <c r="DU18" i="1"/>
  <c r="DU27" i="1" s="1"/>
  <c r="L236" i="9" l="1"/>
  <c r="H237" i="9"/>
  <c r="DV18" i="1"/>
  <c r="DV27" i="1" s="1"/>
  <c r="L237" i="9" l="1"/>
  <c r="H238" i="9"/>
  <c r="DW18" i="1"/>
  <c r="DW27" i="1" s="1"/>
  <c r="H239" i="9" l="1"/>
  <c r="L238" i="9"/>
  <c r="DX18" i="1"/>
  <c r="DX27" i="1" s="1"/>
  <c r="H240" i="9" l="1"/>
  <c r="L239" i="9"/>
  <c r="DY18" i="1"/>
  <c r="DY27" i="1" s="1"/>
  <c r="H241" i="9" l="1"/>
  <c r="L240" i="9"/>
  <c r="DZ18" i="1"/>
  <c r="DZ27" i="1" s="1"/>
  <c r="H242" i="9" l="1"/>
  <c r="L241" i="9"/>
  <c r="EA18" i="1"/>
  <c r="EA27" i="1" s="1"/>
  <c r="L242" i="9" l="1"/>
  <c r="H243" i="9"/>
  <c r="EB18" i="1"/>
  <c r="EB27" i="1" s="1"/>
  <c r="L243" i="9" l="1"/>
  <c r="H244" i="9"/>
  <c r="EC18" i="1"/>
  <c r="EC27" i="1" s="1"/>
  <c r="H245" i="9" l="1"/>
  <c r="L244" i="9"/>
  <c r="ED18" i="1"/>
  <c r="ED27" i="1" s="1"/>
  <c r="L245" i="9" l="1"/>
  <c r="H246" i="9"/>
  <c r="EE18" i="1"/>
  <c r="EE27" i="1" s="1"/>
  <c r="H247" i="9" l="1"/>
  <c r="L246" i="9"/>
  <c r="EF18" i="1"/>
  <c r="EF27" i="1" s="1"/>
  <c r="L247" i="9" l="1"/>
  <c r="H248" i="9"/>
  <c r="EG18" i="1"/>
  <c r="EG27" i="1" s="1"/>
  <c r="H249" i="9" l="1"/>
  <c r="L248" i="9"/>
  <c r="EH18" i="1"/>
  <c r="EH27" i="1" s="1"/>
  <c r="H250" i="9" l="1"/>
  <c r="L249" i="9"/>
  <c r="EI18" i="1"/>
  <c r="EI27" i="1" s="1"/>
  <c r="L250" i="9" l="1"/>
  <c r="H251" i="9"/>
  <c r="EJ18" i="1"/>
  <c r="EJ27" i="1" s="1"/>
  <c r="L251" i="9" l="1"/>
  <c r="H252" i="9"/>
  <c r="EK18" i="1"/>
  <c r="EK27" i="1" s="1"/>
  <c r="H253" i="9" l="1"/>
  <c r="L252" i="9"/>
  <c r="EL18" i="1"/>
  <c r="EL27" i="1" s="1"/>
  <c r="H254" i="9" l="1"/>
  <c r="L253" i="9"/>
  <c r="EM18" i="1"/>
  <c r="EM27" i="1" s="1"/>
  <c r="L254" i="9" l="1"/>
  <c r="H255" i="9"/>
  <c r="EN18" i="1"/>
  <c r="EN27" i="1" s="1"/>
  <c r="H256" i="9" l="1"/>
  <c r="L255" i="9"/>
  <c r="EO18" i="1"/>
  <c r="EO27" i="1" s="1"/>
  <c r="L256" i="9" l="1"/>
  <c r="H257" i="9"/>
  <c r="EP18" i="1"/>
  <c r="EP27" i="1" s="1"/>
  <c r="L257" i="9" l="1"/>
  <c r="H258" i="9"/>
  <c r="EQ18" i="1"/>
  <c r="EQ27" i="1" s="1"/>
  <c r="H259" i="9" l="1"/>
  <c r="L258" i="9"/>
  <c r="ER18" i="1"/>
  <c r="ER27" i="1" s="1"/>
  <c r="L259" i="9" l="1"/>
  <c r="H260" i="9"/>
  <c r="ES18" i="1"/>
  <c r="ES27" i="1" s="1"/>
  <c r="L260" i="9" l="1"/>
  <c r="H261" i="9"/>
  <c r="ET18" i="1"/>
  <c r="ET27" i="1" s="1"/>
  <c r="L261" i="9" l="1"/>
  <c r="H262" i="9"/>
  <c r="EU18" i="1"/>
  <c r="EU27" i="1" s="1"/>
  <c r="H263" i="9" l="1"/>
  <c r="L262" i="9"/>
  <c r="EV18" i="1"/>
  <c r="EV27" i="1" s="1"/>
  <c r="H264" i="9" l="1"/>
  <c r="L263" i="9"/>
  <c r="EW18" i="1"/>
  <c r="EW27" i="1" s="1"/>
  <c r="H265" i="9" l="1"/>
  <c r="L264" i="9"/>
  <c r="EX18" i="1"/>
  <c r="EX27" i="1" s="1"/>
  <c r="H266" i="9" l="1"/>
  <c r="L265" i="9"/>
  <c r="EY18" i="1"/>
  <c r="EY27" i="1" s="1"/>
  <c r="H267" i="9" l="1"/>
  <c r="L266" i="9"/>
  <c r="EZ18" i="1"/>
  <c r="EZ27" i="1" s="1"/>
  <c r="L267" i="9" l="1"/>
  <c r="H23" i="9"/>
  <c r="FA18" i="1"/>
  <c r="FA27" i="1" s="1"/>
  <c r="H24" i="9" l="1"/>
  <c r="H17" i="9"/>
  <c r="FB18" i="1"/>
  <c r="FB27" i="1" s="1"/>
  <c r="H18" i="9" l="1"/>
  <c r="L18" i="9" s="1"/>
  <c r="L17" i="9"/>
  <c r="H16" i="9"/>
  <c r="H25" i="9"/>
  <c r="H10" i="9"/>
  <c r="FC18" i="1"/>
  <c r="FC27" i="1" s="1"/>
  <c r="C5" i="9" l="1"/>
  <c r="L10" i="9"/>
  <c r="FD18" i="1"/>
  <c r="FD27" i="1" s="1"/>
  <c r="FE18" i="1" l="1"/>
  <c r="FE27" i="1" s="1"/>
  <c r="FF18" i="1" l="1"/>
  <c r="FF27" i="1" s="1"/>
  <c r="FG18" i="1" l="1"/>
  <c r="FG27" i="1" s="1"/>
  <c r="FH18" i="1" l="1"/>
  <c r="FH27" i="1" s="1"/>
  <c r="FI18" i="1" l="1"/>
  <c r="FI27" i="1" s="1"/>
  <c r="FJ18" i="1" l="1"/>
  <c r="FJ27" i="1" s="1"/>
  <c r="FK18" i="1" l="1"/>
  <c r="FK27" i="1" s="1"/>
  <c r="FL18" i="1" l="1"/>
  <c r="FL27" i="1" s="1"/>
  <c r="FM18" i="1" l="1"/>
  <c r="FM27" i="1" s="1"/>
  <c r="FN18" i="1" l="1"/>
  <c r="FN27" i="1" s="1"/>
  <c r="FO18" i="1" l="1"/>
  <c r="FO27" i="1" s="1"/>
  <c r="FP18" i="1" l="1"/>
  <c r="FP27" i="1" s="1"/>
  <c r="FQ18" i="1" l="1"/>
  <c r="FQ27" i="1" s="1"/>
  <c r="FR18" i="1" l="1"/>
  <c r="FR27" i="1" s="1"/>
  <c r="FS18" i="1" l="1"/>
  <c r="FS27" i="1" s="1"/>
  <c r="FT18" i="1" l="1"/>
  <c r="FT27" i="1" s="1"/>
  <c r="BV58" i="11"/>
  <c r="BV63" i="11"/>
  <c r="BV60" i="11"/>
  <c r="CQ23" i="1" s="1"/>
  <c r="BW51" i="11" l="1"/>
  <c r="BW59" i="11"/>
  <c r="BW52" i="11"/>
  <c r="BV81" i="11"/>
  <c r="BT75" i="11"/>
  <c r="BV62" i="11"/>
  <c r="BS75" i="11"/>
  <c r="BV64" i="11"/>
  <c r="H52" i="11" l="1"/>
  <c r="BT58" i="11"/>
  <c r="BT63" i="11"/>
  <c r="H63" i="11" s="1"/>
  <c r="BT60" i="11"/>
  <c r="CO23" i="1" s="1"/>
  <c r="H56" i="11"/>
  <c r="H58" i="11" l="1"/>
  <c r="C76" i="11"/>
  <c r="H23" i="1"/>
  <c r="CO27" i="1"/>
  <c r="CO70" i="1" s="1"/>
  <c r="CO71" i="1" s="1"/>
  <c r="CO74" i="1"/>
  <c r="H74" i="1" s="1"/>
  <c r="P74" i="1" s="1"/>
  <c r="BU52" i="11"/>
  <c r="BU59" i="11"/>
  <c r="BQ75" i="11"/>
  <c r="BR75" i="11"/>
  <c r="BT62" i="11"/>
  <c r="H62" i="11" s="1"/>
  <c r="BU51" i="11"/>
  <c r="BT81" i="11"/>
  <c r="H60" i="11"/>
  <c r="P94" i="11" s="1"/>
  <c r="BT64" i="11"/>
  <c r="H64" i="11" s="1"/>
  <c r="CF78" i="11" l="1"/>
  <c r="CJ78" i="11"/>
  <c r="C75" i="11"/>
  <c r="W78" i="11"/>
  <c r="W79" i="11" s="1"/>
  <c r="AL78" i="11"/>
  <c r="AL79" i="11" s="1"/>
  <c r="CH78" i="11"/>
  <c r="BI78" i="11"/>
  <c r="AA78" i="11"/>
  <c r="AA79" i="11" s="1"/>
  <c r="BU78" i="11"/>
  <c r="AE78" i="11"/>
  <c r="AE79" i="11" s="1"/>
  <c r="BF78" i="11"/>
  <c r="BF79" i="11" s="1"/>
  <c r="BM78" i="11"/>
  <c r="BM79" i="11" s="1"/>
  <c r="CD78" i="11"/>
  <c r="AQ78" i="11"/>
  <c r="AQ79" i="11" s="1"/>
  <c r="BX78" i="11"/>
  <c r="T78" i="11"/>
  <c r="T79" i="11" s="1"/>
  <c r="BJ78" i="11"/>
  <c r="BJ79" i="11" s="1"/>
  <c r="BR78" i="11"/>
  <c r="BR79" i="11" s="1"/>
  <c r="CK78" i="11"/>
  <c r="S78" i="11"/>
  <c r="S79" i="11" s="1"/>
  <c r="BP78" i="11"/>
  <c r="BP79" i="11" s="1"/>
  <c r="BN78" i="11"/>
  <c r="BN79" i="11" s="1"/>
  <c r="BE78" i="11"/>
  <c r="BE79" i="11" s="1"/>
  <c r="BB78" i="11"/>
  <c r="BB79" i="11" s="1"/>
  <c r="BZ78" i="11"/>
  <c r="AK78" i="11"/>
  <c r="AB78" i="11"/>
  <c r="AB79" i="11" s="1"/>
  <c r="AI78" i="11"/>
  <c r="AI79" i="11" s="1"/>
  <c r="BG78" i="11"/>
  <c r="BG79" i="11" s="1"/>
  <c r="U78" i="11"/>
  <c r="U79" i="11" s="1"/>
  <c r="BK78" i="11"/>
  <c r="BK79" i="11" s="1"/>
  <c r="BV78" i="11"/>
  <c r="AM78" i="11"/>
  <c r="AM79" i="11" s="1"/>
  <c r="Z78" i="11"/>
  <c r="Z79" i="11" s="1"/>
  <c r="BD78" i="11"/>
  <c r="BD79" i="11" s="1"/>
  <c r="AU78" i="11"/>
  <c r="AU79" i="11" s="1"/>
  <c r="AO78" i="11"/>
  <c r="AO79" i="11" s="1"/>
  <c r="AN78" i="11"/>
  <c r="AN79" i="11" s="1"/>
  <c r="M78" i="11"/>
  <c r="AF78" i="11"/>
  <c r="AF79" i="11" s="1"/>
  <c r="BY78" i="11"/>
  <c r="N78" i="11"/>
  <c r="N79" i="11" s="1"/>
  <c r="CB78" i="11"/>
  <c r="BW78" i="11"/>
  <c r="AT78" i="11"/>
  <c r="AT79" i="11" s="1"/>
  <c r="P78" i="11"/>
  <c r="P79" i="11" s="1"/>
  <c r="CG78" i="11"/>
  <c r="Y78" i="11"/>
  <c r="AJ78" i="11"/>
  <c r="AJ79" i="11" s="1"/>
  <c r="BS78" i="11"/>
  <c r="BS79" i="11" s="1"/>
  <c r="AR78" i="11"/>
  <c r="AR79" i="11" s="1"/>
  <c r="BH78" i="11"/>
  <c r="BH79" i="11" s="1"/>
  <c r="AD78" i="11"/>
  <c r="AD79" i="11" s="1"/>
  <c r="AW78" i="11"/>
  <c r="BC78" i="11"/>
  <c r="BC79" i="11" s="1"/>
  <c r="AV78" i="11"/>
  <c r="AV79" i="11" s="1"/>
  <c r="R78" i="11"/>
  <c r="R79" i="11" s="1"/>
  <c r="BL78" i="11"/>
  <c r="BL79" i="11" s="1"/>
  <c r="AX78" i="11"/>
  <c r="AX79" i="11" s="1"/>
  <c r="AY78" i="11"/>
  <c r="AY79" i="11" s="1"/>
  <c r="V78" i="11"/>
  <c r="V79" i="11" s="1"/>
  <c r="AC78" i="11"/>
  <c r="AC79" i="11" s="1"/>
  <c r="AH78" i="11"/>
  <c r="AH79" i="11" s="1"/>
  <c r="Q78" i="11"/>
  <c r="Q79" i="11" s="1"/>
  <c r="CC78" i="11"/>
  <c r="AZ78" i="11"/>
  <c r="AZ79" i="11" s="1"/>
  <c r="BO78" i="11"/>
  <c r="BO79" i="11" s="1"/>
  <c r="O78" i="11"/>
  <c r="O79" i="11" s="1"/>
  <c r="BQ78" i="11"/>
  <c r="BQ79" i="11" s="1"/>
  <c r="AG78" i="11"/>
  <c r="AG79" i="11" s="1"/>
  <c r="BA78" i="11"/>
  <c r="BA79" i="11" s="1"/>
  <c r="X78" i="11"/>
  <c r="X79" i="11" s="1"/>
  <c r="AS78" i="11"/>
  <c r="AS79" i="11" s="1"/>
  <c r="AP78" i="11"/>
  <c r="AP79" i="11" s="1"/>
  <c r="BT78" i="11"/>
  <c r="BT79" i="11" s="1"/>
  <c r="H27" i="1"/>
  <c r="P23" i="1"/>
  <c r="G3" i="41" s="1"/>
  <c r="H81" i="11"/>
  <c r="C81" i="11"/>
  <c r="CO78" i="1"/>
  <c r="H78" i="1" s="1"/>
  <c r="P78" i="1" s="1"/>
  <c r="CO32" i="1"/>
  <c r="CP10" i="1" s="1"/>
  <c r="CP14" i="1" s="1"/>
  <c r="CP32" i="1" s="1"/>
  <c r="CQ10" i="1" s="1"/>
  <c r="CQ14" i="1" s="1"/>
  <c r="H75" i="11"/>
  <c r="H94" i="11" s="1"/>
  <c r="J94" i="11" s="1"/>
  <c r="P97" i="11"/>
  <c r="R94" i="11"/>
  <c r="CO72" i="1"/>
  <c r="P27" i="1" l="1"/>
  <c r="H32" i="1"/>
  <c r="I78" i="11"/>
  <c r="BI79" i="11"/>
  <c r="H79" i="11" s="1"/>
  <c r="H78" i="11"/>
  <c r="F78" i="11"/>
  <c r="AK79" i="11"/>
  <c r="F79" i="11" s="1"/>
  <c r="D78" i="11"/>
  <c r="M79" i="11"/>
  <c r="Y79" i="11"/>
  <c r="E79" i="11" s="1"/>
  <c r="E78" i="11"/>
  <c r="G78" i="11"/>
  <c r="AW79" i="11"/>
  <c r="G79" i="11" s="1"/>
  <c r="G13" i="41"/>
  <c r="G19" i="41"/>
  <c r="BZ336" i="10"/>
  <c r="CO33" i="1"/>
  <c r="H35" i="1"/>
  <c r="I10" i="1" s="1"/>
  <c r="CP33" i="1"/>
  <c r="BY336" i="10"/>
  <c r="P35" i="1"/>
  <c r="R97" i="11"/>
  <c r="G14" i="41" l="1"/>
  <c r="G18" i="41" s="1"/>
  <c r="G20" i="41" s="1"/>
  <c r="P32" i="1"/>
  <c r="P33" i="1" s="1"/>
  <c r="H33" i="1"/>
  <c r="D79" i="11"/>
  <c r="C79" i="11"/>
  <c r="CD57" i="11"/>
  <c r="CC57" i="11" s="1"/>
  <c r="CH57" i="11" s="1"/>
  <c r="CG57" i="11" s="1"/>
  <c r="CM57" i="11" s="1"/>
  <c r="CK57" i="11" s="1"/>
  <c r="CO57" i="11" s="1"/>
  <c r="CN57" i="11" s="1"/>
  <c r="CQ57" i="11" s="1"/>
  <c r="CP57" i="11" s="1"/>
  <c r="CD53" i="11"/>
  <c r="CC53" i="11" s="1"/>
  <c r="CH53" i="11" s="1"/>
  <c r="CG53" i="11" s="1"/>
  <c r="CM53" i="11" s="1"/>
  <c r="CK53" i="11" s="1"/>
  <c r="CO53" i="11" s="1"/>
  <c r="CN53" i="11" s="1"/>
  <c r="CQ53" i="11" s="1"/>
  <c r="CP53" i="11" s="1"/>
  <c r="CD54" i="11"/>
  <c r="CC54" i="11" s="1"/>
  <c r="CH54" i="11" s="1"/>
  <c r="CG54" i="11" s="1"/>
  <c r="CM54" i="11" s="1"/>
  <c r="CK54" i="11" s="1"/>
  <c r="CO54" i="11" s="1"/>
  <c r="CN54" i="11" s="1"/>
  <c r="CQ54" i="11" s="1"/>
  <c r="CP54" i="11" s="1"/>
  <c r="I54" i="11" l="1"/>
  <c r="I53" i="11"/>
  <c r="I57" i="11"/>
  <c r="BV19" i="11" l="1"/>
  <c r="H19" i="11" s="1"/>
  <c r="BY10" i="11"/>
  <c r="BX10" i="11" s="1"/>
  <c r="BX19" i="11" s="1"/>
  <c r="BV17" i="11"/>
  <c r="H10" i="11"/>
  <c r="CQ22" i="1" l="1"/>
  <c r="CQ27" i="1" s="1"/>
  <c r="BS34" i="11"/>
  <c r="BW10" i="11"/>
  <c r="BV16" i="11"/>
  <c r="H16" i="11" s="1"/>
  <c r="CB10" i="11"/>
  <c r="BX17" i="11"/>
  <c r="BW14" i="11"/>
  <c r="BW11" i="11"/>
  <c r="BW8" i="11"/>
  <c r="BW15" i="11"/>
  <c r="BW12" i="11"/>
  <c r="BW13" i="11"/>
  <c r="BW7" i="11"/>
  <c r="BV20" i="11"/>
  <c r="H20" i="11" s="1"/>
  <c r="H17" i="11"/>
  <c r="P89" i="11" s="1"/>
  <c r="BV41" i="11"/>
  <c r="H41" i="11" s="1"/>
  <c r="BW9" i="11"/>
  <c r="BZ19" i="11" l="1"/>
  <c r="BT34" i="11"/>
  <c r="BS39" i="11"/>
  <c r="BY9" i="11"/>
  <c r="CS22" i="1"/>
  <c r="BZ17" i="11"/>
  <c r="CD10" i="11"/>
  <c r="CC10" i="11" s="1"/>
  <c r="BX41" i="11"/>
  <c r="BU34" i="11"/>
  <c r="BV34" i="11" s="1"/>
  <c r="BV39" i="11" s="1"/>
  <c r="BY7" i="11"/>
  <c r="BY8" i="11"/>
  <c r="CQ74" i="1"/>
  <c r="CQ78" i="1" s="1"/>
  <c r="BX20" i="11"/>
  <c r="R89" i="11"/>
  <c r="P98" i="11"/>
  <c r="R98" i="11" s="1"/>
  <c r="P92" i="11"/>
  <c r="R92" i="11" s="1"/>
  <c r="H34" i="11" l="1"/>
  <c r="H89" i="11" s="1"/>
  <c r="BT39" i="11"/>
  <c r="H39" i="11" s="1"/>
  <c r="CB9" i="11"/>
  <c r="CB7" i="11"/>
  <c r="BW34" i="11"/>
  <c r="CB8" i="11"/>
  <c r="BZ41" i="11"/>
  <c r="CU22" i="1"/>
  <c r="CH10" i="11"/>
  <c r="CG10" i="11" s="1"/>
  <c r="CC19" i="11"/>
  <c r="CC17" i="11"/>
  <c r="BZ20" i="11"/>
  <c r="BU39" i="11"/>
  <c r="CQ32" i="1"/>
  <c r="CQ70" i="1"/>
  <c r="CQ71" i="1" s="1"/>
  <c r="CM10" i="11" l="1"/>
  <c r="CK10" i="11" s="1"/>
  <c r="CL10" i="11"/>
  <c r="CF15" i="11"/>
  <c r="CF11" i="11"/>
  <c r="CF13" i="11"/>
  <c r="CF14" i="11"/>
  <c r="CF12" i="11"/>
  <c r="CF10" i="11"/>
  <c r="H100" i="11"/>
  <c r="J89" i="11"/>
  <c r="CC20" i="11"/>
  <c r="CG17" i="11"/>
  <c r="CG19" i="11"/>
  <c r="BW39" i="11"/>
  <c r="BX34" i="11"/>
  <c r="BX39" i="11" s="1"/>
  <c r="BY34" i="11"/>
  <c r="CC41" i="11"/>
  <c r="CD9" i="11"/>
  <c r="CD7" i="11"/>
  <c r="CD8" i="11"/>
  <c r="CQ72" i="1"/>
  <c r="B5" i="1"/>
  <c r="CR10" i="1"/>
  <c r="CR14" i="1" s="1"/>
  <c r="CR32" i="1" s="1"/>
  <c r="CB336" i="10" s="1"/>
  <c r="CA336" i="10"/>
  <c r="CQ33" i="1"/>
  <c r="CK19" i="11" l="1"/>
  <c r="CK20" i="11" s="1"/>
  <c r="CK17" i="11"/>
  <c r="CO10" i="11"/>
  <c r="CN10" i="11" s="1"/>
  <c r="J100" i="11"/>
  <c r="K100" i="11"/>
  <c r="CG20" i="11"/>
  <c r="CH9" i="11"/>
  <c r="CA34" i="11"/>
  <c r="CG41" i="11"/>
  <c r="CH8" i="11"/>
  <c r="CH7" i="11"/>
  <c r="BY39" i="11"/>
  <c r="BZ34" i="11"/>
  <c r="BZ39" i="11" s="1"/>
  <c r="CS10" i="1"/>
  <c r="CS14" i="1" s="1"/>
  <c r="CR33" i="1"/>
  <c r="CM8" i="11"/>
  <c r="CM7" i="11"/>
  <c r="CM9" i="11"/>
  <c r="CE34" i="11"/>
  <c r="CE39" i="11" s="1"/>
  <c r="CN17" i="11"/>
  <c r="CF34" i="11" s="1"/>
  <c r="CF39" i="11" s="1"/>
  <c r="I10" i="11"/>
  <c r="CN19" i="11"/>
  <c r="CL8" i="11" l="1"/>
  <c r="CL7" i="11"/>
  <c r="CL9" i="11"/>
  <c r="DA22" i="1"/>
  <c r="CK41" i="11"/>
  <c r="CA39" i="11"/>
  <c r="CC34" i="11"/>
  <c r="CC39" i="11" s="1"/>
  <c r="CO7" i="11"/>
  <c r="CH34" i="11"/>
  <c r="CH39" i="11" s="1"/>
  <c r="CO9" i="11"/>
  <c r="CO8" i="11"/>
  <c r="CN41" i="11"/>
  <c r="I41" i="11" s="1"/>
  <c r="I17" i="11"/>
  <c r="Q89" i="11" s="1"/>
  <c r="I22" i="1"/>
  <c r="Q22" i="1" s="1"/>
  <c r="CG34" i="11"/>
  <c r="CG39" i="11" s="1"/>
  <c r="I19" i="11"/>
  <c r="CN20" i="11"/>
  <c r="I20" i="11" s="1"/>
  <c r="S89" i="11" l="1"/>
  <c r="Q92" i="11"/>
  <c r="S92" i="11" s="1"/>
  <c r="CK34" i="11"/>
  <c r="CK39" i="11" l="1"/>
  <c r="I39" i="11" s="1"/>
  <c r="I34" i="11"/>
  <c r="I89" i="11" s="1"/>
  <c r="K89" i="11" l="1"/>
  <c r="CP336" i="10" l="1"/>
  <c r="CQ336" i="10" l="1"/>
  <c r="CR336" i="10" l="1"/>
  <c r="CS336" i="10" l="1"/>
  <c r="CT336" i="10" l="1"/>
  <c r="CU336" i="10" l="1"/>
  <c r="CV336" i="10" l="1"/>
  <c r="CW336" i="10" l="1"/>
  <c r="CX336" i="10" l="1"/>
  <c r="DB336" i="10" l="1"/>
  <c r="DC336" i="10" l="1"/>
  <c r="DD336" i="10" l="1"/>
  <c r="DE336" i="10" l="1"/>
  <c r="DF336" i="10" l="1"/>
  <c r="DG336" i="10" l="1"/>
  <c r="DH336" i="10" l="1"/>
  <c r="DI336" i="10" l="1"/>
  <c r="DJ336" i="10" l="1"/>
  <c r="DN336" i="10" l="1"/>
  <c r="DO336" i="10" l="1"/>
  <c r="DP336" i="10" l="1"/>
  <c r="DQ336" i="10" l="1"/>
  <c r="DR336" i="10" l="1"/>
  <c r="DS336" i="10" l="1"/>
  <c r="DT336" i="10" l="1"/>
  <c r="DU336" i="10" l="1"/>
  <c r="DV336" i="10" l="1"/>
  <c r="DZ336" i="10" l="1"/>
  <c r="EA336" i="10" l="1"/>
  <c r="EB336" i="10" l="1"/>
  <c r="EC336" i="10" l="1"/>
  <c r="ED336" i="10" l="1"/>
  <c r="EE336" i="10" l="1"/>
  <c r="EF336" i="10" l="1"/>
  <c r="EG336" i="10" l="1"/>
  <c r="EH336" i="10" l="1"/>
  <c r="EL336" i="10" l="1"/>
  <c r="EM336" i="10" l="1"/>
  <c r="EN336" i="10" l="1"/>
  <c r="EO336" i="10" l="1"/>
  <c r="EP336" i="10" l="1"/>
  <c r="EQ336" i="10" l="1"/>
  <c r="ER336" i="10" l="1"/>
  <c r="ES336" i="10" l="1"/>
  <c r="ET336" i="10" l="1"/>
  <c r="EX336" i="10" l="1"/>
  <c r="EY336" i="10" l="1"/>
  <c r="EZ336" i="10" l="1"/>
  <c r="FA336" i="10" l="1"/>
  <c r="FB336" i="10" l="1"/>
  <c r="FC336" i="10" l="1"/>
  <c r="FD336" i="10" l="1"/>
  <c r="FE336" i="10" l="1"/>
  <c r="FF336" i="10" l="1"/>
  <c r="FJ336" i="10" l="1"/>
  <c r="FK336" i="10" l="1"/>
  <c r="FL336" i="10" l="1"/>
  <c r="FM336" i="10" l="1"/>
  <c r="FN336" i="10" l="1"/>
  <c r="FO336" i="10" l="1"/>
  <c r="FP336" i="10" l="1"/>
  <c r="FQ336" i="10" l="1"/>
  <c r="FR336" i="10" l="1"/>
  <c r="FV336" i="10" l="1"/>
  <c r="FW336" i="10" l="1"/>
  <c r="FZ336" i="10" l="1"/>
  <c r="GA336" i="10" l="1"/>
  <c r="BY55" i="11"/>
  <c r="BX58" i="11" l="1"/>
  <c r="BX63" i="11"/>
  <c r="BY56" i="11"/>
  <c r="BX60" i="11"/>
  <c r="BY51" i="11" l="1"/>
  <c r="CS23" i="1"/>
  <c r="CD56" i="11"/>
  <c r="CC56" i="11" s="1"/>
  <c r="CH56" i="11" s="1"/>
  <c r="CG56" i="11" s="1"/>
  <c r="CM56" i="11" s="1"/>
  <c r="CK56" i="11" s="1"/>
  <c r="CO56" i="11" s="1"/>
  <c r="CN56" i="11" s="1"/>
  <c r="CQ56" i="11" s="1"/>
  <c r="CP56" i="11" s="1"/>
  <c r="BX62" i="11"/>
  <c r="BX64" i="11"/>
  <c r="BV75" i="11"/>
  <c r="BV79" i="11" s="1"/>
  <c r="BX81" i="11"/>
  <c r="BU75" i="11"/>
  <c r="BY59" i="11"/>
  <c r="BY52" i="11"/>
  <c r="BU79" i="11" l="1"/>
  <c r="CS74" i="1"/>
  <c r="CS78" i="1" s="1"/>
  <c r="CS27" i="1"/>
  <c r="I56" i="11"/>
  <c r="CS70" i="1" l="1"/>
  <c r="CS71" i="1" s="1"/>
  <c r="CS72" i="1" s="1"/>
  <c r="CS32" i="1"/>
  <c r="CC336" i="10" l="1"/>
  <c r="CS33" i="1"/>
  <c r="CT10" i="1"/>
  <c r="CT14" i="1" s="1"/>
  <c r="CT32" i="1" s="1"/>
  <c r="CU10" i="1" l="1"/>
  <c r="CU14" i="1" s="1"/>
  <c r="CD336" i="10"/>
  <c r="CT33" i="1"/>
  <c r="V34" i="9" l="1"/>
  <c r="R23" i="9"/>
  <c r="R24" i="9" l="1"/>
  <c r="R16" i="9" s="1"/>
  <c r="R17" i="9"/>
  <c r="V17" i="9" l="1"/>
  <c r="R18" i="9"/>
  <c r="V18" i="9" s="1"/>
  <c r="R10" i="9"/>
  <c r="V10" i="9" s="1"/>
  <c r="R25" i="9"/>
  <c r="R22" i="9"/>
  <c r="V22" i="9" s="1"/>
  <c r="C4" i="9" l="1"/>
  <c r="C7" i="9"/>
  <c r="CD55" i="11"/>
  <c r="CC55" i="11" s="1"/>
  <c r="BZ63" i="11"/>
  <c r="BZ58" i="11"/>
  <c r="CB55" i="11"/>
  <c r="BZ60" i="11"/>
  <c r="BZ64" i="11" l="1"/>
  <c r="BZ62" i="11"/>
  <c r="BW75" i="11"/>
  <c r="BW79" i="11" s="1"/>
  <c r="CU23" i="1"/>
  <c r="CH55" i="11"/>
  <c r="CG55" i="11" s="1"/>
  <c r="CM55" i="11" s="1"/>
  <c r="CK55" i="11" s="1"/>
  <c r="CO55" i="11" s="1"/>
  <c r="CN55" i="11" s="1"/>
  <c r="CQ55" i="11" s="1"/>
  <c r="CP55" i="11" s="1"/>
  <c r="CB59" i="11"/>
  <c r="CB51" i="11"/>
  <c r="BX75" i="11"/>
  <c r="BX79" i="11" s="1"/>
  <c r="CB52" i="11"/>
  <c r="CF52" i="11" s="1"/>
  <c r="BZ81" i="11"/>
  <c r="CD52" i="11"/>
  <c r="CC52" i="11" s="1"/>
  <c r="CF57" i="11" l="1"/>
  <c r="CF56" i="11"/>
  <c r="CF54" i="11"/>
  <c r="CF53" i="11"/>
  <c r="CF55" i="11"/>
  <c r="CU27" i="1"/>
  <c r="CU74" i="1"/>
  <c r="CU78" i="1" s="1"/>
  <c r="I55" i="11"/>
  <c r="CC60" i="11"/>
  <c r="CH52" i="11" s="1"/>
  <c r="CG52" i="11" s="1"/>
  <c r="CC63" i="11"/>
  <c r="CC58" i="11"/>
  <c r="CU32" i="1" l="1"/>
  <c r="CE336" i="10" s="1"/>
  <c r="CU70" i="1"/>
  <c r="CU71" i="1" s="1"/>
  <c r="CU72" i="1" s="1"/>
  <c r="CC64" i="11"/>
  <c r="BZ75" i="11"/>
  <c r="BZ79" i="11" s="1"/>
  <c r="BY75" i="11"/>
  <c r="CC81" i="11"/>
  <c r="CD59" i="11"/>
  <c r="CC62" i="11"/>
  <c r="CG63" i="11"/>
  <c r="CG58" i="11"/>
  <c r="CG60" i="11"/>
  <c r="CU33" i="1" l="1"/>
  <c r="CV10" i="1"/>
  <c r="CV14" i="1" s="1"/>
  <c r="CV32" i="1" s="1"/>
  <c r="CG64" i="11"/>
  <c r="CC75" i="11"/>
  <c r="CC79" i="11" s="1"/>
  <c r="CG62" i="11"/>
  <c r="CB75" i="11"/>
  <c r="CB79" i="11" s="1"/>
  <c r="CG81" i="11"/>
  <c r="CY27" i="1"/>
  <c r="CY70" i="1" s="1"/>
  <c r="CY71" i="1" s="1"/>
  <c r="CY72" i="1" s="1"/>
  <c r="CH59" i="11"/>
  <c r="CM52" i="11"/>
  <c r="CK52" i="11" s="1"/>
  <c r="CW27" i="1"/>
  <c r="CW70" i="1" s="1"/>
  <c r="CW71" i="1" s="1"/>
  <c r="BY79" i="11"/>
  <c r="F10" i="10" l="1"/>
  <c r="F9" i="10"/>
  <c r="CW72" i="1"/>
  <c r="CF336" i="10"/>
  <c r="CW10" i="1"/>
  <c r="CW14" i="1" s="1"/>
  <c r="CW32" i="1" s="1"/>
  <c r="CG336" i="10" s="1"/>
  <c r="CV33" i="1"/>
  <c r="CK63" i="11"/>
  <c r="CK60" i="11"/>
  <c r="CO52" i="11" s="1"/>
  <c r="CN52" i="11" s="1"/>
  <c r="I52" i="11" s="1"/>
  <c r="CK58" i="11"/>
  <c r="CW33" i="1" l="1"/>
  <c r="CX10" i="1"/>
  <c r="CX14" i="1" s="1"/>
  <c r="CN60" i="11"/>
  <c r="CF75" i="11" s="1"/>
  <c r="CF79" i="11" s="1"/>
  <c r="CN58" i="11"/>
  <c r="I58" i="11" s="1"/>
  <c r="CN63" i="11"/>
  <c r="CM59" i="11"/>
  <c r="CK81" i="11"/>
  <c r="I81" i="11" s="1"/>
  <c r="CK62" i="11"/>
  <c r="DA23" i="1"/>
  <c r="CD75" i="11"/>
  <c r="CG75" i="11"/>
  <c r="CG79" i="11" s="1"/>
  <c r="CK64" i="11"/>
  <c r="CX32" i="1" l="1"/>
  <c r="CH336" i="10" s="1"/>
  <c r="CQ52" i="11"/>
  <c r="CP52" i="11" s="1"/>
  <c r="I60" i="11"/>
  <c r="Q94" i="11" s="1"/>
  <c r="Q98" i="11" s="1"/>
  <c r="S98" i="11" s="1"/>
  <c r="CN64" i="11"/>
  <c r="I64" i="11" s="1"/>
  <c r="I63" i="11"/>
  <c r="CN81" i="11"/>
  <c r="CO59" i="11"/>
  <c r="CH75" i="11"/>
  <c r="CK75" i="11"/>
  <c r="CK79" i="11" s="1"/>
  <c r="CN62" i="11"/>
  <c r="I62" i="11" s="1"/>
  <c r="CD79" i="11"/>
  <c r="DA27" i="1"/>
  <c r="I23" i="1"/>
  <c r="Q23" i="1" s="1"/>
  <c r="CY10" i="1" l="1"/>
  <c r="CY14" i="1" s="1"/>
  <c r="CY32" i="1" s="1"/>
  <c r="CI336" i="10" s="1"/>
  <c r="CX33" i="1"/>
  <c r="S94" i="11"/>
  <c r="Q97" i="11"/>
  <c r="S97" i="11" s="1"/>
  <c r="CH79" i="11"/>
  <c r="CP63" i="11"/>
  <c r="CP60" i="11"/>
  <c r="CJ75" i="11" s="1"/>
  <c r="CP58" i="11"/>
  <c r="Q27" i="1"/>
  <c r="I27" i="1"/>
  <c r="I32" i="1" s="1"/>
  <c r="H3" i="41"/>
  <c r="C14" i="10"/>
  <c r="C15" i="10" s="1"/>
  <c r="C33" i="10" s="1"/>
  <c r="C38" i="10" s="1"/>
  <c r="CY33" i="1" l="1"/>
  <c r="CZ10" i="1"/>
  <c r="CZ14" i="1" s="1"/>
  <c r="CZ32" i="1" s="1"/>
  <c r="CZ33" i="1" s="1"/>
  <c r="I75" i="11"/>
  <c r="I94" i="11" s="1"/>
  <c r="CJ79" i="11"/>
  <c r="I79" i="11" s="1"/>
  <c r="CQ59" i="11"/>
  <c r="CP62" i="11"/>
  <c r="CP64" i="11"/>
  <c r="H19" i="41"/>
  <c r="H13" i="41"/>
  <c r="H14" i="41" s="1"/>
  <c r="I33" i="1"/>
  <c r="Q32" i="1"/>
  <c r="Q33" i="1" s="1"/>
  <c r="DA10" i="1" l="1"/>
  <c r="DA14" i="1" s="1"/>
  <c r="DA32" i="1" s="1"/>
  <c r="I35" i="1" s="1"/>
  <c r="I100" i="11"/>
  <c r="D14" i="10" s="1"/>
  <c r="K94" i="11"/>
  <c r="H18" i="41"/>
  <c r="H20" i="41" s="1"/>
  <c r="Q35" i="1" l="1"/>
  <c r="DB10" i="1"/>
  <c r="DB14" i="1" s="1"/>
  <c r="DB32" i="1" s="1"/>
  <c r="DC10" i="1" s="1"/>
  <c r="DC14" i="1" s="1"/>
  <c r="DC32" i="1" s="1"/>
  <c r="DA33" i="1"/>
  <c r="E14" i="10"/>
  <c r="D15" i="10"/>
  <c r="DB33" i="1" l="1"/>
  <c r="D33" i="10"/>
  <c r="E15" i="10"/>
  <c r="DD10" i="1"/>
  <c r="DD14" i="1" s="1"/>
  <c r="DD32" i="1" s="1"/>
  <c r="DC33" i="1"/>
  <c r="E33" i="10" l="1"/>
  <c r="D38" i="10"/>
  <c r="E38" i="10" s="1"/>
  <c r="DE10" i="1"/>
  <c r="DE14" i="1" s="1"/>
  <c r="DE32" i="1" s="1"/>
  <c r="DD33" i="1"/>
  <c r="DE33" i="1" l="1"/>
  <c r="DF10" i="1"/>
  <c r="DF14" i="1" s="1"/>
  <c r="DF32" i="1" s="1"/>
  <c r="DF33" i="1" l="1"/>
  <c r="DG10" i="1"/>
  <c r="DG14" i="1" s="1"/>
  <c r="DG32" i="1" s="1"/>
  <c r="DH10" i="1" l="1"/>
  <c r="DH14" i="1" s="1"/>
  <c r="DH32" i="1" s="1"/>
  <c r="DG33" i="1"/>
  <c r="DI10" i="1" l="1"/>
  <c r="DI14" i="1" s="1"/>
  <c r="DI32" i="1" s="1"/>
  <c r="DH33" i="1"/>
  <c r="DJ10" i="1" l="1"/>
  <c r="DJ14" i="1" s="1"/>
  <c r="DJ32" i="1" s="1"/>
  <c r="DI33" i="1"/>
  <c r="DK10" i="1" l="1"/>
  <c r="DK14" i="1" s="1"/>
  <c r="DK32" i="1" s="1"/>
  <c r="DJ33" i="1"/>
  <c r="DL10" i="1" l="1"/>
  <c r="DL14" i="1" s="1"/>
  <c r="DL32" i="1" s="1"/>
  <c r="DK33" i="1"/>
  <c r="DM10" i="1" l="1"/>
  <c r="DM14" i="1" s="1"/>
  <c r="DM32" i="1" s="1"/>
  <c r="DL33" i="1"/>
  <c r="DM33" i="1" l="1"/>
  <c r="DN10" i="1"/>
  <c r="DN14" i="1" s="1"/>
  <c r="DN32" i="1" s="1"/>
  <c r="DN33" i="1" l="1"/>
  <c r="DO10" i="1"/>
  <c r="DO14" i="1" s="1"/>
  <c r="DO32" i="1" s="1"/>
  <c r="DO33" i="1" l="1"/>
  <c r="DP10" i="1"/>
  <c r="DP14" i="1" s="1"/>
  <c r="DP32" i="1" s="1"/>
  <c r="DQ10" i="1" l="1"/>
  <c r="DQ14" i="1" s="1"/>
  <c r="DQ32" i="1" s="1"/>
  <c r="DP33" i="1"/>
  <c r="DQ33" i="1" l="1"/>
  <c r="DR10" i="1"/>
  <c r="DR14" i="1" s="1"/>
  <c r="DR32" i="1" s="1"/>
  <c r="DS10" i="1" l="1"/>
  <c r="DS14" i="1" s="1"/>
  <c r="DS32" i="1" s="1"/>
  <c r="DR33" i="1"/>
  <c r="DS33" i="1" l="1"/>
  <c r="DT10" i="1"/>
  <c r="DT14" i="1" s="1"/>
  <c r="DT32" i="1" s="1"/>
  <c r="DT33" i="1" l="1"/>
  <c r="DU10" i="1"/>
  <c r="DU14" i="1" s="1"/>
  <c r="DU32" i="1" s="1"/>
  <c r="DU33" i="1" l="1"/>
  <c r="DV10" i="1"/>
  <c r="DV14" i="1" s="1"/>
  <c r="DV32" i="1" s="1"/>
  <c r="DW10" i="1" l="1"/>
  <c r="DW14" i="1" s="1"/>
  <c r="DW32" i="1" s="1"/>
  <c r="DV33" i="1"/>
  <c r="DX10" i="1" l="1"/>
  <c r="DX14" i="1" s="1"/>
  <c r="DX32" i="1" s="1"/>
  <c r="DW33" i="1"/>
  <c r="DX33" i="1" l="1"/>
  <c r="DY10" i="1"/>
  <c r="DY14" i="1" s="1"/>
  <c r="DY32" i="1" s="1"/>
  <c r="DY33" i="1" l="1"/>
  <c r="DZ10" i="1"/>
  <c r="DZ14" i="1" s="1"/>
  <c r="DZ32" i="1" s="1"/>
  <c r="DZ33" i="1" l="1"/>
  <c r="EA10" i="1"/>
  <c r="EA14" i="1" s="1"/>
  <c r="EA32" i="1" s="1"/>
  <c r="EB10" i="1" l="1"/>
  <c r="EB14" i="1" s="1"/>
  <c r="EB32" i="1" s="1"/>
  <c r="EA33" i="1"/>
  <c r="EC10" i="1" l="1"/>
  <c r="EC14" i="1" s="1"/>
  <c r="EC32" i="1" s="1"/>
  <c r="EB33" i="1"/>
  <c r="EC33" i="1" l="1"/>
  <c r="ED10" i="1"/>
  <c r="ED14" i="1" s="1"/>
  <c r="ED32" i="1" s="1"/>
  <c r="ED33" i="1" l="1"/>
  <c r="EE10" i="1"/>
  <c r="EE14" i="1" s="1"/>
  <c r="EE32" i="1" s="1"/>
  <c r="EF10" i="1" l="1"/>
  <c r="EF14" i="1" s="1"/>
  <c r="EF32" i="1" s="1"/>
  <c r="EE33" i="1"/>
  <c r="EG10" i="1" l="1"/>
  <c r="EG14" i="1" s="1"/>
  <c r="EG32" i="1" s="1"/>
  <c r="EF33" i="1"/>
  <c r="EG33" i="1" l="1"/>
  <c r="EH10" i="1"/>
  <c r="EH14" i="1" s="1"/>
  <c r="EH32" i="1" s="1"/>
  <c r="EI10" i="1" l="1"/>
  <c r="EI14" i="1" s="1"/>
  <c r="EI32" i="1" s="1"/>
  <c r="EH33" i="1"/>
  <c r="EJ10" i="1" l="1"/>
  <c r="EJ14" i="1" s="1"/>
  <c r="EJ32" i="1" s="1"/>
  <c r="EI33" i="1"/>
  <c r="EJ33" i="1" l="1"/>
  <c r="EK10" i="1"/>
  <c r="EK14" i="1" s="1"/>
  <c r="EK32" i="1" s="1"/>
  <c r="EL10" i="1" l="1"/>
  <c r="EL14" i="1" s="1"/>
  <c r="EL32" i="1" s="1"/>
  <c r="EK33" i="1"/>
  <c r="EL33" i="1" l="1"/>
  <c r="EM10" i="1"/>
  <c r="EM14" i="1" s="1"/>
  <c r="EM32" i="1" s="1"/>
  <c r="EN10" i="1" l="1"/>
  <c r="EN14" i="1" s="1"/>
  <c r="EN32" i="1" s="1"/>
  <c r="EM33" i="1"/>
  <c r="EO10" i="1" l="1"/>
  <c r="EO14" i="1" s="1"/>
  <c r="EO32" i="1" s="1"/>
  <c r="EN33" i="1"/>
  <c r="EO33" i="1" l="1"/>
  <c r="EP10" i="1"/>
  <c r="EP14" i="1" s="1"/>
  <c r="EP32" i="1" s="1"/>
  <c r="EP33" i="1" l="1"/>
  <c r="EQ10" i="1"/>
  <c r="EQ14" i="1" s="1"/>
  <c r="EQ32" i="1" s="1"/>
  <c r="ER10" i="1" l="1"/>
  <c r="ER14" i="1" s="1"/>
  <c r="ER32" i="1" s="1"/>
  <c r="EQ33" i="1"/>
  <c r="ES10" i="1" l="1"/>
  <c r="ES14" i="1" s="1"/>
  <c r="ES32" i="1" s="1"/>
  <c r="ER33" i="1"/>
  <c r="ES33" i="1" l="1"/>
  <c r="ET10" i="1"/>
  <c r="ET14" i="1" s="1"/>
  <c r="ET32" i="1" s="1"/>
  <c r="ET33" i="1" l="1"/>
  <c r="EU10" i="1"/>
  <c r="EU14" i="1" s="1"/>
  <c r="EU32" i="1" s="1"/>
  <c r="EV10" i="1" l="1"/>
  <c r="EV14" i="1" s="1"/>
  <c r="EV32" i="1" s="1"/>
  <c r="EU33" i="1"/>
  <c r="EV33" i="1" l="1"/>
  <c r="EW10" i="1"/>
  <c r="EW14" i="1" s="1"/>
  <c r="EW32" i="1" s="1"/>
  <c r="EX10" i="1" l="1"/>
  <c r="EX14" i="1" s="1"/>
  <c r="EX32" i="1" s="1"/>
  <c r="EW33" i="1"/>
  <c r="EY10" i="1" l="1"/>
  <c r="EY14" i="1" s="1"/>
  <c r="EY32" i="1" s="1"/>
  <c r="EX33" i="1"/>
  <c r="EZ10" i="1" l="1"/>
  <c r="EZ14" i="1" s="1"/>
  <c r="EZ32" i="1" s="1"/>
  <c r="EY33" i="1"/>
  <c r="EZ33" i="1" l="1"/>
  <c r="FA10" i="1"/>
  <c r="FA14" i="1" s="1"/>
  <c r="FA32" i="1" s="1"/>
  <c r="FA33" i="1" l="1"/>
  <c r="FB10" i="1"/>
  <c r="FB14" i="1" s="1"/>
  <c r="FB32" i="1" s="1"/>
  <c r="FB33" i="1" l="1"/>
  <c r="FC10" i="1"/>
  <c r="FC14" i="1" s="1"/>
  <c r="FC32" i="1" s="1"/>
  <c r="FD10" i="1" l="1"/>
  <c r="FD14" i="1" s="1"/>
  <c r="FD32" i="1" s="1"/>
  <c r="FC33" i="1"/>
  <c r="FD33" i="1" l="1"/>
  <c r="FE10" i="1"/>
  <c r="FE14" i="1" s="1"/>
  <c r="FE32" i="1" s="1"/>
  <c r="FF10" i="1" l="1"/>
  <c r="FF14" i="1" s="1"/>
  <c r="FF32" i="1" s="1"/>
  <c r="FE33" i="1"/>
  <c r="FG10" i="1" l="1"/>
  <c r="FG14" i="1" s="1"/>
  <c r="FG32" i="1" s="1"/>
  <c r="FF33" i="1"/>
  <c r="FG33" i="1" l="1"/>
  <c r="FH10" i="1"/>
  <c r="FH14" i="1" s="1"/>
  <c r="FH32" i="1" s="1"/>
  <c r="FH33" i="1" l="1"/>
  <c r="FI10" i="1"/>
  <c r="FI14" i="1" s="1"/>
  <c r="FI32" i="1" s="1"/>
  <c r="FJ10" i="1" l="1"/>
  <c r="FJ14" i="1" s="1"/>
  <c r="FJ32" i="1" s="1"/>
  <c r="FI33" i="1"/>
  <c r="FJ33" i="1" l="1"/>
  <c r="FK10" i="1"/>
  <c r="FK14" i="1" s="1"/>
  <c r="FK32" i="1" s="1"/>
  <c r="FK33" i="1" l="1"/>
  <c r="FL10" i="1"/>
  <c r="FL14" i="1" s="1"/>
  <c r="FL32" i="1" s="1"/>
  <c r="FL33" i="1" l="1"/>
  <c r="FM10" i="1"/>
  <c r="FM14" i="1" s="1"/>
  <c r="FM32" i="1" s="1"/>
  <c r="FN10" i="1" l="1"/>
  <c r="FN14" i="1" s="1"/>
  <c r="FN32" i="1" s="1"/>
  <c r="FM33" i="1"/>
  <c r="FO10" i="1" l="1"/>
  <c r="FO14" i="1" s="1"/>
  <c r="FO32" i="1" s="1"/>
  <c r="FN33" i="1"/>
  <c r="FO33" i="1" l="1"/>
  <c r="FP10" i="1"/>
  <c r="FP14" i="1" s="1"/>
  <c r="FP32" i="1" s="1"/>
  <c r="FQ10" i="1" l="1"/>
  <c r="FQ14" i="1" s="1"/>
  <c r="FQ32" i="1" s="1"/>
  <c r="FP33" i="1"/>
  <c r="FQ33" i="1" l="1"/>
  <c r="FR10" i="1"/>
  <c r="FR14" i="1" s="1"/>
  <c r="FR32" i="1" s="1"/>
  <c r="FR33" i="1" l="1"/>
  <c r="FS10" i="1"/>
  <c r="FS14" i="1" s="1"/>
  <c r="FS32" i="1" s="1"/>
  <c r="FT10" i="1" l="1"/>
  <c r="FT14" i="1" s="1"/>
  <c r="FT32" i="1" s="1"/>
  <c r="FS33" i="1"/>
  <c r="FT33" i="1" l="1"/>
  <c r="FU10" i="1"/>
  <c r="FU14" i="1" s="1"/>
  <c r="FU32" i="1" s="1"/>
  <c r="FU33" i="1" l="1"/>
  <c r="FV10" i="1"/>
  <c r="FV14" i="1" s="1"/>
  <c r="FV32" i="1" s="1"/>
  <c r="FW10" i="1" l="1"/>
  <c r="FW14" i="1" s="1"/>
  <c r="FW32" i="1" s="1"/>
  <c r="FV33" i="1"/>
  <c r="FW33" i="1" l="1"/>
  <c r="FX10" i="1"/>
  <c r="FX14" i="1" s="1"/>
  <c r="FX32" i="1" s="1"/>
  <c r="FY10" i="1" l="1"/>
  <c r="FY14" i="1" s="1"/>
  <c r="FY32" i="1" s="1"/>
  <c r="FX33" i="1"/>
  <c r="FZ10" i="1" l="1"/>
  <c r="FZ14" i="1" s="1"/>
  <c r="FZ32" i="1" s="1"/>
  <c r="FY33" i="1"/>
  <c r="FZ33" i="1" l="1"/>
  <c r="GA10" i="1"/>
  <c r="GA14" i="1" s="1"/>
  <c r="GA32" i="1" s="1"/>
  <c r="GA33" i="1" l="1"/>
  <c r="GB10" i="1"/>
  <c r="GB14" i="1" s="1"/>
  <c r="GB32" i="1" s="1"/>
  <c r="GB33" i="1" l="1"/>
  <c r="GC10" i="1"/>
  <c r="GC14" i="1" s="1"/>
  <c r="GC32" i="1" s="1"/>
  <c r="GD10" i="1" l="1"/>
  <c r="GD14" i="1" s="1"/>
  <c r="GD32" i="1" s="1"/>
  <c r="GC33" i="1"/>
  <c r="GE10" i="1" l="1"/>
  <c r="GE14" i="1" s="1"/>
  <c r="GE32" i="1" s="1"/>
  <c r="GD33" i="1"/>
  <c r="GF10" i="1" l="1"/>
  <c r="GF14" i="1" s="1"/>
  <c r="GF32" i="1" s="1"/>
  <c r="GE33" i="1"/>
  <c r="GG10" i="1" l="1"/>
  <c r="GG14" i="1" s="1"/>
  <c r="GG32" i="1" s="1"/>
  <c r="GF33" i="1"/>
  <c r="GG33" i="1" l="1"/>
  <c r="GH10" i="1"/>
  <c r="GH14" i="1" s="1"/>
  <c r="GH32" i="1" s="1"/>
  <c r="GI10" i="1" l="1"/>
  <c r="GI14" i="1" s="1"/>
  <c r="GI32" i="1" s="1"/>
  <c r="GH33" i="1"/>
  <c r="GI33" i="1" l="1"/>
  <c r="GJ10" i="1"/>
  <c r="GJ14" i="1" s="1"/>
  <c r="GJ32" i="1" s="1"/>
  <c r="GJ33" i="1" l="1"/>
  <c r="GK10" i="1"/>
  <c r="GK14" i="1" s="1"/>
  <c r="GK32" i="1" s="1"/>
  <c r="GK33" i="1" l="1"/>
  <c r="GL10" i="1"/>
  <c r="GL14" i="1" s="1"/>
  <c r="GL32" i="1" s="1"/>
  <c r="GM10" i="1" l="1"/>
  <c r="GM14" i="1" s="1"/>
  <c r="GM32" i="1" s="1"/>
  <c r="GL33" i="1"/>
  <c r="GM33" i="1" l="1"/>
  <c r="GN10" i="1"/>
  <c r="GN14" i="1" s="1"/>
  <c r="GN32" i="1" s="1"/>
  <c r="GO10" i="1" l="1"/>
  <c r="GO14" i="1" s="1"/>
  <c r="GO32" i="1" s="1"/>
  <c r="GN33" i="1"/>
  <c r="GP10" i="1" l="1"/>
  <c r="GP14" i="1" s="1"/>
  <c r="GP32" i="1" s="1"/>
  <c r="GO33" i="1"/>
  <c r="GP33" i="1" l="1"/>
  <c r="GQ10" i="1"/>
  <c r="GQ14" i="1" s="1"/>
  <c r="GQ32" i="1" s="1"/>
  <c r="GQ33" i="1" l="1"/>
  <c r="GR10" i="1"/>
  <c r="GR14" i="1" s="1"/>
  <c r="GR32" i="1" s="1"/>
  <c r="GR33" i="1" l="1"/>
  <c r="GS10" i="1"/>
  <c r="GS14" i="1" s="1"/>
  <c r="GS32" i="1" s="1"/>
  <c r="GT10" i="1" l="1"/>
  <c r="GT14" i="1" s="1"/>
  <c r="GT32" i="1" s="1"/>
  <c r="GT33" i="1" s="1"/>
  <c r="GS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tc={682ABF1B-1A29-41A1-B4FE-7B507C42D083}</author>
    <author>tc={738C403F-F846-43A7-8CF9-FCDCE71EC583}</author>
    <author>tc={469130CE-3F56-4CA8-A0C0-233638EED6E4}</author>
    <author>tc={DD35D113-0642-4C54-989B-C589FF15C508}</author>
    <author>tc={8B80781A-238E-4A07-81D2-8463488C3895}</author>
    <author>tc={176ECAA4-A34A-4979-85F6-54656F68F495}</author>
    <author>tc={26328900-60EA-47E2-84F8-AFF0B144419F}</author>
    <author>Luca  Ballestriero</author>
    <author>tc={F87E2B40-474B-4B25-A2F8-5ABA23B29DBA}</author>
    <author>tc={BD76684E-078B-40A8-AE5D-4C5714B8D8E2}</author>
    <author>tc={248C0125-CB24-43DA-9EE2-EA4D7CAC0C42}</author>
    <author>tc={9D7DCD2E-D98C-4470-B59F-44A419D612FB}</author>
    <author>tc={0738DD02-1D17-4D21-B8E3-8F1BCE631737}</author>
    <author>tc={24779BF0-E3EB-4A38-84FC-725FADF885B5}</author>
    <author>tc={A9E22267-DB15-4CF8-98E0-B33D0478339E}</author>
    <author>tc={9C3F4AA7-7946-4DF5-960E-3A1A2F00397D}</author>
    <author>tc={DF949835-F7A9-42E8-BA34-B1358D84C63F}</author>
    <author>tc={77FD1EB3-0C94-458B-B4F6-38FCABA9C86B}</author>
    <author>tc={FE4DFBC4-9AC4-49BE-85DF-6D779BFF4991}</author>
    <author>tc={512D6D97-DC8D-4ED7-8381-2A2C21EDFB6F}</author>
    <author>tc={76F55F10-A9B1-4264-91A9-1D25CD0C6632}</author>
    <author>tc={3CCFFEEE-3B23-4923-906C-E8F2E527734A}</author>
    <author>tc={4405536E-822A-45B8-9369-A3895EE81852}</author>
    <author>tc={84CA5DBF-444E-4CE9-B128-A66E764D6DF4}</author>
    <author>tc={A4FFAA74-FDA1-4AB3-8DFE-12874A224B48}</author>
    <author>tc={12D28DA2-6481-494F-9637-26760DF849FD}</author>
    <author>tc={6A6AD94B-CA85-4F68-B92D-0EEC7474ECD0}</author>
    <author>tc={9E8F9D75-BF21-425F-B48A-825084886749}</author>
    <author>tc={3971A920-0320-4464-8707-DE0CF97BC009}</author>
    <author>tc={0257AB61-3292-47B0-9B79-D707124CEA3A}</author>
    <author>tc={968F8EC0-96CE-4569-9481-44FBCEA9875E}</author>
    <author>tc={833F46B5-B898-4F50-AC02-1BB3ED88A18F}</author>
    <author>tc={6251FE31-C16E-4465-A3CC-1709C0EBDE97}</author>
    <author>tc={F37AA58D-DAE7-4D0C-9F6E-F7CD5A0684B5}</author>
    <author>tc={B36DC7F0-6A5C-42C8-B7E1-289ADF8A5CA2}</author>
    <author>tc={47731485-45F6-4142-AE61-0490150EB3B9}</author>
    <author>tc={A16921D4-00EE-4EE9-AC4F-4DE6A4AC8EA7}</author>
    <author>tc={0F2F3FBC-6721-473D-A822-DDA0F74E6278}</author>
    <author>tc={B3101B8C-F4E6-4167-B590-2DAAFC93B092}</author>
    <author>tc={CC31EC25-3EBF-4E09-8E2C-F7947AB82258}</author>
    <author>tc={C925AF21-2091-4489-9AAA-B3A5F2FDBD94}</author>
    <author>tc={D939FB37-4B96-4F28-82C7-7B746BCE94DB}</author>
    <author>tc={8D507FED-A649-4C10-91E2-35001E0660A7}</author>
    <author>tc={A8017EB5-D472-4E4C-8C03-F88A237DD0D8}</author>
    <author>tc={B9750EB0-6FDD-4DE7-8C97-10C723C19845}</author>
    <author>tc={CEFD2D52-50D4-4808-A23B-AEE18A08FEF2}</author>
    <author>tc={F4D2D0E5-E1F5-477C-A9AD-E144D94F1D95}</author>
    <author>tc={98FD9BA0-076F-4842-88C5-C70A7AE35F78}</author>
    <author>tc={9CE65DB9-3A36-48A4-8D3A-541C470528F3}</author>
    <author>tc={12F3AD4C-D6ED-49D2-8E17-B1992A5944F6}</author>
    <author>tc={61407E05-C7E0-4C34-8783-4C6EE7CEE5F7}</author>
    <author>tc={8AA5B5C2-15AF-4D59-A75F-2201D4495122}</author>
    <author>tc={0005CF07-6C34-4CA1-A48A-59ED4CB7508D}</author>
    <author>tc={0BE31861-BAEC-455D-9907-88FB6E94D423}</author>
    <author>tc={724681BC-8111-4DF0-8397-7D0AF39A5C2F}</author>
    <author>tc={2F63A883-DB87-4BAF-93D4-6CFD6CB99DF5}</author>
    <author>tc={37C7AE3D-1917-4A59-A47C-692655E6B6D1}</author>
    <author>tc={32B77441-6ECF-4EB1-BF39-904342FC38E5}</author>
    <author>tc={B8BA02BE-4CA9-4F50-BCC6-BFC8FE65D0EE}</author>
    <author>tc={62CF34ED-8684-47DC-AB0E-86D9DCCBF0BE}</author>
    <author>tc={48FE7575-E528-4FBD-9BE8-C3A474FF1B3A}</author>
    <author>tc={951C4347-4A0F-4B29-AEEB-74B6C23E9448}</author>
    <author>tc={7B6D6B31-3737-4F78-AF63-CABCEA06F762}</author>
    <author>tc={CD705128-B056-403F-9B7F-6D1DC5BB8713}</author>
    <author>tc={1BADE2FE-F718-437B-B691-953BF8311CEB}</author>
    <author>tc={6A136E51-D5FC-461B-A01E-3C16D402E594}</author>
    <author>tc={E1B37CD9-FED4-41CC-BB3D-8420DE804252}</author>
    <author>tc={E4D85B38-ED66-459C-8062-7375CF4A2E75}</author>
    <author>tc={35DE3276-860A-43D1-8DAF-4812725A8100}</author>
    <author>tc={D629B713-9F1B-4374-8CB2-799836C9384C}</author>
    <author>tc={73AC319E-DBB3-45B1-8C53-1D266485FC5F}</author>
    <author>tc={C48327E1-FF19-4CD9-BDC0-CD20A3F055D2}</author>
    <author>tc={A1B5108E-4B5A-423D-B7AB-5134806E1217}</author>
    <author>tc={9BBF34CE-7C68-4C65-993C-8A1E90F7DBFE}</author>
    <author>tc={6363C6A8-9A99-41A0-AB3B-BC65CB0F3650}</author>
    <author>tc={90E3E93D-9481-4D3A-9E24-30BDE7629373}</author>
    <author>tc={2061DDBD-3BEC-49A1-A029-288D82E78710}</author>
    <author>tc={022422FA-E9E8-4454-ADDC-B549240767B9}</author>
    <author>tc={67F6213F-E16F-4CE2-9DC5-61F11650C199}</author>
    <author>tc={E955F85E-6CB9-441E-A13E-CD2D9E828424}</author>
    <author>tc={CFF42D54-42AA-4ADC-A0F5-77A19358EBC8}</author>
    <author>tc={8CA5B320-D510-4757-B640-5262ABFF8394}</author>
    <author>tc={8FC76291-DB03-4168-ABC3-6785ED33A25D}</author>
    <author>tc={77E5D065-5FB7-43D3-A811-BEA4A47B8F8E}</author>
    <author>tc={5F6341D0-1683-4941-9E4E-5D7C9C86C0F1}</author>
    <author>tc={74F77F84-F941-48CA-9136-083FEC8FCDC8}</author>
    <author>tc={8D70F259-3067-422A-A225-2617742355EE}</author>
    <author>tc={A6CFDBF2-810A-41A8-BCA6-1F0F00E6C80D}</author>
    <author>tc={323E6D70-769C-4114-BE24-8B997A18DEE1}</author>
    <author>tc={B7749727-B6DA-4A3A-B396-07597B7DD9DE}</author>
    <author>tc={1FA3FC9E-1323-4486-A214-3152BBE75667}</author>
    <author>tc={24AFCA09-206D-40CB-A079-2E695C93FCB2}</author>
    <author>tc={C7DEAA8A-E9F7-445C-A5E5-8EB0BE9390D1}</author>
    <author>tc={96CDF55C-652E-4536-BA96-E3FCEA04F012}</author>
  </authors>
  <commentList>
    <comment ref="U11" authorId="0" shapeId="0" xr:uid="{682ABF1B-1A29-41A1-B4FE-7B507C42D08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3525€ tredicesima + bonus</t>
      </text>
    </comment>
    <comment ref="AG11" authorId="1" shapeId="0" xr:uid="{738C403F-F846-43A7-8CF9-FCDCE71EC58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+3291€ tredicesima + bonus</t>
      </text>
    </comment>
    <comment ref="AO11" authorId="2" shapeId="0" xr:uid="{469130CE-3F56-4CA8-A0C0-233638EED6E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539€ di rimborso 730</t>
      </text>
    </comment>
    <comment ref="AP11" authorId="3" shapeId="0" xr:uid="{DD35D113-0642-4C54-989B-C589FF15C50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149,23€ detrazione irpef</t>
      </text>
    </comment>
    <comment ref="BA11" authorId="4" shapeId="0" xr:uid="{8B80781A-238E-4A07-81D2-8463488C389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3048€ in busta paga di cui 804€ detrazioni</t>
      </text>
    </comment>
    <comment ref="BE11" authorId="5" shapeId="0" xr:uid="{176ECAA4-A34A-4979-85F6-54656F68F49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3871€ tredicesima + bonus</t>
      </text>
    </comment>
    <comment ref="BQ11" authorId="6" shapeId="0" xr:uid="{26328900-60EA-47E2-84F8-AFF0B144419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2332€ tredicesima</t>
      </text>
    </comment>
    <comment ref="BY11" authorId="7" shapeId="0" xr:uid="{E3953942-DDC6-4980-B6EB-5B6464842E6D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-67,7€ pedaggi autostradali</t>
        </r>
      </text>
    </comment>
    <comment ref="BZ11" authorId="8" shapeId="0" xr:uid="{F87E2B40-474B-4B25-A2F8-5ABA23B29DB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-50€ Multa</t>
      </text>
    </comment>
    <comment ref="CN11" authorId="9" shapeId="0" xr:uid="{BD76684E-078B-40A8-AE5D-4C5714B8D8E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31,97€ rimborso Pagamento parcheggio</t>
      </text>
    </comment>
    <comment ref="U12" authorId="10" shapeId="0" xr:uid="{248C0125-CB24-43DA-9EE2-EA4D7CAC0C4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3525€ Tredicesima + Premio Budget</t>
      </text>
    </comment>
    <comment ref="AG12" authorId="11" shapeId="0" xr:uid="{9D7DCD2E-D98C-4470-B59F-44A419D612F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2500€ Tredicesima
Rispondi:
3291€ Premio Budget</t>
      </text>
    </comment>
    <comment ref="AS12" authorId="12" shapeId="0" xr:uid="{0738DD02-1D17-4D21-B8E3-8F1BCE63173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3290€ Tredicesima + Premio Budget</t>
      </text>
    </comment>
    <comment ref="BE12" authorId="13" shapeId="0" xr:uid="{24779BF0-E3EB-4A38-84FC-725FADF885B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3871€ Tredicesima + Bonus</t>
      </text>
    </comment>
    <comment ref="BQ12" authorId="14" shapeId="0" xr:uid="{A9E22267-DB15-4CF8-98E0-B33D0478339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2332€ Tredicesima</t>
      </text>
    </comment>
    <comment ref="BT12" authorId="15" shapeId="0" xr:uid="{9C3F4AA7-7946-4DF5-960E-3A1A2F00397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3613 Premio MBO 2023</t>
      </text>
    </comment>
    <comment ref="CC12" authorId="16" shapeId="0" xr:uid="{DF949835-F7A9-42E8-BA34-B1358D84C63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2627€ Tredicesima</t>
      </text>
    </comment>
    <comment ref="CF12" authorId="17" shapeId="0" xr:uid="{77FD1EB3-0C94-458B-B4F6-38FCABA9C86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3313€ Premio MBO 2024</t>
      </text>
    </comment>
    <comment ref="CO12" authorId="18" shapeId="0" xr:uid="{FE4DFBC4-9AC4-49BE-85DF-6D779BFF499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2430€ Tredicesima</t>
      </text>
    </comment>
    <comment ref="CS12" authorId="19" shapeId="0" xr:uid="{512D6D97-DC8D-4ED7-8381-2A2C21EDFB6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MBO 3428 euro</t>
      </text>
    </comment>
    <comment ref="CT12" authorId="20" shapeId="0" xr:uid="{76F55F10-A9B1-4264-91A9-1D25CD0C663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Ferie liquidate</t>
      </text>
    </comment>
    <comment ref="CU12" authorId="21" shapeId="0" xr:uid="{3CCFFEEE-3B23-4923-906C-E8F2E527734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TFR REFRION</t>
      </text>
    </comment>
    <comment ref="CX16" authorId="22" shapeId="0" xr:uid="{4405536E-822A-45B8-9369-A3895EE8185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1340euro - IMU Angela</t>
      </text>
    </comment>
    <comment ref="AP24" authorId="23" shapeId="0" xr:uid="{84CA5DBF-444E-4CE9-B128-A66E764D6DF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FANTACALCIO</t>
      </text>
    </comment>
    <comment ref="AQ24" authorId="24" shapeId="0" xr:uid="{A4FFAA74-FDA1-4AB3-8DFE-12874A224B4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Osteopata Gressani 83€</t>
      </text>
    </comment>
    <comment ref="BB24" authorId="25" shapeId="0" xr:uid="{12D28DA2-6481-494F-9637-26760DF849F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250€ Fantacalcio</t>
      </text>
    </comment>
    <comment ref="BR25" authorId="26" shapeId="0" xr:uid="{6A6AD94B-CA85-4F68-B92D-0EEC7474ECD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BS25" authorId="27" shapeId="0" xr:uid="{9E8F9D75-BF21-425F-B48A-82508488674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BT25" authorId="28" shapeId="0" xr:uid="{3971A920-0320-4464-8707-DE0CF97BC00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BU25" authorId="29" shapeId="0" xr:uid="{0257AB61-3292-47B0-9B79-D707124CEA3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BV25" authorId="30" shapeId="0" xr:uid="{968F8EC0-96CE-4569-9481-44FBCEA9875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BW25" authorId="31" shapeId="0" xr:uid="{833F46B5-B898-4F50-AC02-1BB3ED88A18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XBox</t>
      </text>
    </comment>
    <comment ref="CB25" authorId="32" shapeId="0" xr:uid="{6251FE31-C16E-4465-A3CC-1709C0EBDE9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Mobile TV 95,34€</t>
      </text>
    </comment>
    <comment ref="CC25" authorId="33" shapeId="0" xr:uid="{F37AA58D-DAE7-4D0C-9F6E-F7CD5A0684B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Mobile TV 95,34€
Rispondi:
Rate Homey Pro 119,26€</t>
      </text>
    </comment>
    <comment ref="CD25" authorId="34" shapeId="0" xr:uid="{B36DC7F0-6A5C-42C8-B7E1-289ADF8A5CA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Mobile TV 95,34€
Rispondi:
Rate HOMEY Pro 119,26€</t>
      </text>
    </comment>
    <comment ref="CE25" authorId="35" shapeId="0" xr:uid="{47731485-45F6-4142-AE61-0490150EB3B9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Homey Pro 119,26€
</t>
      </text>
    </comment>
    <comment ref="CF25" authorId="36" shapeId="0" xr:uid="{A16921D4-00EE-4EE9-AC4F-4DE6A4AC8EA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Rate Homey Pro 119,26€</t>
      </text>
    </comment>
    <comment ref="CO25" authorId="37" shapeId="0" xr:uid="{0F2F3FBC-6721-473D-A822-DDA0F74E627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65,39€ Forno Whirpool
Rispondi:
120,77€ Samsung Galaxy 7</t>
      </text>
    </comment>
    <comment ref="CP25" authorId="38" shapeId="0" xr:uid="{B3101B8C-F4E6-4167-B590-2DAAFC93B09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65,39€ Forno Whirpool
Rispondi:
120,77€ Samsung Galaxy 7</t>
      </text>
    </comment>
    <comment ref="CQ25" authorId="39" shapeId="0" xr:uid="{CC31EC25-3EBF-4E09-8E2C-F7947AB8225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65,39€ Forno Whirpool
Rispondi:
120,77€ Samsung Galaxy 7</t>
      </text>
    </comment>
    <comment ref="CR25" authorId="40" shapeId="0" xr:uid="{C925AF21-2091-4489-9AAA-B3A5F2FDBD9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120,77€ Samsung Galaxy 7</t>
      </text>
    </comment>
    <comment ref="CS25" authorId="41" shapeId="0" xr:uid="{D939FB37-4B96-4F28-82C7-7B746BCE94D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120,77€ Samsung Galaxy 7</t>
      </text>
    </comment>
    <comment ref="CT25" authorId="42" shapeId="0" xr:uid="{8D507FED-A649-4C10-91E2-35001E0660A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120,77€ Samsung Galaxy 7</t>
      </text>
    </comment>
    <comment ref="CU25" authorId="43" shapeId="0" xr:uid="{A8017EB5-D472-4E4C-8C03-F88A237DD0D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120,77€ Samsung Galaxy 7</t>
      </text>
    </comment>
    <comment ref="AF28" authorId="7" shapeId="0" xr:uid="{8B1E7866-AA22-4434-949B-A841528FF544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60euro del garage pagati con contante non prelevato</t>
        </r>
      </text>
    </comment>
    <comment ref="AI28" authorId="7" shapeId="0" xr:uid="{F676C00F-A26E-4363-BED0-CE2260D4D943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anticipo Angela</t>
        </r>
      </text>
    </comment>
    <comment ref="AN28" authorId="44" shapeId="0" xr:uid="{B9750EB0-6FDD-4DE7-8C97-10C723C1984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5000 da Papà</t>
      </text>
    </comment>
    <comment ref="AR28" authorId="7" shapeId="0" xr:uid="{0FFBC206-A685-4548-8E1A-10F953042A3F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42€ Bonifico Angela per errore Trenitalia
100€ Vendita Cerchi</t>
        </r>
      </text>
    </comment>
    <comment ref="AT28" authorId="45" shapeId="0" xr:uid="{CEFD2D52-50D4-4808-A23B-AEE18A08FEF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13800€ Finanziameno Agos</t>
      </text>
    </comment>
    <comment ref="AW28" authorId="46" shapeId="0" xr:uid="{F4D2D0E5-E1F5-477C-A9AD-E144D94F1D9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Vendita Hyundai Tucson 18.400€</t>
      </text>
    </comment>
    <comment ref="AZ28" authorId="47" shapeId="0" xr:uid="{98FD9BA0-076F-4842-88C5-C70A7AE35F7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Vendita Playstation 4  - 200€</t>
      </text>
    </comment>
    <comment ref="BA28" authorId="48" shapeId="0" xr:uid="{9CE65DB9-3A36-48A4-8D3A-541C470528F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804€ Detrazioni IRPEF</t>
      </text>
    </comment>
    <comment ref="BB28" authorId="49" shapeId="0" xr:uid="{12F3AD4C-D6ED-49D2-8E17-B1992A5944F6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100€ Soldi Cuc Fantacalcio
</t>
      </text>
    </comment>
    <comment ref="BC28" authorId="50" shapeId="0" xr:uid="{61407E05-C7E0-4C34-8783-4C6EE7CEE5F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100€ da carta di credito a conto in banca</t>
      </text>
    </comment>
    <comment ref="BL28" authorId="51" shapeId="0" xr:uid="{8AA5B5C2-15AF-4D59-A75F-2201D449512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Saldo a Spese assicurazione con Carta di credito</t>
      </text>
    </comment>
    <comment ref="BM28" authorId="52" shapeId="0" xr:uid="{0005CF07-6C34-4CA1-A48A-59ED4CB7508D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Quota vacanza Michela 281,63€
</t>
      </text>
    </comment>
    <comment ref="BV28" authorId="53" shapeId="0" xr:uid="{0BE31861-BAEC-455D-9907-88FB6E94D42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Bonifico Michela spese Lazise</t>
      </text>
    </comment>
    <comment ref="BY28" authorId="54" shapeId="0" xr:uid="{724681BC-8111-4DF0-8397-7D0AF39A5C2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255€ da parte di Michela per la vacanza
Rispondi:
763€ detrazioni</t>
      </text>
    </comment>
    <comment ref="BZ28" authorId="55" shapeId="0" xr:uid="{2F63A883-DB87-4BAF-93D4-6CFD6CB99DF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700€ VENDITA AUTO
Rispondi:
100€ Basket Terzo su anticipo felpe campione</t>
      </text>
    </comment>
    <comment ref="CA28" authorId="56" shapeId="0" xr:uid="{37C7AE3D-1917-4A59-A47C-692655E6B6D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700+200€ VENDITA AUTO
Rispondi:
69€ Michela concerto cremonini
Rispondi:
30€ da Paypal</t>
      </text>
    </comment>
    <comment ref="CB28" authorId="57" shapeId="0" xr:uid="{32B77441-6ECF-4EB1-BF39-904342FC38E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77€ Rimborso Michela biglietto Robbie Williams 
Rispondi:
1050+229,01+300€ FELPE CLASSICS
Rispondi:
300€ VENDITA AUTO</t>
      </text>
    </comment>
    <comment ref="CC28" authorId="58" shapeId="0" xr:uid="{B8BA02BE-4CA9-4F50-BCC6-BFC8FE65D0E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120€ Iacumin + 62€ Livon + 62€ Paolo felpe classics</t>
      </text>
    </comment>
    <comment ref="CD28" authorId="59" shapeId="0" xr:uid="{62CF34ED-8684-47DC-AB0E-86D9DCCBF0B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+0,06 Interessi e competenze
Rispondi:
+65€ da Revolut</t>
      </text>
    </comment>
    <comment ref="CF28" authorId="60" shapeId="0" xr:uid="{48FE7575-E528-4FBD-9BE8-C3A474FF1B3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+165€ Michela viaggio Napoli</t>
      </text>
    </comment>
    <comment ref="CG28" authorId="61" shapeId="0" xr:uid="{951C4347-4A0F-4B29-AEEB-74B6C23E944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30€ Michela regalo francesco
Rispondi:
30€ Simone bagnoli
Rispondi:
40€ Marco Aquaro
Rispondi:
137€ Michela viaggio napoli
Rispondi:
77€ Da Revolut</t>
      </text>
    </comment>
    <comment ref="CK28" authorId="62" shapeId="0" xr:uid="{7B6D6B31-3737-4F78-AF63-CABCEA06F76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590€ Detrazioni INPS
Rispondi:
480,28€ Rimborso Michy vancaza portogallo</t>
      </text>
    </comment>
    <comment ref="CL28" authorId="63" shapeId="0" xr:uid="{CD705128-B056-403F-9B7F-6D1DC5BB871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Bonifico Bagnoli per Vacanza + Padel 87€
Rispondi:
Bonifico Farfa per Vacanza 76€
Rispondi:
62€ Detrazioni INPS
</t>
      </text>
    </comment>
    <comment ref="CM28" authorId="64" shapeId="0" xr:uid="{1BADE2FE-F718-437B-B691-953BF8311CE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Revolut 80€ (76e ricevuti da Alberto x vacanza)
Rispondi:
Revolut 150€ consolidamento
Rispondi:
Revolut 100€ consolidamento</t>
      </text>
    </comment>
    <comment ref="CN28" authorId="65" shapeId="0" xr:uid="{6A136E51-D5FC-461B-A01E-3C16D402E59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Revolut 210€ Consolidamento</t>
      </text>
    </comment>
    <comment ref="CP28" authorId="66" shapeId="0" xr:uid="{E1B37CD9-FED4-41CC-BB3D-8420DE80425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0,11€ interessi e competenze</t>
      </text>
    </comment>
    <comment ref="CQ28" authorId="67" shapeId="0" xr:uid="{E4D85B38-ED66-459C-8062-7375CF4A2E7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136€ Michela, rimborso Siviglia</t>
      </text>
    </comment>
    <comment ref="CR28" authorId="68" shapeId="0" xr:uid="{35DE3276-860A-43D1-8DAF-4812725A81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+200€ consolidamento (DA FARE)</t>
      </text>
    </comment>
    <comment ref="CS28" authorId="69" shapeId="0" xr:uid="{D629B713-9F1B-4374-8CB2-799836C9384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Revolut</t>
      </text>
    </comment>
    <comment ref="CU28" authorId="70" shapeId="0" xr:uid="{73AC319E-DBB3-45B1-8C53-1D266485FC5F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230euro accredito spese badante
Rispondi:
150euro accredito regalo nozze da michy
</t>
      </text>
    </comment>
    <comment ref="CV28" authorId="71" shapeId="0" xr:uid="{C48327E1-FF19-4CD9-BDC0-CD20A3F055D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ACCREDITO SPESA ENEL GIUGNO</t>
      </text>
    </comment>
    <comment ref="CW28" authorId="72" shapeId="0" xr:uid="{A1B5108E-4B5A-423D-B7AB-5134806E121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ACCREDITO SPESA ENEL LUGLIO 90,27€
Rispondi:
ACCREDITO SPESE VACANZA MICHELA 1266€
Rispondi:
ACCREDITO REVOLUT 418,09€
Rispondi:
ACCREDITO REVOLUT 650,00€
Rispondi:
ACCREDITO SPESA ENEL LUGLIO 30,25€</t>
      </text>
    </comment>
    <comment ref="CX28" authorId="73" shapeId="0" xr:uid="{9BBF34CE-7C68-4C65-993C-8A1E90F7DBF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ACCREDITO ENEL GAS LUGLIO
Rispondi:
ACCREDITO ENEL ENERGIA LUGLIO 92,14
Rispondi:
ACCREDITO CONTANTI 150€ RIMBORSO SPESE PAPA
Rispondi:
RIMBORSO MICHELA MATRIMONIO CUC 162 EURO</t>
      </text>
    </comment>
    <comment ref="CY28" authorId="74" shapeId="0" xr:uid="{6363C6A8-9A99-41A0-AB3B-BC65CB0F365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ACCREDITO ENEL GAS AGOSTO 20,29€</t>
      </text>
    </comment>
    <comment ref="BA29" authorId="75" shapeId="0" xr:uid="{90E3E93D-9481-4D3A-9E24-30BDE762937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804€ Detrazioni IRPEF</t>
      </text>
    </comment>
    <comment ref="BN29" authorId="76" shapeId="0" xr:uid="{2061DDBD-3BEC-49A1-A029-288D82E7871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854€ Detrazioni IRPEF</t>
      </text>
    </comment>
    <comment ref="BY29" authorId="77" shapeId="0" xr:uid="{022422FA-E9E8-4454-ADDC-B549240767B9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763€ Entrate IRPEF </t>
      </text>
    </comment>
    <comment ref="CK29" authorId="78" shapeId="0" xr:uid="{67F6213F-E16F-4CE2-9DC5-61F11650C19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590€ Detrazione Irpef 2024</t>
      </text>
    </comment>
    <comment ref="CD46" authorId="79" shapeId="0" xr:uid="{E955F85E-6CB9-441E-A13E-CD2D9E82842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17,99€ paypal</t>
      </text>
    </comment>
    <comment ref="BB51" authorId="80" shapeId="0" xr:uid="{CFF42D54-42AA-4ADC-A0F5-77A19358EBC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Abbonamento Gazzetta</t>
      </text>
    </comment>
    <comment ref="AJ57" authorId="7" shapeId="0" xr:uid="{9FC08694-CD4B-4B6A-9E13-26C444A70200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19,98 abbonamento Illiad</t>
        </r>
      </text>
    </comment>
    <comment ref="CC63" authorId="81" shapeId="0" xr:uid="{8CA5B320-D510-4757-B640-5262ABFF839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Soldi Toso per merchandising Classics
Rispondi:
0,97€ di rimanenza conto Paypal</t>
      </text>
    </comment>
    <comment ref="CD63" authorId="82" shapeId="0" xr:uid="{8FC76291-DB03-4168-ABC3-6785ED33A25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Rimborso Amazon 3,58€
Rispondi:
Conto Corrente Netflix: 6,99€
Rispondi:
Paypal Microsoft: 17,99€
Rispondi:
Paypal Now TV : 13,01€</t>
      </text>
    </comment>
    <comment ref="CE63" authorId="83" shapeId="0" xr:uid="{77E5D065-5FB7-43D3-A811-BEA4A47B8F8E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Conto corrente Netflix: 6,99€ </t>
      </text>
    </comment>
    <comment ref="CH63" authorId="84" shapeId="0" xr:uid="{5F6341D0-1683-4941-9E4E-5D7C9C86C0F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47,99€ Office 365 Pagato con Revolut
Rispondi:
17,99€ Xbox pass pagato con Paypal
Rispondi:
27,53€ Spesa Lidl con Revolut
Rispondi:
19,95€ Spesa conad con Revolut
Rispondi:
61,68€ volotea aggiunta bagagli. Pagato con paypal
Rispondi:
6,04€ Spesa Visotto con Revolut</t>
      </text>
    </comment>
    <comment ref="CM63" authorId="85" shapeId="0" xr:uid="{74F77F84-F941-48CA-9136-083FEC8FCDC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 pagamento Cuc Fantacalcio 50€
Rispondi:
Paypal veralab 16,66€ Saldo Paypal
Rispondi:
Paypal Tickeone 12,73€ Saldo Paypal
Rispondi:
Paypal NOW tv 4,99€ Saldo Paypal
Rispondi:
Paypal Microsoft 8,63€ Saldo Paypal
Rispondi:
Paypal Netflix 6,99€ Saldo Paypal</t>
      </text>
    </comment>
    <comment ref="CN63" authorId="86" shapeId="0" xr:uid="{8D70F259-3067-422A-A225-2617742355E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 Peppa 20,00€ compleanno Elena
Rispondi:
Paypal Now -20€ saldo paypal</t>
      </text>
    </comment>
    <comment ref="CO63" authorId="87" shapeId="0" xr:uid="{A6CFDBF2-810A-41A8-BCA6-1F0F00E6C80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Netflix: Conto corrente 6,99€
Rispondi:
NOW TV: Conto corrent 4,99€</t>
      </text>
    </comment>
    <comment ref="CQ63" authorId="88" shapeId="0" xr:uid="{323E6D70-769C-4114-BE24-8B997A18DEE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Netflix: Paypal 5,00€</t>
      </text>
    </comment>
    <comment ref="CR63" authorId="89" shapeId="0" xr:uid="{B7749727-B6DA-4A3A-B396-07597B7DD9D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 Now TV 5€
Rispondi:
Paypal Easypark 0,85€</t>
      </text>
    </comment>
    <comment ref="CS63" authorId="90" shapeId="0" xr:uid="{1FA3FC9E-1323-4486-A214-3152BBE7566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Paypal: Now TV 29,99€
Rispondi:
Paypal: Disney 8,00€
Rispondi:
Paypal: Netflix: 6,99€
Rispondi:
Paypal: Dissabo Regalo Fabio 20,00€</t>
      </text>
    </comment>
    <comment ref="CT63" authorId="91" shapeId="0" xr:uid="{24AFCA09-206D-40CB-A079-2E695C93FCB2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 Netflix: 1,01
</t>
      </text>
    </comment>
    <comment ref="CV63" authorId="92" shapeId="0" xr:uid="{C7DEAA8A-E9F7-445C-A5E5-8EB0BE9390D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Spesa Enel</t>
      </text>
    </comment>
    <comment ref="CY63" authorId="93" shapeId="0" xr:uid="{96CDF55C-652E-4536-BA96-E3FCEA04F01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Paypal Debby Regalo Davide 7
Euro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tc={373FD6B0-C4DC-4C14-A85F-EB25A053E62A}</author>
    <author>tc={AF6E08AB-1096-41E2-92E5-A9D80175C6E8}</author>
    <author>tc={524CCDB4-D322-4F74-A3CD-7975395BC5F4}</author>
  </authors>
  <commentList>
    <comment ref="D26" authorId="0" shapeId="0" xr:uid="{373FD6B0-C4DC-4C14-A85F-EB25A053E62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FANTACALCIO</t>
      </text>
    </comment>
    <comment ref="D27" authorId="1" shapeId="0" xr:uid="{AF6E08AB-1096-41E2-92E5-A9D80175C6E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Osteopata Gressani 83€</t>
      </text>
    </comment>
    <comment ref="D38" authorId="2" shapeId="0" xr:uid="{524CCDB4-D322-4F74-A3CD-7975395BC5F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250€ Fantacalcio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tc={C47D3581-8E0C-4D71-9F7D-EB91F5BC1749}</author>
    <author>tc={C5E309D8-C792-4579-A485-6BC9343A40FC}</author>
    <author>Luca  Ballestriero</author>
    <author>tc={69B89BDD-97DF-4C05-8877-1FD4BCC88195}</author>
    <author>tc={76824819-A598-4DB3-9E9D-1796DB2E2ECF}</author>
    <author>tc={325B27B7-EE3A-455B-B309-47AB82EDF62C}</author>
  </authors>
  <commentList>
    <comment ref="S38" authorId="0" shapeId="0" xr:uid="{C47D3581-8E0C-4D71-9F7D-EB91F5BC174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Passaggio di Proprietà</t>
      </text>
    </comment>
    <comment ref="S42" authorId="1" shapeId="0" xr:uid="{C5E309D8-C792-4579-A485-6BC9343A40F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79€ Batteria Nuova</t>
      </text>
    </comment>
    <comment ref="L43" authorId="2" shapeId="0" xr:uid="{5697B0DF-D472-4D8F-B298-B2289014C6D0}">
      <text>
        <r>
          <rPr>
            <b/>
            <sz val="9"/>
            <color indexed="81"/>
            <rFont val="Tahoma"/>
            <family val="2"/>
          </rPr>
          <t>Luca  Ballestriero:</t>
        </r>
        <r>
          <rPr>
            <sz val="9"/>
            <color indexed="81"/>
            <rFont val="Tahoma"/>
            <family val="2"/>
          </rPr>
          <t xml:space="preserve">
90Euro Bonus welfare</t>
        </r>
      </text>
    </comment>
    <comment ref="S44" authorId="3" shapeId="0" xr:uid="{69B89BDD-97DF-4C05-8877-1FD4BCC8819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Revisione auto</t>
      </text>
    </comment>
    <comment ref="S51" authorId="4" shapeId="0" xr:uid="{76824819-A598-4DB3-9E9D-1796DB2E2EC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Gomme Estive</t>
      </text>
    </comment>
    <comment ref="L52" authorId="5" shapeId="0" xr:uid="{325B27B7-EE3A-455B-B309-47AB82EDF62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180€ Bonus Welfare</t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<sst xmlns="http://schemas.openxmlformats.org/spreadsheetml/2006/main" count="15126" uniqueCount="1396">
  <si>
    <t>PIANO RISPARMI</t>
  </si>
  <si>
    <t>RIMANENZA INIZIALE</t>
  </si>
  <si>
    <t>MEDIA ANNUA CONTO</t>
  </si>
  <si>
    <t>STIPENDIO MENSILE</t>
  </si>
  <si>
    <t>TREDICESIMA + PREMIO (MBO)</t>
  </si>
  <si>
    <t>TOTALE STIPENDIO</t>
  </si>
  <si>
    <t>SITUAZIONE CONTO IN BANCA</t>
  </si>
  <si>
    <t>- SPESA AFFITTO</t>
  </si>
  <si>
    <t>- SPESE FISSE CASA</t>
  </si>
  <si>
    <t>- SPESA GARAGE</t>
  </si>
  <si>
    <t>- SPESE FISSE AUTO</t>
  </si>
  <si>
    <t>- SPESA ASSICURAZIONE</t>
  </si>
  <si>
    <t>-COMMISSIONI CANONE MENSILE</t>
  </si>
  <si>
    <t>-SPESE TELEPASS</t>
  </si>
  <si>
    <t>-SPESA GAS</t>
  </si>
  <si>
    <t>-SPESA LUCE</t>
  </si>
  <si>
    <t>- PRELIEVO CONTANTI</t>
  </si>
  <si>
    <t>- RATE MENSILI VARIE</t>
  </si>
  <si>
    <t>- SPESE GENERICHE</t>
  </si>
  <si>
    <t>TOTALE SPESE CONTO</t>
  </si>
  <si>
    <t>+ENTRATE STRAORDINARIE</t>
  </si>
  <si>
    <t>+DETRAZIONI IRPEF</t>
  </si>
  <si>
    <t>TOTALE ENTRATE EXTRA</t>
  </si>
  <si>
    <t>- ADDEBITO CARTA DI CREDITO</t>
  </si>
  <si>
    <t>SALDO CONTO</t>
  </si>
  <si>
    <t>MARGINE PERCENTUALE %</t>
  </si>
  <si>
    <t>RIMANENZA FINALE</t>
  </si>
  <si>
    <t>SITUAZIONE CARTA DI CREDITO</t>
  </si>
  <si>
    <t>SPESE FISSE</t>
  </si>
  <si>
    <t>MEDIA ANNUA CARTA</t>
  </si>
  <si>
    <t>- MICROSOFT OFFICE</t>
  </si>
  <si>
    <t>- DISNEY PLUS</t>
  </si>
  <si>
    <t>- NETFLIX</t>
  </si>
  <si>
    <t>- DAZN</t>
  </si>
  <si>
    <t>- NOW TV</t>
  </si>
  <si>
    <t>- VIDEOGAMES</t>
  </si>
  <si>
    <t>- SPOTIFY</t>
  </si>
  <si>
    <t>- INTERNET</t>
  </si>
  <si>
    <t>TELEFONO</t>
  </si>
  <si>
    <t>- AMAZON PRIME</t>
  </si>
  <si>
    <t>-  ABBONAMENTI GENERICI</t>
  </si>
  <si>
    <t>- IMPOSTA DI BOLLO</t>
  </si>
  <si>
    <t>TOTALE SPESE FISSE</t>
  </si>
  <si>
    <t>SPESE VARIABILI</t>
  </si>
  <si>
    <t>- ACQUISTI GENERICI</t>
  </si>
  <si>
    <t>- RICARICHE TELEFONICHE</t>
  </si>
  <si>
    <t>- COMMISSIONI PRELIEVO</t>
  </si>
  <si>
    <t>- RIFORNIMENTI</t>
  </si>
  <si>
    <t>- COMMISSIONI RIFORNIMENTI</t>
  </si>
  <si>
    <t>TOTALE SPESE VARIABILI</t>
  </si>
  <si>
    <t>MEDIA SPESE CARTA DI CREDITO</t>
  </si>
  <si>
    <t>simulazione consumo carta di credito</t>
  </si>
  <si>
    <t>ENTRATE</t>
  </si>
  <si>
    <t>media calcolata</t>
  </si>
  <si>
    <t>USCITE</t>
  </si>
  <si>
    <t>MARGINE</t>
  </si>
  <si>
    <t>Medio 2020</t>
  </si>
  <si>
    <t>Medio 2021</t>
  </si>
  <si>
    <t>Medio 2022</t>
  </si>
  <si>
    <t>Medio 2023</t>
  </si>
  <si>
    <t>Medio2024</t>
  </si>
  <si>
    <t>Medio2025</t>
  </si>
  <si>
    <t>TOTALE SPESE FISSE MENSILI</t>
  </si>
  <si>
    <t>TOTALE SPESE VARIABILI MENSILI</t>
  </si>
  <si>
    <t>+ENTRATE FISSE MENSILI</t>
  </si>
  <si>
    <t>+ENTRATE VARIABILI MENSILI</t>
  </si>
  <si>
    <t>RICAVI STRAORDINARI</t>
  </si>
  <si>
    <t>SPESE STRAORDINARIE</t>
  </si>
  <si>
    <t>MARGINE STRAORDINARIO</t>
  </si>
  <si>
    <t>DATA</t>
  </si>
  <si>
    <t>ANNO</t>
  </si>
  <si>
    <t>MESE</t>
  </si>
  <si>
    <t>PRELIEVO CONTO</t>
  </si>
  <si>
    <t>PRELIEVO CARTA</t>
  </si>
  <si>
    <t>INTERESSI</t>
  </si>
  <si>
    <t>TOTALE MESE</t>
  </si>
  <si>
    <t>RIEPILOGO ANNUALE PRELIEVI</t>
  </si>
  <si>
    <t>CARTA CREDITO</t>
  </si>
  <si>
    <t>CONTO BANCA</t>
  </si>
  <si>
    <t>TOTALE</t>
  </si>
  <si>
    <t>DIFF. ANNO PREC.</t>
  </si>
  <si>
    <t>VAR. %</t>
  </si>
  <si>
    <t>-</t>
  </si>
  <si>
    <t>TIPOLOGIA</t>
  </si>
  <si>
    <t>COMPOSTO</t>
  </si>
  <si>
    <t>IMPORTO</t>
  </si>
  <si>
    <t>RATA</t>
  </si>
  <si>
    <t>TRAMITE</t>
  </si>
  <si>
    <t>NOTE</t>
  </si>
  <si>
    <t>GRUPPO ILLIRIA</t>
  </si>
  <si>
    <t>MARZO</t>
  </si>
  <si>
    <t>MACCHINETTA AUTOMATICA</t>
  </si>
  <si>
    <t>CDA LOUNGE BAR</t>
  </si>
  <si>
    <t>MENSA</t>
  </si>
  <si>
    <t>BAR E RISTORANTI</t>
  </si>
  <si>
    <t>SPESA LIDL</t>
  </si>
  <si>
    <t>ALIMENTARI</t>
  </si>
  <si>
    <t>REVOLUT</t>
  </si>
  <si>
    <t>Prelievo</t>
  </si>
  <si>
    <t>AMAZON</t>
  </si>
  <si>
    <t>ACQUISTI ONLINE</t>
  </si>
  <si>
    <t>CDA LOUNGE BAR - BREASY</t>
  </si>
  <si>
    <t>SPESA VISOTTO</t>
  </si>
  <si>
    <t>LOCANDA OROLOGIO</t>
  </si>
  <si>
    <t>PIZZERIA CHICHIBIO</t>
  </si>
  <si>
    <t>SPESA CONAD</t>
  </si>
  <si>
    <t>MEDICENTER RONCHI</t>
  </si>
  <si>
    <t>VISITE MEDICHE</t>
  </si>
  <si>
    <t>VESTITI</t>
  </si>
  <si>
    <t>VINARIUM</t>
  </si>
  <si>
    <t>EASY PARK</t>
  </si>
  <si>
    <t>TRASPORTI E PARCHEGGI</t>
  </si>
  <si>
    <t>PAYPAL</t>
  </si>
  <si>
    <t>UFFICIO CAMERALE</t>
  </si>
  <si>
    <t>Report KFL</t>
  </si>
  <si>
    <t>TASSA CONSORZIO BONIFICA</t>
  </si>
  <si>
    <t>TASSE</t>
  </si>
  <si>
    <t>CORNER 1896</t>
  </si>
  <si>
    <t>TOMMY HILFIGHER</t>
  </si>
  <si>
    <t>LJUJO</t>
  </si>
  <si>
    <t>MONDO LAVAGGIO</t>
  </si>
  <si>
    <t>SPESE PER LA MACCHINA</t>
  </si>
  <si>
    <t>Rimborso BASKET TERZO</t>
  </si>
  <si>
    <t>BAMBULAB</t>
  </si>
  <si>
    <t>2/3</t>
  </si>
  <si>
    <t>Stampante 3D A1 mini</t>
  </si>
  <si>
    <t>2/5</t>
  </si>
  <si>
    <t>Router Mercusys</t>
  </si>
  <si>
    <t>Monitor LG 32"</t>
  </si>
  <si>
    <t>FEBBRAIO</t>
  </si>
  <si>
    <t>UFFICINA</t>
  </si>
  <si>
    <t>IKEA VILLESSE</t>
  </si>
  <si>
    <t>SPESE PER LA CASA</t>
  </si>
  <si>
    <t>DANA SPORT</t>
  </si>
  <si>
    <t>MOM'ART</t>
  </si>
  <si>
    <t>DIDON STORE</t>
  </si>
  <si>
    <t>Pagato con Paypal</t>
  </si>
  <si>
    <t>Pagamento Regalo Sandra</t>
  </si>
  <si>
    <t>1/3</t>
  </si>
  <si>
    <t>Errore Stampante 3D A1 mini</t>
  </si>
  <si>
    <t>AL PODERE</t>
  </si>
  <si>
    <t>LOFT23</t>
  </si>
  <si>
    <t>Pagamento CAFC Papà e Mamma</t>
  </si>
  <si>
    <t>Emanuele Civello</t>
  </si>
  <si>
    <t>Arance Siciliane</t>
  </si>
  <si>
    <t>1/5</t>
  </si>
  <si>
    <t>GUSTA' AL LEPRE</t>
  </si>
  <si>
    <t>TAGLIATO COL COLTELLO</t>
  </si>
  <si>
    <t>MACCHINETTA ILLIRIA</t>
  </si>
  <si>
    <t>Consolidamento conto</t>
  </si>
  <si>
    <t>FRUMENTO UDINE</t>
  </si>
  <si>
    <t>5/5</t>
  </si>
  <si>
    <t>Samsung Galaxy Watch 2025</t>
  </si>
  <si>
    <t>QUOTA ASSOCIATIVA CARTA DI CREDITO</t>
  </si>
  <si>
    <t>GENNAIO</t>
  </si>
  <si>
    <t>POKE TIARE</t>
  </si>
  <si>
    <t>SPESA IPERCOOP</t>
  </si>
  <si>
    <t>Anticipo Multa Paolo</t>
  </si>
  <si>
    <t>Abbonamento XBOX</t>
  </si>
  <si>
    <t>THE ORIONS PUB</t>
  </si>
  <si>
    <t>AUTOSTRADA</t>
  </si>
  <si>
    <t>Viaggio Viterbo 2026</t>
  </si>
  <si>
    <t>MUSEI VATICANI</t>
  </si>
  <si>
    <t>CINEMA CONCERTI SPETTACOLI</t>
  </si>
  <si>
    <t>TRATTORIA DEL CIMINO</t>
  </si>
  <si>
    <t>LOCANDA DEI GIUSTI</t>
  </si>
  <si>
    <t>AUTOGRILL</t>
  </si>
  <si>
    <t>4/5</t>
  </si>
  <si>
    <t>NANO LEAF</t>
  </si>
  <si>
    <t>Capodanno 2025</t>
  </si>
  <si>
    <t>BRICOCENTER</t>
  </si>
  <si>
    <t>OTTIMAX</t>
  </si>
  <si>
    <t>PIZZERIA DA MARIO</t>
  </si>
  <si>
    <t>DICEMBRE</t>
  </si>
  <si>
    <t>Regali Natale 2025 - Papà</t>
  </si>
  <si>
    <t>Regali Natale 2025</t>
  </si>
  <si>
    <t>SPESA ILDI</t>
  </si>
  <si>
    <t>Compleanno 2025</t>
  </si>
  <si>
    <t>DOPPIO MALTO (ZETTLE)</t>
  </si>
  <si>
    <t>BILIARDO PRADAMANO</t>
  </si>
  <si>
    <t>PANIFICIO PASTICCERIA CANDOTTI</t>
  </si>
  <si>
    <t>UBER</t>
  </si>
  <si>
    <t>Viaggio Siviglia 2025</t>
  </si>
  <si>
    <t>PICANTON</t>
  </si>
  <si>
    <t>ORANGE IN THE SKY SIVIGLIA</t>
  </si>
  <si>
    <t>REGALI</t>
  </si>
  <si>
    <t>Viaggio Siviglia 2025 Regali Natale 2025</t>
  </si>
  <si>
    <t>BOOKING</t>
  </si>
  <si>
    <t>HOTEL &amp; SERVIZI</t>
  </si>
  <si>
    <t>MC DONALD'S</t>
  </si>
  <si>
    <t>AGUSTIN CERVEZAS E TAPAS SIVIGLIA</t>
  </si>
  <si>
    <t>FLAMENCO</t>
  </si>
  <si>
    <t>LA SACRISTIA DE MATEOS SIVIGLIA</t>
  </si>
  <si>
    <t>TUSSAM EM SIVIGLIA</t>
  </si>
  <si>
    <t>TRENES</t>
  </si>
  <si>
    <t>GRUPO TEIKA</t>
  </si>
  <si>
    <t xml:space="preserve">APT TRIESTE </t>
  </si>
  <si>
    <t>3/5</t>
  </si>
  <si>
    <t>ZARA</t>
  </si>
  <si>
    <t>PARCHEGGIO AEROPORTO RONCHI</t>
  </si>
  <si>
    <t>NOVEMBRE</t>
  </si>
  <si>
    <t>MOTO CLUB CERVIGNANO</t>
  </si>
  <si>
    <t>San Martino 2025</t>
  </si>
  <si>
    <t>AL CAVALLINO</t>
  </si>
  <si>
    <t>J TEAM ASD</t>
  </si>
  <si>
    <t>ABC CHIOSCO</t>
  </si>
  <si>
    <t>Tesseramenti Basket 2025-2026</t>
  </si>
  <si>
    <t>L'AUTOGRILL PIZZERIA</t>
  </si>
  <si>
    <t>MEET &amp; GREET UDINE</t>
  </si>
  <si>
    <t>CIO'CHE C'ERA</t>
  </si>
  <si>
    <t>SPORTMED</t>
  </si>
  <si>
    <t>RISTORANTE PIZZERIA CAPELLO</t>
  </si>
  <si>
    <t>TRATTORIA ALLA STELLA</t>
  </si>
  <si>
    <t>PARCHEGGIO OSPEDALE UDINE</t>
  </si>
  <si>
    <t>GOOGLE</t>
  </si>
  <si>
    <t>3/3</t>
  </si>
  <si>
    <t>Viaggio Valencia 2025</t>
  </si>
  <si>
    <t>OTTOBRE</t>
  </si>
  <si>
    <t>Viaggio di lavoro Praga 2025</t>
  </si>
  <si>
    <t>Osteopata Gressani</t>
  </si>
  <si>
    <t>ASSOCIAZIONE CULTURALE TERZO D'AQUILITA</t>
  </si>
  <si>
    <t>SHI'S</t>
  </si>
  <si>
    <t>MAZZUCCATO GUID</t>
  </si>
  <si>
    <t>Regalo mamma</t>
  </si>
  <si>
    <t>GIUNTI AL PUNTO</t>
  </si>
  <si>
    <t>Regalo Davide 2025</t>
  </si>
  <si>
    <t>MEDIAWORLD</t>
  </si>
  <si>
    <t>RUSSIZ SUPERIORE</t>
  </si>
  <si>
    <t>Rimborso Savanelli Sa di Tappo</t>
  </si>
  <si>
    <t>TICKETONE</t>
  </si>
  <si>
    <t>Deejay Time</t>
  </si>
  <si>
    <t>FGV VALENCIA ESTACIONE</t>
  </si>
  <si>
    <t>STARBUCKS RUZAFA</t>
  </si>
  <si>
    <t>LAS VIANDAS DE LERMA</t>
  </si>
  <si>
    <t>PINTADO A MANO</t>
  </si>
  <si>
    <t>OF VALENCIA VALENCIA</t>
  </si>
  <si>
    <t>MERCADO CENTRAL  VALENCIA</t>
  </si>
  <si>
    <t>VALENBISI HORNO DE ALCE</t>
  </si>
  <si>
    <t>EL INFANTE VALENCIA</t>
  </si>
  <si>
    <t>CIUDAD DE LAS ARTES Y VALENCIA</t>
  </si>
  <si>
    <t>SETTEMBRE</t>
  </si>
  <si>
    <t>FANTAGAZZETTA</t>
  </si>
  <si>
    <t>ABBONAMENTI ONLINE</t>
  </si>
  <si>
    <t>PIZZERIA AL GELSO</t>
  </si>
  <si>
    <t>Francesco Napoli</t>
  </si>
  <si>
    <t>BAR ALL'ALPINO</t>
  </si>
  <si>
    <t>ASSOCIAZIONE C SI</t>
  </si>
  <si>
    <t>Friuli Doc 2025</t>
  </si>
  <si>
    <t>BIRRIFICIO FOGLIE D'ER FORNI</t>
  </si>
  <si>
    <t>PRO LOCO REANA DEL ROJITA</t>
  </si>
  <si>
    <t>VERALAB Regalo Stefania 2025</t>
  </si>
  <si>
    <t>PRENATAL</t>
  </si>
  <si>
    <t>Regalo Davide Toso</t>
  </si>
  <si>
    <t>MELICONI</t>
  </si>
  <si>
    <t>MAMMA KEBAB UDINE</t>
  </si>
  <si>
    <t>PARCHEGGIO MAGRINI</t>
  </si>
  <si>
    <t>PANIFICIO PASTICCERIA BOSIO</t>
  </si>
  <si>
    <t>Fabio Zorat</t>
  </si>
  <si>
    <t>Regalo Tom 2025</t>
  </si>
  <si>
    <t>EUROPCAR</t>
  </si>
  <si>
    <t>Viaggio Portogallo 2025</t>
  </si>
  <si>
    <t>AGOSTO</t>
  </si>
  <si>
    <t>PIZZA ROMANORUM GRADO</t>
  </si>
  <si>
    <t>JUST HEAT</t>
  </si>
  <si>
    <t>LISBON DUTY FREE LISBOA PRT</t>
  </si>
  <si>
    <t>TICKET BUS UDINE</t>
  </si>
  <si>
    <t>REPSOL E1159 LISBOA PRT</t>
  </si>
  <si>
    <t>P.A.CEPSA BEJA PRT</t>
  </si>
  <si>
    <t>RESTAURANTE SIMAO FARO PRT</t>
  </si>
  <si>
    <t>FLOR SAL,LDA FARO PRT</t>
  </si>
  <si>
    <t>TIVOLI LAGOS ALGARVE R LAGOS</t>
  </si>
  <si>
    <t>HTL PRINCIPE AVILA LISBOA PARKING</t>
  </si>
  <si>
    <t>SR JOGO,LDA LISBOA PRT</t>
  </si>
  <si>
    <t>MY EMEL</t>
  </si>
  <si>
    <t>LIME</t>
  </si>
  <si>
    <t>IL CAFFE' DELLA STAZIO UDINE ITA</t>
  </si>
  <si>
    <t>AELIA DUTY FREE</t>
  </si>
  <si>
    <t xml:space="preserve">Venezia </t>
  </si>
  <si>
    <t>R048 RUSTICHELLI &amp; MA. VENEZIA ITA</t>
  </si>
  <si>
    <t>ATVO SPA MESTRE VENEZIA ITA</t>
  </si>
  <si>
    <t>BIRRA E PASTA PALMANOVA</t>
  </si>
  <si>
    <t>PIZZERIA SORRISO PALMANOVA</t>
  </si>
  <si>
    <t>NEW YORKER</t>
  </si>
  <si>
    <t>Reso Magliette BOSS</t>
  </si>
  <si>
    <t>VERALAB</t>
  </si>
  <si>
    <t>Regalo Stefania 2025</t>
  </si>
  <si>
    <t>AIR PORTUGAL</t>
  </si>
  <si>
    <t>DREAME</t>
  </si>
  <si>
    <t>LUGLIO</t>
  </si>
  <si>
    <t>CALVIN KLEIN</t>
  </si>
  <si>
    <t>LA DE LE VELE GRADO</t>
  </si>
  <si>
    <t>NOLEGGIO AUTO</t>
  </si>
  <si>
    <t>PETROL BS MARIBOR</t>
  </si>
  <si>
    <t>TROPIC COCKTAIL BUDAPEST</t>
  </si>
  <si>
    <t>HAUCK TOBACCO BUDAPEST</t>
  </si>
  <si>
    <t>SZIMPLA KERT</t>
  </si>
  <si>
    <t>FARI SOCIETA' AGRICOLA (SPOLERT)</t>
  </si>
  <si>
    <t>AL TURISTA</t>
  </si>
  <si>
    <t>DECATHLON</t>
  </si>
  <si>
    <t>Regalo chicco</t>
  </si>
  <si>
    <t>USUSHI</t>
  </si>
  <si>
    <t>MOVIL LIGNANO</t>
  </si>
  <si>
    <t>OMBRELLONE LIGNANO</t>
  </si>
  <si>
    <t>Magliette BOSS</t>
  </si>
  <si>
    <t>30STM NOVELLARA</t>
  </si>
  <si>
    <t>Concerto Thirty Second to Mars</t>
  </si>
  <si>
    <t>MRYOK</t>
  </si>
  <si>
    <t>SPESE CONDOMINIALI</t>
  </si>
  <si>
    <t>Pagamento rata condominio</t>
  </si>
  <si>
    <t>DAL LEP</t>
  </si>
  <si>
    <t>TARLAO</t>
  </si>
  <si>
    <t>ALIEXPRESS</t>
  </si>
  <si>
    <t>Spesa per Papà</t>
  </si>
  <si>
    <t>SPESE INVIO E/C E RID</t>
  </si>
  <si>
    <t>GIUGNO</t>
  </si>
  <si>
    <t>TENNIS CLUB CERVIGNANO</t>
  </si>
  <si>
    <t>Padel</t>
  </si>
  <si>
    <t>UNDERPRESSURE TOURING MILANO</t>
  </si>
  <si>
    <t>Concerto Linkin Park</t>
  </si>
  <si>
    <t>TUTTI PER UNO SRL</t>
  </si>
  <si>
    <t>METRO MILANO</t>
  </si>
  <si>
    <t>Padova</t>
  </si>
  <si>
    <t>GRADO GIT</t>
  </si>
  <si>
    <t>Ombrellone</t>
  </si>
  <si>
    <t>ASIA MART PRAHA</t>
  </si>
  <si>
    <t>COMMISSIONE DI CONVERSIONE</t>
  </si>
  <si>
    <t>TESCO - PRAGA</t>
  </si>
  <si>
    <t>Pro Loco TERZO D'AQUILEIA</t>
  </si>
  <si>
    <t>La Lagunare</t>
  </si>
  <si>
    <t>STABILIMENTO TIVOLI</t>
  </si>
  <si>
    <t>TOKIO</t>
  </si>
  <si>
    <t>STABILIMENTO BORA BORA</t>
  </si>
  <si>
    <t>FRIENT</t>
  </si>
  <si>
    <t>MAGGIO</t>
  </si>
  <si>
    <t>UNITED EAGLES CIVIDALE</t>
  </si>
  <si>
    <t>BOOM EVENTI</t>
  </si>
  <si>
    <t>BIRRERIA BERNOTTI</t>
  </si>
  <si>
    <t>ROMA AL VOLO</t>
  </si>
  <si>
    <t>SA DI TAPPO</t>
  </si>
  <si>
    <t>Concerto In Flames 2025</t>
  </si>
  <si>
    <t>SPREADSHIRT</t>
  </si>
  <si>
    <t>RYANAIR</t>
  </si>
  <si>
    <t>Viaggio Napoli 2025</t>
  </si>
  <si>
    <t>Russiz Superiore</t>
  </si>
  <si>
    <t>Regalo a Michela</t>
  </si>
  <si>
    <t>HILFIGER</t>
  </si>
  <si>
    <t>Regalo Stefano</t>
  </si>
  <si>
    <t>NIKE</t>
  </si>
  <si>
    <t>STORNO QUOTA ASSOCIATIVA</t>
  </si>
  <si>
    <t>Storno quota carta di credito</t>
  </si>
  <si>
    <t>ISOLA D'ORO</t>
  </si>
  <si>
    <t>SPESA IGNOTA</t>
  </si>
  <si>
    <t>APRILE</t>
  </si>
  <si>
    <t>Differenza sulla CC</t>
  </si>
  <si>
    <t>VENTUNO GRAMMI</t>
  </si>
  <si>
    <t>DOPPIO MALTO</t>
  </si>
  <si>
    <t>Regalo a Francesco</t>
  </si>
  <si>
    <t>SPESA MEGA</t>
  </si>
  <si>
    <t>PARCHEGGIO VENEZIA</t>
  </si>
  <si>
    <t>VOLOTEA</t>
  </si>
  <si>
    <t>Pagato con Revolut</t>
  </si>
  <si>
    <t>OSTERIA PIERI MORTADELE</t>
  </si>
  <si>
    <t>YUMIKO</t>
  </si>
  <si>
    <t>LOCANDA AQUILEIA</t>
  </si>
  <si>
    <t>PROFUMO</t>
  </si>
  <si>
    <t>COSMETICI</t>
  </si>
  <si>
    <t>LA SUBIDA OSTERIA</t>
  </si>
  <si>
    <t>RITTER DE ZAHONY</t>
  </si>
  <si>
    <t>Errore</t>
  </si>
  <si>
    <t>BU.CO</t>
  </si>
  <si>
    <t>LEROY MERLIN</t>
  </si>
  <si>
    <t>BRICO</t>
  </si>
  <si>
    <t>SPACCANAPOLI</t>
  </si>
  <si>
    <t>Stefano Savanelli</t>
  </si>
  <si>
    <t>Stefano Savanelli Sa di tappo</t>
  </si>
  <si>
    <t>BASKET TERZO</t>
  </si>
  <si>
    <t>2/2</t>
  </si>
  <si>
    <t>SECONDA RATA BASKET TERZO</t>
  </si>
  <si>
    <t>DOMORI</t>
  </si>
  <si>
    <t>Francesco Savanelli</t>
  </si>
  <si>
    <t>Bacaro Tour - Savanelli</t>
  </si>
  <si>
    <t>Luca Toso</t>
  </si>
  <si>
    <t>Regalo Sorgi 2025</t>
  </si>
  <si>
    <t>RISTORANTE VOGRIG</t>
  </si>
  <si>
    <t>ENOTECA OASI DEI SANI</t>
  </si>
  <si>
    <t>VIDEOGIOCHI &amp; ELETTRONICA</t>
  </si>
  <si>
    <t>DJ BOX Regalo compleanno Davide</t>
  </si>
  <si>
    <t>LOCANDA ALLE VIGNE</t>
  </si>
  <si>
    <t>LUMII SUSHI</t>
  </si>
  <si>
    <t>Pagamento rata condominio + tari</t>
  </si>
  <si>
    <t>BANSHI</t>
  </si>
  <si>
    <t>CASA PIOCHEUR</t>
  </si>
  <si>
    <t>Regalo compleanno DEBBY</t>
  </si>
  <si>
    <t>SPESA SUPERMARK</t>
  </si>
  <si>
    <t>DE ROOM</t>
  </si>
  <si>
    <t>IL BAULE</t>
  </si>
  <si>
    <t>PIZZERIA DA MARINELLI</t>
  </si>
  <si>
    <t>PARCHEGGIO</t>
  </si>
  <si>
    <t>PASTICCERIA MOSAICO</t>
  </si>
  <si>
    <t>Compleanno</t>
  </si>
  <si>
    <t>Regali natale 2024</t>
  </si>
  <si>
    <t>PANIFICIO PASTICCERIA CANDOTTO</t>
  </si>
  <si>
    <t>LIBRERIA</t>
  </si>
  <si>
    <t>Vacanza Lubiana</t>
  </si>
  <si>
    <t>URITOM</t>
  </si>
  <si>
    <t>PUBLIC HOUSE</t>
  </si>
  <si>
    <t>Glenda Furlan</t>
  </si>
  <si>
    <t>Regalo compleanno Arturo</t>
  </si>
  <si>
    <t>Biglietti per Cremonini per michela</t>
  </si>
  <si>
    <t>RISTORANTE PUGLIESE</t>
  </si>
  <si>
    <t>Marcella</t>
  </si>
  <si>
    <t>Regalo compleanno Toso</t>
  </si>
  <si>
    <t>PARCHEGGIO AEROPORTO ORIO AL SERIO</t>
  </si>
  <si>
    <t>nota spese di Novembre</t>
  </si>
  <si>
    <t>AEROPORTO DI TALLIN</t>
  </si>
  <si>
    <t>Biglietti per Robbie Williams</t>
  </si>
  <si>
    <t>AEROPORTO ORIO AL SERIO</t>
  </si>
  <si>
    <t>FARMACIA MENON FERESIN</t>
  </si>
  <si>
    <t>MEDICINALI</t>
  </si>
  <si>
    <t>OSTERIA DEL CONTADINO</t>
  </si>
  <si>
    <t>Vacanza Viterbo</t>
  </si>
  <si>
    <t>Biglietti per 30 Second to mars (Debby)</t>
  </si>
  <si>
    <t>Biglietti per 30 Second to mars</t>
  </si>
  <si>
    <t>TAPO TELECAMERE</t>
  </si>
  <si>
    <t>RAINBOW</t>
  </si>
  <si>
    <t>TRINITY</t>
  </si>
  <si>
    <t>TELLME PIZZA (SHARE)</t>
  </si>
  <si>
    <t>SHOW RONDO'</t>
  </si>
  <si>
    <t>ELETTRONEW</t>
  </si>
  <si>
    <t>1/2</t>
  </si>
  <si>
    <t>Prima Rata Basket Terzo</t>
  </si>
  <si>
    <t>AUSA SERVIZI</t>
  </si>
  <si>
    <t>FRIULI DOC</t>
  </si>
  <si>
    <t>GAMESTOP</t>
  </si>
  <si>
    <t>MULTA AUTO</t>
  </si>
  <si>
    <t>Multa 160€ Austria</t>
  </si>
  <si>
    <t>TAGLIANDO AUTO</t>
  </si>
  <si>
    <t>VANS</t>
  </si>
  <si>
    <t>REGALO DAVIDE 2024</t>
  </si>
  <si>
    <t>INSTANBUL KEBAB</t>
  </si>
  <si>
    <t>Regalo Farfa 2024</t>
  </si>
  <si>
    <t>LE DUE PALME</t>
  </si>
  <si>
    <t>DUTY FREE</t>
  </si>
  <si>
    <t>Spese Creta</t>
  </si>
  <si>
    <t>SHELL</t>
  </si>
  <si>
    <t>AGROTIKO</t>
  </si>
  <si>
    <t>VOURVACHAKIS</t>
  </si>
  <si>
    <t>MATTHAIOS</t>
  </si>
  <si>
    <t>GRIGORIS</t>
  </si>
  <si>
    <t>DIANOM  RIFORNIMENTO</t>
  </si>
  <si>
    <t>KASAMPALIS</t>
  </si>
  <si>
    <t>COCO CAFR'</t>
  </si>
  <si>
    <t>DIMOTIKI</t>
  </si>
  <si>
    <t>ON THE GO</t>
  </si>
  <si>
    <t>DITIKI KRITI</t>
  </si>
  <si>
    <t>KOUKOURAKIS 2</t>
  </si>
  <si>
    <t>KOUKOURAKIS 1</t>
  </si>
  <si>
    <t>Regalo Davide 2024</t>
  </si>
  <si>
    <t>EL GRECO BAR</t>
  </si>
  <si>
    <t>EVEREST</t>
  </si>
  <si>
    <t>BRICO CAFE'</t>
  </si>
  <si>
    <t>Hotel Creta</t>
  </si>
  <si>
    <t>STZIMPLA KERT - HELLOPAY</t>
  </si>
  <si>
    <t>FARMACIA LOVISONI</t>
  </si>
  <si>
    <t>BAR SOLARIUM</t>
  </si>
  <si>
    <t>SPESA COOP</t>
  </si>
  <si>
    <t>BAR DA TERESINA</t>
  </si>
  <si>
    <t>RIVIERA EVENTI</t>
  </si>
  <si>
    <t>FIORERIA AGRARIA PAV</t>
  </si>
  <si>
    <t>PARCHEGGIO MILANO I DAYS</t>
  </si>
  <si>
    <t>I-DAYS 2024</t>
  </si>
  <si>
    <t>MILANO I DAYS</t>
  </si>
  <si>
    <t>Vacanza 2024</t>
  </si>
  <si>
    <t>Pro Loco Aquileia</t>
  </si>
  <si>
    <t>POKE LAND</t>
  </si>
  <si>
    <t>Ca' Vittoria</t>
  </si>
  <si>
    <t>Hotel Matrimonio Dave</t>
  </si>
  <si>
    <t>I LOVE ALICANTE</t>
  </si>
  <si>
    <t>Souvenir Alicante</t>
  </si>
  <si>
    <t>FUEL</t>
  </si>
  <si>
    <t>VIRGIN 77605</t>
  </si>
  <si>
    <t>Souvenir Polonia</t>
  </si>
  <si>
    <t>R100 RELAY</t>
  </si>
  <si>
    <t>XBOX Controller</t>
  </si>
  <si>
    <t>GLASS BAR</t>
  </si>
  <si>
    <t>IL PANE QUOTIDIANO</t>
  </si>
  <si>
    <t>MARCHE</t>
  </si>
  <si>
    <t>Souvenir Austria</t>
  </si>
  <si>
    <t>Commissione Vignetta</t>
  </si>
  <si>
    <t>Commissione</t>
  </si>
  <si>
    <t>Vignetta</t>
  </si>
  <si>
    <t>LA CIACOLADA</t>
  </si>
  <si>
    <t>TENUTA CA'NOVA</t>
  </si>
  <si>
    <t>Hotel Lazise</t>
  </si>
  <si>
    <t>ATHLETES WORLD</t>
  </si>
  <si>
    <t>Regalo francesco</t>
  </si>
  <si>
    <t>Pasquetta 2024</t>
  </si>
  <si>
    <t>PAGOPA SPA - Consorzio bonifica</t>
  </si>
  <si>
    <t>29,97€ di uova di pasqua</t>
  </si>
  <si>
    <t>BS STALONI</t>
  </si>
  <si>
    <t>SHARE PIZZA</t>
  </si>
  <si>
    <t>CINEMA</t>
  </si>
  <si>
    <t>AL GRANAIO</t>
  </si>
  <si>
    <t>MICROSOFT</t>
  </si>
  <si>
    <t>DAI FIOI</t>
  </si>
  <si>
    <t>AL PONTE</t>
  </si>
  <si>
    <t>VESUVIO</t>
  </si>
  <si>
    <t>BIFFI</t>
  </si>
  <si>
    <t>POKE SUN RICE TIARE</t>
  </si>
  <si>
    <t>AR-STORESHOP</t>
  </si>
  <si>
    <t>TIGER STORE</t>
  </si>
  <si>
    <t>Regali natale 2023</t>
  </si>
  <si>
    <t>FARMACIA VILLANOVA</t>
  </si>
  <si>
    <t>SPESA ALDI</t>
  </si>
  <si>
    <t>compleanno</t>
  </si>
  <si>
    <t>FREETTO</t>
  </si>
  <si>
    <t>ANTICA TRATTORIA A MONTA</t>
  </si>
  <si>
    <t>AI TRE SCALINI</t>
  </si>
  <si>
    <t>JACK AND JONES</t>
  </si>
  <si>
    <t>RADISSON BLUE RIGA</t>
  </si>
  <si>
    <t>VENPAY IVS</t>
  </si>
  <si>
    <t>ROOTS OF LATVIA SOUVENIR</t>
  </si>
  <si>
    <t>SOUVENIR RIGA</t>
  </si>
  <si>
    <t>ROADHOUSE</t>
  </si>
  <si>
    <t>OSTERIA AL FAGIANO</t>
  </si>
  <si>
    <t>GIOVANNI PANETTA (SAN MARTINO)</t>
  </si>
  <si>
    <t>ALBERGO BELVEDERE</t>
  </si>
  <si>
    <t>SATUR</t>
  </si>
  <si>
    <t>PIZZERIA ALL'ANFORA</t>
  </si>
  <si>
    <t>LA COMBRICCOLA</t>
  </si>
  <si>
    <t>FIORELLA RUBINO</t>
  </si>
  <si>
    <t>ADIDAS</t>
  </si>
  <si>
    <t>EUROSPAR</t>
  </si>
  <si>
    <t>BAR AMERICANO</t>
  </si>
  <si>
    <t>HOTEL BAIA DI TALAMONE</t>
  </si>
  <si>
    <t>PARCHEGGIO M. ARGENTARIO</t>
  </si>
  <si>
    <t xml:space="preserve">FAM.FAILLI - SAN GIMIGNANO </t>
  </si>
  <si>
    <t>VINCENZO CESANI</t>
  </si>
  <si>
    <t>OSTERIA LA SOSTA (SAN GIMIGNANO)</t>
  </si>
  <si>
    <t>MAXI FACTORY (BAULE)</t>
  </si>
  <si>
    <t>GRANO SALIS</t>
  </si>
  <si>
    <t>UNIPOLSAI</t>
  </si>
  <si>
    <t>FASHION BRAND</t>
  </si>
  <si>
    <t>ERBOLARIO</t>
  </si>
  <si>
    <t>OSTERIA GNAGNE SESE</t>
  </si>
  <si>
    <t>PAYPAL  - MRYOK</t>
  </si>
  <si>
    <t>TABLET</t>
  </si>
  <si>
    <t>KINDLE</t>
  </si>
  <si>
    <t>PIZZERIA CALYPSO</t>
  </si>
  <si>
    <t>PIZZERIA CONCORDIA</t>
  </si>
  <si>
    <t>Trieste</t>
  </si>
  <si>
    <t>WONDERFUL ZAGARELLA</t>
  </si>
  <si>
    <t>FARMACIA</t>
  </si>
  <si>
    <t>ASSOCIAZIONE PRO MAJAN</t>
  </si>
  <si>
    <t>CAMBIO GOMME</t>
  </si>
  <si>
    <t>ALIPAY</t>
  </si>
  <si>
    <t>RISTORANTE TOKIO</t>
  </si>
  <si>
    <t>BM FOOD MILANO</t>
  </si>
  <si>
    <t>DUSCI</t>
  </si>
  <si>
    <t>ROZNA DOLIN</t>
  </si>
  <si>
    <t>TESCO - BUDAPEST</t>
  </si>
  <si>
    <t>PENNY MARKET - BUDAPEST</t>
  </si>
  <si>
    <t>DARDY</t>
  </si>
  <si>
    <t>MANDRACCHIO SRL</t>
  </si>
  <si>
    <t>PIZZERIA AL PLATANO</t>
  </si>
  <si>
    <t>INTERNAZIONALE (SETAV)</t>
  </si>
  <si>
    <t>MORENITA</t>
  </si>
  <si>
    <t>NOLEGGIO SCI</t>
  </si>
  <si>
    <t>KASANOVA</t>
  </si>
  <si>
    <t>Regali di natale</t>
  </si>
  <si>
    <t>BRUNIERA</t>
  </si>
  <si>
    <t>LA BAITA DEI SAPORI</t>
  </si>
  <si>
    <t>VALBRUNA</t>
  </si>
  <si>
    <t>ASSAJE</t>
  </si>
  <si>
    <t>MAISON 2SHOP (BAULE)</t>
  </si>
  <si>
    <t>STEIMATZKY</t>
  </si>
  <si>
    <t>CAFE MALAN (TEL AVIV)</t>
  </si>
  <si>
    <t>GMF*TAEL AVIV YAFO</t>
  </si>
  <si>
    <t>DOMUS IMPRESA</t>
  </si>
  <si>
    <t>SPESA LIDL (CZ)</t>
  </si>
  <si>
    <t>HARD ROCK CAFE (PRAGA)</t>
  </si>
  <si>
    <t>DUTY FREE (DUBAI)</t>
  </si>
  <si>
    <t>LE PETIT BELGE (DUBAI)</t>
  </si>
  <si>
    <t>GOOD DAY MARKET (DUBAI)</t>
  </si>
  <si>
    <t>Dubai</t>
  </si>
  <si>
    <t>LIBERTY 1894</t>
  </si>
  <si>
    <t>REVISIONE AUTO</t>
  </si>
  <si>
    <t>PIZZIKOTTO</t>
  </si>
  <si>
    <t>FARMACIA BELTRAME</t>
  </si>
  <si>
    <t>MC POLISPECIALISTICA</t>
  </si>
  <si>
    <t>FARMACIA GRIGOLINI</t>
  </si>
  <si>
    <t>VINI MAFFY</t>
  </si>
  <si>
    <t>OLDTIMER HOTEL</t>
  </si>
  <si>
    <t>STABILIMENTO PIPER</t>
  </si>
  <si>
    <t>MUSEO EGIZIO TORINO</t>
  </si>
  <si>
    <t>TENDA BAR</t>
  </si>
  <si>
    <t>LA GRISE</t>
  </si>
  <si>
    <t>INGRESSO PISCINA GRADO</t>
  </si>
  <si>
    <t>PAPAGAYO</t>
  </si>
  <si>
    <t>ANUBI SRL</t>
  </si>
  <si>
    <t>PIZZERIA ITALIA</t>
  </si>
  <si>
    <t>OFFICINA DEL GUSTO</t>
  </si>
  <si>
    <t>MAGLIETTA MINISTRI</t>
  </si>
  <si>
    <t>PAYPAL VALUTAZIONE AUTO</t>
  </si>
  <si>
    <t>KERESKEDO</t>
  </si>
  <si>
    <t>Pitturare Porte</t>
  </si>
  <si>
    <t>A FUOCO LENTO</t>
  </si>
  <si>
    <t>FARMACIA FACINI</t>
  </si>
  <si>
    <t>ABBONAMENTO GAZZETTA</t>
  </si>
  <si>
    <t>UNIEURO</t>
  </si>
  <si>
    <t>TRENITALIA</t>
  </si>
  <si>
    <t>SPESA DESPAR</t>
  </si>
  <si>
    <t>ABSINTHERIE JILSKA</t>
  </si>
  <si>
    <t>MINIMARKET PETRSKA (REP CECA)</t>
  </si>
  <si>
    <t>EDALNICE (VIGNETTA REP CECA)</t>
  </si>
  <si>
    <t>TURISMO85 (MATR. EMANUEL)</t>
  </si>
  <si>
    <t>TENDENZE (ACC TENDE)</t>
  </si>
  <si>
    <t>RISTORANTE NAPOLEONE</t>
  </si>
  <si>
    <t>EUROSPORT</t>
  </si>
  <si>
    <t>COMMISSIONE RIFORNIMENTO CALABRIA</t>
  </si>
  <si>
    <t>RIFORNIMENTO CALABRIA</t>
  </si>
  <si>
    <t>GHIBLI HOTEL</t>
  </si>
  <si>
    <t>DOUGLAS</t>
  </si>
  <si>
    <t>NON E' LE BRONSE</t>
  </si>
  <si>
    <t>NEST</t>
  </si>
  <si>
    <t>WIENER HAUS VILLESSE</t>
  </si>
  <si>
    <t>PONTAROLO COMMERCIALE</t>
  </si>
  <si>
    <t>PIZZERIA DAL LEP</t>
  </si>
  <si>
    <t>AL CAMMINO</t>
  </si>
  <si>
    <t>UZR BIKE 24</t>
  </si>
  <si>
    <t>PAYPLUG</t>
  </si>
  <si>
    <t>VODAFONE</t>
  </si>
  <si>
    <t>PROVIDER INTERNET</t>
  </si>
  <si>
    <t>MARACAIBA</t>
  </si>
  <si>
    <t>Moulinex Matrimonio Cugina Angela</t>
  </si>
  <si>
    <t>EOLO</t>
  </si>
  <si>
    <t>BROKER PER LA TELEFONIA</t>
  </si>
  <si>
    <t>CENTRO ELETTRICITA'</t>
  </si>
  <si>
    <t>PLAYSTATION</t>
  </si>
  <si>
    <t>ELECTROSELF</t>
  </si>
  <si>
    <t>FOOTBALL MANAGER</t>
  </si>
  <si>
    <t>Moulinex  Matrimonio Cugina Angela</t>
  </si>
  <si>
    <t>PEDAGGIO</t>
  </si>
  <si>
    <t>AMICAFARMACIA</t>
  </si>
  <si>
    <t>PARCHEGGIO GRADO</t>
  </si>
  <si>
    <t>RISTORANTE PIZZERIA</t>
  </si>
  <si>
    <t>UCINORDOVES</t>
  </si>
  <si>
    <t>TERRE DI PALAZZATTO</t>
  </si>
  <si>
    <t>RONCATO</t>
  </si>
  <si>
    <t>IKI SUSHI</t>
  </si>
  <si>
    <t>GEARBEST</t>
  </si>
  <si>
    <t>BOLLO AUTO</t>
  </si>
  <si>
    <t>SITO REPUBBLICA (GEDI)</t>
  </si>
  <si>
    <t>NOW TV</t>
  </si>
  <si>
    <t>LENOVO</t>
  </si>
  <si>
    <t>NUVOLARI</t>
  </si>
  <si>
    <t>PARCHEGGIO SILOS</t>
  </si>
  <si>
    <t>MARCO POLO PARK</t>
  </si>
  <si>
    <t>PROFUMERIE DOUGLAS</t>
  </si>
  <si>
    <t>VIGNETTA SLOVENIA</t>
  </si>
  <si>
    <t>EASY JET</t>
  </si>
  <si>
    <t>CORMEDICA</t>
  </si>
  <si>
    <t>GENERICO</t>
  </si>
  <si>
    <t>HOTEL</t>
  </si>
  <si>
    <t>KOMPAS SHOP</t>
  </si>
  <si>
    <t>SPESE SZIGET</t>
  </si>
  <si>
    <t>BIGLIETTI SZIGET</t>
  </si>
  <si>
    <t>Ultra music festival</t>
  </si>
  <si>
    <t>SPESE ULTRA</t>
  </si>
  <si>
    <t>BIGLIETTI TRASPORTO</t>
  </si>
  <si>
    <t>TARI</t>
  </si>
  <si>
    <t>Tari 2026</t>
  </si>
  <si>
    <t>DA EDY REMANZACCO</t>
  </si>
  <si>
    <t>COMMISSIONE BONIFICO</t>
  </si>
  <si>
    <t>CAFC</t>
  </si>
  <si>
    <t>PAGAMENTO RITENUTE ALLA FONTE</t>
  </si>
  <si>
    <t>IMPOSTA DI BOLLO</t>
  </si>
  <si>
    <t>BOTTEGA VERDE</t>
  </si>
  <si>
    <t>BABY &amp; BOYS</t>
  </si>
  <si>
    <t>PROSCIUTTIFICIO ALBERTI</t>
  </si>
  <si>
    <t>SPESA DIDON</t>
  </si>
  <si>
    <t>COMMISSIONE SEPA</t>
  </si>
  <si>
    <t>NETFLIX</t>
  </si>
  <si>
    <t>Tari 2025</t>
  </si>
  <si>
    <t>CHICHIBIO</t>
  </si>
  <si>
    <t>Storno</t>
  </si>
  <si>
    <t>Magliette Basket Terzo (Rimborso)</t>
  </si>
  <si>
    <t>Magliette Basket Terzo</t>
  </si>
  <si>
    <t>Regalo Francesco</t>
  </si>
  <si>
    <t>Concerto In Flames</t>
  </si>
  <si>
    <t>MARIUTA</t>
  </si>
  <si>
    <t>VOLO NAPOLI</t>
  </si>
  <si>
    <t>CARTA DEL CREDITO COOPERATIVO</t>
  </si>
  <si>
    <t>SPESE AMMINISTRATIVE</t>
  </si>
  <si>
    <t>Tari 2024</t>
  </si>
  <si>
    <t>ORSO BAKERY</t>
  </si>
  <si>
    <t>ALLA SPERANZA</t>
  </si>
  <si>
    <t>ALLA GHIACCIAIA</t>
  </si>
  <si>
    <t>Felpe e Cappellini Basket Terzo</t>
  </si>
  <si>
    <t>Hotel Viterbo</t>
  </si>
  <si>
    <t>Felpe e Cappellini Basket Terzo (rimborso)</t>
  </si>
  <si>
    <t>Rimborso</t>
  </si>
  <si>
    <t>Felpa Terzo Classics</t>
  </si>
  <si>
    <t>Regalo Sofia</t>
  </si>
  <si>
    <t>DANNO EUROPCAR</t>
  </si>
  <si>
    <t>BOLLO AUTO TUCSON</t>
  </si>
  <si>
    <t>HOTEL ANDREA TOMASIN</t>
  </si>
  <si>
    <t>SPETTACOLO ELEAZARO</t>
  </si>
  <si>
    <t>VOLO ADDIO AL CELIBATO</t>
  </si>
  <si>
    <t>Tari 2023</t>
  </si>
  <si>
    <t>EL.CO DOTTO DONATELLA</t>
  </si>
  <si>
    <t>PRIMA RATA BASKET TERZO</t>
  </si>
  <si>
    <t>GOMME E CERCHI</t>
  </si>
  <si>
    <t>CONTANTI</t>
  </si>
  <si>
    <t>RIFORNIMENTO</t>
  </si>
  <si>
    <t>Tari 2022</t>
  </si>
  <si>
    <t>KASANOVA VILLESSE</t>
  </si>
  <si>
    <t>TESCO PRAGA BIRRE</t>
  </si>
  <si>
    <t>Quota nozze Eros</t>
  </si>
  <si>
    <t>SPESE IPERCOOP</t>
  </si>
  <si>
    <t>COMMISSIONI SEPA</t>
  </si>
  <si>
    <t>ASSICURAZIONE CASA</t>
  </si>
  <si>
    <t>Ricarica Andrea Moretti</t>
  </si>
  <si>
    <t>AGOS</t>
  </si>
  <si>
    <t>RATA COMPUTER PAPA'</t>
  </si>
  <si>
    <t>Estinzione AGOS</t>
  </si>
  <si>
    <t>(più elementi)</t>
  </si>
  <si>
    <t>(Tutto)</t>
  </si>
  <si>
    <t>Somma di IMPORTO</t>
  </si>
  <si>
    <t>Etichette di colonna</t>
  </si>
  <si>
    <t>Etichette di riga</t>
  </si>
  <si>
    <t>10 OTTOBRE 2025</t>
  </si>
  <si>
    <t>11 NOVEMBRE 2025</t>
  </si>
  <si>
    <t>12 DICEMBRE 2025</t>
  </si>
  <si>
    <t>1 GENNAIO 2026</t>
  </si>
  <si>
    <t>2 FEBBRAIO 2026</t>
  </si>
  <si>
    <t>Totale complessivo</t>
  </si>
  <si>
    <t>MEDIE MENSILI</t>
  </si>
  <si>
    <t>Totale</t>
  </si>
  <si>
    <t>COSTO CASA</t>
  </si>
  <si>
    <t>COSTO SOPRAVVIVENZA</t>
  </si>
  <si>
    <t>COSTO ABBONAMENTI</t>
  </si>
  <si>
    <t>COSTO SVAGHI (CINEMA&amp;BAR&amp;RISTO)</t>
  </si>
  <si>
    <t>COSTO VACANZE</t>
  </si>
  <si>
    <t>COSTO SFIZI</t>
  </si>
  <si>
    <t>PRELIEVI</t>
  </si>
  <si>
    <t>CATEGORIA SPESE</t>
  </si>
  <si>
    <t>RATE GENERICHE</t>
  </si>
  <si>
    <t>ALTRE SPESE NON CATALOGATE</t>
  </si>
  <si>
    <t>GUADAGNO MEDIO FISSO</t>
  </si>
  <si>
    <t>GUADAGNO MEDIO VARIABILE</t>
  </si>
  <si>
    <t>MEDIA RISPARMIO/PERDITA COMPLESSIVA</t>
  </si>
  <si>
    <t>MEDIA RISPARMIO/PERDITA OPERATIVA</t>
  </si>
  <si>
    <t>% RISPARMIO/GUADAGNO</t>
  </si>
  <si>
    <t>PRELIEVI MENSILI</t>
  </si>
  <si>
    <t>carta di credito</t>
  </si>
  <si>
    <t>MENSILE</t>
  </si>
  <si>
    <t>SETTIMANALE</t>
  </si>
  <si>
    <t>ATTUALE</t>
  </si>
  <si>
    <t>RIMANENTE</t>
  </si>
  <si>
    <t>Settimana</t>
  </si>
  <si>
    <t>Rimanente disponibile</t>
  </si>
  <si>
    <t>A CREDITO</t>
  </si>
  <si>
    <t>SPESE MENSILI C.C. (IPOTESI)</t>
  </si>
  <si>
    <t>A DEBITO</t>
  </si>
  <si>
    <t>-SPESE FISSE</t>
  </si>
  <si>
    <t>COMMISSIONI</t>
  </si>
  <si>
    <t>-PRELIEVI</t>
  </si>
  <si>
    <t>% sullo stipendio</t>
  </si>
  <si>
    <t>-RIFORNIMENTI</t>
  </si>
  <si>
    <t>media</t>
  </si>
  <si>
    <t>-VARIE (Tra cui Cibo)</t>
  </si>
  <si>
    <t>+Entrate varie</t>
  </si>
  <si>
    <t>Commissioni in rapporto a stipendio</t>
  </si>
  <si>
    <t>E'</t>
  </si>
  <si>
    <t>SAREBBE STATO:</t>
  </si>
  <si>
    <t>SPESE COMPLESSIVE MENSILI</t>
  </si>
  <si>
    <t>ACTUAL AVG</t>
  </si>
  <si>
    <t>IPOTESI 2026</t>
  </si>
  <si>
    <t>Differenza su actual</t>
  </si>
  <si>
    <t>AZIONE/NOTE</t>
  </si>
  <si>
    <t>CASA</t>
  </si>
  <si>
    <t>Liquidare finanziamenti a medio/lungo termine</t>
  </si>
  <si>
    <t>BOLLETTE GAS ENERGIA</t>
  </si>
  <si>
    <t>AUTO</t>
  </si>
  <si>
    <t>RIFORNIMENTI</t>
  </si>
  <si>
    <t>ASSICURAZIONE</t>
  </si>
  <si>
    <t>TELEPASS</t>
  </si>
  <si>
    <t>SPESE VARIE SU CONTO</t>
  </si>
  <si>
    <t>PRELIEVO CONTANTI</t>
  </si>
  <si>
    <t>RATE MENSILI</t>
  </si>
  <si>
    <t>SPESE GENERICHE</t>
  </si>
  <si>
    <t>SPESE MENSILI CARTA</t>
  </si>
  <si>
    <t>VARIE</t>
  </si>
  <si>
    <t>TOTALE:</t>
  </si>
  <si>
    <t>STIPENDIO</t>
  </si>
  <si>
    <t>ENTRATE EXTRA</t>
  </si>
  <si>
    <t>Entrate straordinarie derivanti da Premio e da Tredicesima</t>
  </si>
  <si>
    <t>DIFFERENZA</t>
  </si>
  <si>
    <t>SENZA FINANZIAMENTI A BREVE</t>
  </si>
  <si>
    <t>DISPONIBILITA' PER GIORNO</t>
  </si>
  <si>
    <t>DEBITI DA SALDARE</t>
  </si>
  <si>
    <t>CREDITI DA ESIGERE</t>
  </si>
  <si>
    <t>extra spese fuori bilancio</t>
  </si>
  <si>
    <t>CARTA</t>
  </si>
  <si>
    <t>consolidamento</t>
  </si>
  <si>
    <t>Extra Budget</t>
  </si>
  <si>
    <t>Importo Totale rate mensili:</t>
  </si>
  <si>
    <t>ENTE</t>
  </si>
  <si>
    <t>CREDIFRIULI</t>
  </si>
  <si>
    <t>FIAT AUTO</t>
  </si>
  <si>
    <t>COFIDIS</t>
  </si>
  <si>
    <t>Importo totale rate CASA</t>
  </si>
  <si>
    <t>TIPO</t>
  </si>
  <si>
    <t>MACCHINA</t>
  </si>
  <si>
    <t>AQUISTI ONLINE</t>
  </si>
  <si>
    <t>Importo totale rate MACCHINA</t>
  </si>
  <si>
    <t>SPESE</t>
  </si>
  <si>
    <t>MUTUO</t>
  </si>
  <si>
    <t>ASSICURAZIONE PERSONALE</t>
  </si>
  <si>
    <t>FINANZIAMENTO MAXI RATA</t>
  </si>
  <si>
    <t>FINANZIAMENTO NISSAN QASHQAI</t>
  </si>
  <si>
    <t>importo totale rate Spese Variabili</t>
  </si>
  <si>
    <t>SEPA</t>
  </si>
  <si>
    <t>Totale rata + interessi</t>
  </si>
  <si>
    <t>Dovuto mensile (Rata+SEPA)</t>
  </si>
  <si>
    <t>Numero rate</t>
  </si>
  <si>
    <t>TOTALE DOVUTO</t>
  </si>
  <si>
    <t>importo richiesto</t>
  </si>
  <si>
    <t>interesse</t>
  </si>
  <si>
    <t>Interessi %</t>
  </si>
  <si>
    <t>anni</t>
  </si>
  <si>
    <t>Pagato</t>
  </si>
  <si>
    <t>rimanente</t>
  </si>
  <si>
    <t>ANNI AMMORTAMENTO</t>
  </si>
  <si>
    <t>Importo x Estinzione</t>
  </si>
  <si>
    <t>Risparmio (con SEPA)</t>
  </si>
  <si>
    <t>Costi SEPA pagati</t>
  </si>
  <si>
    <t>N°rate pagate</t>
  </si>
  <si>
    <t>Rimanenti</t>
  </si>
  <si>
    <t>Anni Rimanenti</t>
  </si>
  <si>
    <t>Anni</t>
  </si>
  <si>
    <t>Importo rimanente</t>
  </si>
  <si>
    <t>DEBITO RIMANENTE</t>
  </si>
  <si>
    <t>VALUTAZIONE RIENTRO PRESTITI</t>
  </si>
  <si>
    <t>Valutazione fatta il 14 Gennaio 2025</t>
  </si>
  <si>
    <t>SITUAZIONE ATTUALE</t>
  </si>
  <si>
    <t>TUCSON</t>
  </si>
  <si>
    <t>Importo da saldare</t>
  </si>
  <si>
    <t>Risparmio netto</t>
  </si>
  <si>
    <t>IMPORTI</t>
  </si>
  <si>
    <t>METÀ IMPORTO</t>
  </si>
  <si>
    <t>QASHQAI</t>
  </si>
  <si>
    <t>OPZIONI NUOVO FINANZIAMENTO - SOLO TUCSON</t>
  </si>
  <si>
    <t>OPZIONE 1</t>
  </si>
  <si>
    <t>OPZIONE 2</t>
  </si>
  <si>
    <t>OPZIONE 3</t>
  </si>
  <si>
    <t>NUOVO FINANZIAMENTO</t>
  </si>
  <si>
    <t>IMPORTO DA CONTO</t>
  </si>
  <si>
    <t>RATA MENSILE</t>
  </si>
  <si>
    <t>NUMERO RATE</t>
  </si>
  <si>
    <t>ANNI</t>
  </si>
  <si>
    <t>IMPORTO DOVUTO TOT</t>
  </si>
  <si>
    <t>RISPARMIO COMPLESSIVO NETTO</t>
  </si>
  <si>
    <t>RISPARMIO MENSILE</t>
  </si>
  <si>
    <t>RITORNO INVESTIMENTO (mesi)</t>
  </si>
  <si>
    <t>RITORNO INVESTIMENTO (anni)</t>
  </si>
  <si>
    <t>OPZIONI NUOVO FINANZIAMENTO - TUCSON + QASHQAI</t>
  </si>
  <si>
    <t>CHIUSURA CONTRATTO VECCHIO</t>
  </si>
  <si>
    <t>GAS</t>
  </si>
  <si>
    <t>SPESE MATERIA</t>
  </si>
  <si>
    <t>di cui commercializzazione</t>
  </si>
  <si>
    <t>di cui Spese Materia Netta</t>
  </si>
  <si>
    <t>SCONTO</t>
  </si>
  <si>
    <t>TRASPORTO</t>
  </si>
  <si>
    <t>ONERI</t>
  </si>
  <si>
    <t>ALTRO (VOLTURA)</t>
  </si>
  <si>
    <t>IMPOSTE</t>
  </si>
  <si>
    <t>IVA</t>
  </si>
  <si>
    <t>COSTI VARI</t>
  </si>
  <si>
    <t>COSTI VARI (NETTO VOLTURA)</t>
  </si>
  <si>
    <t>MEDIA COSTI VARI</t>
  </si>
  <si>
    <t>QUANTITA' GAS</t>
  </si>
  <si>
    <t>RILEVATA</t>
  </si>
  <si>
    <t>STORICO ANDAMENTO smc</t>
  </si>
  <si>
    <t>AUTOLETTURA</t>
  </si>
  <si>
    <t>RIPORATO IN BOLLETTA smc</t>
  </si>
  <si>
    <t>RIPORTATO IN BOLLETTA</t>
  </si>
  <si>
    <t>SCARTO</t>
  </si>
  <si>
    <t>tendenza rispetto ad anno precedente</t>
  </si>
  <si>
    <t>MEDIA</t>
  </si>
  <si>
    <t>COSTO MENSILE</t>
  </si>
  <si>
    <t>SPESA GAS</t>
  </si>
  <si>
    <t>SPESA GAS IPOTETICA</t>
  </si>
  <si>
    <t>IPOTETICA IN BOLLETTA</t>
  </si>
  <si>
    <t>Scarto Mensile</t>
  </si>
  <si>
    <t>RAPPORTO €/smc (REALE)</t>
  </si>
  <si>
    <t>RAPPORTO €/smc</t>
  </si>
  <si>
    <t>€/mq ENI</t>
  </si>
  <si>
    <t>Sconto domiciliazione</t>
  </si>
  <si>
    <t>Spese commercializzazione</t>
  </si>
  <si>
    <t>TOLLERANZA</t>
  </si>
  <si>
    <t>ENERGIA ELETTRICA</t>
  </si>
  <si>
    <t>TRASPORTO/VENDITA ENERGIA</t>
  </si>
  <si>
    <t>CANONE DI MERDA</t>
  </si>
  <si>
    <t>COSTO NETTO</t>
  </si>
  <si>
    <t>F1</t>
  </si>
  <si>
    <t>F2</t>
  </si>
  <si>
    <t>F3</t>
  </si>
  <si>
    <t>F2/3</t>
  </si>
  <si>
    <t>TOTALE kw</t>
  </si>
  <si>
    <t>SPESA ENERGIA</t>
  </si>
  <si>
    <t>IPOTETICA</t>
  </si>
  <si>
    <t>Scarto</t>
  </si>
  <si>
    <t>RAPPORTO €/KW (Reale)</t>
  </si>
  <si>
    <t>RAPPORTO €/KWh</t>
  </si>
  <si>
    <t>MEDIA GAS 2021</t>
  </si>
  <si>
    <t>MEDIA GAS 2022</t>
  </si>
  <si>
    <t>MEDIA GAS 2023</t>
  </si>
  <si>
    <t>MEDIA GAS 2024</t>
  </si>
  <si>
    <t>MEDIA GAS 2025</t>
  </si>
  <si>
    <t>MEDIA GAS 2026</t>
  </si>
  <si>
    <t>DELTA 24/25</t>
  </si>
  <si>
    <t>Stima 25/26</t>
  </si>
  <si>
    <t>Costo mensile</t>
  </si>
  <si>
    <t>Spesa Materia Netta</t>
  </si>
  <si>
    <t>Smc</t>
  </si>
  <si>
    <t>smc</t>
  </si>
  <si>
    <t>€/Smc</t>
  </si>
  <si>
    <t>€/smc</t>
  </si>
  <si>
    <t>MEDIA ENERGIA 2021</t>
  </si>
  <si>
    <t>MEDIA ENERGIA 2022</t>
  </si>
  <si>
    <t>MEDIA ENERGIA 2023</t>
  </si>
  <si>
    <t>MEDIA ENERGIA 2024</t>
  </si>
  <si>
    <t>MEDIA ENERGIA 2025</t>
  </si>
  <si>
    <t>MEDIA ENERGIA 2026</t>
  </si>
  <si>
    <t>DELTA 23/24</t>
  </si>
  <si>
    <t>kw/h</t>
  </si>
  <si>
    <t>€/kWh</t>
  </si>
  <si>
    <t>TOT</t>
  </si>
  <si>
    <t>TOTALE MEDIA 2021</t>
  </si>
  <si>
    <t>TOTALE MEDIA 2022</t>
  </si>
  <si>
    <t>TOTALE MEDIA 2023</t>
  </si>
  <si>
    <t>TOTALE MEDIA 2024</t>
  </si>
  <si>
    <t>TOTALE MEDIA 2025</t>
  </si>
  <si>
    <t>TOTALE MEDIA 2026</t>
  </si>
  <si>
    <t>Stima 24/25</t>
  </si>
  <si>
    <t>Rosso significa ATTIVO</t>
  </si>
  <si>
    <t>10 OTTOBRE 2020</t>
  </si>
  <si>
    <t>11 NOVEMBRE 2020</t>
  </si>
  <si>
    <t>12 DICEMBRE 2020</t>
  </si>
  <si>
    <t>1 GENNAIO 2021</t>
  </si>
  <si>
    <t>2 FEBBRAIO 2021</t>
  </si>
  <si>
    <t>3 MARZO 2021</t>
  </si>
  <si>
    <t>4 APRILE 2021</t>
  </si>
  <si>
    <t>5 MAGGIO 2021</t>
  </si>
  <si>
    <t>6 GIUGNO 2021</t>
  </si>
  <si>
    <t>7 LUGLIO 2021</t>
  </si>
  <si>
    <t>8 AGOSTO 2021</t>
  </si>
  <si>
    <t>9 SETTEMBRE 2021</t>
  </si>
  <si>
    <t>10 OTTOBRE 2021</t>
  </si>
  <si>
    <t>11 NOVEMBRE 2021</t>
  </si>
  <si>
    <t>12 DICEMBRE 2021</t>
  </si>
  <si>
    <t>1 GENNAIO 2022</t>
  </si>
  <si>
    <t>2 FEBBRAIO 2022</t>
  </si>
  <si>
    <t>3 MARZO 2022</t>
  </si>
  <si>
    <t>4 APRILE 2022</t>
  </si>
  <si>
    <t>5 MAGGIO 2022</t>
  </si>
  <si>
    <t>6 GIUGNO 2022</t>
  </si>
  <si>
    <t>7 LUGLIO 2022</t>
  </si>
  <si>
    <t>8 AGOSTO 2022</t>
  </si>
  <si>
    <t>9 SETTEMBRE 2022</t>
  </si>
  <si>
    <t>10 OTTOBRE 2022</t>
  </si>
  <si>
    <t>11 NOVEMBRE 2022</t>
  </si>
  <si>
    <t>12 DICEMBRE 2022</t>
  </si>
  <si>
    <t>1 GENNAIO 2023</t>
  </si>
  <si>
    <t>2 FEBBRAIO 2023</t>
  </si>
  <si>
    <t>3 MARZO 2023</t>
  </si>
  <si>
    <t>4 APRILE 2023</t>
  </si>
  <si>
    <t>5 MAGGIO 2023</t>
  </si>
  <si>
    <t>6 GIUGNO 2023</t>
  </si>
  <si>
    <t>7 LUGLIO 2023</t>
  </si>
  <si>
    <t>8 AGOSTO 2023</t>
  </si>
  <si>
    <t>9 SETTEMBRE 2023</t>
  </si>
  <si>
    <t>10 OTTOBRE 2023</t>
  </si>
  <si>
    <t>11 NOVEMBRE 2023</t>
  </si>
  <si>
    <t>12 DICEMBRE 2023</t>
  </si>
  <si>
    <t>1 GENNAIO 2024</t>
  </si>
  <si>
    <t>2 FEBBRAIO 2024</t>
  </si>
  <si>
    <t>3 MARZO 2024</t>
  </si>
  <si>
    <t>4 APRILE 2024</t>
  </si>
  <si>
    <t>5 MAGGIO 2024</t>
  </si>
  <si>
    <t>6 GIUGNO 2024</t>
  </si>
  <si>
    <t>7 LUGLIO 2024</t>
  </si>
  <si>
    <t>8 AGOSTO 2024</t>
  </si>
  <si>
    <t>9 SETTEMBRE 2024</t>
  </si>
  <si>
    <t>10 OTTOBRE 2024</t>
  </si>
  <si>
    <t>11 NOVEMBRE 2024</t>
  </si>
  <si>
    <t>12 DICEMBRE 2024</t>
  </si>
  <si>
    <t>1 GENNAIO 2025</t>
  </si>
  <si>
    <t>2 FEBBRAIO 2025</t>
  </si>
  <si>
    <t>3 MARZO 2025</t>
  </si>
  <si>
    <t>4 APRILE 2025</t>
  </si>
  <si>
    <t>5 MAGGIO 2025</t>
  </si>
  <si>
    <t>6 GIUGNO 2025</t>
  </si>
  <si>
    <t>7 LUGLIO 2025</t>
  </si>
  <si>
    <t>8 AGOSTO 2025</t>
  </si>
  <si>
    <t>9 SETTEMBRE 2025</t>
  </si>
  <si>
    <t>3 MARZO 2026</t>
  </si>
  <si>
    <t>5 MAGGIO 2026</t>
  </si>
  <si>
    <t>ANGELA</t>
  </si>
  <si>
    <t>COINTESTATO</t>
  </si>
  <si>
    <t>BONIFICO</t>
  </si>
  <si>
    <t>COMMISSIONI/TASSE</t>
  </si>
  <si>
    <t>SPESE ACQUISTO CASA</t>
  </si>
  <si>
    <t>DIVANO</t>
  </si>
  <si>
    <t>CUCINA</t>
  </si>
  <si>
    <t>IKEA</t>
  </si>
  <si>
    <t>SPESE ACQUISTO CASA FINANZIAMENTO</t>
  </si>
  <si>
    <t>RATA ASSICURAZIONE</t>
  </si>
  <si>
    <t>SPESE ASSICURAZIONE</t>
  </si>
  <si>
    <t>ASSICURAZIONE FINANZIAMENTO</t>
  </si>
  <si>
    <t>RATA MUTUO CASA</t>
  </si>
  <si>
    <t>BOLLETTE GAS</t>
  </si>
  <si>
    <t>BOLLETTE LUCE</t>
  </si>
  <si>
    <t>LUCA</t>
  </si>
  <si>
    <t>BONIFICO INIZIALE</t>
  </si>
  <si>
    <t>ASSEGNATO</t>
  </si>
  <si>
    <t>COMPOSTO 1</t>
  </si>
  <si>
    <t>COMMISSIONE CANONE MENSILE</t>
  </si>
  <si>
    <t>BONIFICO LUCA</t>
  </si>
  <si>
    <t>RATA MUTUO ASSICURAZIONE</t>
  </si>
  <si>
    <t>PAGAMENTO INTERESSI ESIGIBILI</t>
  </si>
  <si>
    <t>INTERESSI E COMPETENZE</t>
  </si>
  <si>
    <t>RATA CUCINA</t>
  </si>
  <si>
    <t>BONIFICO GENERICO</t>
  </si>
  <si>
    <t>RATA DIVANO</t>
  </si>
  <si>
    <t>SPESE CONDOMINIALI 1a PARTE 2022</t>
  </si>
  <si>
    <t>RATA IKEA</t>
  </si>
  <si>
    <t>ENI GAS E LUCE</t>
  </si>
  <si>
    <t>BONIFICO ANGELA</t>
  </si>
  <si>
    <t>SPESE CONDOMINIALI 2a PARTE 2021</t>
  </si>
  <si>
    <t>SPESE PITTORE</t>
  </si>
  <si>
    <t>BONIFICO CANDUSSI</t>
  </si>
  <si>
    <t>RITENUTA FISCALE</t>
  </si>
  <si>
    <t>INTERESSI A CREDITO</t>
  </si>
  <si>
    <t>ASSICURAZIONE MULTI RISCHI ANGELA</t>
  </si>
  <si>
    <t>ASSICURAZIONE MULTI RISCHI LUCA</t>
  </si>
  <si>
    <t>ASSICURAZIONE VITA LUCA</t>
  </si>
  <si>
    <t>ASSICURAZIONE VITA ANGELA</t>
  </si>
  <si>
    <t>AGENZIA IMMOBILIARE</t>
  </si>
  <si>
    <t>IMPOSTA SOST.</t>
  </si>
  <si>
    <t>FINANZIAMENTO ASSICURAZIONE</t>
  </si>
  <si>
    <t>BONIFICO CASA</t>
  </si>
  <si>
    <t>IMPOSTA DI REGISTRO</t>
  </si>
  <si>
    <t>SPESE ISTRUTTORIA</t>
  </si>
  <si>
    <t>MUTUO CASA</t>
  </si>
  <si>
    <t>STORNO PERIZIA</t>
  </si>
  <si>
    <t>PERIZIA</t>
  </si>
  <si>
    <t>DATA:</t>
  </si>
  <si>
    <t>km annuali</t>
  </si>
  <si>
    <t>COSTO RIFORNIMENTI</t>
  </si>
  <si>
    <t>Valori Attuali sul mese</t>
  </si>
  <si>
    <t>INTERESSI:</t>
  </si>
  <si>
    <t>Litri TOT</t>
  </si>
  <si>
    <t>Km TOT</t>
  </si>
  <si>
    <t>Km/L AVG</t>
  </si>
  <si>
    <t>L/100Km AVG</t>
  </si>
  <si>
    <t xml:space="preserve">QUANTO RIFORNIMENTO? </t>
  </si>
  <si>
    <t>L/mese</t>
  </si>
  <si>
    <t>SPESA MESE IPOTIZZATA</t>
  </si>
  <si>
    <t>BONUS:</t>
  </si>
  <si>
    <t>km/settimana</t>
  </si>
  <si>
    <t>km/giorno</t>
  </si>
  <si>
    <t>SPESA MESE MEDIA ATTUALIZZATA</t>
  </si>
  <si>
    <t>NETTO SPESA:</t>
  </si>
  <si>
    <t>Km - TOTALI 2024</t>
  </si>
  <si>
    <t>km/mese</t>
  </si>
  <si>
    <t>km/lavoro</t>
  </si>
  <si>
    <t>SPESE MACCHINA</t>
  </si>
  <si>
    <t>MENSILE 2020</t>
  </si>
  <si>
    <t>ANNUALE 2020</t>
  </si>
  <si>
    <t>MENSILE 2021</t>
  </si>
  <si>
    <t>ANNUALE 2021</t>
  </si>
  <si>
    <t>MENSILE 2022</t>
  </si>
  <si>
    <t>ANNUALE 2022</t>
  </si>
  <si>
    <t>MENSILE 2023</t>
  </si>
  <si>
    <t>ANNUALE 2023</t>
  </si>
  <si>
    <t>MENSILE 2024</t>
  </si>
  <si>
    <t>ANNUALE 2024</t>
  </si>
  <si>
    <t>MENSILE 2025</t>
  </si>
  <si>
    <t>ANNUALE 2025</t>
  </si>
  <si>
    <t>MENSILE 2026</t>
  </si>
  <si>
    <t>ANNUALE 2026</t>
  </si>
  <si>
    <t>RATE</t>
  </si>
  <si>
    <t>BOLLO</t>
  </si>
  <si>
    <t>MANUTENZIONE (Tagliando)</t>
  </si>
  <si>
    <t>SPESE VARIE</t>
  </si>
  <si>
    <t>INCREMENTO</t>
  </si>
  <si>
    <t>GIORNO</t>
  </si>
  <si>
    <t>SETTIMANA</t>
  </si>
  <si>
    <t>Data</t>
  </si>
  <si>
    <t>COSTO ASSICURAZIONE</t>
  </si>
  <si>
    <t>RATA QASHQAI</t>
  </si>
  <si>
    <t>RATA TUCSON</t>
  </si>
  <si>
    <t>TAGLIANDO</t>
  </si>
  <si>
    <t>COSTO VARIABILE</t>
  </si>
  <si>
    <t>SPESA MENSILE MACCHINA</t>
  </si>
  <si>
    <t>mese in corso</t>
  </si>
  <si>
    <t>Numero</t>
  </si>
  <si>
    <t>mese</t>
  </si>
  <si>
    <t>Giorno</t>
  </si>
  <si>
    <t>Rifornim.</t>
  </si>
  <si>
    <t>Comm.</t>
  </si>
  <si>
    <t>Quot. €/L</t>
  </si>
  <si>
    <t>Litri Fatti</t>
  </si>
  <si>
    <t>Km Lavoro</t>
  </si>
  <si>
    <t>Km Extra</t>
  </si>
  <si>
    <t>Km Totali</t>
  </si>
  <si>
    <t>Km cumulati</t>
  </si>
  <si>
    <t>TOTALE Km</t>
  </si>
  <si>
    <t>LITRI</t>
  </si>
  <si>
    <t>Km/l</t>
  </si>
  <si>
    <t>L/100Km</t>
  </si>
  <si>
    <t>€/Litro medio</t>
  </si>
  <si>
    <t>Spesa media mensile</t>
  </si>
  <si>
    <t>Km iniziali</t>
  </si>
  <si>
    <t>Differenza</t>
  </si>
  <si>
    <t>L/Km</t>
  </si>
  <si>
    <t>km a disposizione</t>
  </si>
  <si>
    <t>SLOVENIA</t>
  </si>
  <si>
    <t>ITALIA - MINOR PREZZO</t>
  </si>
  <si>
    <t>Sabato</t>
  </si>
  <si>
    <t>PREZZO LORDO GASOLIO</t>
  </si>
  <si>
    <t>Domenica</t>
  </si>
  <si>
    <t>AGEVOLAZIONI STATALI</t>
  </si>
  <si>
    <t>Lunedì</t>
  </si>
  <si>
    <t>COSTO TRANSAZIONE</t>
  </si>
  <si>
    <t>Martedì</t>
  </si>
  <si>
    <t>PREZZO NETTO GASOLIO</t>
  </si>
  <si>
    <t>Mercoledì</t>
  </si>
  <si>
    <t>CAPACITA' QASHQAI</t>
  </si>
  <si>
    <t>DIFF. SLO/ITA</t>
  </si>
  <si>
    <t>Giovedì</t>
  </si>
  <si>
    <t>TOTALE GASOLIO</t>
  </si>
  <si>
    <t>Venerdì</t>
  </si>
  <si>
    <t>KM ANDATA E RITORNO</t>
  </si>
  <si>
    <t>€ ANDATA E RITORNO</t>
  </si>
  <si>
    <t>Se &gt; 0 conviene Italia</t>
  </si>
  <si>
    <t>EURO</t>
  </si>
  <si>
    <t>LITRI ITALIA</t>
  </si>
  <si>
    <t>LITRI SLOVENIA</t>
  </si>
  <si>
    <t>DURATA STIMATA (GIORNI)</t>
  </si>
  <si>
    <t>N°VOLTE AL MESE</t>
  </si>
  <si>
    <t>CONSUMO MEDIO MACCHINA</t>
  </si>
  <si>
    <t>Km TOTALI PIENO</t>
  </si>
  <si>
    <t>Km/L</t>
  </si>
  <si>
    <t>KM GIORNALIERI LAVORO</t>
  </si>
  <si>
    <t>LITRI CONSUMATI LAVORO</t>
  </si>
  <si>
    <t>AUTONOMIA RISERVA</t>
  </si>
  <si>
    <t>KM GIORNALIERI EXTRA</t>
  </si>
  <si>
    <t>LITRI RIMANENTI SERBATOIO</t>
  </si>
  <si>
    <t>LITRI CONSUMATI EXTRA</t>
  </si>
  <si>
    <t>DURATA IN GIORNI</t>
  </si>
  <si>
    <t>RIFORNIMENTI MENSILI</t>
  </si>
  <si>
    <t>km totali</t>
  </si>
  <si>
    <t>SPESA STIMATA MENSILE</t>
  </si>
  <si>
    <t>TOTALE LITRI CONSUMATI GIORNALIERI</t>
  </si>
  <si>
    <t>TOTALE LITRI CONSUMATI MEDI</t>
  </si>
  <si>
    <t>TOTALE KM/MESE</t>
  </si>
  <si>
    <t>GUADAGNO LITRI</t>
  </si>
  <si>
    <t>TOTALE KM/ANNO</t>
  </si>
  <si>
    <t>RISPARMIO ANDARE IN SLO</t>
  </si>
  <si>
    <t>RIFORNIMENTI MEDI</t>
  </si>
  <si>
    <t>KM IN PIU'</t>
  </si>
  <si>
    <t>ANDATA</t>
  </si>
  <si>
    <t>LITRI CONSUMATI</t>
  </si>
  <si>
    <t>RITORNO</t>
  </si>
  <si>
    <t>LITRI X RIFORNIMENTO</t>
  </si>
  <si>
    <t>ITALIA - GONARS</t>
  </si>
  <si>
    <t>ITALIA - CERVIGNANO</t>
  </si>
  <si>
    <t>COSTI VIAGGIO GONARS</t>
  </si>
  <si>
    <t>costo gasolio Cervi</t>
  </si>
  <si>
    <t>COSTI VIAGGIO CERVI</t>
  </si>
  <si>
    <t>FLU - GORIZIA</t>
  </si>
  <si>
    <t>FLU - VENCO'</t>
  </si>
  <si>
    <t>PEDAGGIO/TASSE</t>
  </si>
  <si>
    <t>GORIZIA - TERZO'</t>
  </si>
  <si>
    <t>COSTI VIAGGIO FLU - GOSLOVENIA</t>
  </si>
  <si>
    <t>COSTI VIAGGIO FLU - VENCO'</t>
  </si>
  <si>
    <t>COSTI VIAGGIO TERZO-GO'</t>
  </si>
  <si>
    <t>RISPARMIO TOTALE</t>
  </si>
  <si>
    <t>DIFFERENZA GON/GOR</t>
  </si>
  <si>
    <t>DIFFERENZA GON/VEN</t>
  </si>
  <si>
    <t>DIFFERENZA CER/GOR</t>
  </si>
  <si>
    <t>Minore è il valore, e meno conveniente è andare a fare Gasolio in Slovenia</t>
  </si>
  <si>
    <t>prezzo gasolio effettivo</t>
  </si>
  <si>
    <t>da Cervignano a</t>
  </si>
  <si>
    <t>GORIZIA</t>
  </si>
  <si>
    <t>da Flumignano a</t>
  </si>
  <si>
    <t>VENCO'</t>
  </si>
  <si>
    <t>GONARS</t>
  </si>
  <si>
    <t>da Terzo a</t>
  </si>
  <si>
    <t>CERVIGNANO</t>
  </si>
  <si>
    <t>km/mese/lavoro</t>
  </si>
  <si>
    <t>km/mese/altro</t>
  </si>
  <si>
    <t>km/L</t>
  </si>
  <si>
    <t>Stimato</t>
  </si>
  <si>
    <t>km finali</t>
  </si>
  <si>
    <t>km stimati</t>
  </si>
  <si>
    <t>km su pieno</t>
  </si>
  <si>
    <t>differenza (riserva)</t>
  </si>
  <si>
    <t>km fatti</t>
  </si>
  <si>
    <t>Trasferta</t>
  </si>
  <si>
    <t>,</t>
  </si>
  <si>
    <t>fattore correttivo</t>
  </si>
  <si>
    <t>oggi</t>
  </si>
  <si>
    <t>RIEPILOGO SPESE BANCOMAT PER MESE/ANNO</t>
  </si>
  <si>
    <t>TOTALE ANNO</t>
  </si>
  <si>
    <t>RIEPILOGO SPESE CC PER MESE/ANNO</t>
  </si>
  <si>
    <t>RIEPILOGO SALDO LUCA - CONTO COINTESTATO</t>
  </si>
  <si>
    <t>RIEPILOGO ABBONAMENTI MENSILI</t>
  </si>
  <si>
    <t>ABBONAMENTI ANNUALI</t>
  </si>
  <si>
    <t>- MICROSOFT</t>
  </si>
  <si>
    <t>- PLAYSTATION / XBOX</t>
  </si>
  <si>
    <t>ABBONAMENTI VIDEO MENSILI</t>
  </si>
  <si>
    <t>SPESE MESE CONNESSIONI</t>
  </si>
  <si>
    <t>- TELEFONIA</t>
  </si>
  <si>
    <t>TOTALE COMPLESSIVO MENSILE</t>
  </si>
  <si>
    <t>4 APRILE 2026</t>
  </si>
  <si>
    <t>6 GIUGNO 2026</t>
  </si>
  <si>
    <t>COMMISSIONI RIFORNIMENTI</t>
  </si>
  <si>
    <t>SPESE FISSE AUTO</t>
  </si>
  <si>
    <t>SPESE FISSE CASA</t>
  </si>
  <si>
    <t>SPESA LUCE</t>
  </si>
  <si>
    <t>INTERNET</t>
  </si>
  <si>
    <t>COSTO MOBILITA'</t>
  </si>
  <si>
    <t>RICARICHE TELEFONICHE</t>
  </si>
  <si>
    <t>CARBURANTE</t>
  </si>
  <si>
    <t>AUTO - SPESE FISSE</t>
  </si>
  <si>
    <t>AUTO - SPESE VARIABILI</t>
  </si>
  <si>
    <t>FOGLIO</t>
  </si>
  <si>
    <t>BILANCIO</t>
  </si>
  <si>
    <t>ANALISI SPESE GENERICHE CARTA</t>
  </si>
  <si>
    <t>ANALISI SPESE GENERICHE CONTO</t>
  </si>
  <si>
    <t>MACRO AREA</t>
  </si>
  <si>
    <t>SPORT &amp; ASSOCIAZIONI</t>
  </si>
  <si>
    <t>CATEGORIA</t>
  </si>
  <si>
    <t>CASA - SPESE FISSE</t>
  </si>
  <si>
    <t>CASA - SPESE VARIABILI</t>
  </si>
  <si>
    <t>VIAGGI</t>
  </si>
  <si>
    <t>COMMISSIONI PRELIEVO</t>
  </si>
  <si>
    <t>MOVIMENTI CONTO</t>
  </si>
  <si>
    <t>TRASFERIMENTO DENARO</t>
  </si>
  <si>
    <t>COMMISSIONI CANONE MENSILE</t>
  </si>
  <si>
    <t>GESTIONE CONTO</t>
  </si>
  <si>
    <t xml:space="preserve">Bollo Auto </t>
  </si>
  <si>
    <t>VINI BROJLI</t>
  </si>
  <si>
    <t>CREDITO COOPERATIVO ITALIANO</t>
  </si>
  <si>
    <t>MATRIMONIO BEPPE</t>
  </si>
  <si>
    <t>Matrimonio Beppe</t>
  </si>
  <si>
    <t>GUTTERIDGE</t>
  </si>
  <si>
    <t>MULTA</t>
  </si>
  <si>
    <t>COMMISSIONI SU BONIFICO</t>
  </si>
  <si>
    <t>IDRA</t>
  </si>
  <si>
    <t>Controllo Caldaia</t>
  </si>
  <si>
    <t>Chiusura finanziamento AGOS</t>
  </si>
  <si>
    <t>AGOS DUCATO</t>
  </si>
  <si>
    <t>SOISY</t>
  </si>
  <si>
    <t>Chiusura finanziamento SOISY</t>
  </si>
  <si>
    <t>MARCO AQUARO</t>
  </si>
  <si>
    <t>Addio al celibato Eros</t>
  </si>
  <si>
    <t>RIFONIMENTO</t>
  </si>
  <si>
    <t>SPORTPLANET</t>
  </si>
  <si>
    <t>SPESE PER L'AFFITTO</t>
  </si>
  <si>
    <t>SPESE PER IL GARAGE</t>
  </si>
  <si>
    <t>ISONTINA AMBIENTE</t>
  </si>
  <si>
    <t>PAOLO ALESSIO</t>
  </si>
  <si>
    <t>Pittura casa</t>
  </si>
  <si>
    <t>EUROMOBILI</t>
  </si>
  <si>
    <t>Cucina</t>
  </si>
  <si>
    <t>ALBERTO GABBI</t>
  </si>
  <si>
    <t>Sostituzione caldaia</t>
  </si>
  <si>
    <t>MDS Termoimpianti - Dalla Silvestra Marco</t>
  </si>
  <si>
    <t>BAR  DA VITTORIA</t>
  </si>
  <si>
    <t>COMPLEANNO MIRTA</t>
  </si>
  <si>
    <t>OSTERIA ZOGICA</t>
  </si>
  <si>
    <t>PERIZIA IMMOBILIARE</t>
  </si>
  <si>
    <t>RISTORANTE 1883</t>
  </si>
  <si>
    <t>VINI</t>
  </si>
  <si>
    <t>COSTO SVAGHI</t>
  </si>
  <si>
    <t>COLORE</t>
  </si>
  <si>
    <t>Assilt Papà</t>
  </si>
  <si>
    <t>ASSILT</t>
  </si>
  <si>
    <t>TRATTORIA DA NANDO</t>
  </si>
  <si>
    <t>Spesa per mamma e papa'</t>
  </si>
  <si>
    <t>CENTRO SERVIZI DEITA</t>
  </si>
  <si>
    <t>Treno Addio al celibato Aqui</t>
  </si>
  <si>
    <t>Assilt Papa'</t>
  </si>
  <si>
    <t>Buffet addio Refrion</t>
  </si>
  <si>
    <t>BAR LE FUCINE</t>
  </si>
  <si>
    <t>Hotel Addio al celibato Aqui</t>
  </si>
  <si>
    <t>SPESA EUROSPAR</t>
  </si>
  <si>
    <t>AGENZIA SERENA GROUP</t>
  </si>
  <si>
    <t>Spesa badante papa'</t>
  </si>
  <si>
    <t>HALFPRICE UDINE</t>
  </si>
  <si>
    <t>COMBIPEL</t>
  </si>
  <si>
    <t>PARROCCHIA SAN UDINE</t>
  </si>
  <si>
    <t>THE BLACK STUFF</t>
  </si>
  <si>
    <t>Doccetta Papa'</t>
  </si>
  <si>
    <t>TEDI CERVIGNANO</t>
  </si>
  <si>
    <t>UNIS PAR CLAUIAN</t>
  </si>
  <si>
    <t>Assicurazione TV Papa'</t>
  </si>
  <si>
    <t>ATAC</t>
  </si>
  <si>
    <t>Addio al cellibato Aqui</t>
  </si>
  <si>
    <t>MIBO ROMA</t>
  </si>
  <si>
    <t>BUFALA FATTORIE</t>
  </si>
  <si>
    <t>TV PAPA'</t>
  </si>
  <si>
    <t>POLIDORI DISTRIBUZIONE</t>
  </si>
  <si>
    <t>PVH italia</t>
  </si>
  <si>
    <t>ANDREA DEL GOBBO CALZOLAIO</t>
  </si>
  <si>
    <t>HERMITAGE</t>
  </si>
  <si>
    <t>TBT FOOD</t>
  </si>
  <si>
    <t>PRISHOP (MEGA HOME)</t>
  </si>
  <si>
    <t>BIERKELLER</t>
  </si>
  <si>
    <t>GRUPPO NEGOZI VILLESSE</t>
  </si>
  <si>
    <t>Viaggio Venezia 2026</t>
  </si>
  <si>
    <t>SABAIT</t>
  </si>
  <si>
    <t>Enterolactis CRINA</t>
  </si>
  <si>
    <t xml:space="preserve">VIDA XL </t>
  </si>
  <si>
    <t>Rasoio Braun</t>
  </si>
  <si>
    <t>I ministri</t>
  </si>
  <si>
    <t>VENETO HOTELS</t>
  </si>
  <si>
    <t>FIVE GUYS VENEZIA</t>
  </si>
  <si>
    <t>Eleazaro Rossi</t>
  </si>
  <si>
    <t>ENRICO COVERI</t>
  </si>
  <si>
    <t>TRATTORIA ALLA BUONA VITE</t>
  </si>
  <si>
    <t>OLDTIMER</t>
  </si>
  <si>
    <t>OPERA RESTAURANT</t>
  </si>
  <si>
    <t>BONIFICO AQUI E SILVIA</t>
  </si>
  <si>
    <t>Regali Nozze Aqui e Silvia</t>
  </si>
  <si>
    <t>MICROSOFT XPASS</t>
  </si>
  <si>
    <t>7 LUGLIO 2026</t>
  </si>
  <si>
    <t>PLAYTOMIC VILLESSE PADEL</t>
  </si>
  <si>
    <t>MOVA</t>
  </si>
  <si>
    <t>Addio al cellibato Cuc</t>
  </si>
  <si>
    <t>SPESA ViSOTTO</t>
  </si>
  <si>
    <t>BAR TERESINA</t>
  </si>
  <si>
    <t>RITUALS</t>
  </si>
  <si>
    <t>GIT INGRESSO PRINCIPALE</t>
  </si>
  <si>
    <t>SPESA ENEL</t>
  </si>
  <si>
    <t>TABACCHERIA BARBINI</t>
  </si>
  <si>
    <t>PIZZERIA D'AUTORE (MASCARI)</t>
  </si>
  <si>
    <t>TOLMINATOR</t>
  </si>
  <si>
    <t>BIRRERIA MONDELLI</t>
  </si>
  <si>
    <t>CIRCOLO SKIANT GRADISCA</t>
  </si>
  <si>
    <t>CESTELLO CUCINA</t>
  </si>
  <si>
    <t>8 AGOSTO 2026</t>
  </si>
  <si>
    <t>Viaggio Costiera Amalfitana 26</t>
  </si>
  <si>
    <t>ANDRIAN MASSIMO</t>
  </si>
  <si>
    <t>RELAY ROMA TERMINI</t>
  </si>
  <si>
    <t>TRAVEL MAR  SALERNO</t>
  </si>
  <si>
    <t>DA VINCENZO POSITANO</t>
  </si>
  <si>
    <t>OASI POSITANO</t>
  </si>
  <si>
    <t>CITTA CAPRI</t>
  </si>
  <si>
    <t>VILLLA AMORE ROBERTO RAVELLO</t>
  </si>
  <si>
    <t>O,CHALET CETARA</t>
  </si>
  <si>
    <t>SAPORI CETARESI</t>
  </si>
  <si>
    <t>AMALFI ART</t>
  </si>
  <si>
    <t>SALUMERIA PELUSO SALERNO</t>
  </si>
  <si>
    <t>VERGANO ROMA TERMINI</t>
  </si>
  <si>
    <t>PARCOMETRO CERVIGNANO</t>
  </si>
  <si>
    <t>BACARO FORESTO</t>
  </si>
  <si>
    <t>TRATTORIA DA ARMANDINO</t>
  </si>
  <si>
    <t>BIGLIETTERIA CAPRI</t>
  </si>
  <si>
    <t>LA MAURELLA</t>
  </si>
  <si>
    <t>RISTORANTE AL CANCELLETTO</t>
  </si>
  <si>
    <t>9 SETTEMBRE 2026</t>
  </si>
  <si>
    <t>10 OTTOBRE 2026</t>
  </si>
  <si>
    <t>11 NOVEMBRE 2026</t>
  </si>
  <si>
    <t>12 DICEMBRE 2026</t>
  </si>
  <si>
    <t>SPESA PAPA'</t>
  </si>
  <si>
    <t>AL TAGLIATO COL COLTELLO</t>
  </si>
  <si>
    <t>BOLLO AUTO QASHQAI</t>
  </si>
  <si>
    <t>LA TAVERNETTA PALMANOVA</t>
  </si>
  <si>
    <t>REGALO DAVIDE TOSO</t>
  </si>
  <si>
    <t>PRO LOCO FOLGARIA (FRIULI DOC)</t>
  </si>
  <si>
    <t>ZAHRE BEER</t>
  </si>
  <si>
    <t>Matrimonio CUC</t>
  </si>
  <si>
    <t>SAX TANKSTELLEN</t>
  </si>
  <si>
    <t>LITTLE HOLLAND BAARN</t>
  </si>
  <si>
    <t>AZZURRA SNC</t>
  </si>
  <si>
    <t>PRI SHOP</t>
  </si>
  <si>
    <t>FARMACIA DOT MONENGHI</t>
  </si>
  <si>
    <t>TOTAL SERVICE STATION ROHRDORF</t>
  </si>
  <si>
    <t>SHOP ASFINAG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</si>
</sst>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&quot;€&quot;#,##0.00_);[Red]\(&quot;€&quot;#,##0.00\)"/>
    <numFmt numFmtId="165" formatCode="_(&quot;€&quot;* #,##0.00_);_(&quot;€&quot;* \(#,##0.00\);_(&quot;€&quot;* &quot;-&quot;??_);_(@_)"/>
    <numFmt numFmtId="166" formatCode="&quot;€&quot;#,##0_);[Red]\(&quot;€&quot;#,##0\)"/>
    <numFmt numFmtId="167" formatCode="#,##0.00\ &quot;€&quot;"/>
    <numFmt numFmtId="168" formatCode="0.0%"/>
    <numFmt numFmtId="169" formatCode="#,##0.00\ &quot;€&quot;;[Red]#,##0.00\ &quot;€&quot;"/>
    <numFmt numFmtId="170" formatCode="_(&quot;€&quot;* #,##0.0_);_(&quot;€&quot;* \(#,##0.0\);_(&quot;€&quot;* &quot;-&quot;??_);_(@_)"/>
    <numFmt numFmtId="171" formatCode="0.0"/>
    <numFmt numFmtId="172" formatCode="_-* #,##0\ &quot;€&quot;_-;\-* #,##0\ &quot;€&quot;_-;_-* &quot;-&quot;??\ &quot;€&quot;_-;_-@_-"/>
    <numFmt numFmtId="173" formatCode="_(&quot;€&quot;* #,##0.000_);_(&quot;€&quot;* \(#,##0.000\);_(&quot;€&quot;* &quot;-&quot;??_);_(@_)"/>
    <numFmt numFmtId="174" formatCode="0.0000"/>
    <numFmt numFmtId="175" formatCode="_-* #,##0.000\ &quot;€&quot;_-;\-* #,##0.000\ &quot;€&quot;_-;_-* &quot;-&quot;???\ &quot;€&quot;_-;_-@_-"/>
    <numFmt numFmtId="176" formatCode="0.000"/>
    <numFmt numFmtId="177" formatCode="#,##0.00\ _€;[Red]#,##0.00\ _€"/>
    <numFmt numFmtId="178" formatCode="_(&quot;€&quot;* #,##0_);_(&quot;€&quot;* \(#,##0\);_(&quot;€&quot;* &quot;-&quot;??_);_(@_)"/>
    <numFmt numFmtId="179" formatCode="#,##0\ &quot;€&quot;;[Red]#,##0\ &quot;€&quot;"/>
    <numFmt numFmtId="180" formatCode="[$-410]mmm\-yy;@"/>
    <numFmt numFmtId="181" formatCode="\€\ #.##000"/>
    <numFmt numFmtId="182" formatCode="\€\ #,##0.00"/>
    <numFmt numFmtId="183" formatCode="\€\ #,##0.00;[Red]\(\€\ #,##0.00\)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4"/>
      <color rgb="FFFF0000"/>
      <name val="Aptos"/>
      <family val="2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u/>
      <sz val="16"/>
      <color theme="1"/>
      <name val="Aptos"/>
      <family val="2"/>
    </font>
    <font>
      <i/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  <font>
      <sz val="11"/>
      <color theme="8"/>
      <name val="Aptos"/>
      <family val="2"/>
    </font>
    <font>
      <sz val="11"/>
      <color theme="5" tint="-0.249977111117893"/>
      <name val="Aptos"/>
      <family val="2"/>
    </font>
    <font>
      <sz val="11"/>
      <color theme="4" tint="0.59999389629810485"/>
      <name val="Aptos"/>
      <family val="2"/>
    </font>
    <font>
      <sz val="11"/>
      <color theme="8" tint="0.39997558519241921"/>
      <name val="Aptos"/>
      <family val="2"/>
    </font>
    <font>
      <sz val="11"/>
      <color theme="9" tint="-0.249977111117893"/>
      <name val="Aptos"/>
      <family val="2"/>
    </font>
    <font>
      <sz val="11"/>
      <color theme="8" tint="0.59999389629810485"/>
      <name val="Aptos"/>
      <family val="2"/>
    </font>
    <font>
      <i/>
      <sz val="10"/>
      <color theme="1"/>
      <name val="Aptos"/>
      <family val="2"/>
    </font>
    <font>
      <b/>
      <sz val="11"/>
      <color theme="5" tint="-0.249977111117893"/>
      <name val="Aptos"/>
      <family val="2"/>
    </font>
    <font>
      <b/>
      <sz val="11"/>
      <color theme="9" tint="-0.249977111117893"/>
      <name val="Aptos"/>
      <family val="2"/>
    </font>
    <font>
      <b/>
      <sz val="12"/>
      <color theme="1"/>
      <name val="Aptos"/>
      <family val="2"/>
    </font>
    <font>
      <sz val="11"/>
      <color rgb="FFFF0000"/>
      <name val="Aptos"/>
      <family val="2"/>
    </font>
    <font>
      <sz val="11"/>
      <color theme="8" tint="-0.249977111117893"/>
      <name val="Aptos"/>
      <family val="2"/>
    </font>
    <font>
      <b/>
      <i/>
      <sz val="11"/>
      <color theme="1"/>
      <name val="Aptos"/>
      <family val="2"/>
    </font>
    <font>
      <strike/>
      <sz val="11"/>
      <color theme="1"/>
      <name val="Aptos"/>
      <family val="2"/>
    </font>
    <font>
      <b/>
      <sz val="16"/>
      <color theme="1"/>
      <name val="Aptos"/>
      <family val="2"/>
    </font>
    <font>
      <b/>
      <sz val="11"/>
      <name val="Aptos"/>
      <family val="2"/>
    </font>
    <font>
      <b/>
      <sz val="11"/>
      <color theme="8"/>
      <name val="Aptos"/>
      <family val="2"/>
    </font>
    <font>
      <b/>
      <i/>
      <sz val="11"/>
      <color theme="8"/>
      <name val="Aptos"/>
      <family val="2"/>
    </font>
    <font>
      <b/>
      <i/>
      <sz val="11"/>
      <name val="Aptos"/>
      <family val="2"/>
    </font>
    <font>
      <sz val="10"/>
      <color theme="1"/>
      <name val="Aptos"/>
      <family val="2"/>
    </font>
    <font>
      <sz val="11"/>
      <color theme="4"/>
      <name val="Aptos"/>
      <family val="2"/>
    </font>
    <font>
      <sz val="12"/>
      <color rgb="FF1E1E1E"/>
      <name val="Aptos"/>
      <family val="2"/>
    </font>
    <font>
      <b/>
      <sz val="12"/>
      <color theme="0" tint="-0.34998626667073579"/>
      <name val="Aptos"/>
      <family val="2"/>
    </font>
    <font>
      <sz val="11"/>
      <color theme="0" tint="-0.34998626667073579"/>
      <name val="Aptos"/>
      <family val="2"/>
    </font>
    <font>
      <b/>
      <sz val="16"/>
      <color theme="0" tint="-0.34998626667073579"/>
      <name val="Aptos"/>
      <family val="2"/>
    </font>
    <font>
      <strike/>
      <sz val="11"/>
      <color rgb="FFFF0000"/>
      <name val="Aptos"/>
      <family val="2"/>
    </font>
    <font>
      <strike/>
      <sz val="11"/>
      <name val="Aptos"/>
      <family val="2"/>
    </font>
    <font>
      <b/>
      <sz val="11"/>
      <color theme="0"/>
      <name val="Aptos"/>
      <family val="2"/>
    </font>
    <font>
      <sz val="10"/>
      <name val="Aptos"/>
      <family val="2"/>
    </font>
    <font>
      <b/>
      <sz val="10"/>
      <color theme="8"/>
      <name val="Aptos"/>
      <family val="2"/>
    </font>
    <font>
      <i/>
      <sz val="10"/>
      <name val="Aptos"/>
      <family val="2"/>
    </font>
    <font>
      <i/>
      <sz val="11"/>
      <color theme="8"/>
      <name val="Aptos"/>
      <family val="2"/>
    </font>
    <font>
      <b/>
      <sz val="16"/>
      <color theme="5"/>
      <name val="Aptos"/>
      <family val="2"/>
    </font>
    <font>
      <b/>
      <sz val="12"/>
      <color theme="1"/>
      <name val="72 Condensed"/>
      <family val="2"/>
    </font>
    <font>
      <b/>
      <sz val="14"/>
      <color theme="5"/>
      <name val="Aptos"/>
      <family val="2"/>
    </font>
    <font>
      <sz val="10"/>
      <color theme="8"/>
      <name val="Aptos"/>
      <family val="2"/>
    </font>
    <font>
      <b/>
      <sz val="10"/>
      <name val="Aptos"/>
      <family val="2"/>
    </font>
    <font>
      <i/>
      <sz val="11"/>
      <name val="Aptos"/>
      <family val="2"/>
    </font>
    <font>
      <sz val="11"/>
      <color rgb="FF7030A0"/>
      <name val="Aptos"/>
      <family val="2"/>
    </font>
    <font>
      <sz val="11"/>
      <color theme="0" tint="-0.249977111117893"/>
      <name val="Aptos"/>
      <family val="2"/>
    </font>
    <font>
      <b/>
      <sz val="14"/>
      <color theme="1"/>
      <name val="72 Condensed"/>
      <family val="2"/>
    </font>
    <font>
      <i/>
      <sz val="10"/>
      <color theme="8"/>
      <name val="Aptos"/>
      <family val="2"/>
    </font>
    <font>
      <b/>
      <sz val="36"/>
      <color theme="1"/>
      <name val="Aptos"/>
      <family val="2"/>
    </font>
    <font>
      <b/>
      <u/>
      <sz val="22"/>
      <color theme="1"/>
      <name val="72"/>
      <family val="2"/>
    </font>
    <font>
      <sz val="11"/>
      <color theme="4" tint="0.39997558519241921"/>
      <name val="Aptos"/>
      <family val="2"/>
    </font>
    <font>
      <b/>
      <sz val="11"/>
      <color theme="9"/>
      <name val="Aptos"/>
      <family val="2"/>
    </font>
    <font>
      <sz val="11"/>
      <color theme="9" tint="0.59999389629810485"/>
      <name val="Aptos"/>
      <family val="2"/>
    </font>
    <font>
      <sz val="11"/>
      <color theme="9" tint="0.79998168889431442"/>
      <name val="Aptos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ptos"/>
      <family val="2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0.39997558519241921"/>
      <name val="Aptos"/>
      <family val="2"/>
    </font>
    <font>
      <sz val="9"/>
      <color indexed="81"/>
      <name val="Tahoma"/>
      <charset val="1"/>
    </font>
    <font>
      <sz val="11"/>
      <color theme="1"/>
      <name val="Aptos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FF99"/>
        <bgColor rgb="FFFFFFB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indexed="64"/>
      </right>
      <top style="thin">
        <color theme="0" tint="-0.34998626667073579"/>
      </top>
      <bottom/>
      <diagonal/>
    </border>
    <border>
      <left/>
      <right style="double">
        <color indexed="64"/>
      </right>
      <top/>
      <bottom style="thin">
        <color theme="0" tint="-0.34998626667073579"/>
      </bottom>
      <diagonal/>
    </border>
    <border>
      <left/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/>
      <diagonal/>
    </border>
    <border>
      <left style="thin">
        <color theme="0" tint="-0.34998626667073579"/>
      </left>
      <right style="double">
        <color theme="0" tint="-0.34998626667073579"/>
      </right>
      <top/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/>
      <diagonal/>
    </border>
    <border>
      <left/>
      <right style="double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6"/>
      </top>
      <bottom style="thin">
        <color theme="0" tint="-0.34998626667073579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0" tint="-0.34998626667073579"/>
      </right>
      <top/>
      <bottom style="thin">
        <color theme="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6"/>
      </bottom>
      <diagonal/>
    </border>
    <border>
      <left style="thin">
        <color theme="0" tint="-0.34998626667073579"/>
      </left>
      <right/>
      <top/>
      <bottom style="thin">
        <color theme="6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2" tint="-0.249977111117893"/>
      </right>
      <top/>
      <bottom/>
      <diagonal/>
    </border>
    <border>
      <left style="thin">
        <color theme="0" tint="-0.34998626667073579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/>
      <top/>
      <bottom/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/>
      <bottom/>
      <diagonal/>
    </border>
    <border>
      <left style="double">
        <color indexed="64"/>
      </left>
      <right style="thin">
        <color theme="0" tint="-0.34998626667073579"/>
      </right>
      <top/>
      <bottom/>
      <diagonal/>
    </border>
    <border>
      <left style="double">
        <color indexed="64"/>
      </left>
      <right/>
      <top/>
      <bottom style="thin">
        <color theme="0" tint="-0.34998626667073579"/>
      </bottom>
      <diagonal/>
    </border>
    <border>
      <left style="double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 tint="-0.499984740745262"/>
      </right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34998626667073579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2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2" tint="-0.499984740745262"/>
      </right>
      <top/>
      <bottom/>
      <diagonal/>
    </border>
    <border>
      <left style="thin">
        <color theme="0" tint="-0.34998626667073579"/>
      </left>
      <right style="thin">
        <color theme="2" tint="-0.499984740745262"/>
      </right>
      <top/>
      <bottom style="thin">
        <color theme="0" tint="-0.34998626667073579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34998626667073579"/>
      </right>
      <top/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 style="thin">
        <color theme="0" tint="-0.34998626667073579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 tint="-0.249977111117893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2" tint="-0.249977111117893"/>
      </right>
      <top/>
      <bottom style="thin">
        <color theme="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2" tint="-0.249977111117893"/>
      </bottom>
      <diagonal/>
    </border>
    <border>
      <left/>
      <right/>
      <top style="thin">
        <color theme="0" tint="-0.34998626667073579"/>
      </top>
      <bottom style="thin">
        <color theme="2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2" tint="-0.249977111117893"/>
      </top>
      <bottom/>
      <diagonal/>
    </border>
    <border>
      <left style="thin">
        <color theme="0" tint="-0.34998626667073579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0" tint="-0.34998626667073579"/>
      </right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499984740745262"/>
      </left>
      <right/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2" tint="-0.499984740745262"/>
      </bottom>
      <diagonal/>
    </border>
    <border>
      <left/>
      <right/>
      <top style="thin">
        <color theme="0" tint="-0.34998626667073579"/>
      </top>
      <bottom style="thin">
        <color theme="2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2" tint="-0.499984740745262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double">
        <color indexed="64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double">
        <color indexed="64"/>
      </left>
      <right style="thin">
        <color theme="2" tint="-0.249977111117893"/>
      </right>
      <top/>
      <bottom/>
      <diagonal/>
    </border>
    <border>
      <left style="double">
        <color indexed="64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indexed="64"/>
      </left>
      <right/>
      <top/>
      <bottom style="thin">
        <color theme="2" tint="-0.249977111117893"/>
      </bottom>
      <diagonal/>
    </border>
    <border>
      <left style="double">
        <color indexed="64"/>
      </left>
      <right/>
      <top style="thin">
        <color theme="0" tint="-0.34998626667073579"/>
      </top>
      <bottom style="thin">
        <color theme="2" tint="-0.249977111117893"/>
      </bottom>
      <diagonal/>
    </border>
    <border>
      <left style="double">
        <color indexed="64"/>
      </left>
      <right/>
      <top style="thin">
        <color theme="0" tint="-0.34998626667073579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/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2" tint="-0.249977111117893"/>
      </left>
      <right/>
      <top style="thin">
        <color theme="0" tint="-0.34998626667073579"/>
      </top>
      <bottom style="thin">
        <color theme="2" tint="-0.249977111117893"/>
      </bottom>
      <diagonal/>
    </border>
    <border>
      <left style="double">
        <color indexed="64"/>
      </left>
      <right style="thin">
        <color theme="2" tint="-0.249977111117893"/>
      </right>
      <top style="thin">
        <color theme="0" tint="-0.34998626667073579"/>
      </top>
      <bottom/>
      <diagonal/>
    </border>
    <border>
      <left style="double">
        <color indexed="64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 style="double">
        <color indexed="64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indexed="64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2" tint="-0.249977111117893"/>
      </left>
      <right style="double">
        <color indexed="64"/>
      </right>
      <top style="thin">
        <color theme="0" tint="-0.34998626667073579"/>
      </top>
      <bottom style="thin">
        <color theme="2" tint="-0.249977111117893"/>
      </bottom>
      <diagonal/>
    </border>
    <border>
      <left/>
      <right style="double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double">
        <color indexed="64"/>
      </right>
      <top/>
      <bottom style="thin">
        <color theme="2" tint="-0.249977111117893"/>
      </bottom>
      <diagonal/>
    </border>
    <border>
      <left style="double">
        <color indexed="64"/>
      </left>
      <right/>
      <top style="thin">
        <color theme="2" tint="-0.249977111117893"/>
      </top>
      <bottom style="thin">
        <color theme="0" tint="-0.34998626667073579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5" fontId="5" fillId="0" borderId="0" xfId="1" applyFont="1" applyFill="1" applyBorder="1"/>
    <xf numFmtId="165" fontId="5" fillId="0" borderId="0" xfId="1" applyFont="1" applyBorder="1"/>
    <xf numFmtId="14" fontId="5" fillId="0" borderId="0" xfId="1" applyNumberFormat="1" applyFont="1" applyFill="1" applyBorder="1"/>
    <xf numFmtId="9" fontId="0" fillId="0" borderId="0" xfId="0" applyNumberFormat="1" applyAlignment="1">
      <alignment horizontal="center" vertical="center"/>
    </xf>
    <xf numFmtId="0" fontId="8" fillId="0" borderId="0" xfId="0" applyFont="1"/>
    <xf numFmtId="164" fontId="7" fillId="0" borderId="0" xfId="0" applyNumberFormat="1" applyFont="1" applyAlignment="1">
      <alignment horizontal="center" vertical="center" wrapText="1"/>
    </xf>
    <xf numFmtId="2" fontId="9" fillId="0" borderId="0" xfId="0" applyNumberFormat="1" applyFont="1"/>
    <xf numFmtId="1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0" xfId="0" applyFont="1"/>
    <xf numFmtId="165" fontId="8" fillId="0" borderId="2" xfId="1" applyFont="1" applyBorder="1"/>
    <xf numFmtId="165" fontId="8" fillId="0" borderId="0" xfId="1" applyFont="1"/>
    <xf numFmtId="0" fontId="8" fillId="0" borderId="4" xfId="0" applyFont="1" applyBorder="1"/>
    <xf numFmtId="165" fontId="15" fillId="0" borderId="0" xfId="1" applyFont="1" applyBorder="1"/>
    <xf numFmtId="165" fontId="16" fillId="0" borderId="0" xfId="1" applyFont="1" applyBorder="1"/>
    <xf numFmtId="165" fontId="14" fillId="0" borderId="0" xfId="1" applyFont="1" applyBorder="1"/>
    <xf numFmtId="0" fontId="8" fillId="0" borderId="2" xfId="0" applyFont="1" applyBorder="1"/>
    <xf numFmtId="165" fontId="8" fillId="0" borderId="1" xfId="1" applyFont="1" applyBorder="1"/>
    <xf numFmtId="165" fontId="8" fillId="0" borderId="0" xfId="1" applyFont="1" applyBorder="1"/>
    <xf numFmtId="0" fontId="12" fillId="0" borderId="0" xfId="0" applyFont="1" applyAlignment="1">
      <alignment horizontal="right" vertical="center"/>
    </xf>
    <xf numFmtId="165" fontId="8" fillId="0" borderId="11" xfId="0" applyNumberFormat="1" applyFont="1" applyBorder="1" applyAlignment="1">
      <alignment horizontal="center" vertical="center"/>
    </xf>
    <xf numFmtId="9" fontId="8" fillId="0" borderId="0" xfId="2" applyFont="1" applyAlignment="1">
      <alignment horizontal="center" vertical="center"/>
    </xf>
    <xf numFmtId="9" fontId="20" fillId="0" borderId="0" xfId="2" applyFont="1" applyAlignment="1">
      <alignment horizontal="right"/>
    </xf>
    <xf numFmtId="168" fontId="20" fillId="0" borderId="0" xfId="2" applyNumberFormat="1" applyFont="1" applyAlignment="1">
      <alignment horizontal="right"/>
    </xf>
    <xf numFmtId="10" fontId="20" fillId="0" borderId="0" xfId="2" applyNumberFormat="1" applyFont="1" applyAlignment="1">
      <alignment horizontal="right"/>
    </xf>
    <xf numFmtId="168" fontId="20" fillId="0" borderId="0" xfId="2" applyNumberFormat="1" applyFont="1" applyBorder="1" applyAlignment="1">
      <alignment horizontal="right"/>
    </xf>
    <xf numFmtId="9" fontId="20" fillId="0" borderId="0" xfId="2" applyFont="1" applyBorder="1" applyAlignment="1">
      <alignment horizontal="right"/>
    </xf>
    <xf numFmtId="165" fontId="8" fillId="0" borderId="0" xfId="0" applyNumberFormat="1" applyFont="1"/>
    <xf numFmtId="0" fontId="12" fillId="0" borderId="4" xfId="0" applyFont="1" applyBorder="1" applyAlignment="1">
      <alignment horizontal="center"/>
    </xf>
    <xf numFmtId="14" fontId="8" fillId="0" borderId="4" xfId="0" applyNumberFormat="1" applyFont="1" applyBorder="1"/>
    <xf numFmtId="14" fontId="8" fillId="0" borderId="0" xfId="0" applyNumberFormat="1" applyFont="1"/>
    <xf numFmtId="0" fontId="8" fillId="0" borderId="1" xfId="0" applyFont="1" applyBorder="1"/>
    <xf numFmtId="0" fontId="8" fillId="0" borderId="7" xfId="0" applyFont="1" applyBorder="1"/>
    <xf numFmtId="0" fontId="15" fillId="0" borderId="0" xfId="0" applyFont="1"/>
    <xf numFmtId="0" fontId="8" fillId="0" borderId="6" xfId="0" applyFont="1" applyBorder="1"/>
    <xf numFmtId="165" fontId="21" fillId="0" borderId="0" xfId="1" applyFont="1" applyBorder="1"/>
    <xf numFmtId="0" fontId="8" fillId="0" borderId="0" xfId="0" applyFont="1" applyAlignment="1">
      <alignment horizontal="right" vertical="top"/>
    </xf>
    <xf numFmtId="165" fontId="9" fillId="0" borderId="0" xfId="1" applyFont="1"/>
    <xf numFmtId="9" fontId="21" fillId="0" borderId="0" xfId="2" applyFont="1" applyBorder="1"/>
    <xf numFmtId="0" fontId="8" fillId="0" borderId="0" xfId="0" applyFont="1" applyAlignment="1">
      <alignment horizontal="right"/>
    </xf>
    <xf numFmtId="165" fontId="8" fillId="0" borderId="4" xfId="0" applyNumberFormat="1" applyFont="1" applyBorder="1"/>
    <xf numFmtId="0" fontId="24" fillId="0" borderId="0" xfId="0" applyFont="1" applyAlignment="1">
      <alignment horizontal="right"/>
    </xf>
    <xf numFmtId="165" fontId="25" fillId="0" borderId="0" xfId="0" applyNumberFormat="1" applyFont="1"/>
    <xf numFmtId="0" fontId="12" fillId="0" borderId="11" xfId="0" applyFont="1" applyBorder="1"/>
    <xf numFmtId="14" fontId="26" fillId="0" borderId="11" xfId="0" applyNumberFormat="1" applyFont="1" applyBorder="1" applyAlignment="1">
      <alignment vertical="center"/>
    </xf>
    <xf numFmtId="0" fontId="12" fillId="0" borderId="14" xfId="0" applyFont="1" applyBorder="1"/>
    <xf numFmtId="0" fontId="12" fillId="0" borderId="13" xfId="0" applyFont="1" applyBorder="1"/>
    <xf numFmtId="0" fontId="8" fillId="0" borderId="11" xfId="0" applyFont="1" applyBorder="1"/>
    <xf numFmtId="1" fontId="8" fillId="0" borderId="11" xfId="0" applyNumberFormat="1" applyFont="1" applyBorder="1" applyAlignment="1">
      <alignment horizontal="center" vertical="center"/>
    </xf>
    <xf numFmtId="165" fontId="8" fillId="0" borderId="11" xfId="1" applyFont="1" applyBorder="1"/>
    <xf numFmtId="165" fontId="8" fillId="0" borderId="11" xfId="1" applyFont="1" applyFill="1" applyBorder="1"/>
    <xf numFmtId="0" fontId="8" fillId="0" borderId="13" xfId="0" applyFont="1" applyBorder="1"/>
    <xf numFmtId="165" fontId="8" fillId="0" borderId="13" xfId="1" applyFont="1" applyFill="1" applyBorder="1"/>
    <xf numFmtId="0" fontId="8" fillId="0" borderId="0" xfId="0" applyFont="1" applyAlignment="1">
      <alignment horizontal="left"/>
    </xf>
    <xf numFmtId="167" fontId="8" fillId="0" borderId="0" xfId="0" applyNumberFormat="1" applyFont="1"/>
    <xf numFmtId="0" fontId="12" fillId="7" borderId="0" xfId="0" applyFont="1" applyFill="1" applyAlignment="1">
      <alignment horizontal="center"/>
    </xf>
    <xf numFmtId="0" fontId="12" fillId="7" borderId="26" xfId="0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165" fontId="8" fillId="0" borderId="4" xfId="1" applyFont="1" applyBorder="1"/>
    <xf numFmtId="16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0" fontId="8" fillId="0" borderId="0" xfId="0" quotePrefix="1" applyFont="1"/>
    <xf numFmtId="165" fontId="8" fillId="0" borderId="0" xfId="1" applyFont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/>
    </xf>
    <xf numFmtId="165" fontId="8" fillId="0" borderId="0" xfId="1" applyFont="1" applyBorder="1" applyAlignment="1">
      <alignment horizontal="center"/>
    </xf>
    <xf numFmtId="0" fontId="27" fillId="0" borderId="0" xfId="0" applyFont="1"/>
    <xf numFmtId="0" fontId="8" fillId="0" borderId="0" xfId="0" quotePrefix="1" applyFont="1" applyAlignment="1">
      <alignment horizontal="right"/>
    </xf>
    <xf numFmtId="0" fontId="11" fillId="0" borderId="0" xfId="0" applyFont="1"/>
    <xf numFmtId="0" fontId="12" fillId="0" borderId="11" xfId="0" applyFont="1" applyBorder="1" applyAlignment="1">
      <alignment horizontal="center"/>
    </xf>
    <xf numFmtId="165" fontId="8" fillId="0" borderId="0" xfId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9" fontId="13" fillId="0" borderId="0" xfId="0" applyNumberFormat="1" applyFont="1"/>
    <xf numFmtId="0" fontId="8" fillId="0" borderId="11" xfId="0" applyFont="1" applyBorder="1" applyAlignment="1">
      <alignment horizontal="center"/>
    </xf>
    <xf numFmtId="165" fontId="13" fillId="0" borderId="0" xfId="0" applyNumberFormat="1" applyFont="1"/>
    <xf numFmtId="17" fontId="8" fillId="0" borderId="0" xfId="0" applyNumberFormat="1" applyFont="1"/>
    <xf numFmtId="17" fontId="8" fillId="0" borderId="4" xfId="0" applyNumberFormat="1" applyFont="1" applyBorder="1"/>
    <xf numFmtId="165" fontId="8" fillId="0" borderId="5" xfId="1" applyFont="1" applyBorder="1"/>
    <xf numFmtId="171" fontId="8" fillId="0" borderId="0" xfId="0" applyNumberFormat="1" applyFont="1"/>
    <xf numFmtId="2" fontId="8" fillId="0" borderId="0" xfId="0" applyNumberFormat="1" applyFont="1"/>
    <xf numFmtId="14" fontId="28" fillId="0" borderId="0" xfId="0" applyNumberFormat="1" applyFont="1"/>
    <xf numFmtId="0" fontId="8" fillId="0" borderId="0" xfId="0" applyFont="1" applyAlignment="1">
      <alignment wrapText="1"/>
    </xf>
    <xf numFmtId="171" fontId="8" fillId="0" borderId="0" xfId="1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27" fillId="0" borderId="0" xfId="0" applyNumberFormat="1" applyFont="1"/>
    <xf numFmtId="165" fontId="27" fillId="0" borderId="0" xfId="1" applyFont="1"/>
    <xf numFmtId="165" fontId="27" fillId="0" borderId="0" xfId="1" applyFont="1" applyBorder="1"/>
    <xf numFmtId="0" fontId="8" fillId="0" borderId="19" xfId="0" applyFont="1" applyBorder="1"/>
    <xf numFmtId="9" fontId="8" fillId="0" borderId="0" xfId="0" applyNumberFormat="1" applyFont="1"/>
    <xf numFmtId="167" fontId="11" fillId="0" borderId="0" xfId="0" applyNumberFormat="1" applyFont="1" applyAlignment="1">
      <alignment vertical="center"/>
    </xf>
    <xf numFmtId="9" fontId="11" fillId="0" borderId="0" xfId="2" applyFont="1" applyFill="1" applyBorder="1" applyAlignment="1">
      <alignment vertical="center"/>
    </xf>
    <xf numFmtId="0" fontId="8" fillId="0" borderId="18" xfId="0" applyFont="1" applyBorder="1"/>
    <xf numFmtId="9" fontId="8" fillId="0" borderId="0" xfId="2" applyFont="1"/>
    <xf numFmtId="0" fontId="13" fillId="0" borderId="0" xfId="0" applyFont="1"/>
    <xf numFmtId="0" fontId="13" fillId="0" borderId="4" xfId="0" applyFont="1" applyBorder="1"/>
    <xf numFmtId="0" fontId="8" fillId="0" borderId="8" xfId="0" applyFont="1" applyBorder="1"/>
    <xf numFmtId="167" fontId="26" fillId="0" borderId="0" xfId="0" applyNumberFormat="1" applyFont="1" applyAlignment="1">
      <alignment vertical="center"/>
    </xf>
    <xf numFmtId="167" fontId="26" fillId="0" borderId="18" xfId="0" applyNumberFormat="1" applyFont="1" applyBorder="1" applyAlignment="1">
      <alignment vertical="center"/>
    </xf>
    <xf numFmtId="167" fontId="31" fillId="0" borderId="0" xfId="0" applyNumberFormat="1" applyFont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9" fontId="26" fillId="0" borderId="0" xfId="2" applyFont="1" applyFill="1" applyBorder="1" applyAlignment="1">
      <alignment vertical="center"/>
    </xf>
    <xf numFmtId="9" fontId="26" fillId="0" borderId="18" xfId="2" applyFont="1" applyFill="1" applyBorder="1" applyAlignment="1">
      <alignment vertical="center"/>
    </xf>
    <xf numFmtId="0" fontId="13" fillId="0" borderId="2" xfId="0" applyFont="1" applyBorder="1"/>
    <xf numFmtId="0" fontId="8" fillId="0" borderId="5" xfId="0" applyFont="1" applyBorder="1"/>
    <xf numFmtId="0" fontId="13" fillId="0" borderId="5" xfId="0" applyFont="1" applyBorder="1"/>
    <xf numFmtId="0" fontId="14" fillId="0" borderId="0" xfId="0" applyFont="1"/>
    <xf numFmtId="0" fontId="12" fillId="0" borderId="18" xfId="0" applyFont="1" applyBorder="1"/>
    <xf numFmtId="1" fontId="8" fillId="0" borderId="0" xfId="0" applyNumberFormat="1" applyFont="1"/>
    <xf numFmtId="165" fontId="12" fillId="0" borderId="0" xfId="1" applyFont="1" applyAlignment="1">
      <alignment horizontal="center" vertical="center"/>
    </xf>
    <xf numFmtId="165" fontId="8" fillId="0" borderId="0" xfId="1" applyFont="1" applyAlignment="1"/>
    <xf numFmtId="165" fontId="8" fillId="0" borderId="18" xfId="1" applyFont="1" applyBorder="1" applyAlignment="1"/>
    <xf numFmtId="165" fontId="8" fillId="0" borderId="0" xfId="1" applyFont="1" applyBorder="1" applyAlignment="1"/>
    <xf numFmtId="167" fontId="14" fillId="0" borderId="0" xfId="0" applyNumberFormat="1" applyFont="1"/>
    <xf numFmtId="169" fontId="33" fillId="0" borderId="0" xfId="1" applyNumberFormat="1" applyFont="1"/>
    <xf numFmtId="167" fontId="8" fillId="0" borderId="18" xfId="0" applyNumberFormat="1" applyFont="1" applyBorder="1"/>
    <xf numFmtId="165" fontId="8" fillId="0" borderId="18" xfId="1" applyFont="1" applyBorder="1"/>
    <xf numFmtId="1" fontId="13" fillId="0" borderId="0" xfId="0" applyNumberFormat="1" applyFont="1"/>
    <xf numFmtId="9" fontId="8" fillId="0" borderId="0" xfId="2" applyFont="1" applyBorder="1"/>
    <xf numFmtId="2" fontId="8" fillId="0" borderId="0" xfId="0" applyNumberFormat="1" applyFont="1" applyAlignment="1">
      <alignment horizontal="center"/>
    </xf>
    <xf numFmtId="165" fontId="8" fillId="0" borderId="0" xfId="1" applyFont="1" applyAlignment="1">
      <alignment horizontal="center"/>
    </xf>
    <xf numFmtId="1" fontId="8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8" fillId="0" borderId="0" xfId="0" applyFont="1" applyAlignment="1">
      <alignment horizontal="right" vertical="center"/>
    </xf>
    <xf numFmtId="169" fontId="8" fillId="0" borderId="0" xfId="0" applyNumberFormat="1" applyFont="1" applyAlignment="1">
      <alignment horizontal="center" vertical="center"/>
    </xf>
    <xf numFmtId="0" fontId="35" fillId="0" borderId="0" xfId="0" applyFont="1"/>
    <xf numFmtId="14" fontId="9" fillId="0" borderId="0" xfId="0" applyNumberFormat="1" applyFont="1"/>
    <xf numFmtId="14" fontId="12" fillId="0" borderId="0" xfId="0" applyNumberFormat="1" applyFont="1" applyAlignment="1">
      <alignment horizontal="left" vertical="center"/>
    </xf>
    <xf numFmtId="165" fontId="8" fillId="0" borderId="11" xfId="1" applyFont="1" applyBorder="1" applyAlignment="1">
      <alignment horizontal="center" vertical="center"/>
    </xf>
    <xf numFmtId="165" fontId="28" fillId="0" borderId="15" xfId="1" applyFont="1" applyBorder="1" applyAlignment="1">
      <alignment horizontal="center" vertical="center"/>
    </xf>
    <xf numFmtId="0" fontId="29" fillId="0" borderId="11" xfId="0" applyFont="1" applyBorder="1" applyAlignment="1">
      <alignment vertical="center" wrapText="1"/>
    </xf>
    <xf numFmtId="2" fontId="8" fillId="0" borderId="11" xfId="0" applyNumberFormat="1" applyFont="1" applyBorder="1" applyAlignment="1">
      <alignment horizontal="center" vertical="center"/>
    </xf>
    <xf numFmtId="165" fontId="28" fillId="0" borderId="11" xfId="1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8" fillId="0" borderId="11" xfId="0" applyFont="1" applyBorder="1" applyAlignment="1">
      <alignment horizontal="right" vertical="center"/>
    </xf>
    <xf numFmtId="0" fontId="37" fillId="0" borderId="0" xfId="0" applyFont="1"/>
    <xf numFmtId="165" fontId="38" fillId="0" borderId="0" xfId="1" applyFont="1" applyBorder="1" applyAlignment="1">
      <alignment horizontal="center" vertical="center"/>
    </xf>
    <xf numFmtId="171" fontId="8" fillId="0" borderId="11" xfId="0" applyNumberFormat="1" applyFont="1" applyBorder="1" applyAlignment="1">
      <alignment horizontal="center" vertical="center"/>
    </xf>
    <xf numFmtId="166" fontId="8" fillId="0" borderId="0" xfId="0" applyNumberFormat="1" applyFont="1"/>
    <xf numFmtId="0" fontId="11" fillId="0" borderId="11" xfId="0" applyFont="1" applyBorder="1"/>
    <xf numFmtId="164" fontId="8" fillId="0" borderId="11" xfId="0" applyNumberFormat="1" applyFont="1" applyBorder="1"/>
    <xf numFmtId="164" fontId="8" fillId="0" borderId="11" xfId="1" applyNumberFormat="1" applyFont="1" applyBorder="1"/>
    <xf numFmtId="169" fontId="8" fillId="0" borderId="11" xfId="1" applyNumberFormat="1" applyFont="1" applyBorder="1"/>
    <xf numFmtId="164" fontId="12" fillId="0" borderId="11" xfId="0" applyNumberFormat="1" applyFont="1" applyBorder="1"/>
    <xf numFmtId="164" fontId="12" fillId="0" borderId="11" xfId="1" applyNumberFormat="1" applyFont="1" applyBorder="1"/>
    <xf numFmtId="0" fontId="8" fillId="0" borderId="11" xfId="1" applyNumberFormat="1" applyFont="1" applyBorder="1"/>
    <xf numFmtId="170" fontId="8" fillId="0" borderId="0" xfId="1" applyNumberFormat="1" applyFont="1"/>
    <xf numFmtId="2" fontId="8" fillId="0" borderId="0" xfId="0" applyNumberFormat="1" applyFont="1" applyAlignment="1">
      <alignment horizontal="right" vertic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27" fillId="0" borderId="0" xfId="0" applyNumberFormat="1" applyFont="1"/>
    <xf numFmtId="0" fontId="8" fillId="0" borderId="6" xfId="0" applyFont="1" applyBorder="1" applyAlignment="1">
      <alignment horizontal="center"/>
    </xf>
    <xf numFmtId="173" fontId="8" fillId="0" borderId="11" xfId="1" applyNumberFormat="1" applyFont="1" applyBorder="1"/>
    <xf numFmtId="1" fontId="8" fillId="0" borderId="0" xfId="0" applyNumberFormat="1" applyFont="1" applyAlignment="1">
      <alignment horizontal="center"/>
    </xf>
    <xf numFmtId="0" fontId="8" fillId="6" borderId="11" xfId="0" applyFont="1" applyFill="1" applyBorder="1"/>
    <xf numFmtId="173" fontId="8" fillId="0" borderId="11" xfId="1" applyNumberFormat="1" applyFont="1" applyBorder="1" applyAlignment="1">
      <alignment horizontal="center" vertical="center"/>
    </xf>
    <xf numFmtId="175" fontId="8" fillId="0" borderId="0" xfId="0" applyNumberFormat="1" applyFont="1"/>
    <xf numFmtId="2" fontId="8" fillId="0" borderId="6" xfId="0" applyNumberFormat="1" applyFont="1" applyBorder="1" applyAlignment="1">
      <alignment horizontal="center"/>
    </xf>
    <xf numFmtId="172" fontId="8" fillId="0" borderId="0" xfId="0" applyNumberFormat="1" applyFont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right" vertical="center"/>
    </xf>
    <xf numFmtId="17" fontId="8" fillId="0" borderId="17" xfId="0" applyNumberFormat="1" applyFont="1" applyBorder="1"/>
    <xf numFmtId="165" fontId="8" fillId="0" borderId="17" xfId="1" applyFont="1" applyBorder="1"/>
    <xf numFmtId="165" fontId="8" fillId="0" borderId="17" xfId="0" applyNumberFormat="1" applyFont="1" applyBorder="1"/>
    <xf numFmtId="1" fontId="8" fillId="0" borderId="4" xfId="0" applyNumberFormat="1" applyFont="1" applyBorder="1" applyAlignment="1">
      <alignment horizontal="center"/>
    </xf>
    <xf numFmtId="2" fontId="8" fillId="0" borderId="4" xfId="0" applyNumberFormat="1" applyFont="1" applyBorder="1"/>
    <xf numFmtId="2" fontId="8" fillId="0" borderId="8" xfId="0" applyNumberFormat="1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8" fillId="0" borderId="4" xfId="1" applyFont="1" applyBorder="1" applyAlignment="1">
      <alignment horizontal="center"/>
    </xf>
    <xf numFmtId="2" fontId="8" fillId="0" borderId="0" xfId="1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71" fontId="8" fillId="0" borderId="15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171" fontId="8" fillId="0" borderId="14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9" fontId="8" fillId="0" borderId="11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74" fontId="27" fillId="0" borderId="0" xfId="0" applyNumberFormat="1" applyFont="1"/>
    <xf numFmtId="171" fontId="8" fillId="0" borderId="4" xfId="0" applyNumberFormat="1" applyFont="1" applyBorder="1"/>
    <xf numFmtId="176" fontId="27" fillId="0" borderId="0" xfId="0" applyNumberFormat="1" applyFont="1"/>
    <xf numFmtId="171" fontId="27" fillId="0" borderId="0" xfId="0" applyNumberFormat="1" applyFont="1"/>
    <xf numFmtId="0" fontId="8" fillId="0" borderId="8" xfId="0" applyFont="1" applyBorder="1" applyAlignment="1">
      <alignment horizontal="center"/>
    </xf>
    <xf numFmtId="171" fontId="8" fillId="0" borderId="8" xfId="0" applyNumberFormat="1" applyFont="1" applyBorder="1" applyAlignment="1">
      <alignment horizontal="center"/>
    </xf>
    <xf numFmtId="178" fontId="27" fillId="0" borderId="0" xfId="0" applyNumberFormat="1" applyFont="1"/>
    <xf numFmtId="178" fontId="8" fillId="0" borderId="0" xfId="0" applyNumberFormat="1" applyFont="1"/>
    <xf numFmtId="1" fontId="27" fillId="0" borderId="0" xfId="0" applyNumberFormat="1" applyFont="1"/>
    <xf numFmtId="14" fontId="8" fillId="0" borderId="1" xfId="0" applyNumberFormat="1" applyFont="1" applyBorder="1"/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4" fillId="0" borderId="0" xfId="0" applyFont="1"/>
    <xf numFmtId="165" fontId="27" fillId="0" borderId="4" xfId="1" applyFont="1" applyBorder="1"/>
    <xf numFmtId="0" fontId="27" fillId="0" borderId="4" xfId="0" applyFont="1" applyBorder="1"/>
    <xf numFmtId="0" fontId="24" fillId="0" borderId="2" xfId="0" applyFont="1" applyBorder="1"/>
    <xf numFmtId="165" fontId="39" fillId="0" borderId="0" xfId="1" applyFont="1"/>
    <xf numFmtId="171" fontId="24" fillId="0" borderId="0" xfId="0" applyNumberFormat="1" applyFont="1"/>
    <xf numFmtId="165" fontId="40" fillId="0" borderId="0" xfId="1" applyFont="1"/>
    <xf numFmtId="171" fontId="13" fillId="0" borderId="0" xfId="0" applyNumberFormat="1" applyFont="1"/>
    <xf numFmtId="2" fontId="13" fillId="0" borderId="0" xfId="0" applyNumberFormat="1" applyFont="1"/>
    <xf numFmtId="165" fontId="24" fillId="0" borderId="0" xfId="1" applyFont="1"/>
    <xf numFmtId="0" fontId="8" fillId="0" borderId="28" xfId="0" applyFont="1" applyBorder="1"/>
    <xf numFmtId="165" fontId="8" fillId="2" borderId="28" xfId="1" applyFont="1" applyFill="1" applyBorder="1"/>
    <xf numFmtId="165" fontId="15" fillId="0" borderId="28" xfId="1" applyFont="1" applyBorder="1"/>
    <xf numFmtId="0" fontId="21" fillId="0" borderId="28" xfId="0" applyFont="1" applyBorder="1"/>
    <xf numFmtId="0" fontId="15" fillId="0" borderId="28" xfId="0" applyFont="1" applyBorder="1"/>
    <xf numFmtId="165" fontId="8" fillId="0" borderId="29" xfId="0" applyNumberFormat="1" applyFont="1" applyBorder="1"/>
    <xf numFmtId="165" fontId="8" fillId="0" borderId="29" xfId="0" applyNumberFormat="1" applyFont="1" applyBorder="1" applyAlignment="1">
      <alignment horizontal="center" vertical="center"/>
    </xf>
    <xf numFmtId="165" fontId="8" fillId="0" borderId="30" xfId="0" applyNumberFormat="1" applyFont="1" applyBorder="1" applyAlignment="1">
      <alignment horizontal="center" vertical="center"/>
    </xf>
    <xf numFmtId="165" fontId="15" fillId="0" borderId="32" xfId="1" applyFont="1" applyBorder="1"/>
    <xf numFmtId="165" fontId="15" fillId="0" borderId="33" xfId="1" applyFont="1" applyBorder="1"/>
    <xf numFmtId="165" fontId="15" fillId="0" borderId="34" xfId="1" applyFont="1" applyBorder="1"/>
    <xf numFmtId="165" fontId="15" fillId="0" borderId="29" xfId="1" applyFont="1" applyBorder="1"/>
    <xf numFmtId="165" fontId="15" fillId="0" borderId="35" xfId="1" applyFont="1" applyBorder="1"/>
    <xf numFmtId="165" fontId="15" fillId="0" borderId="36" xfId="1" applyFont="1" applyBorder="1"/>
    <xf numFmtId="165" fontId="15" fillId="0" borderId="37" xfId="1" applyFont="1" applyBorder="1"/>
    <xf numFmtId="165" fontId="15" fillId="0" borderId="38" xfId="1" applyFont="1" applyBorder="1"/>
    <xf numFmtId="0" fontId="15" fillId="0" borderId="37" xfId="0" quotePrefix="1" applyFont="1" applyBorder="1" applyAlignment="1">
      <alignment horizontal="right"/>
    </xf>
    <xf numFmtId="0" fontId="15" fillId="0" borderId="38" xfId="0" quotePrefix="1" applyFont="1" applyBorder="1" applyAlignment="1">
      <alignment horizontal="right"/>
    </xf>
    <xf numFmtId="0" fontId="15" fillId="0" borderId="37" xfId="0" applyFont="1" applyBorder="1"/>
    <xf numFmtId="0" fontId="21" fillId="0" borderId="38" xfId="0" applyFont="1" applyBorder="1"/>
    <xf numFmtId="0" fontId="21" fillId="0" borderId="37" xfId="0" applyFont="1" applyBorder="1" applyAlignment="1">
      <alignment horizontal="right"/>
    </xf>
    <xf numFmtId="0" fontId="15" fillId="0" borderId="37" xfId="0" applyFont="1" applyBorder="1" applyAlignment="1">
      <alignment horizontal="right"/>
    </xf>
    <xf numFmtId="165" fontId="18" fillId="0" borderId="40" xfId="0" applyNumberFormat="1" applyFont="1" applyBorder="1"/>
    <xf numFmtId="165" fontId="18" fillId="0" borderId="28" xfId="0" applyNumberFormat="1" applyFont="1" applyBorder="1"/>
    <xf numFmtId="165" fontId="24" fillId="0" borderId="33" xfId="0" applyNumberFormat="1" applyFont="1" applyBorder="1"/>
    <xf numFmtId="165" fontId="18" fillId="0" borderId="34" xfId="0" applyNumberFormat="1" applyFont="1" applyBorder="1"/>
    <xf numFmtId="165" fontId="24" fillId="0" borderId="37" xfId="0" applyNumberFormat="1" applyFont="1" applyBorder="1"/>
    <xf numFmtId="165" fontId="18" fillId="0" borderId="38" xfId="0" applyNumberFormat="1" applyFont="1" applyBorder="1"/>
    <xf numFmtId="0" fontId="8" fillId="0" borderId="39" xfId="0" applyFont="1" applyBorder="1"/>
    <xf numFmtId="0" fontId="8" fillId="0" borderId="37" xfId="0" applyFont="1" applyBorder="1"/>
    <xf numFmtId="165" fontId="24" fillId="0" borderId="40" xfId="0" applyNumberFormat="1" applyFont="1" applyBorder="1"/>
    <xf numFmtId="165" fontId="24" fillId="0" borderId="28" xfId="0" applyNumberFormat="1" applyFont="1" applyBorder="1"/>
    <xf numFmtId="165" fontId="24" fillId="0" borderId="38" xfId="0" applyNumberFormat="1" applyFont="1" applyBorder="1"/>
    <xf numFmtId="165" fontId="8" fillId="0" borderId="39" xfId="0" applyNumberFormat="1" applyFont="1" applyBorder="1"/>
    <xf numFmtId="165" fontId="8" fillId="0" borderId="43" xfId="0" applyNumberFormat="1" applyFont="1" applyBorder="1" applyAlignment="1">
      <alignment horizontal="center" vertical="center"/>
    </xf>
    <xf numFmtId="165" fontId="19" fillId="0" borderId="35" xfId="0" applyNumberFormat="1" applyFont="1" applyBorder="1" applyAlignment="1">
      <alignment horizontal="center" vertical="center"/>
    </xf>
    <xf numFmtId="165" fontId="15" fillId="0" borderId="41" xfId="1" applyFont="1" applyBorder="1"/>
    <xf numFmtId="165" fontId="15" fillId="0" borderId="39" xfId="1" applyFont="1" applyBorder="1"/>
    <xf numFmtId="165" fontId="15" fillId="0" borderId="40" xfId="1" applyFont="1" applyBorder="1"/>
    <xf numFmtId="0" fontId="8" fillId="0" borderId="44" xfId="0" applyFont="1" applyBorder="1"/>
    <xf numFmtId="9" fontId="8" fillId="0" borderId="42" xfId="2" applyFont="1" applyBorder="1"/>
    <xf numFmtId="0" fontId="8" fillId="0" borderId="42" xfId="0" applyFont="1" applyBorder="1"/>
    <xf numFmtId="167" fontId="13" fillId="0" borderId="0" xfId="0" applyNumberFormat="1" applyFont="1"/>
    <xf numFmtId="0" fontId="8" fillId="0" borderId="45" xfId="0" applyFont="1" applyBorder="1"/>
    <xf numFmtId="0" fontId="13" fillId="0" borderId="28" xfId="0" applyFont="1" applyBorder="1"/>
    <xf numFmtId="0" fontId="8" fillId="0" borderId="38" xfId="0" applyFont="1" applyBorder="1"/>
    <xf numFmtId="9" fontId="8" fillId="0" borderId="43" xfId="2" applyFont="1" applyBorder="1"/>
    <xf numFmtId="9" fontId="11" fillId="0" borderId="30" xfId="2" applyFont="1" applyBorder="1" applyAlignment="1">
      <alignment vertical="center"/>
    </xf>
    <xf numFmtId="9" fontId="11" fillId="0" borderId="30" xfId="2" applyFont="1" applyFill="1" applyBorder="1" applyAlignment="1">
      <alignment vertical="center"/>
    </xf>
    <xf numFmtId="9" fontId="8" fillId="0" borderId="30" xfId="2" applyFont="1" applyBorder="1"/>
    <xf numFmtId="0" fontId="8" fillId="0" borderId="41" xfId="0" applyFont="1" applyBorder="1"/>
    <xf numFmtId="0" fontId="13" fillId="0" borderId="42" xfId="0" applyFont="1" applyBorder="1"/>
    <xf numFmtId="0" fontId="14" fillId="0" borderId="42" xfId="0" applyFont="1" applyBorder="1"/>
    <xf numFmtId="0" fontId="12" fillId="0" borderId="39" xfId="0" applyFont="1" applyBorder="1"/>
    <xf numFmtId="0" fontId="29" fillId="0" borderId="0" xfId="0" applyFont="1"/>
    <xf numFmtId="167" fontId="8" fillId="0" borderId="42" xfId="0" applyNumberFormat="1" applyFont="1" applyBorder="1"/>
    <xf numFmtId="167" fontId="8" fillId="0" borderId="44" xfId="0" applyNumberFormat="1" applyFont="1" applyBorder="1"/>
    <xf numFmtId="167" fontId="13" fillId="0" borderId="42" xfId="0" applyNumberFormat="1" applyFont="1" applyBorder="1"/>
    <xf numFmtId="167" fontId="14" fillId="0" borderId="42" xfId="0" applyNumberFormat="1" applyFont="1" applyBorder="1"/>
    <xf numFmtId="167" fontId="8" fillId="0" borderId="28" xfId="0" applyNumberFormat="1" applyFont="1" applyBorder="1"/>
    <xf numFmtId="9" fontId="8" fillId="0" borderId="28" xfId="2" applyFont="1" applyBorder="1"/>
    <xf numFmtId="167" fontId="8" fillId="0" borderId="45" xfId="0" applyNumberFormat="1" applyFont="1" applyBorder="1"/>
    <xf numFmtId="167" fontId="13" fillId="0" borderId="28" xfId="0" applyNumberFormat="1" applyFont="1" applyBorder="1"/>
    <xf numFmtId="167" fontId="14" fillId="0" borderId="28" xfId="0" applyNumberFormat="1" applyFont="1" applyBorder="1"/>
    <xf numFmtId="9" fontId="14" fillId="0" borderId="28" xfId="2" applyFont="1" applyBorder="1"/>
    <xf numFmtId="167" fontId="8" fillId="0" borderId="30" xfId="0" applyNumberFormat="1" applyFont="1" applyBorder="1"/>
    <xf numFmtId="167" fontId="8" fillId="0" borderId="46" xfId="0" applyNumberFormat="1" applyFont="1" applyBorder="1"/>
    <xf numFmtId="167" fontId="13" fillId="0" borderId="30" xfId="0" applyNumberFormat="1" applyFont="1" applyBorder="1"/>
    <xf numFmtId="167" fontId="14" fillId="0" borderId="30" xfId="0" applyNumberFormat="1" applyFont="1" applyBorder="1"/>
    <xf numFmtId="9" fontId="14" fillId="0" borderId="30" xfId="2" applyFont="1" applyBorder="1"/>
    <xf numFmtId="165" fontId="8" fillId="0" borderId="39" xfId="1" applyFont="1" applyBorder="1"/>
    <xf numFmtId="165" fontId="13" fillId="0" borderId="0" xfId="1" applyFont="1" applyBorder="1"/>
    <xf numFmtId="165" fontId="34" fillId="0" borderId="0" xfId="1" applyFont="1" applyBorder="1"/>
    <xf numFmtId="165" fontId="8" fillId="0" borderId="37" xfId="1" applyFont="1" applyBorder="1"/>
    <xf numFmtId="0" fontId="14" fillId="0" borderId="28" xfId="0" applyFont="1" applyBorder="1"/>
    <xf numFmtId="0" fontId="8" fillId="0" borderId="36" xfId="0" applyFont="1" applyBorder="1"/>
    <xf numFmtId="1" fontId="13" fillId="0" borderId="28" xfId="0" applyNumberFormat="1" applyFont="1" applyBorder="1"/>
    <xf numFmtId="0" fontId="12" fillId="0" borderId="0" xfId="0" applyFont="1" applyAlignment="1">
      <alignment horizontal="center" vertical="center"/>
    </xf>
    <xf numFmtId="167" fontId="8" fillId="0" borderId="37" xfId="0" applyNumberFormat="1" applyFont="1" applyBorder="1"/>
    <xf numFmtId="167" fontId="14" fillId="0" borderId="37" xfId="0" applyNumberFormat="1" applyFont="1" applyBorder="1"/>
    <xf numFmtId="165" fontId="8" fillId="0" borderId="40" xfId="0" applyNumberFormat="1" applyFont="1" applyBorder="1"/>
    <xf numFmtId="165" fontId="8" fillId="0" borderId="28" xfId="0" applyNumberFormat="1" applyFont="1" applyBorder="1"/>
    <xf numFmtId="9" fontId="8" fillId="0" borderId="36" xfId="2" applyFont="1" applyBorder="1" applyAlignment="1">
      <alignment horizontal="center" vertical="center"/>
    </xf>
    <xf numFmtId="9" fontId="8" fillId="0" borderId="37" xfId="2" applyFont="1" applyBorder="1" applyAlignment="1">
      <alignment horizontal="center" vertical="center"/>
    </xf>
    <xf numFmtId="9" fontId="8" fillId="0" borderId="38" xfId="2" applyFont="1" applyBorder="1" applyAlignment="1">
      <alignment horizontal="center" vertical="center"/>
    </xf>
    <xf numFmtId="9" fontId="8" fillId="0" borderId="32" xfId="2" applyFont="1" applyBorder="1" applyAlignment="1">
      <alignment horizontal="center"/>
    </xf>
    <xf numFmtId="9" fontId="8" fillId="0" borderId="33" xfId="2" applyFont="1" applyBorder="1" applyAlignment="1">
      <alignment horizontal="center"/>
    </xf>
    <xf numFmtId="9" fontId="8" fillId="0" borderId="34" xfId="2" applyFont="1" applyBorder="1" applyAlignment="1">
      <alignment horizontal="center"/>
    </xf>
    <xf numFmtId="0" fontId="13" fillId="0" borderId="0" xfId="0" quotePrefix="1" applyFont="1" applyAlignment="1">
      <alignment horizontal="right"/>
    </xf>
    <xf numFmtId="0" fontId="12" fillId="0" borderId="28" xfId="0" applyFont="1" applyBorder="1" applyAlignment="1">
      <alignment horizontal="center"/>
    </xf>
    <xf numFmtId="165" fontId="15" fillId="0" borderId="34" xfId="0" applyNumberFormat="1" applyFont="1" applyBorder="1"/>
    <xf numFmtId="165" fontId="15" fillId="6" borderId="0" xfId="1" applyFont="1" applyFill="1" applyBorder="1"/>
    <xf numFmtId="165" fontId="15" fillId="6" borderId="32" xfId="1" applyFont="1" applyFill="1" applyBorder="1"/>
    <xf numFmtId="165" fontId="15" fillId="6" borderId="33" xfId="1" applyFont="1" applyFill="1" applyBorder="1"/>
    <xf numFmtId="165" fontId="15" fillId="6" borderId="28" xfId="1" applyFont="1" applyFill="1" applyBorder="1"/>
    <xf numFmtId="165" fontId="15" fillId="6" borderId="34" xfId="1" applyFont="1" applyFill="1" applyBorder="1"/>
    <xf numFmtId="0" fontId="24" fillId="6" borderId="0" xfId="0" applyFont="1" applyFill="1" applyAlignment="1">
      <alignment horizontal="right"/>
    </xf>
    <xf numFmtId="165" fontId="24" fillId="6" borderId="47" xfId="0" applyNumberFormat="1" applyFont="1" applyFill="1" applyBorder="1"/>
    <xf numFmtId="165" fontId="24" fillId="6" borderId="31" xfId="0" applyNumberFormat="1" applyFont="1" applyFill="1" applyBorder="1"/>
    <xf numFmtId="165" fontId="24" fillId="6" borderId="33" xfId="0" applyNumberFormat="1" applyFont="1" applyFill="1" applyBorder="1"/>
    <xf numFmtId="165" fontId="24" fillId="6" borderId="37" xfId="0" applyNumberFormat="1" applyFont="1" applyFill="1" applyBorder="1"/>
    <xf numFmtId="165" fontId="18" fillId="6" borderId="33" xfId="0" applyNumberFormat="1" applyFont="1" applyFill="1" applyBorder="1"/>
    <xf numFmtId="165" fontId="18" fillId="6" borderId="37" xfId="0" applyNumberFormat="1" applyFont="1" applyFill="1" applyBorder="1"/>
    <xf numFmtId="0" fontId="25" fillId="6" borderId="0" xfId="0" applyFont="1" applyFill="1" applyAlignment="1">
      <alignment horizontal="right"/>
    </xf>
    <xf numFmtId="165" fontId="15" fillId="6" borderId="39" xfId="1" applyFont="1" applyFill="1" applyBorder="1"/>
    <xf numFmtId="165" fontId="15" fillId="6" borderId="37" xfId="1" applyFont="1" applyFill="1" applyBorder="1"/>
    <xf numFmtId="0" fontId="8" fillId="6" borderId="0" xfId="0" applyFont="1" applyFill="1"/>
    <xf numFmtId="165" fontId="15" fillId="6" borderId="0" xfId="3" applyFont="1" applyFill="1" applyBorder="1"/>
    <xf numFmtId="165" fontId="14" fillId="6" borderId="0" xfId="1" applyFont="1" applyFill="1" applyBorder="1"/>
    <xf numFmtId="165" fontId="16" fillId="6" borderId="0" xfId="1" applyFont="1" applyFill="1" applyBorder="1"/>
    <xf numFmtId="165" fontId="15" fillId="6" borderId="40" xfId="1" applyFont="1" applyFill="1" applyBorder="1"/>
    <xf numFmtId="165" fontId="15" fillId="6" borderId="38" xfId="1" applyFont="1" applyFill="1" applyBorder="1"/>
    <xf numFmtId="165" fontId="8" fillId="6" borderId="0" xfId="1" applyFont="1" applyFill="1"/>
    <xf numFmtId="0" fontId="15" fillId="6" borderId="37" xfId="0" quotePrefix="1" applyFont="1" applyFill="1" applyBorder="1" applyAlignment="1">
      <alignment horizontal="right"/>
    </xf>
    <xf numFmtId="0" fontId="15" fillId="6" borderId="38" xfId="0" quotePrefix="1" applyFont="1" applyFill="1" applyBorder="1" applyAlignment="1">
      <alignment horizontal="right"/>
    </xf>
    <xf numFmtId="0" fontId="12" fillId="0" borderId="37" xfId="0" applyFont="1" applyBorder="1" applyAlignment="1">
      <alignment horizontal="right"/>
    </xf>
    <xf numFmtId="0" fontId="15" fillId="6" borderId="36" xfId="0" quotePrefix="1" applyFont="1" applyFill="1" applyBorder="1" applyAlignment="1">
      <alignment horizontal="right"/>
    </xf>
    <xf numFmtId="165" fontId="15" fillId="6" borderId="36" xfId="1" applyFont="1" applyFill="1" applyBorder="1"/>
    <xf numFmtId="165" fontId="15" fillId="6" borderId="41" xfId="1" applyFont="1" applyFill="1" applyBorder="1"/>
    <xf numFmtId="0" fontId="21" fillId="6" borderId="37" xfId="0" quotePrefix="1" applyFont="1" applyFill="1" applyBorder="1" applyAlignment="1">
      <alignment horizontal="right"/>
    </xf>
    <xf numFmtId="165" fontId="15" fillId="6" borderId="35" xfId="1" applyFont="1" applyFill="1" applyBorder="1"/>
    <xf numFmtId="165" fontId="15" fillId="6" borderId="29" xfId="1" applyFont="1" applyFill="1" applyBorder="1"/>
    <xf numFmtId="165" fontId="15" fillId="6" borderId="43" xfId="1" applyFont="1" applyFill="1" applyBorder="1"/>
    <xf numFmtId="0" fontId="15" fillId="0" borderId="39" xfId="0" applyFont="1" applyBorder="1"/>
    <xf numFmtId="165" fontId="8" fillId="6" borderId="0" xfId="1" applyFont="1" applyFill="1" applyBorder="1"/>
    <xf numFmtId="165" fontId="18" fillId="6" borderId="0" xfId="1" applyFont="1" applyFill="1" applyBorder="1"/>
    <xf numFmtId="165" fontId="8" fillId="6" borderId="0" xfId="0" applyNumberFormat="1" applyFont="1" applyFill="1"/>
    <xf numFmtId="0" fontId="8" fillId="6" borderId="39" xfId="0" applyFont="1" applyFill="1" applyBorder="1"/>
    <xf numFmtId="167" fontId="8" fillId="6" borderId="0" xfId="0" applyNumberFormat="1" applyFont="1" applyFill="1"/>
    <xf numFmtId="9" fontId="8" fillId="6" borderId="0" xfId="2" applyFont="1" applyFill="1" applyBorder="1"/>
    <xf numFmtId="167" fontId="8" fillId="6" borderId="18" xfId="0" applyNumberFormat="1" applyFont="1" applyFill="1" applyBorder="1"/>
    <xf numFmtId="167" fontId="13" fillId="6" borderId="0" xfId="0" applyNumberFormat="1" applyFont="1" applyFill="1"/>
    <xf numFmtId="167" fontId="14" fillId="6" borderId="0" xfId="0" applyNumberFormat="1" applyFont="1" applyFill="1"/>
    <xf numFmtId="0" fontId="8" fillId="6" borderId="0" xfId="0" applyFont="1" applyFill="1" applyAlignment="1">
      <alignment horizontal="right"/>
    </xf>
    <xf numFmtId="167" fontId="11" fillId="6" borderId="0" xfId="0" applyNumberFormat="1" applyFont="1" applyFill="1" applyAlignment="1">
      <alignment vertical="center"/>
    </xf>
    <xf numFmtId="9" fontId="11" fillId="6" borderId="0" xfId="2" applyFont="1" applyFill="1" applyBorder="1" applyAlignment="1">
      <alignment vertical="center"/>
    </xf>
    <xf numFmtId="0" fontId="8" fillId="6" borderId="18" xfId="0" applyFont="1" applyFill="1" applyBorder="1"/>
    <xf numFmtId="0" fontId="13" fillId="6" borderId="0" xfId="0" applyFont="1" applyFill="1"/>
    <xf numFmtId="9" fontId="8" fillId="6" borderId="0" xfId="2" applyFont="1" applyFill="1"/>
    <xf numFmtId="9" fontId="11" fillId="6" borderId="30" xfId="2" applyFont="1" applyFill="1" applyBorder="1" applyAlignment="1">
      <alignment vertical="center"/>
    </xf>
    <xf numFmtId="9" fontId="8" fillId="6" borderId="46" xfId="2" applyFont="1" applyFill="1" applyBorder="1"/>
    <xf numFmtId="9" fontId="8" fillId="6" borderId="30" xfId="2" applyFont="1" applyFill="1" applyBorder="1"/>
    <xf numFmtId="0" fontId="14" fillId="6" borderId="0" xfId="0" applyFont="1" applyFill="1"/>
    <xf numFmtId="165" fontId="12" fillId="6" borderId="0" xfId="1" applyFont="1" applyFill="1" applyAlignment="1">
      <alignment horizontal="center" vertical="center"/>
    </xf>
    <xf numFmtId="165" fontId="8" fillId="6" borderId="0" xfId="1" applyFont="1" applyFill="1" applyAlignment="1"/>
    <xf numFmtId="165" fontId="8" fillId="6" borderId="18" xfId="1" applyFont="1" applyFill="1" applyBorder="1" applyAlignment="1"/>
    <xf numFmtId="165" fontId="8" fillId="6" borderId="0" xfId="1" applyFont="1" applyFill="1" applyBorder="1" applyAlignment="1"/>
    <xf numFmtId="167" fontId="8" fillId="6" borderId="18" xfId="1" applyNumberFormat="1" applyFont="1" applyFill="1" applyBorder="1" applyAlignment="1"/>
    <xf numFmtId="167" fontId="8" fillId="6" borderId="0" xfId="1" applyNumberFormat="1" applyFont="1" applyFill="1" applyBorder="1" applyAlignment="1"/>
    <xf numFmtId="9" fontId="8" fillId="6" borderId="30" xfId="2" applyFont="1" applyFill="1" applyBorder="1" applyAlignment="1">
      <alignment horizontal="right" vertical="center"/>
    </xf>
    <xf numFmtId="9" fontId="8" fillId="6" borderId="46" xfId="2" applyFont="1" applyFill="1" applyBorder="1" applyAlignment="1">
      <alignment horizontal="right" vertical="center"/>
    </xf>
    <xf numFmtId="9" fontId="13" fillId="6" borderId="30" xfId="2" applyFont="1" applyFill="1" applyBorder="1" applyAlignment="1">
      <alignment horizontal="right" vertical="center"/>
    </xf>
    <xf numFmtId="9" fontId="14" fillId="6" borderId="30" xfId="2" applyFont="1" applyFill="1" applyBorder="1" applyAlignment="1">
      <alignment horizontal="right" vertical="center"/>
    </xf>
    <xf numFmtId="167" fontId="8" fillId="6" borderId="42" xfId="0" applyNumberFormat="1" applyFont="1" applyFill="1" applyBorder="1"/>
    <xf numFmtId="167" fontId="26" fillId="6" borderId="42" xfId="0" applyNumberFormat="1" applyFont="1" applyFill="1" applyBorder="1"/>
    <xf numFmtId="167" fontId="26" fillId="6" borderId="44" xfId="0" applyNumberFormat="1" applyFont="1" applyFill="1" applyBorder="1"/>
    <xf numFmtId="167" fontId="31" fillId="6" borderId="42" xfId="0" applyNumberFormat="1" applyFont="1" applyFill="1" applyBorder="1"/>
    <xf numFmtId="167" fontId="32" fillId="6" borderId="42" xfId="0" applyNumberFormat="1" applyFont="1" applyFill="1" applyBorder="1"/>
    <xf numFmtId="165" fontId="8" fillId="6" borderId="18" xfId="1" applyFont="1" applyFill="1" applyBorder="1"/>
    <xf numFmtId="165" fontId="13" fillId="6" borderId="0" xfId="1" applyFont="1" applyFill="1" applyBorder="1"/>
    <xf numFmtId="165" fontId="34" fillId="6" borderId="0" xfId="1" applyFont="1" applyFill="1" applyBorder="1"/>
    <xf numFmtId="165" fontId="8" fillId="6" borderId="37" xfId="1" applyFont="1" applyFill="1" applyBorder="1"/>
    <xf numFmtId="167" fontId="8" fillId="6" borderId="44" xfId="0" applyNumberFormat="1" applyFont="1" applyFill="1" applyBorder="1"/>
    <xf numFmtId="169" fontId="8" fillId="6" borderId="0" xfId="1" applyNumberFormat="1" applyFont="1" applyFill="1" applyBorder="1"/>
    <xf numFmtId="169" fontId="8" fillId="6" borderId="18" xfId="1" applyNumberFormat="1" applyFont="1" applyFill="1" applyBorder="1"/>
    <xf numFmtId="169" fontId="8" fillId="6" borderId="0" xfId="1" applyNumberFormat="1" applyFont="1" applyFill="1"/>
    <xf numFmtId="14" fontId="12" fillId="0" borderId="0" xfId="0" applyNumberFormat="1" applyFont="1" applyAlignment="1">
      <alignment horizontal="center" vertical="center"/>
    </xf>
    <xf numFmtId="165" fontId="12" fillId="0" borderId="0" xfId="1" applyFont="1" applyAlignment="1"/>
    <xf numFmtId="165" fontId="12" fillId="0" borderId="0" xfId="1" applyFont="1"/>
    <xf numFmtId="165" fontId="12" fillId="0" borderId="18" xfId="1" applyFont="1" applyBorder="1" applyAlignment="1"/>
    <xf numFmtId="165" fontId="12" fillId="0" borderId="0" xfId="1" applyFont="1" applyBorder="1" applyAlignment="1"/>
    <xf numFmtId="9" fontId="11" fillId="6" borderId="39" xfId="2" applyFont="1" applyFill="1" applyBorder="1" applyAlignment="1">
      <alignment vertical="center"/>
    </xf>
    <xf numFmtId="9" fontId="11" fillId="0" borderId="39" xfId="2" applyFont="1" applyFill="1" applyBorder="1" applyAlignment="1">
      <alignment vertical="center"/>
    </xf>
    <xf numFmtId="9" fontId="11" fillId="6" borderId="43" xfId="2" applyFont="1" applyFill="1" applyBorder="1" applyAlignment="1">
      <alignment vertical="center"/>
    </xf>
    <xf numFmtId="167" fontId="26" fillId="0" borderId="39" xfId="0" applyNumberFormat="1" applyFont="1" applyBorder="1" applyAlignment="1">
      <alignment vertical="center"/>
    </xf>
    <xf numFmtId="9" fontId="26" fillId="0" borderId="39" xfId="2" applyFont="1" applyFill="1" applyBorder="1" applyAlignment="1">
      <alignment vertical="center"/>
    </xf>
    <xf numFmtId="9" fontId="8" fillId="0" borderId="39" xfId="2" applyFont="1" applyBorder="1"/>
    <xf numFmtId="0" fontId="14" fillId="0" borderId="41" xfId="0" applyFont="1" applyBorder="1"/>
    <xf numFmtId="167" fontId="31" fillId="0" borderId="39" xfId="0" applyNumberFormat="1" applyFont="1" applyBorder="1" applyAlignment="1">
      <alignment vertical="center"/>
    </xf>
    <xf numFmtId="167" fontId="14" fillId="6" borderId="0" xfId="1" applyNumberFormat="1" applyFont="1" applyFill="1" applyBorder="1" applyAlignment="1"/>
    <xf numFmtId="0" fontId="12" fillId="0" borderId="28" xfId="0" quotePrefix="1" applyFont="1" applyBorder="1" applyAlignment="1">
      <alignment horizontal="center"/>
    </xf>
    <xf numFmtId="2" fontId="24" fillId="0" borderId="0" xfId="0" applyNumberFormat="1" applyFont="1" applyAlignment="1">
      <alignment horizontal="center" vertical="center"/>
    </xf>
    <xf numFmtId="165" fontId="24" fillId="6" borderId="0" xfId="0" applyNumberFormat="1" applyFont="1" applyFill="1"/>
    <xf numFmtId="165" fontId="24" fillId="6" borderId="39" xfId="0" applyNumberFormat="1" applyFont="1" applyFill="1" applyBorder="1"/>
    <xf numFmtId="165" fontId="18" fillId="6" borderId="0" xfId="0" applyNumberFormat="1" applyFont="1" applyFill="1"/>
    <xf numFmtId="165" fontId="18" fillId="6" borderId="39" xfId="0" applyNumberFormat="1" applyFont="1" applyFill="1" applyBorder="1"/>
    <xf numFmtId="165" fontId="25" fillId="6" borderId="39" xfId="0" applyNumberFormat="1" applyFont="1" applyFill="1" applyBorder="1"/>
    <xf numFmtId="0" fontId="12" fillId="0" borderId="0" xfId="0" applyFont="1" applyAlignment="1">
      <alignment horizontal="right" vertical="top"/>
    </xf>
    <xf numFmtId="9" fontId="8" fillId="0" borderId="0" xfId="2" applyFont="1" applyAlignment="1">
      <alignment horizontal="right" vertical="top"/>
    </xf>
    <xf numFmtId="9" fontId="33" fillId="0" borderId="0" xfId="2" applyFont="1" applyAlignment="1">
      <alignment horizontal="right" vertical="top"/>
    </xf>
    <xf numFmtId="168" fontId="33" fillId="0" borderId="0" xfId="2" applyNumberFormat="1" applyFont="1" applyAlignment="1">
      <alignment horizontal="right" vertical="top"/>
    </xf>
    <xf numFmtId="168" fontId="33" fillId="0" borderId="2" xfId="2" applyNumberFormat="1" applyFont="1" applyBorder="1" applyAlignment="1">
      <alignment horizontal="right" vertical="top"/>
    </xf>
    <xf numFmtId="10" fontId="33" fillId="0" borderId="0" xfId="2" applyNumberFormat="1" applyFont="1" applyAlignment="1">
      <alignment horizontal="right" vertical="top"/>
    </xf>
    <xf numFmtId="9" fontId="33" fillId="0" borderId="2" xfId="2" applyFont="1" applyBorder="1" applyAlignment="1">
      <alignment horizontal="right" vertical="top"/>
    </xf>
    <xf numFmtId="9" fontId="33" fillId="0" borderId="6" xfId="2" applyFont="1" applyBorder="1" applyAlignment="1">
      <alignment horizontal="right" vertical="top"/>
    </xf>
    <xf numFmtId="165" fontId="8" fillId="2" borderId="40" xfId="1" applyFont="1" applyFill="1" applyBorder="1"/>
    <xf numFmtId="165" fontId="16" fillId="6" borderId="39" xfId="1" applyFont="1" applyFill="1" applyBorder="1"/>
    <xf numFmtId="9" fontId="33" fillId="0" borderId="39" xfId="2" applyFont="1" applyBorder="1" applyAlignment="1">
      <alignment horizontal="right" vertical="top"/>
    </xf>
    <xf numFmtId="0" fontId="15" fillId="0" borderId="40" xfId="0" applyFont="1" applyBorder="1"/>
    <xf numFmtId="0" fontId="12" fillId="0" borderId="38" xfId="0" quotePrefix="1" applyFont="1" applyBorder="1" applyAlignment="1">
      <alignment horizontal="center"/>
    </xf>
    <xf numFmtId="0" fontId="22" fillId="6" borderId="37" xfId="0" quotePrefix="1" applyFont="1" applyFill="1" applyBorder="1" applyAlignment="1">
      <alignment horizontal="right"/>
    </xf>
    <xf numFmtId="0" fontId="22" fillId="0" borderId="0" xfId="0" applyFont="1"/>
    <xf numFmtId="165" fontId="18" fillId="6" borderId="33" xfId="1" applyFont="1" applyFill="1" applyBorder="1"/>
    <xf numFmtId="165" fontId="18" fillId="6" borderId="39" xfId="1" applyFont="1" applyFill="1" applyBorder="1"/>
    <xf numFmtId="165" fontId="18" fillId="6" borderId="37" xfId="1" applyFont="1" applyFill="1" applyBorder="1"/>
    <xf numFmtId="0" fontId="18" fillId="0" borderId="0" xfId="0" quotePrefix="1" applyFont="1" applyAlignment="1">
      <alignment horizontal="right"/>
    </xf>
    <xf numFmtId="0" fontId="18" fillId="6" borderId="0" xfId="0" applyFont="1" applyFill="1"/>
    <xf numFmtId="0" fontId="18" fillId="0" borderId="0" xfId="0" applyFont="1"/>
    <xf numFmtId="0" fontId="18" fillId="6" borderId="0" xfId="0" quotePrefix="1" applyFont="1" applyFill="1" applyAlignment="1">
      <alignment horizontal="right"/>
    </xf>
    <xf numFmtId="165" fontId="15" fillId="0" borderId="40" xfId="0" applyNumberFormat="1" applyFont="1" applyBorder="1"/>
    <xf numFmtId="165" fontId="15" fillId="0" borderId="28" xfId="0" applyNumberFormat="1" applyFont="1" applyBorder="1"/>
    <xf numFmtId="165" fontId="25" fillId="6" borderId="0" xfId="0" applyNumberFormat="1" applyFont="1" applyFill="1"/>
    <xf numFmtId="0" fontId="24" fillId="0" borderId="38" xfId="0" applyFont="1" applyBorder="1" applyAlignment="1">
      <alignment horizontal="right"/>
    </xf>
    <xf numFmtId="9" fontId="33" fillId="0" borderId="0" xfId="2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0" fontId="41" fillId="0" borderId="0" xfId="0" applyFont="1" applyAlignment="1">
      <alignment horizontal="right" vertical="top"/>
    </xf>
    <xf numFmtId="9" fontId="9" fillId="0" borderId="0" xfId="2" applyFont="1" applyBorder="1" applyAlignment="1">
      <alignment horizontal="right" vertical="top"/>
    </xf>
    <xf numFmtId="9" fontId="9" fillId="0" borderId="0" xfId="2" applyFont="1" applyAlignment="1">
      <alignment horizontal="right" vertical="top"/>
    </xf>
    <xf numFmtId="14" fontId="9" fillId="0" borderId="0" xfId="0" applyNumberFormat="1" applyFont="1" applyAlignment="1">
      <alignment horizontal="right" vertical="top"/>
    </xf>
    <xf numFmtId="164" fontId="8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164" fontId="23" fillId="0" borderId="42" xfId="0" applyNumberFormat="1" applyFont="1" applyBorder="1" applyAlignment="1">
      <alignment horizontal="right" vertical="center"/>
    </xf>
    <xf numFmtId="164" fontId="25" fillId="6" borderId="32" xfId="0" applyNumberFormat="1" applyFont="1" applyFill="1" applyBorder="1" applyAlignment="1">
      <alignment horizontal="right"/>
    </xf>
    <xf numFmtId="164" fontId="25" fillId="6" borderId="37" xfId="0" applyNumberFormat="1" applyFont="1" applyFill="1" applyBorder="1" applyAlignment="1">
      <alignment horizontal="right"/>
    </xf>
    <xf numFmtId="164" fontId="25" fillId="6" borderId="33" xfId="0" applyNumberFormat="1" applyFont="1" applyFill="1" applyBorder="1" applyAlignment="1">
      <alignment horizontal="right"/>
    </xf>
    <xf numFmtId="164" fontId="25" fillId="6" borderId="0" xfId="0" applyNumberFormat="1" applyFont="1" applyFill="1" applyAlignment="1">
      <alignment horizontal="right"/>
    </xf>
    <xf numFmtId="165" fontId="25" fillId="6" borderId="0" xfId="0" applyNumberFormat="1" applyFont="1" applyFill="1" applyAlignment="1">
      <alignment horizontal="right"/>
    </xf>
    <xf numFmtId="165" fontId="25" fillId="6" borderId="39" xfId="0" applyNumberFormat="1" applyFont="1" applyFill="1" applyBorder="1" applyAlignment="1">
      <alignment horizontal="right"/>
    </xf>
    <xf numFmtId="167" fontId="8" fillId="0" borderId="0" xfId="0" applyNumberFormat="1" applyFont="1" applyAlignment="1">
      <alignment horizontal="right"/>
    </xf>
    <xf numFmtId="167" fontId="8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9" fontId="8" fillId="0" borderId="28" xfId="0" applyNumberFormat="1" applyFont="1" applyBorder="1"/>
    <xf numFmtId="167" fontId="11" fillId="0" borderId="30" xfId="0" applyNumberFormat="1" applyFont="1" applyBorder="1" applyAlignment="1">
      <alignment vertical="center"/>
    </xf>
    <xf numFmtId="0" fontId="8" fillId="0" borderId="46" xfId="0" applyFont="1" applyBorder="1"/>
    <xf numFmtId="9" fontId="11" fillId="0" borderId="43" xfId="2" applyFont="1" applyFill="1" applyBorder="1" applyAlignment="1">
      <alignment vertical="center"/>
    </xf>
    <xf numFmtId="167" fontId="29" fillId="0" borderId="30" xfId="0" applyNumberFormat="1" applyFont="1" applyBorder="1"/>
    <xf numFmtId="167" fontId="30" fillId="0" borderId="30" xfId="0" applyNumberFormat="1" applyFont="1" applyBorder="1"/>
    <xf numFmtId="0" fontId="33" fillId="0" borderId="0" xfId="0" applyFont="1"/>
    <xf numFmtId="9" fontId="33" fillId="6" borderId="0" xfId="2" applyFont="1" applyFill="1"/>
    <xf numFmtId="9" fontId="20" fillId="6" borderId="0" xfId="2" applyFont="1" applyFill="1" applyAlignment="1">
      <alignment vertical="center"/>
    </xf>
    <xf numFmtId="167" fontId="20" fillId="6" borderId="0" xfId="0" applyNumberFormat="1" applyFont="1" applyFill="1" applyAlignment="1">
      <alignment vertical="center"/>
    </xf>
    <xf numFmtId="0" fontId="33" fillId="6" borderId="18" xfId="0" applyFont="1" applyFill="1" applyBorder="1"/>
    <xf numFmtId="9" fontId="20" fillId="6" borderId="39" xfId="2" applyFont="1" applyFill="1" applyBorder="1" applyAlignment="1">
      <alignment vertical="center"/>
    </xf>
    <xf numFmtId="9" fontId="33" fillId="6" borderId="0" xfId="2" applyFont="1" applyFill="1" applyBorder="1"/>
    <xf numFmtId="9" fontId="20" fillId="6" borderId="0" xfId="2" applyFont="1" applyFill="1" applyBorder="1" applyAlignment="1">
      <alignment vertical="center"/>
    </xf>
    <xf numFmtId="9" fontId="33" fillId="6" borderId="39" xfId="2" applyFont="1" applyFill="1" applyBorder="1"/>
    <xf numFmtId="167" fontId="42" fillId="6" borderId="0" xfId="0" applyNumberFormat="1" applyFont="1" applyFill="1"/>
    <xf numFmtId="167" fontId="43" fillId="6" borderId="0" xfId="0" applyNumberFormat="1" applyFont="1" applyFill="1"/>
    <xf numFmtId="0" fontId="33" fillId="6" borderId="0" xfId="0" applyFont="1" applyFill="1"/>
    <xf numFmtId="0" fontId="33" fillId="0" borderId="28" xfId="0" applyFont="1" applyBorder="1"/>
    <xf numFmtId="9" fontId="20" fillId="0" borderId="28" xfId="2" applyFont="1" applyBorder="1" applyAlignment="1">
      <alignment vertical="center"/>
    </xf>
    <xf numFmtId="167" fontId="20" fillId="0" borderId="28" xfId="0" applyNumberFormat="1" applyFont="1" applyBorder="1" applyAlignment="1">
      <alignment vertical="center"/>
    </xf>
    <xf numFmtId="0" fontId="33" fillId="0" borderId="45" xfId="0" applyFont="1" applyBorder="1"/>
    <xf numFmtId="9" fontId="20" fillId="0" borderId="40" xfId="2" applyFont="1" applyFill="1" applyBorder="1" applyAlignment="1">
      <alignment vertical="center"/>
    </xf>
    <xf numFmtId="9" fontId="33" fillId="0" borderId="40" xfId="2" applyFont="1" applyBorder="1"/>
    <xf numFmtId="9" fontId="33" fillId="0" borderId="28" xfId="2" applyFont="1" applyBorder="1"/>
    <xf numFmtId="167" fontId="44" fillId="0" borderId="28" xfId="0" applyNumberFormat="1" applyFont="1" applyBorder="1" applyAlignment="1">
      <alignment vertical="center"/>
    </xf>
    <xf numFmtId="167" fontId="33" fillId="0" borderId="28" xfId="0" applyNumberFormat="1" applyFont="1" applyBorder="1"/>
    <xf numFmtId="0" fontId="33" fillId="0" borderId="28" xfId="0" applyFont="1" applyBorder="1" applyAlignment="1">
      <alignment horizontal="left"/>
    </xf>
    <xf numFmtId="167" fontId="8" fillId="6" borderId="42" xfId="0" applyNumberFormat="1" applyFont="1" applyFill="1" applyBorder="1" applyAlignment="1">
      <alignment horizontal="right"/>
    </xf>
    <xf numFmtId="169" fontId="8" fillId="6" borderId="0" xfId="1" applyNumberFormat="1" applyFont="1" applyFill="1" applyBorder="1" applyAlignment="1">
      <alignment horizontal="right"/>
    </xf>
    <xf numFmtId="0" fontId="8" fillId="0" borderId="28" xfId="0" applyFont="1" applyBorder="1" applyAlignment="1">
      <alignment horizontal="left"/>
    </xf>
    <xf numFmtId="167" fontId="30" fillId="0" borderId="28" xfId="0" applyNumberFormat="1" applyFont="1" applyBorder="1"/>
    <xf numFmtId="167" fontId="30" fillId="0" borderId="35" xfId="0" applyNumberFormat="1" applyFont="1" applyBorder="1"/>
    <xf numFmtId="0" fontId="33" fillId="0" borderId="0" xfId="0" applyFont="1" applyAlignment="1">
      <alignment horizontal="left"/>
    </xf>
    <xf numFmtId="9" fontId="8" fillId="0" borderId="0" xfId="2" applyFont="1" applyFill="1" applyBorder="1" applyAlignment="1">
      <alignment horizontal="left"/>
    </xf>
    <xf numFmtId="165" fontId="12" fillId="6" borderId="0" xfId="1" applyFont="1" applyFill="1" applyAlignment="1"/>
    <xf numFmtId="165" fontId="12" fillId="0" borderId="0" xfId="1" applyFont="1" applyAlignment="1">
      <alignment horizontal="left"/>
    </xf>
    <xf numFmtId="165" fontId="12" fillId="6" borderId="0" xfId="1" applyFont="1" applyFill="1" applyAlignment="1">
      <alignment horizontal="left"/>
    </xf>
    <xf numFmtId="9" fontId="12" fillId="0" borderId="0" xfId="2" applyFont="1" applyBorder="1" applyAlignment="1">
      <alignment horizontal="center" vertical="center"/>
    </xf>
    <xf numFmtId="9" fontId="12" fillId="0" borderId="29" xfId="2" applyFont="1" applyBorder="1" applyAlignment="1">
      <alignment horizontal="center" vertical="center"/>
    </xf>
    <xf numFmtId="165" fontId="12" fillId="0" borderId="29" xfId="1" applyFont="1" applyBorder="1" applyAlignment="1">
      <alignment horizontal="center" vertical="center"/>
    </xf>
    <xf numFmtId="0" fontId="12" fillId="0" borderId="29" xfId="0" applyFont="1" applyBorder="1" applyAlignment="1">
      <alignment horizontal="left"/>
    </xf>
    <xf numFmtId="165" fontId="12" fillId="0" borderId="0" xfId="1" applyFont="1" applyFill="1" applyAlignment="1">
      <alignment horizontal="left"/>
    </xf>
    <xf numFmtId="165" fontId="12" fillId="0" borderId="0" xfId="1" applyFont="1" applyFill="1" applyAlignment="1"/>
    <xf numFmtId="165" fontId="21" fillId="6" borderId="28" xfId="1" applyFont="1" applyFill="1" applyBorder="1"/>
    <xf numFmtId="165" fontId="8" fillId="0" borderId="28" xfId="1" applyFont="1" applyBorder="1"/>
    <xf numFmtId="0" fontId="8" fillId="0" borderId="28" xfId="0" applyFont="1" applyBorder="1" applyAlignment="1">
      <alignment horizontal="right"/>
    </xf>
    <xf numFmtId="14" fontId="8" fillId="0" borderId="28" xfId="0" applyNumberFormat="1" applyFont="1" applyBorder="1"/>
    <xf numFmtId="0" fontId="12" fillId="0" borderId="28" xfId="0" applyFont="1" applyBorder="1"/>
    <xf numFmtId="0" fontId="12" fillId="0" borderId="28" xfId="0" applyFont="1" applyBorder="1" applyAlignment="1">
      <alignment horizontal="left"/>
    </xf>
    <xf numFmtId="0" fontId="8" fillId="0" borderId="29" xfId="0" applyFont="1" applyBorder="1" applyAlignment="1">
      <alignment horizontal="center"/>
    </xf>
    <xf numFmtId="165" fontId="8" fillId="0" borderId="29" xfId="1" applyFont="1" applyBorder="1"/>
    <xf numFmtId="0" fontId="8" fillId="0" borderId="33" xfId="0" applyFont="1" applyBorder="1"/>
    <xf numFmtId="165" fontId="8" fillId="0" borderId="34" xfId="1" applyFont="1" applyBorder="1"/>
    <xf numFmtId="165" fontId="8" fillId="0" borderId="33" xfId="0" applyNumberFormat="1" applyFont="1" applyBorder="1" applyAlignment="1">
      <alignment horizontal="center"/>
    </xf>
    <xf numFmtId="165" fontId="8" fillId="0" borderId="33" xfId="1" applyFont="1" applyBorder="1"/>
    <xf numFmtId="165" fontId="8" fillId="0" borderId="33" xfId="0" applyNumberFormat="1" applyFont="1" applyBorder="1"/>
    <xf numFmtId="165" fontId="8" fillId="0" borderId="33" xfId="1" applyFont="1" applyFill="1" applyBorder="1"/>
    <xf numFmtId="165" fontId="8" fillId="0" borderId="34" xfId="1" applyFont="1" applyFill="1" applyBorder="1"/>
    <xf numFmtId="165" fontId="8" fillId="0" borderId="33" xfId="0" applyNumberFormat="1" applyFont="1" applyBorder="1" applyAlignment="1">
      <alignment horizontal="center" vertical="center"/>
    </xf>
    <xf numFmtId="169" fontId="13" fillId="0" borderId="34" xfId="0" applyNumberFormat="1" applyFont="1" applyBorder="1"/>
    <xf numFmtId="165" fontId="8" fillId="0" borderId="34" xfId="1" applyFont="1" applyFill="1" applyBorder="1" applyAlignment="1">
      <alignment horizontal="center"/>
    </xf>
    <xf numFmtId="165" fontId="8" fillId="0" borderId="33" xfId="1" applyFont="1" applyFill="1" applyBorder="1" applyAlignment="1">
      <alignment horizontal="center"/>
    </xf>
    <xf numFmtId="165" fontId="8" fillId="0" borderId="33" xfId="1" applyFont="1" applyFill="1" applyBorder="1" applyAlignment="1">
      <alignment horizontal="center" vertical="center"/>
    </xf>
    <xf numFmtId="0" fontId="8" fillId="0" borderId="34" xfId="0" applyFont="1" applyBorder="1"/>
    <xf numFmtId="0" fontId="8" fillId="0" borderId="35" xfId="0" applyFont="1" applyBorder="1" applyAlignment="1">
      <alignment horizontal="center"/>
    </xf>
    <xf numFmtId="164" fontId="8" fillId="0" borderId="33" xfId="1" applyNumberFormat="1" applyFont="1" applyBorder="1" applyAlignment="1">
      <alignment horizontal="center" vertical="center"/>
    </xf>
    <xf numFmtId="164" fontId="8" fillId="0" borderId="34" xfId="1" applyNumberFormat="1" applyFont="1" applyBorder="1" applyAlignment="1">
      <alignment horizontal="center" vertical="center"/>
    </xf>
    <xf numFmtId="169" fontId="8" fillId="0" borderId="33" xfId="1" applyNumberFormat="1" applyFont="1" applyBorder="1" applyAlignment="1">
      <alignment horizontal="center" vertical="center"/>
    </xf>
    <xf numFmtId="169" fontId="8" fillId="0" borderId="34" xfId="1" applyNumberFormat="1" applyFont="1" applyBorder="1" applyAlignment="1">
      <alignment horizontal="center" vertical="center"/>
    </xf>
    <xf numFmtId="164" fontId="8" fillId="0" borderId="33" xfId="0" applyNumberFormat="1" applyFont="1" applyBorder="1"/>
    <xf numFmtId="166" fontId="8" fillId="0" borderId="33" xfId="0" applyNumberFormat="1" applyFont="1" applyBorder="1"/>
    <xf numFmtId="164" fontId="8" fillId="0" borderId="29" xfId="1" applyNumberFormat="1" applyFont="1" applyBorder="1" applyAlignment="1">
      <alignment horizontal="center"/>
    </xf>
    <xf numFmtId="0" fontId="8" fillId="0" borderId="29" xfId="0" applyFont="1" applyBorder="1"/>
    <xf numFmtId="0" fontId="12" fillId="0" borderId="29" xfId="0" applyFont="1" applyBorder="1" applyAlignment="1">
      <alignment horizontal="center"/>
    </xf>
    <xf numFmtId="9" fontId="8" fillId="0" borderId="0" xfId="2" applyFont="1" applyBorder="1" applyAlignment="1">
      <alignment horizontal="center" vertical="center"/>
    </xf>
    <xf numFmtId="9" fontId="8" fillId="0" borderId="42" xfId="2" applyFont="1" applyBorder="1" applyAlignment="1">
      <alignment horizontal="center" vertical="center"/>
    </xf>
    <xf numFmtId="9" fontId="8" fillId="0" borderId="28" xfId="2" applyFont="1" applyBorder="1" applyAlignment="1">
      <alignment horizontal="center" vertical="center"/>
    </xf>
    <xf numFmtId="9" fontId="8" fillId="0" borderId="32" xfId="2" applyFont="1" applyBorder="1" applyAlignment="1">
      <alignment horizontal="center" vertical="center"/>
    </xf>
    <xf numFmtId="9" fontId="8" fillId="0" borderId="33" xfId="2" applyFont="1" applyBorder="1" applyAlignment="1">
      <alignment horizontal="center" vertical="center"/>
    </xf>
    <xf numFmtId="9" fontId="8" fillId="0" borderId="34" xfId="2" applyFont="1" applyBorder="1" applyAlignment="1">
      <alignment horizontal="center" vertical="center"/>
    </xf>
    <xf numFmtId="9" fontId="8" fillId="0" borderId="29" xfId="0" applyNumberFormat="1" applyFont="1" applyBorder="1" applyAlignment="1">
      <alignment horizontal="center" vertical="center"/>
    </xf>
    <xf numFmtId="9" fontId="8" fillId="0" borderId="30" xfId="0" applyNumberFormat="1" applyFont="1" applyBorder="1" applyAlignment="1">
      <alignment horizontal="center" vertical="center"/>
    </xf>
    <xf numFmtId="9" fontId="8" fillId="0" borderId="35" xfId="0" applyNumberFormat="1" applyFont="1" applyBorder="1" applyAlignment="1">
      <alignment horizontal="center" vertical="center"/>
    </xf>
    <xf numFmtId="165" fontId="8" fillId="0" borderId="35" xfId="0" applyNumberFormat="1" applyFont="1" applyBorder="1"/>
    <xf numFmtId="10" fontId="8" fillId="0" borderId="29" xfId="2" applyNumberFormat="1" applyFont="1" applyBorder="1" applyAlignment="1">
      <alignment horizontal="center" vertical="center"/>
    </xf>
    <xf numFmtId="167" fontId="14" fillId="6" borderId="37" xfId="0" applyNumberFormat="1" applyFont="1" applyFill="1" applyBorder="1"/>
    <xf numFmtId="165" fontId="12" fillId="0" borderId="37" xfId="1" applyFont="1" applyBorder="1" applyAlignment="1"/>
    <xf numFmtId="0" fontId="8" fillId="6" borderId="37" xfId="0" applyFont="1" applyFill="1" applyBorder="1"/>
    <xf numFmtId="0" fontId="15" fillId="0" borderId="38" xfId="0" applyFont="1" applyBorder="1"/>
    <xf numFmtId="165" fontId="8" fillId="2" borderId="38" xfId="1" applyFont="1" applyFill="1" applyBorder="1"/>
    <xf numFmtId="165" fontId="17" fillId="6" borderId="37" xfId="1" applyFont="1" applyFill="1" applyBorder="1"/>
    <xf numFmtId="164" fontId="23" fillId="0" borderId="39" xfId="0" applyNumberFormat="1" applyFont="1" applyBorder="1" applyAlignment="1">
      <alignment horizontal="right" vertical="center"/>
    </xf>
    <xf numFmtId="164" fontId="8" fillId="0" borderId="39" xfId="0" applyNumberFormat="1" applyFont="1" applyBorder="1" applyAlignment="1">
      <alignment horizontal="right" vertical="center"/>
    </xf>
    <xf numFmtId="9" fontId="14" fillId="6" borderId="0" xfId="2" applyFont="1" applyFill="1"/>
    <xf numFmtId="9" fontId="14" fillId="0" borderId="0" xfId="2" applyFont="1"/>
    <xf numFmtId="167" fontId="14" fillId="6" borderId="42" xfId="0" applyNumberFormat="1" applyFont="1" applyFill="1" applyBorder="1"/>
    <xf numFmtId="2" fontId="14" fillId="6" borderId="0" xfId="0" applyNumberFormat="1" applyFont="1" applyFill="1"/>
    <xf numFmtId="2" fontId="14" fillId="0" borderId="0" xfId="0" applyNumberFormat="1" applyFont="1"/>
    <xf numFmtId="173" fontId="12" fillId="0" borderId="29" xfId="1" applyNumberFormat="1" applyFont="1" applyBorder="1" applyAlignment="1">
      <alignment horizontal="center" vertical="center"/>
    </xf>
    <xf numFmtId="167" fontId="14" fillId="6" borderId="36" xfId="0" applyNumberFormat="1" applyFont="1" applyFill="1" applyBorder="1"/>
    <xf numFmtId="9" fontId="11" fillId="0" borderId="0" xfId="2" applyFont="1" applyAlignment="1">
      <alignment horizontal="left"/>
    </xf>
    <xf numFmtId="165" fontId="14" fillId="0" borderId="42" xfId="1" applyFont="1" applyBorder="1" applyAlignment="1">
      <alignment horizontal="center" vertical="center"/>
    </xf>
    <xf numFmtId="165" fontId="14" fillId="0" borderId="0" xfId="1" applyFont="1" applyBorder="1" applyAlignment="1">
      <alignment horizontal="center" vertical="center"/>
    </xf>
    <xf numFmtId="171" fontId="14" fillId="0" borderId="0" xfId="0" applyNumberFormat="1" applyFont="1" applyAlignment="1">
      <alignment horizontal="right" vertical="center"/>
    </xf>
    <xf numFmtId="165" fontId="14" fillId="0" borderId="28" xfId="1" applyFont="1" applyBorder="1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165" fontId="14" fillId="0" borderId="42" xfId="1" applyFont="1" applyBorder="1" applyAlignment="1">
      <alignment horizontal="center"/>
    </xf>
    <xf numFmtId="165" fontId="14" fillId="0" borderId="0" xfId="1" applyFont="1" applyBorder="1" applyAlignment="1">
      <alignment horizontal="center"/>
    </xf>
    <xf numFmtId="165" fontId="14" fillId="0" borderId="28" xfId="0" applyNumberFormat="1" applyFont="1" applyBorder="1"/>
    <xf numFmtId="165" fontId="14" fillId="0" borderId="42" xfId="1" applyFont="1" applyBorder="1"/>
    <xf numFmtId="165" fontId="14" fillId="0" borderId="0" xfId="1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9" fontId="45" fillId="0" borderId="0" xfId="2" applyFont="1" applyAlignment="1">
      <alignment horizontal="left"/>
    </xf>
    <xf numFmtId="0" fontId="26" fillId="0" borderId="0" xfId="0" applyFont="1" applyAlignment="1">
      <alignment horizontal="center" wrapText="1"/>
    </xf>
    <xf numFmtId="9" fontId="14" fillId="6" borderId="39" xfId="2" applyFont="1" applyFill="1" applyBorder="1"/>
    <xf numFmtId="9" fontId="14" fillId="0" borderId="39" xfId="2" applyFont="1" applyBorder="1"/>
    <xf numFmtId="0" fontId="30" fillId="0" borderId="0" xfId="0" applyFont="1"/>
    <xf numFmtId="0" fontId="30" fillId="0" borderId="39" xfId="0" applyFont="1" applyBorder="1"/>
    <xf numFmtId="165" fontId="14" fillId="6" borderId="0" xfId="1" applyFont="1" applyFill="1" applyAlignment="1"/>
    <xf numFmtId="167" fontId="13" fillId="6" borderId="42" xfId="0" applyNumberFormat="1" applyFont="1" applyFill="1" applyBorder="1"/>
    <xf numFmtId="169" fontId="13" fillId="6" borderId="0" xfId="1" applyNumberFormat="1" applyFont="1" applyFill="1" applyBorder="1"/>
    <xf numFmtId="0" fontId="12" fillId="6" borderId="0" xfId="0" applyFont="1" applyFill="1" applyAlignment="1">
      <alignment horizontal="right"/>
    </xf>
    <xf numFmtId="177" fontId="33" fillId="0" borderId="0" xfId="0" applyNumberFormat="1" applyFont="1" applyAlignment="1">
      <alignment horizontal="right"/>
    </xf>
    <xf numFmtId="167" fontId="8" fillId="0" borderId="18" xfId="1" applyNumberFormat="1" applyFont="1" applyFill="1" applyBorder="1" applyAlignment="1"/>
    <xf numFmtId="167" fontId="8" fillId="0" borderId="0" xfId="1" applyNumberFormat="1" applyFont="1" applyFill="1" applyBorder="1" applyAlignment="1"/>
    <xf numFmtId="167" fontId="14" fillId="0" borderId="0" xfId="1" applyNumberFormat="1" applyFont="1" applyFill="1" applyBorder="1" applyAlignment="1"/>
    <xf numFmtId="177" fontId="33" fillId="6" borderId="0" xfId="0" applyNumberFormat="1" applyFont="1" applyFill="1" applyAlignment="1">
      <alignment horizontal="right"/>
    </xf>
    <xf numFmtId="177" fontId="33" fillId="6" borderId="0" xfId="0" applyNumberFormat="1" applyFont="1" applyFill="1"/>
    <xf numFmtId="169" fontId="33" fillId="0" borderId="0" xfId="1" applyNumberFormat="1" applyFont="1" applyFill="1" applyAlignment="1">
      <alignment horizontal="right"/>
    </xf>
    <xf numFmtId="169" fontId="8" fillId="0" borderId="18" xfId="1" applyNumberFormat="1" applyFont="1" applyFill="1" applyBorder="1" applyAlignment="1"/>
    <xf numFmtId="169" fontId="8" fillId="0" borderId="0" xfId="1" applyNumberFormat="1" applyFont="1" applyFill="1" applyBorder="1" applyAlignment="1"/>
    <xf numFmtId="169" fontId="33" fillId="0" borderId="0" xfId="1" applyNumberFormat="1" applyFont="1" applyFill="1"/>
    <xf numFmtId="165" fontId="12" fillId="0" borderId="18" xfId="1" applyFont="1" applyFill="1" applyBorder="1" applyAlignment="1"/>
    <xf numFmtId="165" fontId="12" fillId="0" borderId="0" xfId="1" applyFont="1" applyFill="1" applyBorder="1" applyAlignment="1"/>
    <xf numFmtId="2" fontId="8" fillId="0" borderId="18" xfId="0" applyNumberFormat="1" applyFont="1" applyBorder="1" applyAlignment="1">
      <alignment horizontal="center"/>
    </xf>
    <xf numFmtId="167" fontId="8" fillId="0" borderId="18" xfId="1" applyNumberFormat="1" applyFont="1" applyBorder="1"/>
    <xf numFmtId="165" fontId="8" fillId="0" borderId="0" xfId="1" applyFont="1" applyBorder="1" applyAlignment="1">
      <alignment horizontal="left"/>
    </xf>
    <xf numFmtId="0" fontId="8" fillId="0" borderId="48" xfId="0" applyFont="1" applyBorder="1"/>
    <xf numFmtId="167" fontId="11" fillId="0" borderId="49" xfId="0" applyNumberFormat="1" applyFont="1" applyBorder="1" applyAlignment="1">
      <alignment vertical="center"/>
    </xf>
    <xf numFmtId="167" fontId="20" fillId="6" borderId="50" xfId="0" applyNumberFormat="1" applyFont="1" applyFill="1" applyBorder="1" applyAlignment="1">
      <alignment vertical="center"/>
    </xf>
    <xf numFmtId="167" fontId="20" fillId="0" borderId="51" xfId="0" applyNumberFormat="1" applyFont="1" applyBorder="1" applyAlignment="1">
      <alignment vertical="center"/>
    </xf>
    <xf numFmtId="167" fontId="11" fillId="6" borderId="50" xfId="0" applyNumberFormat="1" applyFont="1" applyFill="1" applyBorder="1" applyAlignment="1">
      <alignment vertical="center"/>
    </xf>
    <xf numFmtId="167" fontId="11" fillId="0" borderId="50" xfId="0" applyNumberFormat="1" applyFont="1" applyBorder="1" applyAlignment="1">
      <alignment vertical="center"/>
    </xf>
    <xf numFmtId="167" fontId="11" fillId="0" borderId="51" xfId="0" applyNumberFormat="1" applyFont="1" applyBorder="1" applyAlignment="1">
      <alignment vertical="center"/>
    </xf>
    <xf numFmtId="9" fontId="11" fillId="6" borderId="52" xfId="2" applyFont="1" applyFill="1" applyBorder="1" applyAlignment="1">
      <alignment vertical="center"/>
    </xf>
    <xf numFmtId="167" fontId="11" fillId="0" borderId="48" xfId="0" applyNumberFormat="1" applyFont="1" applyBorder="1" applyAlignment="1">
      <alignment vertical="center"/>
    </xf>
    <xf numFmtId="9" fontId="11" fillId="0" borderId="48" xfId="2" applyFont="1" applyFill="1" applyBorder="1" applyAlignment="1">
      <alignment vertical="center"/>
    </xf>
    <xf numFmtId="0" fontId="8" fillId="0" borderId="53" xfId="0" applyFont="1" applyBorder="1"/>
    <xf numFmtId="0" fontId="8" fillId="6" borderId="48" xfId="0" applyFont="1" applyFill="1" applyBorder="1"/>
    <xf numFmtId="0" fontId="12" fillId="0" borderId="48" xfId="0" applyFont="1" applyBorder="1"/>
    <xf numFmtId="0" fontId="8" fillId="0" borderId="54" xfId="0" applyFont="1" applyBorder="1"/>
    <xf numFmtId="165" fontId="8" fillId="6" borderId="48" xfId="1" applyFont="1" applyFill="1" applyBorder="1" applyAlignment="1"/>
    <xf numFmtId="167" fontId="8" fillId="6" borderId="48" xfId="1" applyNumberFormat="1" applyFont="1" applyFill="1" applyBorder="1" applyAlignment="1"/>
    <xf numFmtId="167" fontId="8" fillId="0" borderId="48" xfId="1" applyNumberFormat="1" applyFont="1" applyFill="1" applyBorder="1" applyAlignment="1"/>
    <xf numFmtId="169" fontId="8" fillId="0" borderId="48" xfId="1" applyNumberFormat="1" applyFont="1" applyFill="1" applyBorder="1" applyAlignment="1"/>
    <xf numFmtId="165" fontId="12" fillId="0" borderId="48" xfId="1" applyFont="1" applyFill="1" applyBorder="1" applyAlignme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13" fillId="6" borderId="0" xfId="0" applyNumberFormat="1" applyFont="1" applyFill="1"/>
    <xf numFmtId="9" fontId="13" fillId="6" borderId="30" xfId="2" applyFont="1" applyFill="1" applyBorder="1"/>
    <xf numFmtId="167" fontId="32" fillId="0" borderId="0" xfId="0" applyNumberFormat="1" applyFont="1" applyAlignment="1">
      <alignment vertical="center"/>
    </xf>
    <xf numFmtId="14" fontId="47" fillId="0" borderId="0" xfId="0" applyNumberFormat="1" applyFont="1" applyAlignment="1">
      <alignment horizontal="right"/>
    </xf>
    <xf numFmtId="165" fontId="46" fillId="0" borderId="0" xfId="0" applyNumberFormat="1" applyFont="1" applyAlignment="1">
      <alignment horizontal="left"/>
    </xf>
    <xf numFmtId="169" fontId="14" fillId="6" borderId="0" xfId="1" applyNumberFormat="1" applyFont="1" applyFill="1" applyBorder="1"/>
    <xf numFmtId="169" fontId="14" fillId="6" borderId="37" xfId="1" applyNumberFormat="1" applyFont="1" applyFill="1" applyBorder="1"/>
    <xf numFmtId="167" fontId="12" fillId="7" borderId="27" xfId="0" applyNumberFormat="1" applyFont="1" applyFill="1" applyBorder="1"/>
    <xf numFmtId="0" fontId="8" fillId="0" borderId="0" xfId="0" applyFont="1" applyAlignment="1">
      <alignment vertical="center"/>
    </xf>
    <xf numFmtId="1" fontId="12" fillId="0" borderId="28" xfId="0" applyNumberFormat="1" applyFont="1" applyBorder="1" applyAlignment="1">
      <alignment horizontal="right" vertical="center"/>
    </xf>
    <xf numFmtId="44" fontId="8" fillId="0" borderId="0" xfId="0" applyNumberFormat="1" applyFont="1"/>
    <xf numFmtId="0" fontId="14" fillId="0" borderId="0" xfId="0" applyFont="1" applyAlignment="1">
      <alignment horizontal="right"/>
    </xf>
    <xf numFmtId="1" fontId="14" fillId="0" borderId="0" xfId="0" applyNumberFormat="1" applyFont="1" applyAlignment="1">
      <alignment horizontal="right"/>
    </xf>
    <xf numFmtId="9" fontId="14" fillId="0" borderId="43" xfId="2" applyFont="1" applyBorder="1"/>
    <xf numFmtId="9" fontId="49" fillId="6" borderId="39" xfId="2" applyFont="1" applyFill="1" applyBorder="1"/>
    <xf numFmtId="9" fontId="49" fillId="0" borderId="40" xfId="2" applyFont="1" applyBorder="1"/>
    <xf numFmtId="9" fontId="49" fillId="6" borderId="0" xfId="2" applyFont="1" applyFill="1"/>
    <xf numFmtId="9" fontId="49" fillId="0" borderId="28" xfId="2" applyFont="1" applyBorder="1"/>
    <xf numFmtId="1" fontId="13" fillId="0" borderId="42" xfId="0" applyNumberFormat="1" applyFont="1" applyBorder="1"/>
    <xf numFmtId="167" fontId="50" fillId="6" borderId="0" xfId="0" applyNumberFormat="1" applyFont="1" applyFill="1"/>
    <xf numFmtId="167" fontId="29" fillId="0" borderId="28" xfId="0" applyNumberFormat="1" applyFont="1" applyBorder="1"/>
    <xf numFmtId="9" fontId="13" fillId="0" borderId="43" xfId="2" applyFont="1" applyBorder="1"/>
    <xf numFmtId="9" fontId="42" fillId="6" borderId="39" xfId="2" applyFont="1" applyFill="1" applyBorder="1"/>
    <xf numFmtId="9" fontId="42" fillId="0" borderId="40" xfId="2" applyFont="1" applyBorder="1"/>
    <xf numFmtId="9" fontId="51" fillId="6" borderId="39" xfId="2" applyFont="1" applyFill="1" applyBorder="1" applyAlignment="1">
      <alignment vertical="center"/>
    </xf>
    <xf numFmtId="9" fontId="51" fillId="0" borderId="39" xfId="2" applyFont="1" applyFill="1" applyBorder="1" applyAlignment="1">
      <alignment vertical="center"/>
    </xf>
    <xf numFmtId="167" fontId="24" fillId="6" borderId="18" xfId="0" applyNumberFormat="1" applyFont="1" applyFill="1" applyBorder="1"/>
    <xf numFmtId="167" fontId="24" fillId="6" borderId="0" xfId="0" applyNumberFormat="1" applyFont="1" applyFill="1"/>
    <xf numFmtId="9" fontId="24" fillId="6" borderId="0" xfId="2" applyFont="1" applyFill="1" applyBorder="1"/>
    <xf numFmtId="167" fontId="24" fillId="6" borderId="37" xfId="0" applyNumberFormat="1" applyFont="1" applyFill="1" applyBorder="1"/>
    <xf numFmtId="0" fontId="24" fillId="6" borderId="0" xfId="0" applyFont="1" applyFill="1"/>
    <xf numFmtId="167" fontId="13" fillId="6" borderId="18" xfId="0" applyNumberFormat="1" applyFont="1" applyFill="1" applyBorder="1"/>
    <xf numFmtId="1" fontId="13" fillId="0" borderId="37" xfId="0" applyNumberFormat="1" applyFont="1" applyBorder="1"/>
    <xf numFmtId="0" fontId="22" fillId="6" borderId="0" xfId="0" quotePrefix="1" applyFont="1" applyFill="1" applyAlignment="1">
      <alignment horizontal="right"/>
    </xf>
    <xf numFmtId="165" fontId="25" fillId="6" borderId="33" xfId="0" applyNumberFormat="1" applyFont="1" applyFill="1" applyBorder="1"/>
    <xf numFmtId="165" fontId="25" fillId="6" borderId="32" xfId="0" applyNumberFormat="1" applyFont="1" applyFill="1" applyBorder="1"/>
    <xf numFmtId="165" fontId="25" fillId="0" borderId="28" xfId="0" applyNumberFormat="1" applyFont="1" applyBorder="1"/>
    <xf numFmtId="0" fontId="25" fillId="0" borderId="28" xfId="0" applyFont="1" applyBorder="1" applyAlignment="1">
      <alignment horizontal="right"/>
    </xf>
    <xf numFmtId="0" fontId="22" fillId="6" borderId="0" xfId="0" applyFont="1" applyFill="1" applyAlignment="1">
      <alignment horizontal="center"/>
    </xf>
    <xf numFmtId="165" fontId="18" fillId="6" borderId="40" xfId="1" applyFont="1" applyFill="1" applyBorder="1"/>
    <xf numFmtId="165" fontId="18" fillId="6" borderId="28" xfId="1" applyFont="1" applyFill="1" applyBorder="1"/>
    <xf numFmtId="165" fontId="18" fillId="6" borderId="38" xfId="1" applyFont="1" applyFill="1" applyBorder="1"/>
    <xf numFmtId="0" fontId="12" fillId="6" borderId="0" xfId="0" applyFont="1" applyFill="1" applyAlignment="1">
      <alignment horizontal="center"/>
    </xf>
    <xf numFmtId="167" fontId="8" fillId="0" borderId="0" xfId="0" applyNumberFormat="1" applyFont="1" applyAlignment="1">
      <alignment horizontal="right" vertical="center"/>
    </xf>
    <xf numFmtId="0" fontId="12" fillId="0" borderId="56" xfId="0" applyFont="1" applyBorder="1"/>
    <xf numFmtId="0" fontId="15" fillId="0" borderId="57" xfId="0" quotePrefix="1" applyFont="1" applyBorder="1" applyAlignment="1">
      <alignment horizontal="right"/>
    </xf>
    <xf numFmtId="165" fontId="15" fillId="0" borderId="56" xfId="1" applyFont="1" applyBorder="1"/>
    <xf numFmtId="165" fontId="15" fillId="0" borderId="58" xfId="1" applyFont="1" applyBorder="1"/>
    <xf numFmtId="165" fontId="15" fillId="0" borderId="59" xfId="1" applyFont="1" applyBorder="1"/>
    <xf numFmtId="165" fontId="15" fillId="0" borderId="57" xfId="1" applyFont="1" applyBorder="1"/>
    <xf numFmtId="165" fontId="14" fillId="0" borderId="56" xfId="1" applyFont="1" applyBorder="1"/>
    <xf numFmtId="0" fontId="8" fillId="0" borderId="56" xfId="0" applyFont="1" applyBorder="1"/>
    <xf numFmtId="0" fontId="8" fillId="0" borderId="59" xfId="0" applyFont="1" applyBorder="1"/>
    <xf numFmtId="165" fontId="16" fillId="0" borderId="56" xfId="1" applyFont="1" applyBorder="1"/>
    <xf numFmtId="165" fontId="17" fillId="0" borderId="57" xfId="1" applyFont="1" applyBorder="1"/>
    <xf numFmtId="169" fontId="46" fillId="0" borderId="0" xfId="0" applyNumberFormat="1" applyFont="1" applyAlignment="1">
      <alignment horizontal="right" vertical="top"/>
    </xf>
    <xf numFmtId="0" fontId="8" fillId="2" borderId="0" xfId="0" applyFont="1" applyFill="1"/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11" borderId="39" xfId="0" applyFont="1" applyFill="1" applyBorder="1"/>
    <xf numFmtId="0" fontId="8" fillId="12" borderId="39" xfId="0" applyFont="1" applyFill="1" applyBorder="1"/>
    <xf numFmtId="0" fontId="8" fillId="13" borderId="39" xfId="0" applyFont="1" applyFill="1" applyBorder="1"/>
    <xf numFmtId="0" fontId="8" fillId="14" borderId="39" xfId="0" applyFont="1" applyFill="1" applyBorder="1"/>
    <xf numFmtId="165" fontId="15" fillId="0" borderId="61" xfId="1" applyFont="1" applyBorder="1"/>
    <xf numFmtId="165" fontId="15" fillId="0" borderId="62" xfId="1" applyFont="1" applyBorder="1"/>
    <xf numFmtId="165" fontId="15" fillId="0" borderId="68" xfId="1" applyFont="1" applyBorder="1"/>
    <xf numFmtId="165" fontId="8" fillId="0" borderId="61" xfId="0" applyNumberFormat="1" applyFont="1" applyBorder="1"/>
    <xf numFmtId="165" fontId="8" fillId="0" borderId="62" xfId="0" applyNumberFormat="1" applyFont="1" applyBorder="1"/>
    <xf numFmtId="165" fontId="8" fillId="0" borderId="63" xfId="0" applyNumberFormat="1" applyFont="1" applyBorder="1"/>
    <xf numFmtId="165" fontId="8" fillId="0" borderId="60" xfId="0" applyNumberFormat="1" applyFont="1" applyBorder="1"/>
    <xf numFmtId="165" fontId="8" fillId="0" borderId="65" xfId="0" applyNumberFormat="1" applyFont="1" applyBorder="1"/>
    <xf numFmtId="165" fontId="8" fillId="0" borderId="66" xfId="0" applyNumberFormat="1" applyFont="1" applyBorder="1"/>
    <xf numFmtId="165" fontId="8" fillId="0" borderId="67" xfId="0" applyNumberFormat="1" applyFont="1" applyBorder="1"/>
    <xf numFmtId="165" fontId="8" fillId="0" borderId="64" xfId="0" applyNumberFormat="1" applyFont="1" applyBorder="1"/>
    <xf numFmtId="0" fontId="8" fillId="0" borderId="30" xfId="0" applyFont="1" applyBorder="1"/>
    <xf numFmtId="0" fontId="8" fillId="0" borderId="68" xfId="0" applyFont="1" applyBorder="1"/>
    <xf numFmtId="0" fontId="8" fillId="0" borderId="41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164" fontId="52" fillId="0" borderId="11" xfId="1" applyNumberFormat="1" applyFont="1" applyBorder="1"/>
    <xf numFmtId="164" fontId="52" fillId="0" borderId="11" xfId="0" applyNumberFormat="1" applyFont="1" applyBorder="1"/>
    <xf numFmtId="9" fontId="8" fillId="0" borderId="0" xfId="2" applyFont="1" applyAlignment="1">
      <alignment horizontal="right"/>
    </xf>
    <xf numFmtId="9" fontId="8" fillId="0" borderId="70" xfId="2" applyFont="1" applyBorder="1" applyAlignment="1">
      <alignment horizontal="right"/>
    </xf>
    <xf numFmtId="165" fontId="8" fillId="0" borderId="68" xfId="0" applyNumberFormat="1" applyFont="1" applyBorder="1"/>
    <xf numFmtId="165" fontId="8" fillId="0" borderId="69" xfId="0" applyNumberFormat="1" applyFont="1" applyBorder="1"/>
    <xf numFmtId="164" fontId="8" fillId="0" borderId="68" xfId="0" applyNumberFormat="1" applyFont="1" applyBorder="1" applyAlignment="1">
      <alignment horizontal="right" vertical="center"/>
    </xf>
    <xf numFmtId="9" fontId="8" fillId="0" borderId="68" xfId="2" applyFont="1" applyBorder="1" applyAlignment="1">
      <alignment horizontal="right"/>
    </xf>
    <xf numFmtId="0" fontId="12" fillId="7" borderId="0" xfId="0" applyFont="1" applyFill="1" applyAlignment="1">
      <alignment horizontal="left"/>
    </xf>
    <xf numFmtId="165" fontId="27" fillId="0" borderId="0" xfId="1" applyFont="1" applyBorder="1" applyAlignment="1">
      <alignment horizontal="center"/>
    </xf>
    <xf numFmtId="164" fontId="48" fillId="0" borderId="0" xfId="0" applyNumberFormat="1" applyFont="1" applyAlignment="1">
      <alignment horizontal="left" vertical="center"/>
    </xf>
    <xf numFmtId="167" fontId="15" fillId="0" borderId="0" xfId="0" applyNumberFormat="1" applyFont="1" applyAlignment="1">
      <alignment horizontal="right" vertical="center"/>
    </xf>
    <xf numFmtId="173" fontId="12" fillId="0" borderId="0" xfId="1" applyNumberFormat="1" applyFont="1" applyBorder="1" applyAlignment="1">
      <alignment horizontal="center" vertical="center"/>
    </xf>
    <xf numFmtId="165" fontId="12" fillId="0" borderId="0" xfId="1" applyFont="1" applyBorder="1" applyAlignment="1">
      <alignment horizontal="center" vertical="center"/>
    </xf>
    <xf numFmtId="167" fontId="12" fillId="6" borderId="0" xfId="0" applyNumberFormat="1" applyFont="1" applyFill="1" applyAlignment="1">
      <alignment horizontal="center" vertical="center"/>
    </xf>
    <xf numFmtId="165" fontId="8" fillId="0" borderId="0" xfId="0" applyNumberFormat="1" applyFont="1" applyAlignment="1">
      <alignment wrapText="1"/>
    </xf>
    <xf numFmtId="0" fontId="8" fillId="6" borderId="29" xfId="0" applyFont="1" applyFill="1" applyBorder="1"/>
    <xf numFmtId="0" fontId="27" fillId="6" borderId="29" xfId="0" applyFont="1" applyFill="1" applyBorder="1"/>
    <xf numFmtId="165" fontId="8" fillId="0" borderId="29" xfId="1" applyFont="1" applyBorder="1" applyAlignment="1"/>
    <xf numFmtId="165" fontId="8" fillId="6" borderId="29" xfId="1" applyFont="1" applyFill="1" applyBorder="1" applyAlignment="1"/>
    <xf numFmtId="165" fontId="27" fillId="6" borderId="29" xfId="1" applyFont="1" applyFill="1" applyBorder="1" applyAlignment="1"/>
    <xf numFmtId="165" fontId="8" fillId="6" borderId="29" xfId="0" applyNumberFormat="1" applyFont="1" applyFill="1" applyBorder="1"/>
    <xf numFmtId="9" fontId="8" fillId="0" borderId="29" xfId="2" applyFont="1" applyBorder="1" applyAlignment="1">
      <alignment horizontal="center" vertical="center"/>
    </xf>
    <xf numFmtId="9" fontId="8" fillId="6" borderId="29" xfId="2" applyFont="1" applyFill="1" applyBorder="1" applyAlignment="1">
      <alignment horizontal="center" vertical="center"/>
    </xf>
    <xf numFmtId="165" fontId="8" fillId="0" borderId="29" xfId="1" applyFont="1" applyFill="1" applyBorder="1" applyAlignment="1"/>
    <xf numFmtId="1" fontId="8" fillId="0" borderId="29" xfId="1" applyNumberFormat="1" applyFont="1" applyBorder="1" applyAlignment="1">
      <alignment horizontal="center" vertical="center"/>
    </xf>
    <xf numFmtId="1" fontId="8" fillId="6" borderId="29" xfId="1" applyNumberFormat="1" applyFont="1" applyFill="1" applyBorder="1" applyAlignment="1">
      <alignment horizontal="center" vertical="center"/>
    </xf>
    <xf numFmtId="1" fontId="8" fillId="0" borderId="29" xfId="1" applyNumberFormat="1" applyFont="1" applyFill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1" fontId="8" fillId="6" borderId="29" xfId="0" applyNumberFormat="1" applyFont="1" applyFill="1" applyBorder="1" applyAlignment="1">
      <alignment horizontal="center" vertical="center"/>
    </xf>
    <xf numFmtId="171" fontId="8" fillId="0" borderId="29" xfId="0" applyNumberFormat="1" applyFont="1" applyBorder="1" applyAlignment="1">
      <alignment horizontal="center" vertical="center"/>
    </xf>
    <xf numFmtId="171" fontId="8" fillId="6" borderId="29" xfId="0" applyNumberFormat="1" applyFont="1" applyFill="1" applyBorder="1" applyAlignment="1">
      <alignment horizontal="center" vertical="center"/>
    </xf>
    <xf numFmtId="165" fontId="8" fillId="6" borderId="34" xfId="0" applyNumberFormat="1" applyFont="1" applyFill="1" applyBorder="1"/>
    <xf numFmtId="0" fontId="8" fillId="6" borderId="34" xfId="0" applyFont="1" applyFill="1" applyBorder="1"/>
    <xf numFmtId="165" fontId="8" fillId="0" borderId="34" xfId="1" applyFont="1" applyBorder="1" applyAlignment="1"/>
    <xf numFmtId="165" fontId="8" fillId="0" borderId="38" xfId="0" applyNumberFormat="1" applyFont="1" applyBorder="1" applyAlignment="1">
      <alignment horizontal="right"/>
    </xf>
    <xf numFmtId="165" fontId="8" fillId="0" borderId="35" xfId="0" applyNumberFormat="1" applyFont="1" applyBorder="1" applyAlignment="1">
      <alignment horizontal="right"/>
    </xf>
    <xf numFmtId="0" fontId="8" fillId="0" borderId="72" xfId="0" applyFont="1" applyBorder="1" applyAlignment="1">
      <alignment horizontal="right" vertical="center"/>
    </xf>
    <xf numFmtId="0" fontId="12" fillId="0" borderId="35" xfId="0" applyFont="1" applyBorder="1" applyAlignment="1">
      <alignment horizontal="right"/>
    </xf>
    <xf numFmtId="165" fontId="12" fillId="0" borderId="35" xfId="0" applyNumberFormat="1" applyFont="1" applyBorder="1" applyAlignment="1">
      <alignment horizontal="right"/>
    </xf>
    <xf numFmtId="9" fontId="12" fillId="0" borderId="35" xfId="2" applyFont="1" applyBorder="1" applyAlignment="1">
      <alignment horizontal="right" vertical="center"/>
    </xf>
    <xf numFmtId="0" fontId="8" fillId="0" borderId="49" xfId="0" applyFont="1" applyBorder="1"/>
    <xf numFmtId="0" fontId="8" fillId="0" borderId="35" xfId="0" applyFont="1" applyBorder="1"/>
    <xf numFmtId="165" fontId="8" fillId="0" borderId="35" xfId="1" applyFont="1" applyBorder="1" applyAlignment="1"/>
    <xf numFmtId="9" fontId="8" fillId="0" borderId="35" xfId="2" applyFont="1" applyBorder="1" applyAlignment="1">
      <alignment horizontal="center" vertical="center"/>
    </xf>
    <xf numFmtId="1" fontId="8" fillId="0" borderId="35" xfId="1" applyNumberFormat="1" applyFont="1" applyBorder="1" applyAlignment="1">
      <alignment horizontal="center" vertical="center"/>
    </xf>
    <xf numFmtId="1" fontId="8" fillId="0" borderId="35" xfId="0" applyNumberFormat="1" applyFont="1" applyBorder="1" applyAlignment="1">
      <alignment horizontal="center" vertical="center"/>
    </xf>
    <xf numFmtId="171" fontId="8" fillId="0" borderId="35" xfId="0" applyNumberFormat="1" applyFont="1" applyBorder="1" applyAlignment="1">
      <alignment horizontal="center" vertical="center"/>
    </xf>
    <xf numFmtId="165" fontId="8" fillId="0" borderId="38" xfId="0" applyNumberFormat="1" applyFont="1" applyBorder="1"/>
    <xf numFmtId="0" fontId="8" fillId="0" borderId="49" xfId="0" applyFont="1" applyBorder="1" applyAlignment="1">
      <alignment horizontal="right"/>
    </xf>
    <xf numFmtId="0" fontId="8" fillId="0" borderId="74" xfId="0" applyFont="1" applyBorder="1" applyAlignment="1">
      <alignment vertical="center"/>
    </xf>
    <xf numFmtId="165" fontId="8" fillId="0" borderId="0" xfId="0" applyNumberFormat="1" applyFont="1" applyAlignment="1">
      <alignment horizontal="right" wrapText="1"/>
    </xf>
    <xf numFmtId="0" fontId="8" fillId="0" borderId="35" xfId="0" applyFont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165" fontId="8" fillId="0" borderId="32" xfId="1" applyFont="1" applyBorder="1" applyAlignment="1"/>
    <xf numFmtId="165" fontId="8" fillId="6" borderId="32" xfId="1" applyFont="1" applyFill="1" applyBorder="1" applyAlignment="1"/>
    <xf numFmtId="0" fontId="8" fillId="0" borderId="50" xfId="0" applyFont="1" applyBorder="1"/>
    <xf numFmtId="0" fontId="8" fillId="0" borderId="50" xfId="0" applyFont="1" applyBorder="1" applyAlignment="1">
      <alignment wrapText="1"/>
    </xf>
    <xf numFmtId="0" fontId="8" fillId="6" borderId="49" xfId="0" applyFont="1" applyFill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 wrapText="1"/>
    </xf>
    <xf numFmtId="2" fontId="8" fillId="6" borderId="29" xfId="0" applyNumberFormat="1" applyFont="1" applyFill="1" applyBorder="1"/>
    <xf numFmtId="2" fontId="8" fillId="0" borderId="29" xfId="0" applyNumberFormat="1" applyFont="1" applyBorder="1"/>
    <xf numFmtId="165" fontId="8" fillId="16" borderId="49" xfId="1" applyFont="1" applyFill="1" applyBorder="1" applyAlignment="1"/>
    <xf numFmtId="165" fontId="8" fillId="16" borderId="49" xfId="0" applyNumberFormat="1" applyFont="1" applyFill="1" applyBorder="1"/>
    <xf numFmtId="0" fontId="8" fillId="16" borderId="49" xfId="0" applyFont="1" applyFill="1" applyBorder="1"/>
    <xf numFmtId="9" fontId="8" fillId="16" borderId="49" xfId="2" applyFont="1" applyFill="1" applyBorder="1" applyAlignment="1">
      <alignment horizontal="center" vertical="center"/>
    </xf>
    <xf numFmtId="2" fontId="8" fillId="16" borderId="49" xfId="0" applyNumberFormat="1" applyFont="1" applyFill="1" applyBorder="1"/>
    <xf numFmtId="1" fontId="8" fillId="16" borderId="49" xfId="1" applyNumberFormat="1" applyFont="1" applyFill="1" applyBorder="1" applyAlignment="1">
      <alignment horizontal="center"/>
    </xf>
    <xf numFmtId="1" fontId="8" fillId="16" borderId="49" xfId="1" applyNumberFormat="1" applyFont="1" applyFill="1" applyBorder="1" applyAlignment="1">
      <alignment horizontal="center" vertical="center"/>
    </xf>
    <xf numFmtId="1" fontId="8" fillId="16" borderId="49" xfId="0" applyNumberFormat="1" applyFont="1" applyFill="1" applyBorder="1" applyAlignment="1">
      <alignment horizontal="center" vertical="center"/>
    </xf>
    <xf numFmtId="171" fontId="8" fillId="16" borderId="49" xfId="0" applyNumberFormat="1" applyFont="1" applyFill="1" applyBorder="1" applyAlignment="1">
      <alignment horizontal="center" vertical="center"/>
    </xf>
    <xf numFmtId="0" fontId="8" fillId="16" borderId="51" xfId="0" applyFont="1" applyFill="1" applyBorder="1"/>
    <xf numFmtId="165" fontId="8" fillId="0" borderId="0" xfId="1" applyFont="1" applyAlignment="1">
      <alignment wrapText="1"/>
    </xf>
    <xf numFmtId="0" fontId="8" fillId="0" borderId="29" xfId="0" applyFont="1" applyBorder="1" applyAlignment="1">
      <alignment horizontal="right" vertical="center"/>
    </xf>
    <xf numFmtId="165" fontId="8" fillId="0" borderId="29" xfId="1" applyFont="1" applyBorder="1" applyAlignment="1">
      <alignment horizontal="left" vertical="center"/>
    </xf>
    <xf numFmtId="165" fontId="8" fillId="0" borderId="29" xfId="1" applyFont="1" applyBorder="1" applyAlignment="1">
      <alignment horizontal="left" vertical="center" wrapText="1"/>
    </xf>
    <xf numFmtId="0" fontId="27" fillId="0" borderId="0" xfId="0" applyFont="1" applyAlignment="1">
      <alignment horizontal="left"/>
    </xf>
    <xf numFmtId="0" fontId="8" fillId="15" borderId="39" xfId="0" applyFont="1" applyFill="1" applyBorder="1" applyAlignment="1">
      <alignment horizontal="left" vertical="center"/>
    </xf>
    <xf numFmtId="0" fontId="11" fillId="0" borderId="0" xfId="0" applyFont="1" applyAlignment="1">
      <alignment wrapText="1"/>
    </xf>
    <xf numFmtId="0" fontId="8" fillId="0" borderId="33" xfId="0" applyFont="1" applyBorder="1" applyAlignment="1">
      <alignment wrapText="1"/>
    </xf>
    <xf numFmtId="14" fontId="8" fillId="0" borderId="0" xfId="0" applyNumberFormat="1" applyFont="1" applyAlignment="1">
      <alignment wrapText="1"/>
    </xf>
    <xf numFmtId="165" fontId="8" fillId="0" borderId="0" xfId="1" applyFont="1" applyBorder="1" applyAlignment="1">
      <alignment wrapText="1"/>
    </xf>
    <xf numFmtId="9" fontId="31" fillId="0" borderId="0" xfId="2" applyFont="1" applyFill="1" applyBorder="1" applyAlignment="1">
      <alignment vertical="center"/>
    </xf>
    <xf numFmtId="9" fontId="14" fillId="6" borderId="30" xfId="2" applyFont="1" applyFill="1" applyBorder="1"/>
    <xf numFmtId="9" fontId="14" fillId="6" borderId="43" xfId="2" applyFont="1" applyFill="1" applyBorder="1"/>
    <xf numFmtId="167" fontId="8" fillId="6" borderId="0" xfId="1" applyNumberFormat="1" applyFont="1" applyFill="1" applyAlignment="1">
      <alignment horizontal="center" vertical="center"/>
    </xf>
    <xf numFmtId="167" fontId="8" fillId="0" borderId="0" xfId="1" applyNumberFormat="1" applyFont="1" applyFill="1" applyAlignment="1">
      <alignment horizontal="center" vertical="center"/>
    </xf>
    <xf numFmtId="169" fontId="8" fillId="0" borderId="0" xfId="1" applyNumberFormat="1" applyFont="1" applyFill="1" applyAlignment="1">
      <alignment horizontal="center" vertical="center"/>
    </xf>
    <xf numFmtId="165" fontId="8" fillId="0" borderId="0" xfId="1" applyFont="1" applyFill="1" applyAlignment="1">
      <alignment horizontal="center" vertical="center"/>
    </xf>
    <xf numFmtId="165" fontId="8" fillId="6" borderId="0" xfId="1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wrapText="1"/>
    </xf>
    <xf numFmtId="165" fontId="12" fillId="6" borderId="30" xfId="1" applyFont="1" applyFill="1" applyBorder="1"/>
    <xf numFmtId="167" fontId="8" fillId="6" borderId="0" xfId="1" applyNumberFormat="1" applyFont="1" applyFill="1" applyBorder="1" applyAlignment="1">
      <alignment horizontal="center" vertical="center"/>
    </xf>
    <xf numFmtId="169" fontId="8" fillId="6" borderId="0" xfId="1" applyNumberFormat="1" applyFont="1" applyFill="1" applyBorder="1" applyAlignment="1">
      <alignment horizontal="center" vertical="center"/>
    </xf>
    <xf numFmtId="165" fontId="30" fillId="0" borderId="0" xfId="1" applyFont="1" applyAlignment="1"/>
    <xf numFmtId="167" fontId="30" fillId="6" borderId="0" xfId="0" applyNumberFormat="1" applyFont="1" applyFill="1" applyAlignment="1">
      <alignment horizontal="center" vertical="center"/>
    </xf>
    <xf numFmtId="9" fontId="30" fillId="0" borderId="0" xfId="2" applyFont="1" applyBorder="1" applyAlignment="1">
      <alignment horizontal="center" vertical="center"/>
    </xf>
    <xf numFmtId="167" fontId="14" fillId="6" borderId="0" xfId="1" applyNumberFormat="1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9" fontId="14" fillId="6" borderId="0" xfId="1" applyNumberFormat="1" applyFont="1" applyFill="1" applyBorder="1" applyAlignment="1">
      <alignment horizontal="center" vertical="center"/>
    </xf>
    <xf numFmtId="165" fontId="14" fillId="0" borderId="0" xfId="1" applyFont="1" applyAlignment="1"/>
    <xf numFmtId="167" fontId="45" fillId="6" borderId="0" xfId="0" applyNumberFormat="1" applyFont="1" applyFill="1" applyAlignment="1">
      <alignment vertical="center"/>
    </xf>
    <xf numFmtId="167" fontId="45" fillId="0" borderId="0" xfId="0" applyNumberFormat="1" applyFont="1" applyAlignment="1">
      <alignment vertical="center"/>
    </xf>
    <xf numFmtId="9" fontId="45" fillId="6" borderId="30" xfId="2" applyFont="1" applyFill="1" applyBorder="1" applyAlignment="1">
      <alignment vertical="center"/>
    </xf>
    <xf numFmtId="165" fontId="30" fillId="6" borderId="35" xfId="1" applyFont="1" applyFill="1" applyBorder="1"/>
    <xf numFmtId="165" fontId="14" fillId="6" borderId="0" xfId="1" applyFont="1" applyFill="1" applyBorder="1" applyAlignment="1">
      <alignment horizontal="center" vertical="center"/>
    </xf>
    <xf numFmtId="167" fontId="45" fillId="0" borderId="30" xfId="0" applyNumberFormat="1" applyFont="1" applyBorder="1" applyAlignment="1">
      <alignment vertical="center"/>
    </xf>
    <xf numFmtId="0" fontId="30" fillId="0" borderId="28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165" fontId="30" fillId="6" borderId="0" xfId="1" applyFont="1" applyFill="1" applyAlignment="1">
      <alignment horizontal="center" vertical="center"/>
    </xf>
    <xf numFmtId="167" fontId="14" fillId="6" borderId="0" xfId="1" applyNumberFormat="1" applyFont="1" applyFill="1" applyAlignment="1">
      <alignment horizontal="center" vertical="center"/>
    </xf>
    <xf numFmtId="167" fontId="14" fillId="0" borderId="0" xfId="1" applyNumberFormat="1" applyFont="1" applyFill="1" applyAlignment="1">
      <alignment horizontal="center" vertical="center"/>
    </xf>
    <xf numFmtId="169" fontId="14" fillId="0" borderId="0" xfId="1" applyNumberFormat="1" applyFont="1" applyFill="1" applyAlignment="1">
      <alignment horizontal="center" vertical="center"/>
    </xf>
    <xf numFmtId="165" fontId="14" fillId="0" borderId="0" xfId="1" applyFont="1" applyFill="1" applyAlignment="1">
      <alignment horizontal="center" vertical="center"/>
    </xf>
    <xf numFmtId="167" fontId="55" fillId="6" borderId="0" xfId="0" applyNumberFormat="1" applyFont="1" applyFill="1" applyAlignment="1">
      <alignment vertical="center"/>
    </xf>
    <xf numFmtId="167" fontId="55" fillId="0" borderId="28" xfId="0" applyNumberFormat="1" applyFont="1" applyBorder="1" applyAlignment="1">
      <alignment vertical="center"/>
    </xf>
    <xf numFmtId="165" fontId="12" fillId="6" borderId="18" xfId="1" applyFont="1" applyFill="1" applyBorder="1"/>
    <xf numFmtId="167" fontId="13" fillId="6" borderId="0" xfId="1" applyNumberFormat="1" applyFont="1" applyFill="1" applyBorder="1" applyAlignment="1"/>
    <xf numFmtId="165" fontId="13" fillId="6" borderId="0" xfId="1" applyFont="1" applyFill="1" applyBorder="1" applyAlignment="1"/>
    <xf numFmtId="165" fontId="13" fillId="0" borderId="0" xfId="1" applyFont="1" applyBorder="1" applyAlignment="1"/>
    <xf numFmtId="167" fontId="13" fillId="0" borderId="0" xfId="1" applyNumberFormat="1" applyFont="1" applyFill="1" applyBorder="1" applyAlignment="1"/>
    <xf numFmtId="169" fontId="13" fillId="0" borderId="0" xfId="1" applyNumberFormat="1" applyFont="1" applyFill="1" applyBorder="1" applyAlignment="1"/>
    <xf numFmtId="165" fontId="12" fillId="0" borderId="0" xfId="1" applyFont="1" applyFill="1" applyBorder="1"/>
    <xf numFmtId="165" fontId="30" fillId="0" borderId="0" xfId="1" applyFont="1" applyFill="1" applyBorder="1" applyAlignment="1"/>
    <xf numFmtId="165" fontId="14" fillId="6" borderId="0" xfId="1" applyFont="1" applyFill="1" applyBorder="1" applyAlignment="1"/>
    <xf numFmtId="165" fontId="8" fillId="6" borderId="53" xfId="1" applyFont="1" applyFill="1" applyBorder="1" applyAlignment="1"/>
    <xf numFmtId="165" fontId="8" fillId="6" borderId="78" xfId="1" applyFont="1" applyFill="1" applyBorder="1" applyAlignment="1"/>
    <xf numFmtId="165" fontId="12" fillId="0" borderId="78" xfId="1" applyFont="1" applyFill="1" applyBorder="1" applyAlignment="1"/>
    <xf numFmtId="165" fontId="30" fillId="0" borderId="0" xfId="1" applyFont="1" applyBorder="1" applyAlignment="1"/>
    <xf numFmtId="167" fontId="8" fillId="0" borderId="36" xfId="0" applyNumberFormat="1" applyFont="1" applyBorder="1"/>
    <xf numFmtId="167" fontId="8" fillId="6" borderId="37" xfId="0" applyNumberFormat="1" applyFont="1" applyFill="1" applyBorder="1"/>
    <xf numFmtId="167" fontId="8" fillId="0" borderId="38" xfId="0" applyNumberFormat="1" applyFont="1" applyBorder="1"/>
    <xf numFmtId="9" fontId="8" fillId="6" borderId="35" xfId="2" applyFont="1" applyFill="1" applyBorder="1" applyAlignment="1">
      <alignment horizontal="right" vertical="center"/>
    </xf>
    <xf numFmtId="167" fontId="8" fillId="0" borderId="35" xfId="0" applyNumberFormat="1" applyFont="1" applyBorder="1"/>
    <xf numFmtId="167" fontId="26" fillId="6" borderId="36" xfId="0" applyNumberFormat="1" applyFont="1" applyFill="1" applyBorder="1"/>
    <xf numFmtId="169" fontId="8" fillId="6" borderId="37" xfId="1" applyNumberFormat="1" applyFont="1" applyFill="1" applyBorder="1"/>
    <xf numFmtId="1" fontId="13" fillId="0" borderId="38" xfId="0" applyNumberFormat="1" applyFont="1" applyBorder="1"/>
    <xf numFmtId="9" fontId="14" fillId="0" borderId="38" xfId="2" applyFont="1" applyBorder="1"/>
    <xf numFmtId="0" fontId="8" fillId="0" borderId="80" xfId="0" applyFont="1" applyBorder="1"/>
    <xf numFmtId="1" fontId="13" fillId="0" borderId="36" xfId="0" applyNumberFormat="1" applyFont="1" applyBorder="1"/>
    <xf numFmtId="0" fontId="14" fillId="6" borderId="28" xfId="0" applyFont="1" applyFill="1" applyBorder="1"/>
    <xf numFmtId="0" fontId="12" fillId="0" borderId="36" xfId="0" applyFont="1" applyBorder="1"/>
    <xf numFmtId="0" fontId="14" fillId="6" borderId="40" xfId="0" applyFont="1" applyFill="1" applyBorder="1"/>
    <xf numFmtId="0" fontId="30" fillId="0" borderId="36" xfId="0" applyFont="1" applyBorder="1"/>
    <xf numFmtId="0" fontId="14" fillId="6" borderId="37" xfId="0" applyFont="1" applyFill="1" applyBorder="1"/>
    <xf numFmtId="0" fontId="30" fillId="0" borderId="42" xfId="0" applyFont="1" applyBorder="1"/>
    <xf numFmtId="9" fontId="13" fillId="6" borderId="0" xfId="2" applyFont="1" applyFill="1"/>
    <xf numFmtId="9" fontId="13" fillId="0" borderId="0" xfId="2" applyFont="1"/>
    <xf numFmtId="9" fontId="13" fillId="0" borderId="28" xfId="2" applyFont="1" applyBorder="1"/>
    <xf numFmtId="9" fontId="13" fillId="0" borderId="30" xfId="2" applyFont="1" applyBorder="1"/>
    <xf numFmtId="0" fontId="13" fillId="0" borderId="30" xfId="0" applyFont="1" applyBorder="1"/>
    <xf numFmtId="165" fontId="29" fillId="0" borderId="0" xfId="1" applyFont="1" applyAlignment="1"/>
    <xf numFmtId="9" fontId="13" fillId="0" borderId="42" xfId="2" applyFont="1" applyBorder="1"/>
    <xf numFmtId="9" fontId="32" fillId="6" borderId="42" xfId="2" applyFont="1" applyFill="1" applyBorder="1"/>
    <xf numFmtId="169" fontId="8" fillId="6" borderId="28" xfId="1" applyNumberFormat="1" applyFont="1" applyFill="1" applyBorder="1"/>
    <xf numFmtId="165" fontId="12" fillId="6" borderId="0" xfId="1" applyFont="1" applyFill="1" applyBorder="1" applyAlignment="1"/>
    <xf numFmtId="169" fontId="8" fillId="6" borderId="79" xfId="1" applyNumberFormat="1" applyFont="1" applyFill="1" applyBorder="1"/>
    <xf numFmtId="165" fontId="12" fillId="0" borderId="39" xfId="1" applyFont="1" applyBorder="1" applyAlignment="1"/>
    <xf numFmtId="165" fontId="29" fillId="0" borderId="0" xfId="1" applyFont="1" applyBorder="1" applyAlignment="1"/>
    <xf numFmtId="165" fontId="30" fillId="0" borderId="42" xfId="1" applyFont="1" applyBorder="1" applyAlignment="1"/>
    <xf numFmtId="0" fontId="12" fillId="0" borderId="79" xfId="0" applyFont="1" applyBorder="1"/>
    <xf numFmtId="0" fontId="12" fillId="0" borderId="38" xfId="0" applyFont="1" applyBorder="1"/>
    <xf numFmtId="1" fontId="29" fillId="0" borderId="0" xfId="0" applyNumberFormat="1" applyFont="1"/>
    <xf numFmtId="0" fontId="29" fillId="0" borderId="28" xfId="0" applyFont="1" applyBorder="1"/>
    <xf numFmtId="0" fontId="29" fillId="0" borderId="35" xfId="0" applyFont="1" applyBorder="1"/>
    <xf numFmtId="14" fontId="53" fillId="6" borderId="0" xfId="0" applyNumberFormat="1" applyFont="1" applyFill="1"/>
    <xf numFmtId="0" fontId="53" fillId="6" borderId="0" xfId="0" applyFont="1" applyFill="1"/>
    <xf numFmtId="165" fontId="53" fillId="6" borderId="0" xfId="1" applyFont="1" applyFill="1"/>
    <xf numFmtId="165" fontId="8" fillId="17" borderId="12" xfId="0" applyNumberFormat="1" applyFont="1" applyFill="1" applyBorder="1" applyAlignment="1">
      <alignment horizontal="center" vertical="center"/>
    </xf>
    <xf numFmtId="9" fontId="8" fillId="0" borderId="41" xfId="2" applyFont="1" applyBorder="1"/>
    <xf numFmtId="165" fontId="29" fillId="0" borderId="0" xfId="1" applyFont="1" applyFill="1" applyBorder="1" applyAlignment="1"/>
    <xf numFmtId="165" fontId="30" fillId="0" borderId="42" xfId="1" applyFont="1" applyFill="1" applyBorder="1" applyAlignment="1"/>
    <xf numFmtId="9" fontId="12" fillId="6" borderId="0" xfId="2" applyFont="1" applyFill="1" applyBorder="1"/>
    <xf numFmtId="9" fontId="26" fillId="6" borderId="0" xfId="2" applyFont="1" applyFill="1" applyBorder="1" applyAlignment="1">
      <alignment vertical="center"/>
    </xf>
    <xf numFmtId="9" fontId="31" fillId="6" borderId="0" xfId="2" applyFont="1" applyFill="1" applyBorder="1" applyAlignment="1">
      <alignment vertical="center"/>
    </xf>
    <xf numFmtId="9" fontId="12" fillId="6" borderId="18" xfId="2" applyFont="1" applyFill="1" applyBorder="1"/>
    <xf numFmtId="9" fontId="12" fillId="6" borderId="37" xfId="2" applyFont="1" applyFill="1" applyBorder="1" applyAlignment="1">
      <alignment horizontal="right"/>
    </xf>
    <xf numFmtId="9" fontId="12" fillId="6" borderId="0" xfId="2" applyFont="1" applyFill="1" applyBorder="1" applyAlignment="1">
      <alignment horizontal="right"/>
    </xf>
    <xf numFmtId="9" fontId="12" fillId="6" borderId="18" xfId="2" applyFont="1" applyFill="1" applyBorder="1" applyAlignment="1">
      <alignment horizontal="right"/>
    </xf>
    <xf numFmtId="9" fontId="29" fillId="6" borderId="0" xfId="2" applyFont="1" applyFill="1" applyBorder="1" applyAlignment="1">
      <alignment horizontal="right"/>
    </xf>
    <xf numFmtId="9" fontId="30" fillId="6" borderId="0" xfId="2" applyFont="1" applyFill="1" applyBorder="1" applyAlignment="1">
      <alignment horizontal="right"/>
    </xf>
    <xf numFmtId="9" fontId="12" fillId="6" borderId="0" xfId="2" applyFont="1" applyFill="1"/>
    <xf numFmtId="9" fontId="24" fillId="0" borderId="0" xfId="0" applyNumberFormat="1" applyFont="1"/>
    <xf numFmtId="9" fontId="8" fillId="0" borderId="0" xfId="2" applyFont="1" applyFill="1"/>
    <xf numFmtId="165" fontId="8" fillId="0" borderId="0" xfId="1" applyFont="1" applyFill="1" applyBorder="1"/>
    <xf numFmtId="9" fontId="12" fillId="0" borderId="0" xfId="2" applyFont="1" applyFill="1" applyBorder="1"/>
    <xf numFmtId="9" fontId="33" fillId="0" borderId="0" xfId="2" applyFont="1" applyFill="1"/>
    <xf numFmtId="9" fontId="33" fillId="0" borderId="28" xfId="0" applyNumberFormat="1" applyFont="1" applyBorder="1"/>
    <xf numFmtId="9" fontId="8" fillId="0" borderId="0" xfId="2" applyFont="1" applyFill="1" applyBorder="1"/>
    <xf numFmtId="14" fontId="54" fillId="0" borderId="0" xfId="0" applyNumberFormat="1" applyFont="1" applyAlignment="1">
      <alignment horizontal="right" vertical="center"/>
    </xf>
    <xf numFmtId="164" fontId="48" fillId="0" borderId="0" xfId="0" applyNumberFormat="1" applyFont="1" applyAlignment="1">
      <alignment horizontal="right" vertical="center"/>
    </xf>
    <xf numFmtId="14" fontId="56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/>
    </xf>
    <xf numFmtId="9" fontId="32" fillId="0" borderId="0" xfId="2" applyFont="1" applyFill="1" applyBorder="1" applyAlignment="1">
      <alignment vertical="center"/>
    </xf>
    <xf numFmtId="165" fontId="11" fillId="0" borderId="0" xfId="1" applyFont="1" applyAlignment="1">
      <alignment vertical="center"/>
    </xf>
    <xf numFmtId="165" fontId="45" fillId="0" borderId="0" xfId="1" applyFont="1" applyAlignment="1">
      <alignment vertical="center"/>
    </xf>
    <xf numFmtId="165" fontId="11" fillId="0" borderId="48" xfId="1" applyFont="1" applyBorder="1" applyAlignment="1">
      <alignment vertical="center"/>
    </xf>
    <xf numFmtId="165" fontId="11" fillId="0" borderId="18" xfId="1" applyFont="1" applyBorder="1" applyAlignment="1">
      <alignment vertical="center"/>
    </xf>
    <xf numFmtId="165" fontId="11" fillId="0" borderId="39" xfId="1" applyFont="1" applyBorder="1" applyAlignment="1">
      <alignment vertical="center"/>
    </xf>
    <xf numFmtId="165" fontId="13" fillId="0" borderId="0" xfId="1" applyFont="1"/>
    <xf numFmtId="165" fontId="14" fillId="0" borderId="0" xfId="1" applyFont="1"/>
    <xf numFmtId="165" fontId="14" fillId="0" borderId="39" xfId="1" applyFont="1" applyBorder="1"/>
    <xf numFmtId="169" fontId="8" fillId="0" borderId="0" xfId="0" applyNumberFormat="1" applyFont="1"/>
    <xf numFmtId="169" fontId="14" fillId="0" borderId="0" xfId="0" applyNumberFormat="1" applyFont="1"/>
    <xf numFmtId="169" fontId="14" fillId="0" borderId="0" xfId="1" applyNumberFormat="1" applyFont="1" applyFill="1" applyBorder="1" applyAlignment="1"/>
    <xf numFmtId="9" fontId="42" fillId="6" borderId="0" xfId="2" applyFont="1" applyFill="1"/>
    <xf numFmtId="9" fontId="42" fillId="0" borderId="28" xfId="2" applyFont="1" applyBorder="1"/>
    <xf numFmtId="169" fontId="8" fillId="6" borderId="0" xfId="1" applyNumberFormat="1" applyFont="1" applyFill="1" applyAlignment="1">
      <alignment horizontal="center" vertical="center"/>
    </xf>
    <xf numFmtId="169" fontId="14" fillId="6" borderId="0" xfId="1" applyNumberFormat="1" applyFont="1" applyFill="1" applyAlignment="1">
      <alignment horizontal="center" vertical="center"/>
    </xf>
    <xf numFmtId="165" fontId="8" fillId="0" borderId="0" xfId="1" applyFont="1" applyBorder="1" applyAlignment="1">
      <alignment horizontal="left" vertical="center"/>
    </xf>
    <xf numFmtId="165" fontId="8" fillId="0" borderId="0" xfId="1" applyFont="1" applyBorder="1" applyAlignment="1">
      <alignment horizontal="left" vertical="center" wrapText="1"/>
    </xf>
    <xf numFmtId="0" fontId="13" fillId="0" borderId="39" xfId="0" applyFont="1" applyBorder="1"/>
    <xf numFmtId="9" fontId="8" fillId="0" borderId="0" xfId="2" applyFont="1" applyBorder="1" applyAlignment="1">
      <alignment horizontal="right"/>
    </xf>
    <xf numFmtId="165" fontId="18" fillId="0" borderId="0" xfId="1" applyFont="1" applyFill="1" applyBorder="1"/>
    <xf numFmtId="9" fontId="13" fillId="0" borderId="0" xfId="2" applyFont="1" applyBorder="1"/>
    <xf numFmtId="1" fontId="13" fillId="0" borderId="0" xfId="2" applyNumberFormat="1" applyFont="1" applyBorder="1"/>
    <xf numFmtId="165" fontId="29" fillId="6" borderId="0" xfId="1" applyFont="1" applyFill="1" applyBorder="1"/>
    <xf numFmtId="165" fontId="29" fillId="6" borderId="0" xfId="1" applyFont="1" applyFill="1"/>
    <xf numFmtId="0" fontId="8" fillId="0" borderId="14" xfId="0" applyFont="1" applyBorder="1"/>
    <xf numFmtId="1" fontId="8" fillId="0" borderId="14" xfId="0" applyNumberFormat="1" applyFont="1" applyBorder="1" applyAlignment="1">
      <alignment horizontal="center" vertical="center"/>
    </xf>
    <xf numFmtId="165" fontId="8" fillId="0" borderId="14" xfId="1" applyFont="1" applyBorder="1"/>
    <xf numFmtId="0" fontId="27" fillId="6" borderId="34" xfId="0" applyFont="1" applyFill="1" applyBorder="1"/>
    <xf numFmtId="1" fontId="12" fillId="0" borderId="28" xfId="0" applyNumberFormat="1" applyFont="1" applyBorder="1" applyAlignment="1">
      <alignment horizontal="center" vertical="center"/>
    </xf>
    <xf numFmtId="9" fontId="8" fillId="0" borderId="29" xfId="2" applyFont="1" applyFill="1" applyBorder="1" applyAlignment="1">
      <alignment horizontal="center" vertical="center"/>
    </xf>
    <xf numFmtId="2" fontId="8" fillId="0" borderId="35" xfId="0" applyNumberFormat="1" applyFont="1" applyBorder="1"/>
    <xf numFmtId="165" fontId="16" fillId="0" borderId="59" xfId="1" applyFont="1" applyBorder="1"/>
    <xf numFmtId="49" fontId="8" fillId="0" borderId="11" xfId="1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12" fillId="0" borderId="14" xfId="0" applyNumberFormat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/>
    </xf>
    <xf numFmtId="49" fontId="8" fillId="0" borderId="14" xfId="1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80" fontId="12" fillId="0" borderId="36" xfId="0" applyNumberFormat="1" applyFont="1" applyBorder="1" applyAlignment="1">
      <alignment horizontal="center" vertical="center"/>
    </xf>
    <xf numFmtId="180" fontId="12" fillId="0" borderId="28" xfId="0" applyNumberFormat="1" applyFont="1" applyBorder="1" applyAlignment="1">
      <alignment horizontal="center" vertical="center"/>
    </xf>
    <xf numFmtId="180" fontId="12" fillId="0" borderId="39" xfId="0" applyNumberFormat="1" applyFont="1" applyBorder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/>
    </xf>
    <xf numFmtId="180" fontId="12" fillId="0" borderId="2" xfId="0" applyNumberFormat="1" applyFont="1" applyBorder="1" applyAlignment="1">
      <alignment horizontal="center"/>
    </xf>
    <xf numFmtId="180" fontId="12" fillId="0" borderId="40" xfId="0" applyNumberFormat="1" applyFont="1" applyBorder="1" applyAlignment="1">
      <alignment horizontal="center"/>
    </xf>
    <xf numFmtId="180" fontId="12" fillId="0" borderId="28" xfId="0" applyNumberFormat="1" applyFont="1" applyBorder="1" applyAlignment="1">
      <alignment horizontal="center"/>
    </xf>
    <xf numFmtId="180" fontId="8" fillId="0" borderId="51" xfId="0" applyNumberFormat="1" applyFont="1" applyBorder="1"/>
    <xf numFmtId="180" fontId="8" fillId="0" borderId="49" xfId="0" applyNumberFormat="1" applyFont="1" applyBorder="1"/>
    <xf numFmtId="0" fontId="8" fillId="0" borderId="49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/>
    </xf>
    <xf numFmtId="0" fontId="8" fillId="0" borderId="74" xfId="0" applyFont="1" applyBorder="1" applyAlignment="1">
      <alignment horizontal="left" vertical="center"/>
    </xf>
    <xf numFmtId="180" fontId="8" fillId="0" borderId="51" xfId="0" applyNumberFormat="1" applyFont="1" applyBorder="1" applyAlignment="1">
      <alignment horizontal="left"/>
    </xf>
    <xf numFmtId="180" fontId="8" fillId="0" borderId="49" xfId="0" applyNumberFormat="1" applyFont="1" applyBorder="1" applyAlignment="1">
      <alignment horizontal="left"/>
    </xf>
    <xf numFmtId="171" fontId="8" fillId="0" borderId="35" xfId="1" applyNumberFormat="1" applyFont="1" applyBorder="1" applyAlignment="1">
      <alignment horizontal="center" vertical="center"/>
    </xf>
    <xf numFmtId="171" fontId="8" fillId="6" borderId="29" xfId="1" applyNumberFormat="1" applyFont="1" applyFill="1" applyBorder="1" applyAlignment="1">
      <alignment horizontal="center" vertical="center"/>
    </xf>
    <xf numFmtId="171" fontId="8" fillId="0" borderId="29" xfId="1" applyNumberFormat="1" applyFont="1" applyFill="1" applyBorder="1" applyAlignment="1">
      <alignment horizontal="center" vertical="center"/>
    </xf>
    <xf numFmtId="171" fontId="8" fillId="0" borderId="29" xfId="1" applyNumberFormat="1" applyFont="1" applyBorder="1" applyAlignment="1">
      <alignment horizontal="center" vertical="center"/>
    </xf>
    <xf numFmtId="9" fontId="14" fillId="0" borderId="0" xfId="2" applyFont="1" applyBorder="1"/>
    <xf numFmtId="165" fontId="14" fillId="6" borderId="39" xfId="1" applyFont="1" applyFill="1" applyBorder="1"/>
    <xf numFmtId="165" fontId="14" fillId="0" borderId="0" xfId="0" applyNumberFormat="1" applyFont="1"/>
    <xf numFmtId="165" fontId="30" fillId="0" borderId="36" xfId="1" applyFont="1" applyFill="1" applyBorder="1" applyAlignment="1"/>
    <xf numFmtId="165" fontId="30" fillId="0" borderId="36" xfId="1" applyFont="1" applyBorder="1" applyAlignment="1"/>
    <xf numFmtId="165" fontId="30" fillId="6" borderId="0" xfId="1" applyFont="1" applyFill="1"/>
    <xf numFmtId="0" fontId="14" fillId="0" borderId="39" xfId="0" applyFont="1" applyBorder="1"/>
    <xf numFmtId="0" fontId="8" fillId="0" borderId="81" xfId="0" applyFont="1" applyBorder="1" applyAlignment="1">
      <alignment horizontal="left"/>
    </xf>
    <xf numFmtId="0" fontId="33" fillId="6" borderId="82" xfId="0" applyFont="1" applyFill="1" applyBorder="1" applyAlignment="1">
      <alignment horizontal="left"/>
    </xf>
    <xf numFmtId="0" fontId="33" fillId="0" borderId="81" xfId="0" applyFont="1" applyBorder="1" applyAlignment="1">
      <alignment horizontal="left"/>
    </xf>
    <xf numFmtId="0" fontId="8" fillId="6" borderId="83" xfId="0" applyFont="1" applyFill="1" applyBorder="1" applyAlignment="1">
      <alignment horizontal="left"/>
    </xf>
    <xf numFmtId="0" fontId="8" fillId="0" borderId="83" xfId="0" applyFont="1" applyBorder="1" applyAlignment="1">
      <alignment horizontal="left"/>
    </xf>
    <xf numFmtId="9" fontId="8" fillId="6" borderId="84" xfId="2" applyFont="1" applyFill="1" applyBorder="1" applyAlignment="1">
      <alignment horizontal="left"/>
    </xf>
    <xf numFmtId="0" fontId="8" fillId="0" borderId="83" xfId="0" applyFont="1" applyBorder="1"/>
    <xf numFmtId="0" fontId="8" fillId="0" borderId="82" xfId="0" applyFont="1" applyBorder="1"/>
    <xf numFmtId="0" fontId="8" fillId="6" borderId="83" xfId="0" applyFont="1" applyFill="1" applyBorder="1"/>
    <xf numFmtId="0" fontId="12" fillId="0" borderId="83" xfId="0" applyFont="1" applyBorder="1"/>
    <xf numFmtId="0" fontId="12" fillId="0" borderId="81" xfId="0" applyFont="1" applyBorder="1" applyAlignment="1">
      <alignment horizontal="center" vertical="center"/>
    </xf>
    <xf numFmtId="165" fontId="12" fillId="6" borderId="83" xfId="1" applyFont="1" applyFill="1" applyBorder="1" applyAlignment="1">
      <alignment horizontal="center" vertical="center"/>
    </xf>
    <xf numFmtId="9" fontId="12" fillId="4" borderId="85" xfId="2" applyFont="1" applyFill="1" applyBorder="1" applyAlignment="1">
      <alignment horizontal="center" vertical="center"/>
    </xf>
    <xf numFmtId="167" fontId="12" fillId="6" borderId="83" xfId="1" applyNumberFormat="1" applyFont="1" applyFill="1" applyBorder="1" applyAlignment="1">
      <alignment horizontal="center" vertical="center"/>
    </xf>
    <xf numFmtId="167" fontId="12" fillId="0" borderId="83" xfId="1" applyNumberFormat="1" applyFont="1" applyFill="1" applyBorder="1" applyAlignment="1">
      <alignment horizontal="center" vertical="center"/>
    </xf>
    <xf numFmtId="177" fontId="12" fillId="6" borderId="83" xfId="1" applyNumberFormat="1" applyFont="1" applyFill="1" applyBorder="1" applyAlignment="1">
      <alignment horizontal="center" vertical="center"/>
    </xf>
    <xf numFmtId="169" fontId="12" fillId="0" borderId="83" xfId="1" applyNumberFormat="1" applyFont="1" applyFill="1" applyBorder="1" applyAlignment="1">
      <alignment horizontal="center" vertical="center"/>
    </xf>
    <xf numFmtId="165" fontId="12" fillId="0" borderId="83" xfId="1" applyFont="1" applyFill="1" applyBorder="1" applyAlignment="1">
      <alignment horizontal="center" vertical="center"/>
    </xf>
    <xf numFmtId="0" fontId="8" fillId="0" borderId="87" xfId="0" applyFont="1" applyBorder="1"/>
    <xf numFmtId="0" fontId="13" fillId="6" borderId="88" xfId="0" applyFont="1" applyFill="1" applyBorder="1"/>
    <xf numFmtId="0" fontId="8" fillId="0" borderId="88" xfId="0" applyFont="1" applyBorder="1"/>
    <xf numFmtId="0" fontId="8" fillId="6" borderId="88" xfId="0" applyFont="1" applyFill="1" applyBorder="1"/>
    <xf numFmtId="0" fontId="8" fillId="0" borderId="89" xfId="0" applyFont="1" applyBorder="1"/>
    <xf numFmtId="9" fontId="8" fillId="6" borderId="86" xfId="2" applyFont="1" applyFill="1" applyBorder="1"/>
    <xf numFmtId="0" fontId="8" fillId="0" borderId="86" xfId="0" applyFont="1" applyBorder="1"/>
    <xf numFmtId="0" fontId="8" fillId="6" borderId="86" xfId="0" applyFont="1" applyFill="1" applyBorder="1"/>
    <xf numFmtId="165" fontId="8" fillId="6" borderId="83" xfId="1" applyFont="1" applyFill="1" applyBorder="1" applyAlignment="1">
      <alignment horizontal="left"/>
    </xf>
    <xf numFmtId="165" fontId="8" fillId="0" borderId="83" xfId="1" applyFont="1" applyBorder="1" applyAlignment="1">
      <alignment horizontal="left"/>
    </xf>
    <xf numFmtId="165" fontId="12" fillId="6" borderId="83" xfId="1" applyFont="1" applyFill="1" applyBorder="1" applyAlignment="1">
      <alignment horizontal="left"/>
    </xf>
    <xf numFmtId="0" fontId="8" fillId="0" borderId="81" xfId="0" applyFont="1" applyBorder="1"/>
    <xf numFmtId="167" fontId="12" fillId="6" borderId="82" xfId="0" applyNumberFormat="1" applyFont="1" applyFill="1" applyBorder="1" applyAlignment="1">
      <alignment horizontal="center" vertical="center"/>
    </xf>
    <xf numFmtId="9" fontId="12" fillId="0" borderId="83" xfId="2" applyFont="1" applyBorder="1" applyAlignment="1">
      <alignment horizontal="center" vertical="center"/>
    </xf>
    <xf numFmtId="167" fontId="12" fillId="0" borderId="83" xfId="0" applyNumberFormat="1" applyFont="1" applyBorder="1" applyAlignment="1">
      <alignment horizontal="center" vertical="center"/>
    </xf>
    <xf numFmtId="169" fontId="12" fillId="6" borderId="83" xfId="1" applyNumberFormat="1" applyFont="1" applyFill="1" applyBorder="1" applyAlignment="1">
      <alignment horizontal="center" vertical="center"/>
    </xf>
    <xf numFmtId="165" fontId="12" fillId="0" borderId="83" xfId="1" applyFont="1" applyBorder="1" applyAlignment="1"/>
    <xf numFmtId="165" fontId="12" fillId="6" borderId="83" xfId="1" applyFont="1" applyFill="1" applyBorder="1" applyAlignment="1"/>
    <xf numFmtId="1" fontId="12" fillId="0" borderId="0" xfId="0" applyNumberFormat="1" applyFont="1" applyAlignment="1">
      <alignment horizontal="right" vertical="center"/>
    </xf>
    <xf numFmtId="165" fontId="24" fillId="0" borderId="0" xfId="0" applyNumberFormat="1" applyFont="1"/>
    <xf numFmtId="165" fontId="18" fillId="0" borderId="0" xfId="0" applyNumberFormat="1" applyFont="1"/>
    <xf numFmtId="165" fontId="15" fillId="0" borderId="0" xfId="0" applyNumberFormat="1" applyFont="1"/>
    <xf numFmtId="0" fontId="12" fillId="0" borderId="0" xfId="0" applyFont="1" applyAlignment="1">
      <alignment vertical="center"/>
    </xf>
    <xf numFmtId="180" fontId="12" fillId="0" borderId="90" xfId="0" applyNumberFormat="1" applyFont="1" applyBorder="1" applyAlignment="1">
      <alignment horizontal="center" vertical="center"/>
    </xf>
    <xf numFmtId="180" fontId="12" fillId="0" borderId="91" xfId="0" applyNumberFormat="1" applyFont="1" applyBorder="1" applyAlignment="1">
      <alignment horizontal="center" vertical="center"/>
    </xf>
    <xf numFmtId="180" fontId="12" fillId="0" borderId="92" xfId="0" applyNumberFormat="1" applyFont="1" applyBorder="1" applyAlignment="1">
      <alignment horizontal="center" vertical="center"/>
    </xf>
    <xf numFmtId="180" fontId="12" fillId="0" borderId="93" xfId="0" applyNumberFormat="1" applyFont="1" applyBorder="1" applyAlignment="1">
      <alignment horizontal="center" vertical="center"/>
    </xf>
    <xf numFmtId="180" fontId="12" fillId="0" borderId="94" xfId="0" applyNumberFormat="1" applyFont="1" applyBorder="1" applyAlignment="1">
      <alignment horizontal="center" vertical="center"/>
    </xf>
    <xf numFmtId="1" fontId="12" fillId="0" borderId="90" xfId="0" applyNumberFormat="1" applyFont="1" applyBorder="1" applyAlignment="1">
      <alignment horizontal="center" vertical="center"/>
    </xf>
    <xf numFmtId="0" fontId="12" fillId="0" borderId="90" xfId="0" applyFont="1" applyBorder="1" applyAlignment="1">
      <alignment horizontal="center"/>
    </xf>
    <xf numFmtId="165" fontId="15" fillId="0" borderId="96" xfId="1" applyFont="1" applyBorder="1"/>
    <xf numFmtId="165" fontId="15" fillId="6" borderId="68" xfId="1" applyFont="1" applyFill="1" applyBorder="1"/>
    <xf numFmtId="165" fontId="15" fillId="6" borderId="69" xfId="1" applyFont="1" applyFill="1" applyBorder="1"/>
    <xf numFmtId="165" fontId="15" fillId="0" borderId="95" xfId="1" applyFont="1" applyBorder="1"/>
    <xf numFmtId="165" fontId="18" fillId="6" borderId="68" xfId="0" applyNumberFormat="1" applyFont="1" applyFill="1" applyBorder="1"/>
    <xf numFmtId="168" fontId="8" fillId="0" borderId="69" xfId="2" applyNumberFormat="1" applyFont="1" applyBorder="1" applyAlignment="1">
      <alignment horizontal="right" vertical="top"/>
    </xf>
    <xf numFmtId="165" fontId="15" fillId="6" borderId="62" xfId="1" applyFont="1" applyFill="1" applyBorder="1"/>
    <xf numFmtId="165" fontId="15" fillId="0" borderId="97" xfId="1" applyFont="1" applyBorder="1"/>
    <xf numFmtId="165" fontId="15" fillId="6" borderId="63" xfId="1" applyFont="1" applyFill="1" applyBorder="1"/>
    <xf numFmtId="165" fontId="18" fillId="6" borderId="62" xfId="1" applyFont="1" applyFill="1" applyBorder="1"/>
    <xf numFmtId="165" fontId="8" fillId="0" borderId="60" xfId="0" applyNumberFormat="1" applyFont="1" applyBorder="1" applyAlignment="1">
      <alignment horizontal="center" vertical="center"/>
    </xf>
    <xf numFmtId="165" fontId="15" fillId="6" borderId="99" xfId="1" applyFont="1" applyFill="1" applyBorder="1"/>
    <xf numFmtId="165" fontId="15" fillId="6" borderId="100" xfId="1" applyFont="1" applyFill="1" applyBorder="1"/>
    <xf numFmtId="165" fontId="15" fillId="6" borderId="101" xfId="1" applyFont="1" applyFill="1" applyBorder="1"/>
    <xf numFmtId="165" fontId="15" fillId="6" borderId="103" xfId="1" applyFont="1" applyFill="1" applyBorder="1"/>
    <xf numFmtId="165" fontId="15" fillId="6" borderId="104" xfId="1" applyFont="1" applyFill="1" applyBorder="1"/>
    <xf numFmtId="165" fontId="15" fillId="6" borderId="105" xfId="1" applyFont="1" applyFill="1" applyBorder="1"/>
    <xf numFmtId="165" fontId="18" fillId="6" borderId="98" xfId="0" applyNumberFormat="1" applyFont="1" applyFill="1" applyBorder="1"/>
    <xf numFmtId="165" fontId="15" fillId="6" borderId="102" xfId="1" applyFont="1" applyFill="1" applyBorder="1"/>
    <xf numFmtId="165" fontId="15" fillId="0" borderId="102" xfId="1" applyFont="1" applyBorder="1"/>
    <xf numFmtId="165" fontId="8" fillId="6" borderId="106" xfId="1" applyFont="1" applyFill="1" applyBorder="1" applyAlignment="1"/>
    <xf numFmtId="165" fontId="8" fillId="0" borderId="83" xfId="1" applyFont="1" applyBorder="1" applyAlignment="1">
      <alignment horizontal="left" vertical="center"/>
    </xf>
    <xf numFmtId="1" fontId="8" fillId="0" borderId="42" xfId="0" applyNumberFormat="1" applyFont="1" applyBorder="1"/>
    <xf numFmtId="165" fontId="13" fillId="0" borderId="42" xfId="1" applyFont="1" applyBorder="1" applyAlignment="1">
      <alignment horizontal="center" vertical="center"/>
    </xf>
    <xf numFmtId="165" fontId="13" fillId="0" borderId="0" xfId="1" applyFont="1" applyBorder="1" applyAlignment="1">
      <alignment horizontal="center" vertical="center"/>
    </xf>
    <xf numFmtId="1" fontId="13" fillId="0" borderId="0" xfId="0" applyNumberFormat="1" applyFont="1" applyAlignment="1">
      <alignment horizontal="right" vertical="center"/>
    </xf>
    <xf numFmtId="165" fontId="13" fillId="0" borderId="28" xfId="1" applyFont="1" applyBorder="1" applyAlignment="1">
      <alignment horizontal="center" vertical="center"/>
    </xf>
    <xf numFmtId="171" fontId="13" fillId="0" borderId="0" xfId="0" applyNumberFormat="1" applyFont="1" applyAlignment="1">
      <alignment horizontal="right" vertical="center"/>
    </xf>
    <xf numFmtId="165" fontId="13" fillId="0" borderId="42" xfId="1" applyFont="1" applyBorder="1" applyAlignment="1">
      <alignment horizontal="center"/>
    </xf>
    <xf numFmtId="165" fontId="13" fillId="0" borderId="0" xfId="1" applyFont="1" applyBorder="1" applyAlignment="1">
      <alignment horizontal="center"/>
    </xf>
    <xf numFmtId="0" fontId="13" fillId="0" borderId="0" xfId="0" applyFont="1" applyAlignment="1">
      <alignment horizontal="right"/>
    </xf>
    <xf numFmtId="165" fontId="13" fillId="0" borderId="28" xfId="0" applyNumberFormat="1" applyFont="1" applyBorder="1"/>
    <xf numFmtId="165" fontId="13" fillId="0" borderId="42" xfId="1" applyFont="1" applyBorder="1"/>
    <xf numFmtId="1" fontId="13" fillId="0" borderId="0" xfId="0" applyNumberFormat="1" applyFont="1" applyAlignment="1">
      <alignment horizontal="right"/>
    </xf>
    <xf numFmtId="167" fontId="45" fillId="0" borderId="28" xfId="0" applyNumberFormat="1" applyFont="1" applyBorder="1" applyAlignment="1">
      <alignment vertical="center"/>
    </xf>
    <xf numFmtId="9" fontId="45" fillId="6" borderId="0" xfId="2" applyFont="1" applyFill="1" applyBorder="1" applyAlignment="1">
      <alignment vertical="center"/>
    </xf>
    <xf numFmtId="165" fontId="30" fillId="6" borderId="0" xfId="1" applyFont="1" applyFill="1" applyBorder="1"/>
    <xf numFmtId="0" fontId="8" fillId="0" borderId="0" xfId="0" applyFont="1" applyAlignment="1">
      <alignment vertical="center" wrapText="1"/>
    </xf>
    <xf numFmtId="164" fontId="8" fillId="0" borderId="102" xfId="1" applyNumberFormat="1" applyFont="1" applyBorder="1" applyAlignment="1">
      <alignment horizontal="center" vertical="center"/>
    </xf>
    <xf numFmtId="0" fontId="8" fillId="0" borderId="90" xfId="0" applyFont="1" applyBorder="1" applyAlignment="1">
      <alignment horizontal="right"/>
    </xf>
    <xf numFmtId="165" fontId="8" fillId="0" borderId="107" xfId="1" applyFont="1" applyFill="1" applyBorder="1"/>
    <xf numFmtId="169" fontId="8" fillId="0" borderId="107" xfId="1" applyNumberFormat="1" applyFont="1" applyBorder="1" applyAlignment="1">
      <alignment horizontal="center" vertical="center"/>
    </xf>
    <xf numFmtId="0" fontId="22" fillId="0" borderId="90" xfId="0" applyFont="1" applyBorder="1"/>
    <xf numFmtId="0" fontId="22" fillId="6" borderId="91" xfId="0" quotePrefix="1" applyFont="1" applyFill="1" applyBorder="1" applyAlignment="1">
      <alignment horizontal="right"/>
    </xf>
    <xf numFmtId="165" fontId="18" fillId="6" borderId="90" xfId="1" applyFont="1" applyFill="1" applyBorder="1"/>
    <xf numFmtId="165" fontId="18" fillId="6" borderId="107" xfId="1" applyFont="1" applyFill="1" applyBorder="1"/>
    <xf numFmtId="165" fontId="18" fillId="6" borderId="108" xfId="1" applyFont="1" applyFill="1" applyBorder="1"/>
    <xf numFmtId="165" fontId="18" fillId="6" borderId="91" xfId="1" applyFont="1" applyFill="1" applyBorder="1"/>
    <xf numFmtId="165" fontId="18" fillId="6" borderId="94" xfId="1" applyFont="1" applyFill="1" applyBorder="1"/>
    <xf numFmtId="0" fontId="18" fillId="0" borderId="90" xfId="0" applyFont="1" applyBorder="1"/>
    <xf numFmtId="164" fontId="7" fillId="18" borderId="0" xfId="0" applyNumberFormat="1" applyFont="1" applyFill="1" applyAlignment="1">
      <alignment horizontal="center" vertical="center" wrapText="1"/>
    </xf>
    <xf numFmtId="164" fontId="10" fillId="18" borderId="0" xfId="0" applyNumberFormat="1" applyFont="1" applyFill="1" applyAlignment="1">
      <alignment horizontal="center" vertical="center"/>
    </xf>
    <xf numFmtId="165" fontId="15" fillId="18" borderId="0" xfId="1" applyFont="1" applyFill="1" applyBorder="1"/>
    <xf numFmtId="0" fontId="8" fillId="18" borderId="0" xfId="0" applyFont="1" applyFill="1"/>
    <xf numFmtId="0" fontId="12" fillId="18" borderId="0" xfId="0" applyFont="1" applyFill="1" applyAlignment="1">
      <alignment horizontal="center"/>
    </xf>
    <xf numFmtId="0" fontId="12" fillId="18" borderId="0" xfId="0" applyFont="1" applyFill="1" applyAlignment="1">
      <alignment horizontal="right" vertical="center"/>
    </xf>
    <xf numFmtId="0" fontId="8" fillId="18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0" fontId="8" fillId="18" borderId="0" xfId="0" applyFont="1" applyFill="1" applyAlignment="1">
      <alignment horizontal="right"/>
    </xf>
    <xf numFmtId="0" fontId="29" fillId="18" borderId="0" xfId="0" applyFont="1" applyFill="1"/>
    <xf numFmtId="0" fontId="29" fillId="18" borderId="37" xfId="0" quotePrefix="1" applyFont="1" applyFill="1" applyBorder="1" applyAlignment="1">
      <alignment horizontal="right"/>
    </xf>
    <xf numFmtId="165" fontId="13" fillId="18" borderId="0" xfId="1" applyFont="1" applyFill="1" applyBorder="1"/>
    <xf numFmtId="165" fontId="13" fillId="18" borderId="33" xfId="1" applyFont="1" applyFill="1" applyBorder="1"/>
    <xf numFmtId="165" fontId="13" fillId="18" borderId="62" xfId="1" applyFont="1" applyFill="1" applyBorder="1"/>
    <xf numFmtId="165" fontId="13" fillId="18" borderId="39" xfId="1" applyFont="1" applyFill="1" applyBorder="1"/>
    <xf numFmtId="165" fontId="13" fillId="18" borderId="37" xfId="1" applyFont="1" applyFill="1" applyBorder="1"/>
    <xf numFmtId="165" fontId="13" fillId="6" borderId="0" xfId="0" applyNumberFormat="1" applyFont="1" applyFill="1"/>
    <xf numFmtId="0" fontId="13" fillId="18" borderId="0" xfId="0" applyFont="1" applyFill="1"/>
    <xf numFmtId="0" fontId="22" fillId="18" borderId="90" xfId="0" applyFont="1" applyFill="1" applyBorder="1"/>
    <xf numFmtId="0" fontId="22" fillId="18" borderId="91" xfId="0" quotePrefix="1" applyFont="1" applyFill="1" applyBorder="1" applyAlignment="1">
      <alignment horizontal="right"/>
    </xf>
    <xf numFmtId="165" fontId="18" fillId="18" borderId="90" xfId="1" applyFont="1" applyFill="1" applyBorder="1"/>
    <xf numFmtId="165" fontId="18" fillId="18" borderId="107" xfId="1" applyFont="1" applyFill="1" applyBorder="1"/>
    <xf numFmtId="165" fontId="18" fillId="18" borderId="108" xfId="1" applyFont="1" applyFill="1" applyBorder="1"/>
    <xf numFmtId="165" fontId="18" fillId="18" borderId="94" xfId="1" applyFont="1" applyFill="1" applyBorder="1"/>
    <xf numFmtId="165" fontId="18" fillId="18" borderId="91" xfId="1" applyFont="1" applyFill="1" applyBorder="1"/>
    <xf numFmtId="0" fontId="18" fillId="18" borderId="90" xfId="0" applyFont="1" applyFill="1" applyBorder="1"/>
    <xf numFmtId="165" fontId="8" fillId="0" borderId="29" xfId="0" applyNumberFormat="1" applyFont="1" applyBorder="1" applyAlignment="1">
      <alignment horizontal="right" vertical="center"/>
    </xf>
    <xf numFmtId="165" fontId="8" fillId="0" borderId="55" xfId="0" applyNumberFormat="1" applyFont="1" applyBorder="1" applyAlignment="1">
      <alignment horizontal="right" vertical="center"/>
    </xf>
    <xf numFmtId="165" fontId="8" fillId="0" borderId="30" xfId="0" applyNumberFormat="1" applyFont="1" applyBorder="1" applyAlignment="1">
      <alignment horizontal="right" vertical="center"/>
    </xf>
    <xf numFmtId="0" fontId="12" fillId="6" borderId="0" xfId="0" quotePrefix="1" applyFont="1" applyFill="1" applyAlignment="1">
      <alignment horizontal="right" vertical="center"/>
    </xf>
    <xf numFmtId="165" fontId="8" fillId="6" borderId="43" xfId="0" applyNumberFormat="1" applyFont="1" applyFill="1" applyBorder="1" applyAlignment="1">
      <alignment vertical="center"/>
    </xf>
    <xf numFmtId="165" fontId="8" fillId="6" borderId="60" xfId="0" applyNumberFormat="1" applyFont="1" applyFill="1" applyBorder="1" applyAlignment="1">
      <alignment vertical="center"/>
    </xf>
    <xf numFmtId="165" fontId="15" fillId="6" borderId="0" xfId="1" applyFont="1" applyFill="1" applyBorder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8" fillId="18" borderId="0" xfId="0" applyNumberFormat="1" applyFont="1" applyFill="1"/>
    <xf numFmtId="165" fontId="8" fillId="0" borderId="109" xfId="0" applyNumberFormat="1" applyFont="1" applyBorder="1"/>
    <xf numFmtId="165" fontId="8" fillId="3" borderId="40" xfId="1" applyFont="1" applyFill="1" applyBorder="1" applyAlignment="1">
      <alignment vertical="center"/>
    </xf>
    <xf numFmtId="165" fontId="8" fillId="3" borderId="28" xfId="1" applyFont="1" applyFill="1" applyBorder="1" applyAlignment="1">
      <alignment vertical="center"/>
    </xf>
    <xf numFmtId="165" fontId="8" fillId="3" borderId="38" xfId="1" applyFont="1" applyFill="1" applyBorder="1" applyAlignment="1">
      <alignment vertical="center"/>
    </xf>
    <xf numFmtId="165" fontId="15" fillId="0" borderId="35" xfId="1" applyFont="1" applyBorder="1" applyAlignment="1">
      <alignment horizontal="right"/>
    </xf>
    <xf numFmtId="165" fontId="15" fillId="0" borderId="30" xfId="1" applyFont="1" applyBorder="1" applyAlignment="1">
      <alignment horizontal="right"/>
    </xf>
    <xf numFmtId="165" fontId="15" fillId="0" borderId="29" xfId="1" applyFont="1" applyBorder="1" applyAlignment="1">
      <alignment horizontal="right"/>
    </xf>
    <xf numFmtId="165" fontId="15" fillId="0" borderId="60" xfId="1" applyFont="1" applyBorder="1" applyAlignment="1">
      <alignment horizontal="right"/>
    </xf>
    <xf numFmtId="0" fontId="18" fillId="6" borderId="0" xfId="0" applyFont="1" applyFill="1" applyAlignment="1">
      <alignment horizontal="center"/>
    </xf>
    <xf numFmtId="165" fontId="15" fillId="0" borderId="40" xfId="1" applyFont="1" applyBorder="1" applyAlignment="1">
      <alignment horizontal="right"/>
    </xf>
    <xf numFmtId="165" fontId="15" fillId="0" borderId="28" xfId="1" applyFont="1" applyBorder="1" applyAlignment="1">
      <alignment horizontal="right"/>
    </xf>
    <xf numFmtId="165" fontId="15" fillId="0" borderId="43" xfId="1" applyFont="1" applyBorder="1" applyAlignment="1">
      <alignment horizontal="right"/>
    </xf>
    <xf numFmtId="165" fontId="8" fillId="6" borderId="112" xfId="1" applyFont="1" applyFill="1" applyBorder="1" applyAlignment="1">
      <alignment vertical="center"/>
    </xf>
    <xf numFmtId="165" fontId="8" fillId="6" borderId="113" xfId="1" applyFont="1" applyFill="1" applyBorder="1" applyAlignment="1">
      <alignment vertical="center"/>
    </xf>
    <xf numFmtId="165" fontId="8" fillId="6" borderId="114" xfId="1" applyFont="1" applyFill="1" applyBorder="1" applyAlignment="1">
      <alignment vertical="center"/>
    </xf>
    <xf numFmtId="165" fontId="18" fillId="18" borderId="37" xfId="1" applyFont="1" applyFill="1" applyBorder="1"/>
    <xf numFmtId="165" fontId="18" fillId="18" borderId="0" xfId="1" applyFont="1" applyFill="1" applyBorder="1"/>
    <xf numFmtId="0" fontId="9" fillId="18" borderId="0" xfId="0" applyFont="1" applyFill="1" applyAlignment="1">
      <alignment horizontal="right" vertical="top"/>
    </xf>
    <xf numFmtId="165" fontId="8" fillId="18" borderId="43" xfId="0" applyNumberFormat="1" applyFont="1" applyFill="1" applyBorder="1" applyAlignment="1">
      <alignment horizontal="center" vertical="center"/>
    </xf>
    <xf numFmtId="165" fontId="8" fillId="18" borderId="29" xfId="0" applyNumberFormat="1" applyFont="1" applyFill="1" applyBorder="1" applyAlignment="1">
      <alignment horizontal="center" vertical="center"/>
    </xf>
    <xf numFmtId="165" fontId="8" fillId="18" borderId="35" xfId="0" applyNumberFormat="1" applyFont="1" applyFill="1" applyBorder="1" applyAlignment="1">
      <alignment horizontal="center" vertical="center"/>
    </xf>
    <xf numFmtId="0" fontId="15" fillId="18" borderId="0" xfId="0" applyFont="1" applyFill="1"/>
    <xf numFmtId="0" fontId="15" fillId="18" borderId="28" xfId="0" applyFont="1" applyFill="1" applyBorder="1"/>
    <xf numFmtId="9" fontId="8" fillId="17" borderId="12" xfId="2" applyFont="1" applyFill="1" applyBorder="1" applyAlignment="1">
      <alignment horizontal="right" vertical="center"/>
    </xf>
    <xf numFmtId="165" fontId="58" fillId="0" borderId="56" xfId="1" applyFont="1" applyBorder="1"/>
    <xf numFmtId="0" fontId="14" fillId="0" borderId="70" xfId="0" applyFont="1" applyBorder="1"/>
    <xf numFmtId="167" fontId="13" fillId="6" borderId="68" xfId="0" applyNumberFormat="1" applyFont="1" applyFill="1" applyBorder="1"/>
    <xf numFmtId="165" fontId="13" fillId="0" borderId="68" xfId="0" applyNumberFormat="1" applyFont="1" applyBorder="1"/>
    <xf numFmtId="167" fontId="13" fillId="6" borderId="68" xfId="1" applyNumberFormat="1" applyFont="1" applyFill="1" applyBorder="1" applyAlignment="1"/>
    <xf numFmtId="167" fontId="13" fillId="0" borderId="68" xfId="1" applyNumberFormat="1" applyFont="1" applyFill="1" applyBorder="1" applyAlignment="1"/>
    <xf numFmtId="169" fontId="13" fillId="0" borderId="68" xfId="0" applyNumberFormat="1" applyFont="1" applyBorder="1"/>
    <xf numFmtId="165" fontId="29" fillId="0" borderId="116" xfId="1" applyFont="1" applyFill="1" applyBorder="1" applyAlignment="1"/>
    <xf numFmtId="165" fontId="13" fillId="6" borderId="68" xfId="1" applyFont="1" applyFill="1" applyBorder="1" applyAlignment="1"/>
    <xf numFmtId="9" fontId="13" fillId="0" borderId="90" xfId="2" applyFont="1" applyBorder="1"/>
    <xf numFmtId="0" fontId="8" fillId="0" borderId="117" xfId="0" applyFont="1" applyBorder="1"/>
    <xf numFmtId="9" fontId="13" fillId="0" borderId="68" xfId="2" applyFont="1" applyBorder="1"/>
    <xf numFmtId="0" fontId="13" fillId="0" borderId="68" xfId="0" applyFont="1" applyBorder="1"/>
    <xf numFmtId="9" fontId="8" fillId="0" borderId="70" xfId="2" applyFont="1" applyBorder="1"/>
    <xf numFmtId="0" fontId="13" fillId="0" borderId="118" xfId="0" applyFont="1" applyBorder="1"/>
    <xf numFmtId="0" fontId="13" fillId="6" borderId="70" xfId="0" applyFont="1" applyFill="1" applyBorder="1"/>
    <xf numFmtId="0" fontId="13" fillId="6" borderId="68" xfId="0" applyFont="1" applyFill="1" applyBorder="1"/>
    <xf numFmtId="0" fontId="13" fillId="0" borderId="70" xfId="0" applyFont="1" applyBorder="1"/>
    <xf numFmtId="0" fontId="13" fillId="6" borderId="115" xfId="0" applyFont="1" applyFill="1" applyBorder="1"/>
    <xf numFmtId="0" fontId="29" fillId="0" borderId="116" xfId="0" applyFont="1" applyBorder="1"/>
    <xf numFmtId="0" fontId="8" fillId="0" borderId="90" xfId="0" applyFont="1" applyBorder="1"/>
    <xf numFmtId="9" fontId="8" fillId="0" borderId="104" xfId="2" applyFont="1" applyBorder="1"/>
    <xf numFmtId="9" fontId="8" fillId="0" borderId="68" xfId="2" applyFont="1" applyBorder="1"/>
    <xf numFmtId="169" fontId="13" fillId="0" borderId="68" xfId="1" applyNumberFormat="1" applyFont="1" applyFill="1" applyBorder="1" applyAlignment="1"/>
    <xf numFmtId="169" fontId="13" fillId="0" borderId="115" xfId="0" applyNumberFormat="1" applyFont="1" applyBorder="1"/>
    <xf numFmtId="0" fontId="30" fillId="0" borderId="70" xfId="0" applyFont="1" applyBorder="1"/>
    <xf numFmtId="0" fontId="13" fillId="6" borderId="90" xfId="0" applyFont="1" applyFill="1" applyBorder="1"/>
    <xf numFmtId="0" fontId="13" fillId="0" borderId="104" xfId="0" applyFont="1" applyBorder="1"/>
    <xf numFmtId="169" fontId="13" fillId="0" borderId="90" xfId="0" applyNumberFormat="1" applyFont="1" applyBorder="1"/>
    <xf numFmtId="0" fontId="12" fillId="0" borderId="119" xfId="0" applyFont="1" applyBorder="1"/>
    <xf numFmtId="0" fontId="8" fillId="6" borderId="120" xfId="0" applyFont="1" applyFill="1" applyBorder="1"/>
    <xf numFmtId="0" fontId="8" fillId="0" borderId="120" xfId="0" applyFont="1" applyBorder="1"/>
    <xf numFmtId="0" fontId="8" fillId="0" borderId="121" xfId="0" applyFont="1" applyBorder="1"/>
    <xf numFmtId="165" fontId="8" fillId="6" borderId="19" xfId="1" applyFont="1" applyFill="1" applyBorder="1" applyAlignment="1"/>
    <xf numFmtId="165" fontId="8" fillId="0" borderId="19" xfId="1" applyFont="1" applyBorder="1" applyAlignment="1"/>
    <xf numFmtId="167" fontId="8" fillId="6" borderId="19" xfId="1" applyNumberFormat="1" applyFont="1" applyFill="1" applyBorder="1" applyAlignment="1"/>
    <xf numFmtId="167" fontId="8" fillId="0" borderId="19" xfId="1" applyNumberFormat="1" applyFont="1" applyFill="1" applyBorder="1" applyAlignment="1"/>
    <xf numFmtId="169" fontId="8" fillId="0" borderId="122" xfId="1" applyNumberFormat="1" applyFont="1" applyFill="1" applyBorder="1" applyAlignment="1"/>
    <xf numFmtId="0" fontId="8" fillId="0" borderId="124" xfId="0" applyFont="1" applyBorder="1"/>
    <xf numFmtId="0" fontId="8" fillId="6" borderId="19" xfId="0" applyFont="1" applyFill="1" applyBorder="1"/>
    <xf numFmtId="0" fontId="8" fillId="6" borderId="122" xfId="0" applyFont="1" applyFill="1" applyBorder="1"/>
    <xf numFmtId="0" fontId="8" fillId="0" borderId="70" xfId="0" applyFont="1" applyBorder="1"/>
    <xf numFmtId="0" fontId="8" fillId="0" borderId="96" xfId="0" applyFont="1" applyBorder="1"/>
    <xf numFmtId="0" fontId="14" fillId="0" borderId="115" xfId="0" applyFont="1" applyBorder="1"/>
    <xf numFmtId="0" fontId="14" fillId="0" borderId="125" xfId="0" applyFont="1" applyBorder="1"/>
    <xf numFmtId="0" fontId="14" fillId="0" borderId="126" xfId="0" applyFont="1" applyBorder="1"/>
    <xf numFmtId="0" fontId="12" fillId="0" borderId="126" xfId="0" applyFont="1" applyBorder="1"/>
    <xf numFmtId="0" fontId="30" fillId="0" borderId="127" xfId="0" applyFont="1" applyBorder="1"/>
    <xf numFmtId="9" fontId="8" fillId="0" borderId="128" xfId="2" applyFont="1" applyBorder="1"/>
    <xf numFmtId="0" fontId="14" fillId="0" borderId="90" xfId="0" applyFont="1" applyBorder="1"/>
    <xf numFmtId="167" fontId="8" fillId="0" borderId="68" xfId="0" applyNumberFormat="1" applyFont="1" applyBorder="1"/>
    <xf numFmtId="167" fontId="14" fillId="6" borderId="68" xfId="0" applyNumberFormat="1" applyFont="1" applyFill="1" applyBorder="1"/>
    <xf numFmtId="167" fontId="14" fillId="0" borderId="68" xfId="0" applyNumberFormat="1" applyFont="1" applyBorder="1"/>
    <xf numFmtId="165" fontId="14" fillId="6" borderId="68" xfId="1" applyFont="1" applyFill="1" applyBorder="1"/>
    <xf numFmtId="165" fontId="30" fillId="0" borderId="70" xfId="1" applyFont="1" applyBorder="1" applyAlignment="1"/>
    <xf numFmtId="180" fontId="12" fillId="0" borderId="96" xfId="0" applyNumberFormat="1" applyFont="1" applyBorder="1" applyAlignment="1">
      <alignment horizontal="center" vertical="center"/>
    </xf>
    <xf numFmtId="167" fontId="14" fillId="0" borderId="96" xfId="0" applyNumberFormat="1" applyFont="1" applyBorder="1"/>
    <xf numFmtId="167" fontId="24" fillId="6" borderId="68" xfId="0" applyNumberFormat="1" applyFont="1" applyFill="1" applyBorder="1"/>
    <xf numFmtId="167" fontId="14" fillId="0" borderId="69" xfId="0" applyNumberFormat="1" applyFont="1" applyBorder="1"/>
    <xf numFmtId="9" fontId="14" fillId="6" borderId="95" xfId="2" applyFont="1" applyFill="1" applyBorder="1" applyAlignment="1">
      <alignment horizontal="right" vertical="center"/>
    </xf>
    <xf numFmtId="167" fontId="14" fillId="0" borderId="95" xfId="0" applyNumberFormat="1" applyFont="1" applyBorder="1"/>
    <xf numFmtId="167" fontId="31" fillId="6" borderId="96" xfId="0" applyNumberFormat="1" applyFont="1" applyFill="1" applyBorder="1"/>
    <xf numFmtId="165" fontId="14" fillId="0" borderId="68" xfId="1" applyFont="1" applyBorder="1"/>
    <xf numFmtId="9" fontId="30" fillId="6" borderId="68" xfId="2" applyFont="1" applyFill="1" applyBorder="1" applyAlignment="1">
      <alignment horizontal="right"/>
    </xf>
    <xf numFmtId="180" fontId="12" fillId="0" borderId="30" xfId="0" applyNumberFormat="1" applyFont="1" applyBorder="1" applyAlignment="1">
      <alignment horizontal="center" vertical="center"/>
    </xf>
    <xf numFmtId="167" fontId="13" fillId="0" borderId="96" xfId="0" applyNumberFormat="1" applyFont="1" applyBorder="1"/>
    <xf numFmtId="167" fontId="13" fillId="0" borderId="68" xfId="0" applyNumberFormat="1" applyFont="1" applyBorder="1"/>
    <xf numFmtId="167" fontId="13" fillId="0" borderId="69" xfId="0" applyNumberFormat="1" applyFont="1" applyBorder="1"/>
    <xf numFmtId="9" fontId="13" fillId="6" borderId="95" xfId="2" applyFont="1" applyFill="1" applyBorder="1" applyAlignment="1">
      <alignment horizontal="right" vertical="center"/>
    </xf>
    <xf numFmtId="167" fontId="13" fillId="0" borderId="95" xfId="0" applyNumberFormat="1" applyFont="1" applyBorder="1"/>
    <xf numFmtId="167" fontId="32" fillId="6" borderId="96" xfId="0" applyNumberFormat="1" applyFont="1" applyFill="1" applyBorder="1"/>
    <xf numFmtId="165" fontId="13" fillId="6" borderId="68" xfId="1" applyFont="1" applyFill="1" applyBorder="1"/>
    <xf numFmtId="165" fontId="13" fillId="0" borderId="68" xfId="1" applyFont="1" applyBorder="1"/>
    <xf numFmtId="9" fontId="29" fillId="6" borderId="68" xfId="2" applyFont="1" applyFill="1" applyBorder="1" applyAlignment="1">
      <alignment horizontal="right"/>
    </xf>
    <xf numFmtId="1" fontId="13" fillId="0" borderId="130" xfId="0" applyNumberFormat="1" applyFont="1" applyBorder="1"/>
    <xf numFmtId="1" fontId="13" fillId="0" borderId="129" xfId="0" applyNumberFormat="1" applyFont="1" applyBorder="1"/>
    <xf numFmtId="1" fontId="13" fillId="0" borderId="69" xfId="0" applyNumberFormat="1" applyFont="1" applyBorder="1"/>
    <xf numFmtId="1" fontId="13" fillId="0" borderId="96" xfId="0" applyNumberFormat="1" applyFont="1" applyBorder="1"/>
    <xf numFmtId="1" fontId="13" fillId="0" borderId="68" xfId="0" applyNumberFormat="1" applyFont="1" applyBorder="1"/>
    <xf numFmtId="1" fontId="13" fillId="0" borderId="131" xfId="0" applyNumberFormat="1" applyFont="1" applyBorder="1"/>
    <xf numFmtId="1" fontId="13" fillId="0" borderId="101" xfId="0" applyNumberFormat="1" applyFont="1" applyBorder="1"/>
    <xf numFmtId="1" fontId="29" fillId="0" borderId="127" xfId="0" applyNumberFormat="1" applyFont="1" applyBorder="1"/>
    <xf numFmtId="9" fontId="14" fillId="0" borderId="69" xfId="2" applyFont="1" applyBorder="1"/>
    <xf numFmtId="167" fontId="13" fillId="6" borderId="96" xfId="0" applyNumberFormat="1" applyFont="1" applyFill="1" applyBorder="1"/>
    <xf numFmtId="169" fontId="13" fillId="6" borderId="68" xfId="1" applyNumberFormat="1" applyFont="1" applyFill="1" applyBorder="1"/>
    <xf numFmtId="169" fontId="13" fillId="6" borderId="115" xfId="1" applyNumberFormat="1" applyFont="1" applyFill="1" applyBorder="1"/>
    <xf numFmtId="165" fontId="29" fillId="0" borderId="116" xfId="1" applyFont="1" applyBorder="1" applyAlignment="1"/>
    <xf numFmtId="165" fontId="29" fillId="6" borderId="68" xfId="1" applyFont="1" applyFill="1" applyBorder="1"/>
    <xf numFmtId="0" fontId="13" fillId="0" borderId="40" xfId="0" applyFont="1" applyBorder="1"/>
    <xf numFmtId="169" fontId="13" fillId="6" borderId="90" xfId="1" applyNumberFormat="1" applyFont="1" applyFill="1" applyBorder="1"/>
    <xf numFmtId="167" fontId="8" fillId="0" borderId="132" xfId="0" applyNumberFormat="1" applyFont="1" applyBorder="1"/>
    <xf numFmtId="167" fontId="24" fillId="6" borderId="120" xfId="0" applyNumberFormat="1" applyFont="1" applyFill="1" applyBorder="1"/>
    <xf numFmtId="167" fontId="8" fillId="0" borderId="120" xfId="0" applyNumberFormat="1" applyFont="1" applyBorder="1"/>
    <xf numFmtId="167" fontId="8" fillId="6" borderId="120" xfId="0" applyNumberFormat="1" applyFont="1" applyFill="1" applyBorder="1"/>
    <xf numFmtId="167" fontId="8" fillId="0" borderId="133" xfId="0" applyNumberFormat="1" applyFont="1" applyBorder="1"/>
    <xf numFmtId="9" fontId="8" fillId="6" borderId="134" xfId="2" applyFont="1" applyFill="1" applyBorder="1" applyAlignment="1">
      <alignment horizontal="right" vertical="center"/>
    </xf>
    <xf numFmtId="167" fontId="8" fillId="0" borderId="134" xfId="0" applyNumberFormat="1" applyFont="1" applyBorder="1"/>
    <xf numFmtId="167" fontId="26" fillId="6" borderId="132" xfId="0" applyNumberFormat="1" applyFont="1" applyFill="1" applyBorder="1"/>
    <xf numFmtId="165" fontId="8" fillId="6" borderId="120" xfId="1" applyFont="1" applyFill="1" applyBorder="1"/>
    <xf numFmtId="165" fontId="8" fillId="0" borderId="120" xfId="1" applyFont="1" applyBorder="1"/>
    <xf numFmtId="9" fontId="12" fillId="6" borderId="120" xfId="2" applyFont="1" applyFill="1" applyBorder="1" applyAlignment="1">
      <alignment horizontal="right"/>
    </xf>
    <xf numFmtId="0" fontId="8" fillId="0" borderId="135" xfId="0" applyFont="1" applyBorder="1"/>
    <xf numFmtId="0" fontId="8" fillId="0" borderId="69" xfId="0" applyFont="1" applyBorder="1"/>
    <xf numFmtId="0" fontId="8" fillId="0" borderId="136" xfId="0" applyFont="1" applyBorder="1"/>
    <xf numFmtId="0" fontId="12" fillId="0" borderId="137" xfId="0" applyFont="1" applyBorder="1"/>
    <xf numFmtId="0" fontId="12" fillId="0" borderId="138" xfId="0" applyFont="1" applyBorder="1"/>
    <xf numFmtId="167" fontId="8" fillId="6" borderId="96" xfId="0" applyNumberFormat="1" applyFont="1" applyFill="1" applyBorder="1"/>
    <xf numFmtId="167" fontId="8" fillId="6" borderId="68" xfId="0" applyNumberFormat="1" applyFont="1" applyFill="1" applyBorder="1"/>
    <xf numFmtId="169" fontId="8" fillId="6" borderId="68" xfId="1" applyNumberFormat="1" applyFont="1" applyFill="1" applyBorder="1"/>
    <xf numFmtId="169" fontId="8" fillId="6" borderId="139" xfId="1" applyNumberFormat="1" applyFont="1" applyFill="1" applyBorder="1"/>
    <xf numFmtId="165" fontId="12" fillId="0" borderId="119" xfId="1" applyFont="1" applyBorder="1" applyAlignment="1"/>
    <xf numFmtId="165" fontId="12" fillId="6" borderId="120" xfId="1" applyFont="1" applyFill="1" applyBorder="1" applyAlignment="1"/>
    <xf numFmtId="1" fontId="13" fillId="0" borderId="100" xfId="0" applyNumberFormat="1" applyFont="1" applyBorder="1"/>
    <xf numFmtId="0" fontId="29" fillId="0" borderId="70" xfId="0" applyFont="1" applyBorder="1"/>
    <xf numFmtId="0" fontId="8" fillId="0" borderId="123" xfId="0" applyFont="1" applyBorder="1"/>
    <xf numFmtId="0" fontId="12" fillId="0" borderId="70" xfId="0" applyFont="1" applyBorder="1"/>
    <xf numFmtId="0" fontId="8" fillId="0" borderId="79" xfId="0" applyFont="1" applyBorder="1"/>
    <xf numFmtId="0" fontId="8" fillId="0" borderId="140" xfId="0" applyFont="1" applyBorder="1"/>
    <xf numFmtId="167" fontId="8" fillId="6" borderId="124" xfId="0" applyNumberFormat="1" applyFont="1" applyFill="1" applyBorder="1"/>
    <xf numFmtId="167" fontId="8" fillId="0" borderId="19" xfId="0" applyNumberFormat="1" applyFont="1" applyBorder="1"/>
    <xf numFmtId="167" fontId="8" fillId="6" borderId="19" xfId="0" applyNumberFormat="1" applyFont="1" applyFill="1" applyBorder="1"/>
    <xf numFmtId="169" fontId="8" fillId="6" borderId="122" xfId="1" applyNumberFormat="1" applyFont="1" applyFill="1" applyBorder="1"/>
    <xf numFmtId="1" fontId="29" fillId="0" borderId="126" xfId="0" applyNumberFormat="1" applyFont="1" applyBorder="1"/>
    <xf numFmtId="165" fontId="12" fillId="0" borderId="70" xfId="1" applyFont="1" applyBorder="1" applyAlignment="1"/>
    <xf numFmtId="180" fontId="12" fillId="0" borderId="18" xfId="0" applyNumberFormat="1" applyFont="1" applyBorder="1" applyAlignment="1">
      <alignment horizontal="center" vertical="center"/>
    </xf>
    <xf numFmtId="180" fontId="12" fillId="0" borderId="43" xfId="0" applyNumberFormat="1" applyFont="1" applyBorder="1" applyAlignment="1">
      <alignment horizontal="center" vertical="center"/>
    </xf>
    <xf numFmtId="180" fontId="12" fillId="0" borderId="48" xfId="0" applyNumberFormat="1" applyFont="1" applyBorder="1" applyAlignment="1">
      <alignment horizontal="center" vertical="center"/>
    </xf>
    <xf numFmtId="180" fontId="12" fillId="0" borderId="19" xfId="0" applyNumberFormat="1" applyFont="1" applyBorder="1" applyAlignment="1">
      <alignment horizontal="center" vertical="center"/>
    </xf>
    <xf numFmtId="0" fontId="15" fillId="18" borderId="90" xfId="0" applyFont="1" applyFill="1" applyBorder="1"/>
    <xf numFmtId="0" fontId="29" fillId="0" borderId="28" xfId="0" applyFont="1" applyBorder="1" applyAlignment="1">
      <alignment horizontal="center" wrapText="1"/>
    </xf>
    <xf numFmtId="167" fontId="51" fillId="0" borderId="30" xfId="0" applyNumberFormat="1" applyFont="1" applyBorder="1" applyAlignment="1">
      <alignment vertical="center"/>
    </xf>
    <xf numFmtId="167" fontId="51" fillId="6" borderId="0" xfId="0" applyNumberFormat="1" applyFont="1" applyFill="1" applyAlignment="1">
      <alignment vertical="center"/>
    </xf>
    <xf numFmtId="167" fontId="51" fillId="0" borderId="0" xfId="0" applyNumberFormat="1" applyFont="1" applyAlignment="1">
      <alignment vertical="center"/>
    </xf>
    <xf numFmtId="9" fontId="51" fillId="6" borderId="30" xfId="2" applyFont="1" applyFill="1" applyBorder="1" applyAlignment="1">
      <alignment vertical="center"/>
    </xf>
    <xf numFmtId="165" fontId="29" fillId="6" borderId="30" xfId="1" applyFont="1" applyFill="1" applyBorder="1"/>
    <xf numFmtId="165" fontId="13" fillId="6" borderId="0" xfId="1" applyFont="1" applyFill="1" applyBorder="1" applyAlignment="1">
      <alignment horizontal="center" vertical="center"/>
    </xf>
    <xf numFmtId="9" fontId="32" fillId="6" borderId="0" xfId="2" applyFont="1" applyFill="1" applyBorder="1" applyAlignment="1">
      <alignment vertical="center"/>
    </xf>
    <xf numFmtId="167" fontId="29" fillId="6" borderId="0" xfId="0" applyNumberFormat="1" applyFont="1" applyFill="1" applyAlignment="1">
      <alignment horizontal="center" vertical="center"/>
    </xf>
    <xf numFmtId="9" fontId="29" fillId="0" borderId="0" xfId="2" applyFont="1" applyBorder="1" applyAlignment="1">
      <alignment horizontal="center" vertical="center"/>
    </xf>
    <xf numFmtId="167" fontId="13" fillId="6" borderId="0" xfId="1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9" fontId="13" fillId="6" borderId="0" xfId="1" applyNumberFormat="1" applyFont="1" applyFill="1" applyBorder="1" applyAlignment="1">
      <alignment horizontal="center" vertical="center"/>
    </xf>
    <xf numFmtId="165" fontId="13" fillId="0" borderId="0" xfId="1" applyFont="1" applyAlignment="1"/>
    <xf numFmtId="165" fontId="13" fillId="6" borderId="0" xfId="1" applyFont="1" applyFill="1" applyAlignment="1"/>
    <xf numFmtId="9" fontId="24" fillId="6" borderId="0" xfId="2" applyFont="1" applyFill="1"/>
    <xf numFmtId="9" fontId="9" fillId="0" borderId="28" xfId="2" applyFont="1" applyBorder="1" applyAlignment="1">
      <alignment horizontal="right" vertical="top"/>
    </xf>
    <xf numFmtId="1" fontId="12" fillId="18" borderId="0" xfId="0" applyNumberFormat="1" applyFont="1" applyFill="1" applyAlignment="1">
      <alignment horizontal="center" vertical="center"/>
    </xf>
    <xf numFmtId="0" fontId="13" fillId="0" borderId="117" xfId="0" applyFont="1" applyBorder="1"/>
    <xf numFmtId="0" fontId="13" fillId="0" borderId="69" xfId="0" applyFont="1" applyBorder="1"/>
    <xf numFmtId="0" fontId="13" fillId="0" borderId="96" xfId="0" applyFont="1" applyBorder="1"/>
    <xf numFmtId="0" fontId="29" fillId="0" borderId="127" xfId="0" applyFont="1" applyBorder="1"/>
    <xf numFmtId="0" fontId="30" fillId="6" borderId="0" xfId="0" applyFont="1" applyFill="1"/>
    <xf numFmtId="165" fontId="30" fillId="6" borderId="68" xfId="1" applyFont="1" applyFill="1" applyBorder="1"/>
    <xf numFmtId="165" fontId="13" fillId="0" borderId="0" xfId="1" applyFont="1" applyAlignment="1">
      <alignment horizontal="center"/>
    </xf>
    <xf numFmtId="9" fontId="8" fillId="18" borderId="0" xfId="2" applyFont="1" applyFill="1" applyBorder="1" applyAlignment="1">
      <alignment horizontal="center" vertical="top"/>
    </xf>
    <xf numFmtId="9" fontId="8" fillId="18" borderId="0" xfId="2" applyFont="1" applyFill="1" applyAlignment="1">
      <alignment horizontal="center" vertical="top"/>
    </xf>
    <xf numFmtId="9" fontId="8" fillId="0" borderId="0" xfId="2" applyFont="1" applyBorder="1" applyAlignment="1">
      <alignment horizontal="right" vertical="center"/>
    </xf>
    <xf numFmtId="9" fontId="8" fillId="0" borderId="0" xfId="2" applyFont="1" applyAlignment="1">
      <alignment horizontal="right" vertical="center"/>
    </xf>
    <xf numFmtId="9" fontId="8" fillId="0" borderId="42" xfId="2" applyFont="1" applyBorder="1" applyAlignment="1">
      <alignment horizontal="right" vertical="center"/>
    </xf>
    <xf numFmtId="165" fontId="18" fillId="18" borderId="37" xfId="1" applyFont="1" applyFill="1" applyBorder="1" applyAlignment="1">
      <alignment horizontal="right"/>
    </xf>
    <xf numFmtId="165" fontId="18" fillId="18" borderId="0" xfId="1" applyFont="1" applyFill="1" applyBorder="1" applyAlignment="1">
      <alignment horizontal="right"/>
    </xf>
    <xf numFmtId="168" fontId="59" fillId="0" borderId="28" xfId="2" applyNumberFormat="1" applyFont="1" applyBorder="1" applyAlignment="1">
      <alignment horizontal="right" vertical="center"/>
    </xf>
    <xf numFmtId="168" fontId="12" fillId="0" borderId="28" xfId="2" applyNumberFormat="1" applyFont="1" applyBorder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168" fontId="8" fillId="0" borderId="28" xfId="2" applyNumberFormat="1" applyFont="1" applyBorder="1" applyAlignment="1">
      <alignment horizontal="right" vertical="center"/>
    </xf>
    <xf numFmtId="167" fontId="12" fillId="7" borderId="27" xfId="0" applyNumberFormat="1" applyFont="1" applyFill="1" applyBorder="1" applyAlignment="1">
      <alignment vertical="center"/>
    </xf>
    <xf numFmtId="0" fontId="13" fillId="0" borderId="115" xfId="0" applyFont="1" applyBorder="1"/>
    <xf numFmtId="0" fontId="13" fillId="0" borderId="90" xfId="0" applyFont="1" applyBorder="1"/>
    <xf numFmtId="0" fontId="13" fillId="0" borderId="125" xfId="0" applyFont="1" applyBorder="1"/>
    <xf numFmtId="0" fontId="13" fillId="0" borderId="126" xfId="0" applyFont="1" applyBorder="1"/>
    <xf numFmtId="2" fontId="8" fillId="0" borderId="0" xfId="2" applyNumberFormat="1" applyFont="1" applyBorder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165" fontId="60" fillId="18" borderId="90" xfId="1" applyFont="1" applyFill="1" applyBorder="1"/>
    <xf numFmtId="165" fontId="60" fillId="6" borderId="90" xfId="1" applyFont="1" applyFill="1" applyBorder="1"/>
    <xf numFmtId="165" fontId="60" fillId="6" borderId="91" xfId="1" applyFont="1" applyFill="1" applyBorder="1"/>
    <xf numFmtId="165" fontId="60" fillId="6" borderId="37" xfId="1" applyFont="1" applyFill="1" applyBorder="1"/>
    <xf numFmtId="0" fontId="12" fillId="0" borderId="14" xfId="0" applyFont="1" applyBorder="1" applyAlignment="1">
      <alignment horizontal="left"/>
    </xf>
    <xf numFmtId="165" fontId="8" fillId="0" borderId="11" xfId="1" applyFont="1" applyBorder="1" applyAlignment="1">
      <alignment horizontal="left"/>
    </xf>
    <xf numFmtId="165" fontId="61" fillId="6" borderId="0" xfId="1" applyFont="1" applyFill="1" applyBorder="1"/>
    <xf numFmtId="181" fontId="0" fillId="0" borderId="0" xfId="0" applyNumberFormat="1"/>
    <xf numFmtId="181" fontId="62" fillId="0" borderId="0" xfId="0" applyNumberFormat="1" applyFont="1"/>
    <xf numFmtId="181" fontId="62" fillId="20" borderId="0" xfId="0" applyNumberFormat="1" applyFont="1" applyFill="1"/>
    <xf numFmtId="0" fontId="63" fillId="0" borderId="0" xfId="0" applyFont="1" applyAlignment="1">
      <alignment wrapText="1"/>
    </xf>
    <xf numFmtId="182" fontId="0" fillId="0" borderId="0" xfId="0" applyNumberFormat="1"/>
    <xf numFmtId="182" fontId="62" fillId="21" borderId="0" xfId="0" applyNumberFormat="1" applyFont="1" applyFill="1"/>
    <xf numFmtId="182" fontId="62" fillId="22" borderId="0" xfId="0" applyNumberFormat="1" applyFont="1" applyFill="1"/>
    <xf numFmtId="0" fontId="63" fillId="0" borderId="0" xfId="0" applyFont="1"/>
    <xf numFmtId="0" fontId="62" fillId="23" borderId="0" xfId="0" applyFont="1" applyFill="1"/>
    <xf numFmtId="182" fontId="62" fillId="23" borderId="0" xfId="0" applyNumberFormat="1" applyFont="1" applyFill="1"/>
    <xf numFmtId="0" fontId="0" fillId="0" borderId="0" xfId="0" applyAlignment="1">
      <alignment horizontal="center"/>
    </xf>
    <xf numFmtId="0" fontId="65" fillId="0" borderId="0" xfId="0" pivotButton="1" applyFont="1"/>
    <xf numFmtId="0" fontId="65" fillId="0" borderId="0" xfId="0" applyFont="1"/>
    <xf numFmtId="0" fontId="65" fillId="0" borderId="0" xfId="0" applyFont="1" applyAlignment="1">
      <alignment horizontal="left"/>
    </xf>
    <xf numFmtId="0" fontId="64" fillId="19" borderId="3" xfId="0" applyFont="1" applyFill="1" applyBorder="1"/>
    <xf numFmtId="182" fontId="0" fillId="23" borderId="4" xfId="0" applyNumberFormat="1" applyFill="1" applyBorder="1"/>
    <xf numFmtId="0" fontId="66" fillId="19" borderId="1" xfId="0" applyFont="1" applyFill="1" applyBorder="1"/>
    <xf numFmtId="0" fontId="62" fillId="23" borderId="5" xfId="0" applyFont="1" applyFill="1" applyBorder="1"/>
    <xf numFmtId="0" fontId="66" fillId="19" borderId="7" xfId="0" applyFont="1" applyFill="1" applyBorder="1"/>
    <xf numFmtId="182" fontId="0" fillId="0" borderId="6" xfId="0" applyNumberFormat="1" applyBorder="1"/>
    <xf numFmtId="182" fontId="0" fillId="23" borderId="8" xfId="0" applyNumberFormat="1" applyFill="1" applyBorder="1"/>
    <xf numFmtId="182" fontId="0" fillId="25" borderId="4" xfId="0" applyNumberFormat="1" applyFill="1" applyBorder="1"/>
    <xf numFmtId="0" fontId="66" fillId="24" borderId="1" xfId="0" applyFont="1" applyFill="1" applyBorder="1"/>
    <xf numFmtId="0" fontId="64" fillId="24" borderId="3" xfId="0" applyFont="1" applyFill="1" applyBorder="1"/>
    <xf numFmtId="0" fontId="62" fillId="25" borderId="5" xfId="0" applyFont="1" applyFill="1" applyBorder="1"/>
    <xf numFmtId="0" fontId="66" fillId="24" borderId="7" xfId="0" applyFont="1" applyFill="1" applyBorder="1"/>
    <xf numFmtId="182" fontId="0" fillId="25" borderId="8" xfId="0" applyNumberFormat="1" applyFill="1" applyBorder="1"/>
    <xf numFmtId="49" fontId="0" fillId="0" borderId="2" xfId="0" applyNumberFormat="1" applyBorder="1"/>
    <xf numFmtId="17" fontId="6" fillId="0" borderId="0" xfId="1" applyNumberFormat="1" applyFont="1" applyFill="1" applyBorder="1" applyAlignment="1">
      <alignment horizontal="center" vertical="center"/>
    </xf>
    <xf numFmtId="182" fontId="0" fillId="0" borderId="11" xfId="0" applyNumberFormat="1" applyBorder="1" applyAlignment="1">
      <alignment horizontal="center"/>
    </xf>
    <xf numFmtId="14" fontId="64" fillId="19" borderId="0" xfId="1" applyNumberFormat="1" applyFont="1" applyFill="1" applyBorder="1" applyAlignment="1">
      <alignment horizontal="center"/>
    </xf>
    <xf numFmtId="165" fontId="64" fillId="19" borderId="0" xfId="1" applyFont="1" applyFill="1" applyBorder="1" applyAlignment="1">
      <alignment horizontal="center"/>
    </xf>
    <xf numFmtId="182" fontId="5" fillId="0" borderId="0" xfId="1" applyNumberFormat="1" applyFont="1" applyFill="1" applyBorder="1" applyAlignment="1">
      <alignment horizontal="center"/>
    </xf>
    <xf numFmtId="182" fontId="5" fillId="0" borderId="0" xfId="1" applyNumberFormat="1" applyFont="1" applyBorder="1" applyAlignment="1">
      <alignment horizontal="center"/>
    </xf>
    <xf numFmtId="182" fontId="0" fillId="0" borderId="0" xfId="0" applyNumberFormat="1" applyAlignment="1">
      <alignment horizontal="center"/>
    </xf>
    <xf numFmtId="0" fontId="64" fillId="19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62" fillId="23" borderId="11" xfId="0" applyFont="1" applyFill="1" applyBorder="1" applyAlignment="1">
      <alignment horizontal="center"/>
    </xf>
    <xf numFmtId="182" fontId="62" fillId="23" borderId="11" xfId="0" applyNumberFormat="1" applyFont="1" applyFill="1" applyBorder="1" applyAlignment="1">
      <alignment horizontal="center"/>
    </xf>
    <xf numFmtId="168" fontId="62" fillId="23" borderId="11" xfId="0" applyNumberFormat="1" applyFont="1" applyFill="1" applyBorder="1" applyAlignment="1">
      <alignment horizontal="center"/>
    </xf>
    <xf numFmtId="0" fontId="64" fillId="19" borderId="0" xfId="0" applyFont="1" applyFill="1" applyAlignment="1">
      <alignment horizontal="left"/>
    </xf>
    <xf numFmtId="0" fontId="62" fillId="23" borderId="0" xfId="0" applyFont="1" applyFill="1" applyAlignment="1">
      <alignment horizontal="left"/>
    </xf>
    <xf numFmtId="182" fontId="62" fillId="23" borderId="0" xfId="0" applyNumberFormat="1" applyFont="1" applyFill="1" applyAlignment="1">
      <alignment horizontal="center"/>
    </xf>
    <xf numFmtId="183" fontId="67" fillId="0" borderId="0" xfId="0" applyNumberFormat="1" applyFont="1" applyAlignment="1">
      <alignment horizontal="center"/>
    </xf>
    <xf numFmtId="182" fontId="68" fillId="0" borderId="0" xfId="0" applyNumberFormat="1" applyFont="1" applyAlignment="1">
      <alignment horizontal="center"/>
    </xf>
    <xf numFmtId="182" fontId="69" fillId="23" borderId="0" xfId="0" applyNumberFormat="1" applyFont="1" applyFill="1" applyAlignment="1">
      <alignment horizontal="center"/>
    </xf>
    <xf numFmtId="183" fontId="68" fillId="0" borderId="0" xfId="0" applyNumberFormat="1" applyFont="1" applyAlignment="1">
      <alignment horizontal="center"/>
    </xf>
    <xf numFmtId="0" fontId="70" fillId="0" borderId="0" xfId="0" applyFont="1"/>
    <xf numFmtId="0" fontId="62" fillId="0" borderId="0" xfId="0" applyFont="1" applyAlignment="1">
      <alignment horizontal="center"/>
    </xf>
    <xf numFmtId="0" fontId="17" fillId="0" borderId="0" xfId="0" applyFont="1"/>
    <xf numFmtId="0" fontId="17" fillId="0" borderId="28" xfId="0" applyFont="1" applyBorder="1"/>
    <xf numFmtId="0" fontId="17" fillId="0" borderId="38" xfId="0" applyFont="1" applyBorder="1"/>
    <xf numFmtId="176" fontId="0" fillId="0" borderId="0" xfId="0" applyNumberFormat="1"/>
    <xf numFmtId="180" fontId="0" fillId="0" borderId="0" xfId="0" applyNumberFormat="1"/>
    <xf numFmtId="165" fontId="71" fillId="6" borderId="0" xfId="1" applyFont="1" applyFill="1" applyBorder="1"/>
    <xf numFmtId="0" fontId="64" fillId="19" borderId="0" xfId="0" applyFont="1" applyFill="1"/>
    <xf numFmtId="0" fontId="62" fillId="0" borderId="0" xfId="0" applyFont="1"/>
    <xf numFmtId="0" fontId="64" fillId="19" borderId="0" xfId="0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165" fontId="8" fillId="0" borderId="0" xfId="1" applyFont="1" applyAlignment="1">
      <alignment horizontal="center" vertical="center" wrapText="1"/>
    </xf>
    <xf numFmtId="183" fontId="0" fillId="0" borderId="0" xfId="0" applyNumberFormat="1" applyAlignment="1">
      <alignment horizontal="center"/>
    </xf>
    <xf numFmtId="168" fontId="5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39" xfId="0" applyFont="1" applyFill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/>
    </xf>
    <xf numFmtId="0" fontId="12" fillId="13" borderId="39" xfId="0" applyFont="1" applyFill="1" applyBorder="1" applyAlignment="1">
      <alignment horizontal="center" vertical="center"/>
    </xf>
    <xf numFmtId="0" fontId="12" fillId="14" borderId="39" xfId="0" applyFont="1" applyFill="1" applyBorder="1" applyAlignment="1">
      <alignment horizontal="center" vertical="center"/>
    </xf>
    <xf numFmtId="0" fontId="12" fillId="15" borderId="39" xfId="0" applyFont="1" applyFill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8" fillId="27" borderId="0" xfId="0" applyFont="1" applyFill="1" applyAlignment="1">
      <alignment horizontal="left" vertical="center"/>
    </xf>
    <xf numFmtId="0" fontId="12" fillId="27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left" vertical="center"/>
    </xf>
    <xf numFmtId="8" fontId="0" fillId="0" borderId="0" xfId="1" applyNumberFormat="1" applyFont="1" applyAlignment="1">
      <alignment horizontal="center"/>
    </xf>
    <xf numFmtId="8" fontId="67" fillId="0" borderId="0" xfId="1" applyNumberFormat="1" applyFont="1" applyAlignment="1">
      <alignment horizontal="center"/>
    </xf>
    <xf numFmtId="8" fontId="68" fillId="0" borderId="0" xfId="1" applyNumberFormat="1" applyFont="1" applyAlignment="1">
      <alignment horizontal="center"/>
    </xf>
    <xf numFmtId="0" fontId="62" fillId="0" borderId="11" xfId="0" applyFont="1" applyBorder="1"/>
    <xf numFmtId="0" fontId="8" fillId="2" borderId="11" xfId="0" applyFont="1" applyFill="1" applyBorder="1" applyAlignment="1">
      <alignment horizontal="left" vertical="center"/>
    </xf>
    <xf numFmtId="0" fontId="8" fillId="8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0" fontId="8" fillId="10" borderId="11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left" vertical="center"/>
    </xf>
    <xf numFmtId="0" fontId="8" fillId="12" borderId="11" xfId="0" applyFont="1" applyFill="1" applyBorder="1" applyAlignment="1">
      <alignment horizontal="left" vertical="center"/>
    </xf>
    <xf numFmtId="0" fontId="8" fillId="13" borderId="11" xfId="0" applyFont="1" applyFill="1" applyBorder="1" applyAlignment="1">
      <alignment horizontal="left" vertical="center"/>
    </xf>
    <xf numFmtId="0" fontId="8" fillId="14" borderId="11" xfId="0" applyFont="1" applyFill="1" applyBorder="1" applyAlignment="1">
      <alignment horizontal="left" vertical="center"/>
    </xf>
    <xf numFmtId="0" fontId="8" fillId="26" borderId="11" xfId="0" applyFont="1" applyFill="1" applyBorder="1" applyAlignment="1">
      <alignment horizontal="left" vertical="center"/>
    </xf>
    <xf numFmtId="0" fontId="8" fillId="27" borderId="11" xfId="0" applyFont="1" applyFill="1" applyBorder="1" applyAlignment="1">
      <alignment horizontal="left" vertical="center"/>
    </xf>
    <xf numFmtId="173" fontId="8" fillId="0" borderId="11" xfId="1" applyNumberFormat="1" applyFont="1" applyFill="1" applyBorder="1"/>
    <xf numFmtId="167" fontId="29" fillId="0" borderId="46" xfId="0" applyNumberFormat="1" applyFont="1" applyBorder="1"/>
    <xf numFmtId="167" fontId="50" fillId="6" borderId="18" xfId="0" applyNumberFormat="1" applyFont="1" applyFill="1" applyBorder="1"/>
    <xf numFmtId="167" fontId="29" fillId="0" borderId="45" xfId="0" applyNumberFormat="1" applyFont="1" applyBorder="1"/>
    <xf numFmtId="2" fontId="13" fillId="6" borderId="18" xfId="0" applyNumberFormat="1" applyFont="1" applyFill="1" applyBorder="1"/>
    <xf numFmtId="2" fontId="13" fillId="0" borderId="18" xfId="0" applyNumberFormat="1" applyFont="1" applyBorder="1"/>
    <xf numFmtId="9" fontId="13" fillId="6" borderId="46" xfId="2" applyFont="1" applyFill="1" applyBorder="1"/>
    <xf numFmtId="167" fontId="32" fillId="0" borderId="18" xfId="0" applyNumberFormat="1" applyFont="1" applyBorder="1" applyAlignment="1">
      <alignment vertical="center"/>
    </xf>
    <xf numFmtId="165" fontId="13" fillId="0" borderId="18" xfId="1" applyFont="1" applyBorder="1"/>
    <xf numFmtId="9" fontId="32" fillId="0" borderId="18" xfId="2" applyFont="1" applyFill="1" applyBorder="1" applyAlignment="1">
      <alignment vertical="center"/>
    </xf>
    <xf numFmtId="2" fontId="8" fillId="0" borderId="18" xfId="0" applyNumberFormat="1" applyFont="1" applyBorder="1"/>
    <xf numFmtId="0" fontId="14" fillId="0" borderId="44" xfId="0" applyFont="1" applyBorder="1"/>
    <xf numFmtId="0" fontId="14" fillId="6" borderId="18" xfId="0" applyFont="1" applyFill="1" applyBorder="1"/>
    <xf numFmtId="0" fontId="29" fillId="0" borderId="18" xfId="0" applyFont="1" applyBorder="1"/>
    <xf numFmtId="0" fontId="13" fillId="6" borderId="18" xfId="0" applyFont="1" applyFill="1" applyBorder="1"/>
    <xf numFmtId="0" fontId="13" fillId="0" borderId="18" xfId="0" applyFont="1" applyBorder="1"/>
    <xf numFmtId="9" fontId="14" fillId="0" borderId="18" xfId="2" applyFont="1" applyBorder="1"/>
    <xf numFmtId="167" fontId="14" fillId="6" borderId="18" xfId="0" applyNumberFormat="1" applyFont="1" applyFill="1" applyBorder="1"/>
    <xf numFmtId="165" fontId="14" fillId="0" borderId="18" xfId="0" applyNumberFormat="1" applyFont="1" applyBorder="1"/>
    <xf numFmtId="167" fontId="14" fillId="6" borderId="18" xfId="1" applyNumberFormat="1" applyFont="1" applyFill="1" applyBorder="1" applyAlignment="1"/>
    <xf numFmtId="167" fontId="14" fillId="0" borderId="18" xfId="1" applyNumberFormat="1" applyFont="1" applyFill="1" applyBorder="1" applyAlignment="1"/>
    <xf numFmtId="169" fontId="14" fillId="0" borderId="18" xfId="0" applyNumberFormat="1" applyFont="1" applyBorder="1"/>
    <xf numFmtId="165" fontId="29" fillId="0" borderId="18" xfId="1" applyFont="1" applyFill="1" applyBorder="1" applyAlignment="1"/>
    <xf numFmtId="165" fontId="13" fillId="6" borderId="18" xfId="1" applyFont="1" applyFill="1" applyBorder="1" applyAlignment="1"/>
    <xf numFmtId="167" fontId="14" fillId="0" borderId="18" xfId="0" applyNumberFormat="1" applyFont="1" applyBorder="1"/>
    <xf numFmtId="0" fontId="14" fillId="0" borderId="45" xfId="0" applyFont="1" applyBorder="1"/>
    <xf numFmtId="0" fontId="14" fillId="0" borderId="18" xfId="0" applyFont="1" applyBorder="1"/>
    <xf numFmtId="9" fontId="8" fillId="0" borderId="45" xfId="2" applyFont="1" applyBorder="1"/>
    <xf numFmtId="167" fontId="14" fillId="6" borderId="44" xfId="0" applyNumberFormat="1" applyFont="1" applyFill="1" applyBorder="1"/>
    <xf numFmtId="169" fontId="14" fillId="6" borderId="18" xfId="1" applyNumberFormat="1" applyFont="1" applyFill="1" applyBorder="1"/>
    <xf numFmtId="167" fontId="13" fillId="0" borderId="44" xfId="0" applyNumberFormat="1" applyFont="1" applyBorder="1"/>
    <xf numFmtId="167" fontId="13" fillId="0" borderId="18" xfId="0" applyNumberFormat="1" applyFont="1" applyBorder="1"/>
    <xf numFmtId="167" fontId="13" fillId="0" borderId="45" xfId="0" applyNumberFormat="1" applyFont="1" applyBorder="1"/>
    <xf numFmtId="9" fontId="13" fillId="6" borderId="46" xfId="2" applyFont="1" applyFill="1" applyBorder="1" applyAlignment="1">
      <alignment horizontal="right" vertical="center"/>
    </xf>
    <xf numFmtId="167" fontId="13" fillId="0" borderId="46" xfId="0" applyNumberFormat="1" applyFont="1" applyBorder="1"/>
    <xf numFmtId="167" fontId="32" fillId="6" borderId="44" xfId="0" applyNumberFormat="1" applyFont="1" applyFill="1" applyBorder="1"/>
    <xf numFmtId="165" fontId="13" fillId="6" borderId="18" xfId="1" applyFont="1" applyFill="1" applyBorder="1"/>
    <xf numFmtId="9" fontId="29" fillId="6" borderId="18" xfId="2" applyFont="1" applyFill="1" applyBorder="1" applyAlignment="1">
      <alignment horizontal="right"/>
    </xf>
    <xf numFmtId="165" fontId="29" fillId="0" borderId="18" xfId="1" applyFont="1" applyBorder="1" applyAlignment="1"/>
    <xf numFmtId="165" fontId="29" fillId="6" borderId="18" xfId="1" applyFont="1" applyFill="1" applyBorder="1"/>
    <xf numFmtId="180" fontId="12" fillId="0" borderId="80" xfId="0" applyNumberFormat="1" applyFont="1" applyBorder="1" applyAlignment="1">
      <alignment horizontal="center" vertical="center"/>
    </xf>
    <xf numFmtId="180" fontId="12" fillId="0" borderId="46" xfId="0" applyNumberFormat="1" applyFont="1" applyBorder="1" applyAlignment="1">
      <alignment horizontal="center" vertical="center"/>
    </xf>
    <xf numFmtId="0" fontId="8" fillId="0" borderId="116" xfId="0" applyFont="1" applyBorder="1"/>
    <xf numFmtId="180" fontId="12" fillId="0" borderId="69" xfId="0" applyNumberFormat="1" applyFont="1" applyBorder="1" applyAlignment="1">
      <alignment horizontal="center" vertical="center"/>
    </xf>
    <xf numFmtId="167" fontId="14" fillId="6" borderId="68" xfId="1" applyNumberFormat="1" applyFont="1" applyFill="1" applyBorder="1" applyAlignment="1"/>
    <xf numFmtId="167" fontId="14" fillId="0" borderId="68" xfId="1" applyNumberFormat="1" applyFont="1" applyFill="1" applyBorder="1" applyAlignment="1"/>
    <xf numFmtId="169" fontId="14" fillId="0" borderId="68" xfId="0" applyNumberFormat="1" applyFont="1" applyBorder="1"/>
    <xf numFmtId="169" fontId="33" fillId="0" borderId="0" xfId="1" applyNumberFormat="1" applyFont="1" applyFill="1" applyBorder="1"/>
    <xf numFmtId="165" fontId="27" fillId="6" borderId="43" xfId="1" applyFont="1" applyFill="1" applyBorder="1" applyAlignment="1"/>
    <xf numFmtId="165" fontId="8" fillId="16" borderId="52" xfId="1" applyFont="1" applyFill="1" applyBorder="1" applyAlignment="1"/>
    <xf numFmtId="165" fontId="8" fillId="6" borderId="43" xfId="1" applyFont="1" applyFill="1" applyBorder="1" applyAlignment="1"/>
    <xf numFmtId="165" fontId="8" fillId="6" borderId="30" xfId="1" applyFont="1" applyFill="1" applyBorder="1" applyAlignment="1"/>
    <xf numFmtId="0" fontId="65" fillId="0" borderId="0" xfId="0" pivotButton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9" fontId="65" fillId="0" borderId="0" xfId="0" applyNumberFormat="1" applyFont="1" applyAlignment="1">
      <alignment horizontal="center" vertical="center"/>
    </xf>
    <xf numFmtId="169" fontId="65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12" fillId="0" borderId="28" xfId="0" applyFont="1" applyBorder="1" applyAlignment="1">
      <alignment horizontal="right"/>
    </xf>
    <xf numFmtId="0" fontId="12" fillId="6" borderId="110" xfId="0" applyFont="1" applyFill="1" applyBorder="1" applyAlignment="1">
      <alignment horizontal="center" vertical="center"/>
    </xf>
    <xf numFmtId="0" fontId="12" fillId="6" borderId="111" xfId="0" applyFont="1" applyFill="1" applyBorder="1" applyAlignment="1">
      <alignment horizontal="center" vertical="center"/>
    </xf>
    <xf numFmtId="0" fontId="12" fillId="18" borderId="40" xfId="0" applyFont="1" applyFill="1" applyBorder="1" applyAlignment="1">
      <alignment horizontal="center"/>
    </xf>
    <xf numFmtId="0" fontId="12" fillId="18" borderId="28" xfId="0" applyFont="1" applyFill="1" applyBorder="1" applyAlignment="1">
      <alignment horizontal="center"/>
    </xf>
    <xf numFmtId="0" fontId="64" fillId="19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2" fontId="8" fillId="0" borderId="71" xfId="0" applyNumberFormat="1" applyFont="1" applyBorder="1" applyAlignment="1">
      <alignment horizontal="center" vertical="center"/>
    </xf>
    <xf numFmtId="0" fontId="12" fillId="0" borderId="7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6" xfId="0" applyFont="1" applyBorder="1" applyAlignment="1">
      <alignment horizontal="center"/>
    </xf>
    <xf numFmtId="2" fontId="8" fillId="0" borderId="73" xfId="0" applyNumberFormat="1" applyFont="1" applyBorder="1" applyAlignment="1">
      <alignment horizontal="center" vertical="center"/>
    </xf>
    <xf numFmtId="0" fontId="64" fillId="19" borderId="0" xfId="0" applyFont="1" applyFill="1"/>
    <xf numFmtId="0" fontId="62" fillId="0" borderId="0" xfId="0" applyFont="1"/>
    <xf numFmtId="0" fontId="12" fillId="0" borderId="4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2" fillId="0" borderId="125" xfId="0" applyFont="1" applyBorder="1" applyAlignment="1">
      <alignment horizontal="center"/>
    </xf>
    <xf numFmtId="0" fontId="12" fillId="0" borderId="126" xfId="0" applyFont="1" applyBorder="1" applyAlignment="1">
      <alignment horizontal="center"/>
    </xf>
    <xf numFmtId="0" fontId="12" fillId="0" borderId="127" xfId="0" applyFont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2" fontId="28" fillId="0" borderId="0" xfId="0" applyNumberFormat="1" applyFont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 wrapText="1"/>
    </xf>
    <xf numFmtId="2" fontId="36" fillId="0" borderId="0" xfId="0" applyNumberFormat="1" applyFont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textRotation="90"/>
    </xf>
    <xf numFmtId="0" fontId="8" fillId="0" borderId="0" xfId="0" applyFont="1" applyAlignment="1">
      <alignment horizontal="right" vertical="center" textRotation="90"/>
    </xf>
    <xf numFmtId="0" fontId="8" fillId="0" borderId="17" xfId="0" applyFont="1" applyBorder="1" applyAlignment="1">
      <alignment horizontal="right" vertical="center" textRotation="90"/>
    </xf>
    <xf numFmtId="2" fontId="23" fillId="0" borderId="11" xfId="0" applyNumberFormat="1" applyFont="1" applyBorder="1" applyAlignment="1">
      <alignment horizontal="center" vertical="center" wrapText="1"/>
    </xf>
    <xf numFmtId="165" fontId="8" fillId="0" borderId="15" xfId="1" applyFont="1" applyBorder="1" applyAlignment="1">
      <alignment horizontal="center" vertical="center" wrapText="1"/>
    </xf>
    <xf numFmtId="165" fontId="8" fillId="0" borderId="13" xfId="1" applyFont="1" applyBorder="1" applyAlignment="1">
      <alignment horizontal="center" vertical="center" wrapText="1"/>
    </xf>
    <xf numFmtId="165" fontId="8" fillId="0" borderId="14" xfId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right" vertical="center" textRotation="90"/>
    </xf>
    <xf numFmtId="0" fontId="8" fillId="0" borderId="4" xfId="0" applyFont="1" applyBorder="1" applyAlignment="1">
      <alignment horizontal="right" vertical="center" textRotation="90"/>
    </xf>
    <xf numFmtId="0" fontId="73" fillId="0" borderId="0" xfId="0" pivotButton="1" applyFont="1"/>
    <xf numFmtId="0" fontId="73" fillId="0" borderId="0" xfId="0" applyFont="1" applyAlignment="1">
      <alignment horizontal="center"/>
    </xf>
    <xf numFmtId="0" fontId="73" fillId="0" borderId="0" xfId="0" applyFont="1"/>
    <xf numFmtId="0" fontId="73" fillId="0" borderId="0" xfId="0" pivotButton="1" applyFont="1" applyAlignment="1"/>
    <xf numFmtId="0" fontId="73" fillId="0" borderId="0" xfId="0" applyFont="1" applyAlignment="1">
      <alignment horizontal="left"/>
    </xf>
    <xf numFmtId="44" fontId="73" fillId="0" borderId="0" xfId="0" applyNumberFormat="1" applyFont="1"/>
    <xf numFmtId="167" fontId="73" fillId="0" borderId="0" xfId="0" applyNumberFormat="1" applyFont="1"/>
    <xf numFmtId="167" fontId="73" fillId="0" borderId="0" xfId="0" applyNumberFormat="1" applyFont="1" applyAlignment="1">
      <alignment vertical="center"/>
    </xf>
    <xf numFmtId="0" fontId="73" fillId="0" borderId="0" xfId="0" pivotButton="1" applyFont="1" applyAlignment="1">
      <alignment vertical="center"/>
    </xf>
    <xf numFmtId="0" fontId="73" fillId="0" borderId="0" xfId="0" applyFont="1" applyAlignment="1">
      <alignment horizontal="left" vertical="center"/>
    </xf>
    <xf numFmtId="0" fontId="73" fillId="0" borderId="0" xfId="0" applyFont="1" applyFill="1" applyAlignment="1">
      <alignment horizontal="left" vertical="center"/>
    </xf>
    <xf numFmtId="0" fontId="73" fillId="0" borderId="0" xfId="0" applyFont="1" applyFill="1" applyAlignment="1">
      <alignment horizontal="left"/>
    </xf>
  </cellXfs>
  <cellStyles count="4">
    <cellStyle name="Euro" xfId="3" xr:uid="{C42D446B-7B82-4E69-983E-6824B47D6D68}"/>
    <cellStyle name="Normale" xfId="0" builtinId="0"/>
    <cellStyle name="Percentuale" xfId="2" builtinId="5"/>
    <cellStyle name="Valuta" xfId="1" builtinId="4"/>
  </cellStyles>
  <dxfs count="298"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ill>
        <patternFill patternType="solid">
          <fgColor rgb="FFFFFFB7"/>
          <bgColor rgb="FFCCCC00"/>
        </patternFill>
      </fill>
      <alignment vertical="center"/>
    </dxf>
    <dxf>
      <fill>
        <patternFill patternType="solid">
          <fgColor indexed="64"/>
          <bgColor theme="5" tint="0.79998168889431442"/>
        </patternFill>
      </fill>
      <alignment vertical="center"/>
    </dxf>
    <dxf>
      <fill>
        <patternFill patternType="solid">
          <fgColor indexed="64"/>
          <bgColor theme="9" tint="0.79998168889431442"/>
        </patternFill>
      </fill>
      <alignment vertical="center"/>
    </dxf>
    <dxf>
      <fill>
        <patternFill patternType="solid">
          <fgColor indexed="64"/>
          <bgColor theme="3" tint="0.79998168889431442"/>
        </patternFill>
      </fill>
      <alignment vertical="center"/>
    </dxf>
    <dxf>
      <fill>
        <patternFill patternType="solid">
          <fgColor indexed="64"/>
          <bgColor rgb="FFFFCC99"/>
        </patternFill>
      </fill>
      <alignment vertical="center"/>
    </dxf>
    <dxf>
      <fill>
        <patternFill patternType="solid">
          <fgColor indexed="64"/>
          <bgColor rgb="FFCCCCFF"/>
        </patternFill>
      </fill>
      <alignment vertical="center"/>
    </dxf>
    <dxf>
      <font>
        <strike val="0"/>
      </font>
    </dxf>
    <dxf>
      <font>
        <b val="0"/>
      </font>
    </dxf>
    <dxf>
      <alignment horizontal="left"/>
    </dxf>
    <dxf>
      <font>
        <b val="0"/>
      </font>
    </dxf>
    <dxf>
      <alignment horizontal="left"/>
    </dxf>
    <dxf>
      <font>
        <b val="0"/>
      </font>
    </dxf>
    <dxf>
      <alignment horizontal="left"/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none">
          <bgColor auto="1"/>
        </patternFill>
      </fill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7" formatCode="#,##0.00\ &quot;€&quot;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5" tint="0.79998168889431442"/>
        </patternFill>
      </fill>
      <alignment vertical="center"/>
    </dxf>
    <dxf>
      <fill>
        <patternFill patternType="solid">
          <fgColor indexed="64"/>
          <bgColor theme="9" tint="0.79998168889431442"/>
        </patternFill>
      </fill>
      <alignment vertical="center"/>
    </dxf>
    <dxf>
      <fill>
        <patternFill patternType="solid">
          <fgColor indexed="64"/>
          <bgColor rgb="FFFFCC99"/>
        </patternFill>
      </fill>
      <alignment vertical="center"/>
    </dxf>
    <dxf>
      <fill>
        <patternFill patternType="solid">
          <fgColor indexed="64"/>
          <bgColor theme="3" tint="0.79998168889431442"/>
        </patternFill>
      </fill>
      <alignment vertical="center"/>
    </dxf>
    <dxf>
      <fill>
        <patternFill patternType="solid">
          <fgColor indexed="64"/>
          <bgColor theme="8" tint="0.59999389629810485"/>
        </patternFill>
      </fill>
      <alignment vertical="center"/>
    </dxf>
    <dxf>
      <fill>
        <patternFill patternType="solid">
          <fgColor indexed="64"/>
          <bgColor rgb="FFCCCCFF"/>
        </patternFill>
      </fill>
      <alignment vertical="center"/>
    </dxf>
    <dxf>
      <fill>
        <patternFill patternType="solid">
          <fgColor indexed="64"/>
          <bgColor rgb="FF99FFCC"/>
        </patternFill>
      </fill>
      <alignment vertical="center"/>
    </dxf>
    <dxf>
      <fill>
        <patternFill patternType="solid">
          <fgColor rgb="FFFFFFB7"/>
          <bgColor rgb="FFCCCC00"/>
        </patternFill>
      </fill>
      <alignment vertical="center"/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3" formatCode="0%"/>
    </dxf>
    <dxf>
      <alignment horizontal="center"/>
    </dxf>
    <dxf>
      <alignment vertical="center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34" formatCode="_-* #,##0.00\ &quot;€&quot;_-;\-* #,##0.00\ &quot;€&quot;_-;_-* &quot;-&quot;??\ &quot;€&quot;_-;_-@_-"/>
    </dxf>
    <dxf>
      <fill>
        <patternFill>
          <bgColor rgb="FFFFFF00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FF99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99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99"/>
        </patternFill>
      </fill>
      <border>
        <left/>
        <right/>
        <top/>
        <bottom/>
        <vertical/>
        <horizontal/>
      </border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</font>
      <fill>
        <patternFill>
          <bgColor rgb="FFFFFF00"/>
        </patternFill>
      </fill>
    </dxf>
    <dxf>
      <fill>
        <patternFill>
          <bgColor rgb="FFFFFF99"/>
        </patternFill>
      </fill>
      <border>
        <left style="thin">
          <color theme="2" tint="-0.499984740745262"/>
        </left>
        <right style="thin">
          <color theme="2" tint="-0.499984740745262"/>
        </right>
      </border>
    </dxf>
    <dxf>
      <fill>
        <patternFill>
          <bgColor rgb="FFFFFF99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FFFF99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/>
        <i val="0"/>
      </font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ont>
        <b/>
        <i val="0"/>
      </font>
      <fill>
        <patternFill>
          <bgColor rgb="FFFFFF99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rgb="FFFFFF99"/>
        </patternFill>
      </fill>
      <border>
        <left/>
        <right/>
        <top/>
        <bottom/>
        <vertical/>
        <horizontal/>
      </border>
    </dxf>
    <dxf>
      <fill>
        <patternFill>
          <bgColor rgb="FFFFFF99"/>
        </patternFill>
      </fill>
      <border>
        <vertical/>
        <horizontal/>
      </border>
    </dxf>
    <dxf>
      <font>
        <b/>
        <i val="0"/>
      </font>
      <fill>
        <patternFill>
          <bgColor rgb="FFFFFF99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rgb="FFFFFF99"/>
        </patternFill>
      </fill>
    </dxf>
    <dxf>
      <font>
        <color rgb="FFFF0000"/>
      </font>
    </dxf>
    <dxf>
      <font>
        <b/>
        <i val="0"/>
        <color theme="9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  <border>
        <left style="thin">
          <color theme="2" tint="-0.499984740745262"/>
        </left>
        <right style="thin">
          <color theme="2" tint="-0.499984740745262"/>
        </right>
      </border>
    </dxf>
    <dxf>
      <font>
        <b/>
        <i val="0"/>
      </font>
      <fill>
        <patternFill>
          <bgColor rgb="FFFFFF99"/>
        </patternFill>
      </fill>
      <border>
        <left/>
        <right/>
        <top/>
        <bottom/>
      </border>
    </dxf>
    <dxf>
      <fill>
        <patternFill>
          <bgColor rgb="FFFFFF99"/>
        </patternFill>
      </fill>
      <border>
        <left/>
        <right/>
        <top/>
        <bottom/>
        <vertical/>
        <horizontal/>
      </border>
    </dxf>
    <dxf>
      <font>
        <color rgb="FFFF0000"/>
      </font>
    </dxf>
    <dxf>
      <font>
        <b/>
        <i val="0"/>
      </font>
      <fill>
        <patternFill>
          <bgColor rgb="FFFFFF99"/>
        </patternFill>
      </fill>
      <border>
        <left/>
        <right/>
        <top/>
        <bottom/>
        <vertical/>
        <horizontal/>
      </border>
    </dxf>
    <dxf>
      <fill>
        <patternFill>
          <bgColor rgb="FFFFFF99"/>
        </patternFill>
      </fill>
      <border>
        <left style="hair">
          <color theme="2" tint="-0.24994659260841701"/>
        </left>
        <right style="hair">
          <color theme="2" tint="-0.24994659260841701"/>
        </right>
        <top style="hair">
          <color theme="2" tint="-0.24994659260841701"/>
        </top>
        <bottom style="hair">
          <color theme="2" tint="-0.24994659260841701"/>
        </bottom>
      </border>
    </dxf>
    <dxf>
      <font>
        <color rgb="FFFF0000"/>
      </font>
    </dxf>
    <dxf>
      <font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numFmt numFmtId="169" formatCode="#,##0.00\ &quot;€&quot;;[Red]#,##0.00\ &quot;€&quot;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alignment horizontal="left"/>
    </dxf>
    <dxf>
      <font>
        <b val="0"/>
      </font>
    </dxf>
    <dxf>
      <alignment horizontal="left"/>
    </dxf>
    <dxf>
      <font>
        <b val="0"/>
      </font>
    </dxf>
    <dxf>
      <alignment horizontal="left"/>
    </dxf>
    <dxf>
      <font>
        <b val="0"/>
      </font>
    </dxf>
    <dxf>
      <font>
        <strike val="0"/>
      </font>
    </dxf>
    <dxf>
      <fill>
        <patternFill patternType="solid">
          <fgColor indexed="64"/>
          <bgColor rgb="FFCCCCFF"/>
        </patternFill>
      </fill>
      <alignment vertical="center"/>
    </dxf>
    <dxf>
      <fill>
        <patternFill patternType="solid">
          <fgColor indexed="64"/>
          <bgColor rgb="FFFFCC99"/>
        </patternFill>
      </fill>
      <alignment vertical="center"/>
    </dxf>
    <dxf>
      <fill>
        <patternFill patternType="solid">
          <fgColor indexed="64"/>
          <bgColor theme="3" tint="0.79998168889431442"/>
        </patternFill>
      </fill>
      <alignment vertical="center"/>
    </dxf>
    <dxf>
      <fill>
        <patternFill patternType="solid">
          <fgColor indexed="64"/>
          <bgColor theme="9" tint="0.79998168889431442"/>
        </patternFill>
      </fill>
      <alignment vertical="center"/>
    </dxf>
    <dxf>
      <fill>
        <patternFill patternType="solid">
          <fgColor indexed="64"/>
          <bgColor theme="5" tint="0.79998168889431442"/>
        </patternFill>
      </fill>
      <alignment vertical="center"/>
    </dxf>
    <dxf>
      <fill>
        <patternFill patternType="solid">
          <fgColor rgb="FFFFFFB7"/>
          <bgColor rgb="FFCCCC00"/>
        </patternFill>
      </fill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rgb="FFFFFFB7"/>
          <bgColor rgb="FFCCCC00"/>
        </patternFill>
      </fill>
      <alignment vertical="center"/>
    </dxf>
    <dxf>
      <fill>
        <patternFill patternType="solid">
          <fgColor indexed="64"/>
          <bgColor rgb="FF99FFCC"/>
        </patternFill>
      </fill>
      <alignment vertical="center"/>
    </dxf>
    <dxf>
      <fill>
        <patternFill patternType="solid">
          <fgColor indexed="64"/>
          <bgColor rgb="FFCCCCFF"/>
        </patternFill>
      </fill>
      <alignment vertical="center"/>
    </dxf>
    <dxf>
      <fill>
        <patternFill patternType="solid">
          <fgColor indexed="64"/>
          <bgColor theme="8" tint="0.59999389629810485"/>
        </patternFill>
      </fill>
      <alignment vertical="center"/>
    </dxf>
    <dxf>
      <fill>
        <patternFill patternType="solid">
          <fgColor indexed="64"/>
          <bgColor theme="3" tint="0.79998168889431442"/>
        </patternFill>
      </fill>
      <alignment vertical="center"/>
    </dxf>
    <dxf>
      <fill>
        <patternFill patternType="solid">
          <fgColor indexed="64"/>
          <bgColor rgb="FFFFCC99"/>
        </patternFill>
      </fill>
      <alignment vertical="center"/>
    </dxf>
    <dxf>
      <fill>
        <patternFill patternType="solid">
          <fgColor indexed="64"/>
          <bgColor theme="9" tint="0.79998168889431442"/>
        </patternFill>
      </fill>
      <alignment vertical="center"/>
    </dxf>
    <dxf>
      <fill>
        <patternFill patternType="solid">
          <fgColor indexed="64"/>
          <bgColor theme="5" tint="0.79998168889431442"/>
        </patternFill>
      </fill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#,##0.00\ &quot;€&quot;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vertical="center"/>
    </dxf>
    <dxf>
      <alignment horizontal="center"/>
    </dxf>
    <dxf>
      <numFmt numFmtId="13" formatCode="0%"/>
    </dxf>
    <dxf>
      <numFmt numFmtId="13" formatCode="0%"/>
    </dxf>
    <dxf>
      <numFmt numFmtId="34" formatCode="_-* #,##0.00\ &quot;€&quot;_-;\-* #,##0.00\ &quot;€&quot;_-;_-* &quot;-&quot;??\ &quot;€&quot;_-;_-@_-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E55AD7E-A817-452F-862E-B527C128ECED}"/>
  </tableStyles>
  <colors>
    <mruColors>
      <color rgb="FFE4E4E4"/>
      <color rgb="FFFBEF93"/>
      <color rgb="FFC2B5E5"/>
      <color rgb="FFA492D8"/>
      <color rgb="FFFEF2EC"/>
      <color rgb="FFFFCA21"/>
      <color rgb="FFCCFF99"/>
      <color rgb="FF99FF99"/>
      <color rgb="FF99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styles" Target="styles.xml"/><Relationship Id="rId35" Type="http://schemas.microsoft.com/office/2023/09/relationships/Python" Target="pyth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a Ballestriero" id="{CDEB8033-3AB4-40E2-BFF9-589B15014663}" userId="9d587373b86a5cd0" providerId="Windows Live"/>
  <person displayName="Luca  Ballestriero" id="{BD754104-B9C8-40E9-86FA-9A51F601C04E}" userId="Luca  Ballestriero" providerId="None"/>
  <person displayName="Luca Ballestriero" id="{FFBDA191-F639-41C2-AEC5-01A54B091B89}" userId="S::luca.ballestriero@luvegroup.com::418b746d-8f99-4205-8fd3-7fb0bf7405c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Ballestriero" refreshedDate="46255.624664583331" createdVersion="8" refreshedVersion="8" minRefreshableVersion="3" recordCount="464" xr:uid="{A55DDA38-B097-4817-B0AF-444776D9A621}">
  <cacheSource type="worksheet">
    <worksheetSource ref="A1:I1048576" sheet="SPESE COINTESTATO"/>
  </cacheSource>
  <cacheFields count="9">
    <cacheField name="TIPOLOGIA" numFmtId="0">
      <sharedItems containsBlank="1" count="35">
        <s v="ASSICURAZIONE CASA"/>
        <s v="COMMISSIONE CANONE MENSILE"/>
        <s v="BONIFICO LUCA"/>
        <s v="RATA MUTUO CASA"/>
        <s v="RATA MUTUO ASSICURAZIONE"/>
        <s v="SPESE CONDOMINIALI"/>
        <s v="PAGAMENTO INTERESSI ESIGIBILI"/>
        <s v="PAGAMENTO RITENUTE ALLA FONTE"/>
        <s v="INTERESSI E COMPETENZE"/>
        <s v="RATA CUCINA"/>
        <s v="BONIFICO GENERICO"/>
        <s v="RATA DIVANO"/>
        <s v="SPESE CONDOMINIALI 1a PARTE 2022"/>
        <s v="RATA IKEA"/>
        <s v="ENI GAS E LUCE"/>
        <s v="BONIFICO ANGELA"/>
        <s v="SPESE CONDOMINIALI 2a PARTE 2021"/>
        <s v="SPESE PITTORE"/>
        <s v="BONIFICO CANDUSSI"/>
        <s v="RITENUTA FISCALE"/>
        <s v="INTERESSI A CREDITO"/>
        <s v="ASSICURAZIONE MULTI RISCHI ANGELA"/>
        <s v="ASSICURAZIONE MULTI RISCHI LUCA"/>
        <s v="ASSICURAZIONE VITA LUCA"/>
        <s v="ASSICURAZIONE VITA ANGELA"/>
        <s v="AGENZIA IMMOBILIARE"/>
        <s v="IMPOSTA SOST."/>
        <s v="FINANZIAMENTO ASSICURAZIONE"/>
        <s v="BONIFICO CASA"/>
        <s v="IMPOSTA DI REGISTRO"/>
        <s v="SPESE ISTRUTTORIA"/>
        <s v="MUTUO CASA"/>
        <s v="STORNO PERIZIA"/>
        <s v="PERIZIA"/>
        <m/>
      </sharedItems>
    </cacheField>
    <cacheField name="ASSEGNATO" numFmtId="0">
      <sharedItems containsBlank="1" count="4">
        <s v="COINTESTATO"/>
        <s v="LUCA"/>
        <s v="ANGELA"/>
        <m/>
      </sharedItems>
    </cacheField>
    <cacheField name="MESE" numFmtId="0">
      <sharedItems containsBlank="1"/>
    </cacheField>
    <cacheField name="ANNO" numFmtId="0">
      <sharedItems containsString="0" containsBlank="1" containsNumber="1" containsInteger="1" minValue="2020" maxValue="2026" count="8">
        <n v="2026"/>
        <n v="2025"/>
        <n v="2024"/>
        <n v="2023"/>
        <n v="2022"/>
        <n v="2021"/>
        <n v="2020"/>
        <m/>
      </sharedItems>
    </cacheField>
    <cacheField name="MESE2" numFmtId="0">
      <sharedItems containsString="0" containsBlank="1" containsNumber="1" containsInteger="1" minValue="1" maxValue="12"/>
    </cacheField>
    <cacheField name="COMPOSTO" numFmtId="0">
      <sharedItems containsBlank="1"/>
    </cacheField>
    <cacheField name="COMPOSTO 1" numFmtId="0">
      <sharedItems containsBlank="1" count="77">
        <s v="12 DICEMBRE 2026"/>
        <s v="11 NOVEMBRE 2026"/>
        <s v="10 OTTOBRE 2026"/>
        <s v="9 SETTEMBRE 2026"/>
        <s v="8 AGOSTO 2026"/>
        <s v="7 LUGLIO 2026"/>
        <s v="6 GIUGNO 2026"/>
        <s v="5 MAGGIO 2026"/>
        <s v="4 APRILE 2026"/>
        <s v="3 MARZO 2026"/>
        <s v="2 FEBBRAIO 2026"/>
        <s v="1 GENNAIO 2026"/>
        <s v="12 DICEMBRE 2025"/>
        <s v="11 NOVEMBRE 2025"/>
        <s v="10 OTTOBRE 2025"/>
        <s v="9 SETTEMBRE 2025"/>
        <s v="8 AGOSTO 2025"/>
        <s v="7 LUGLIO 2025"/>
        <s v="6 GIUGNO 2025"/>
        <s v="5 MAGGIO 2025"/>
        <s v="4 APRILE 2025"/>
        <s v="3 MARZO 2025"/>
        <s v="2 FEBBRAIO 2025"/>
        <s v="1 GENNAIO 2025"/>
        <s v="12 DICEMBRE 2024"/>
        <s v="11 NOVEMBRE 2024"/>
        <s v="10 OTTOBRE 2024"/>
        <s v="9 SETTEMBRE 2024"/>
        <s v="8 AGOSTO 2024"/>
        <s v="7 LUGLIO 2024"/>
        <s v="6 GIUGNO 2024"/>
        <s v="5 MAGGIO 2024"/>
        <s v="4 APRILE 2024"/>
        <s v="3 MARZO 2024"/>
        <s v="2 FEBBRAIO 2024"/>
        <s v="1 GENNAIO 2024"/>
        <s v="12 DICEMBRE 2023"/>
        <s v="11 NOVEMBRE 2023"/>
        <s v="10 OTTOBRE 2023"/>
        <s v="9 SETTEMBRE 2023"/>
        <s v="8 AGOSTO 2023"/>
        <s v="7 LUGLIO 2023"/>
        <s v="6 GIUGNO 2023"/>
        <s v="5 MAGGIO 2023"/>
        <s v="4 APRILE 2023"/>
        <s v="3 MARZO 2023"/>
        <s v="2 FEBBRAIO 2023"/>
        <s v="1 GENNAIO 2023"/>
        <s v="12 DICEMBRE 2022"/>
        <s v="11 NOVEMBRE 2022"/>
        <s v="10 OTTOBRE 2022"/>
        <s v="9 SETTEMBRE 2022"/>
        <s v="8 AGOSTO 2022"/>
        <s v="7 LUGLIO 2022"/>
        <s v="6 GIUGNO 2022"/>
        <s v="5 MAGGIO 2022"/>
        <s v="4 APRILE 2022"/>
        <s v="3 MARZO 2022"/>
        <s v="2 FEBBRAIO 2022"/>
        <s v="1 GENNAIO 2022"/>
        <s v="12 DICEMBRE 2021"/>
        <s v="11 NOVEMBRE 2021"/>
        <s v="10 OTTOBRE 2021"/>
        <s v="9 SETTEMBRE 2021"/>
        <s v="8 AGOSTO 2021"/>
        <s v="7 LUGLIO 2021"/>
        <s v="6 GIUGNO 2021"/>
        <s v="5 MAGGIO 2021"/>
        <s v="4 APRILE 2021"/>
        <s v="3 MARZO 2021"/>
        <s v="2 FEBBRAIO 2021"/>
        <s v="1 GENNAIO 2021"/>
        <s v="12 DICEMBRE 2020"/>
        <s v="11 NOVEMBRE 2020"/>
        <s v="10 OTTOBRE 2020"/>
        <m/>
        <s v="3 FEBBRAIO 2024" u="1"/>
      </sharedItems>
    </cacheField>
    <cacheField name="IMPORTO" numFmtId="0">
      <sharedItems containsString="0" containsBlank="1" containsNumber="1" minValue="-128700" maxValue="146693"/>
    </cacheField>
    <cacheField name="TIPOLOGIA2" numFmtId="0">
      <sharedItems containsBlank="1" count="16">
        <s v="SPESE ASSICURAZIONE"/>
        <s v="COMMISSIONI/TASSE"/>
        <s v="BONIFICO"/>
        <s v="RATA MUTUO CASA"/>
        <s v="RATA ASSICURAZIONE"/>
        <s v="SPESE CONDOMINIALI"/>
        <s v="CUCINA"/>
        <s v="DIVANO"/>
        <s v="IKEA"/>
        <s v="BOLLETTE LUCE"/>
        <s v="BOLLETTE GAS"/>
        <s v="SPESE ACQUISTO CASA"/>
        <s v="ASSICURAZIONE FINANZIAMENTO"/>
        <s v="SPESE ACQUISTO CASA FINANZIAMENTO"/>
        <s v="BONIFICO INIZI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Ballestriero" refreshedDate="46300.936078009261" createdVersion="8" refreshedVersion="8" minRefreshableVersion="3" recordCount="2797" xr:uid="{FB891928-3ECA-4F77-8331-B84DE18F449D}">
  <cacheSource type="worksheet">
    <worksheetSource ref="A1:L3956" sheet="Dettaglio Spese Generiche CC"/>
  </cacheSource>
  <cacheFields count="12">
    <cacheField name="TIPOLOGIA" numFmtId="0">
      <sharedItems containsBlank="1" count="476">
        <s v="AZZURRA SNC"/>
        <s v="LITTLE HOLLAND BAARN"/>
        <s v="AMAZON"/>
        <s v="POLIDORI DISTRIBUZIONE"/>
        <s v="SAX TANKSTELLEN"/>
        <s v="REVOLUT"/>
        <s v="CDA LOUNGE BAR"/>
        <s v="BOOKING"/>
        <s v="MEDICENTER RONCHI"/>
        <s v="ZAHRE BEER"/>
        <s v="PRO LOCO FOLGARIA (FRIULI DOC)"/>
        <s v="UFFICINA"/>
        <s v="SPESA LIDL"/>
        <s v="STABILIMENTO TIVOLI"/>
        <s v="LA TAVERNETTA PALMANOVA"/>
        <s v="SPESA ENEL"/>
        <s v="PIZZERIA CHICHIBIO"/>
        <s v="SPESA VISOTTO"/>
        <s v="SA DI TAPPO"/>
        <s v="GRUPPO NEGOZI VILLESSE"/>
        <s v="TABACCHERIA BARBINI"/>
        <s v="MONDO LAVAGGIO"/>
        <s v="PRISHOP (MEGA HOME)"/>
        <s v="PARCOMETRO CERVIGNANO"/>
        <s v="VERGANO ROMA TERMINI"/>
        <s v="SALUMERIA PELUSO SALERNO"/>
        <s v="AMALFI ART"/>
        <s v="SAPORI CETARESI"/>
        <s v="O,CHALET CETARA"/>
        <s v="VILLLA AMORE ROBERTO RAVELLO"/>
        <s v="CITTA CAPRI"/>
        <s v="OASI POSITANO"/>
        <s v="DA VINCENZO POSITANO"/>
        <s v="TRAVEL MAR  SALERNO"/>
        <s v="RELAY ROMA TERMINI"/>
        <s v="DIDON STORE"/>
        <s v="ANDRIAN MASSIMO"/>
        <s v="TBT FOOD"/>
        <s v="CIRCOLO SKIANT GRADISCA"/>
        <s v="BIRRERIA MONDELLI"/>
        <s v="TOLMINATOR"/>
        <s v="AUTOSTRADA"/>
        <s v="PIZZERIA D'AUTORE (MASCARI)"/>
        <s v="PLAYTOMIC VILLESSE PADEL"/>
        <s v="GIT INGRESSO PRINCIPALE"/>
        <s v="BAR SOLARIUM"/>
        <s v="TARLAO"/>
        <s v="RITUALS"/>
        <s v="DECATHLON"/>
        <s v="BAR TERESINA"/>
        <s v="PIZZERIA ALL'ANFORA"/>
        <s v="BAR AMERICANO"/>
        <s v="OSTERIA AL FAGIANO"/>
        <s v="IKEA VILLESSE"/>
        <s v="POKE TIARE"/>
        <s v="SPESA ILDI"/>
        <s v="OPERA RESTAURANT"/>
        <s v="AUTOGRILL"/>
        <s v="OLDTIMER"/>
        <s v="Pro Loco TERZO D'AQUILEIA"/>
        <s v="TRATTORIA ALLA BUONA VITE"/>
        <s v="CALVIN KLEIN"/>
        <s v="ENRICO COVERI"/>
        <s v="TICKETONE"/>
        <s v="FIVE GUYS VENEZIA"/>
        <s v="VENETO HOTELS"/>
        <s v="SABAIT"/>
        <s v="SPESA IPERCOOP"/>
        <s v="BIERKELLER"/>
        <s v="BIFFI"/>
        <s v="HERMITAGE"/>
        <s v="ANDREA DEL GOBBO CALZOLAIO"/>
        <s v="PVH italia"/>
        <s v="BUFALA FATTORIE"/>
        <s v="ATAC"/>
        <s v="MIBO ROMA"/>
        <s v="RISTORANTE PIZZERIA CAPELLO"/>
        <s v="STORNO QUOTA ASSOCIATIVA"/>
        <s v="UNIS PAR CLAUIAN"/>
        <s v="EASY PARK"/>
        <s v="LA COMBRICCOLA"/>
        <s v="TEDI CERVIGNANO"/>
        <s v="SPESA CONAD"/>
        <s v="THE BLACK STUFF"/>
        <s v="SPESA EUROSPAR"/>
        <s v="CENTRO SERVIZI DEITA"/>
        <s v="TRATTORIA DA NANDO"/>
        <s v="BAMBULAB"/>
        <s v="LOCANDA OROLOGIO"/>
        <s v="GRUPPO ILLIRIA"/>
        <s v="CIO'CHE C'ERA"/>
        <s v="CDA LOUNGE BAR - BREASY"/>
        <s v="VINARIUM"/>
        <s v="UFFICIO CAMERALE"/>
        <s v="TASSA CONSORZIO BONIFICA"/>
        <s v="CORNER 1896"/>
        <s v="TOMMY HILFIGHER"/>
        <s v="LJUJO"/>
        <s v="DANA SPORT"/>
        <s v="MOM'ART"/>
        <s v="AL PODERE"/>
        <s v="LOFT23"/>
        <s v="Emanuele Civello"/>
        <s v="GUSTA' AL LEPRE"/>
        <s v="TAGLIATO COL COLTELLO"/>
        <s v="MACCHINETTA ILLIRIA"/>
        <s v="FRUMENTO UDINE"/>
        <s v="QUOTA ASSOCIATIVA CARTA DI CREDITO"/>
        <s v="THE ORIONS PUB"/>
        <s v="MUSEI VATICANI"/>
        <s v="TRATTORIA DEL CIMINO"/>
        <s v="LOCANDA DEI GIUSTI"/>
        <s v="BRICOCENTER"/>
        <s v="OTTIMAX"/>
        <s v="PIZZERIA DA MARIO"/>
        <s v="DOPPIO MALTO (ZETTLE)"/>
        <s v="BILIARDO PRADAMANO"/>
        <s v="PANIFICIO PASTICCERIA CANDOTTI"/>
        <s v="UBER"/>
        <s v="PICANTON"/>
        <s v="ORANGE IN THE SKY SIVIGLIA"/>
        <s v="MC DONALD'S"/>
        <s v="AGUSTIN CERVEZAS E TAPAS SIVIGLIA"/>
        <s v="FLAMENCO"/>
        <s v="LA SACRISTIA DE MATEOS SIVIGLIA"/>
        <s v="TUSSAM EM SIVIGLIA"/>
        <s v="TRENES"/>
        <s v="GRUPO TEIKA"/>
        <s v="APT TRIESTE "/>
        <s v="ZARA"/>
        <s v="PARCHEGGIO AEROPORTO RONCHI"/>
        <s v="MOTO CLUB CERVIGNANO"/>
        <s v="AL CAVALLINO"/>
        <s v="J TEAM ASD"/>
        <s v="ABC CHIOSCO"/>
        <s v="L'AUTOGRILL PIZZERIA"/>
        <s v="MEET &amp; GREET UDINE"/>
        <s v="SPORTMED"/>
        <s v="TRATTORIA ALLA STELLA"/>
        <s v="PARCHEGGIO OSPEDALE UDINE"/>
        <s v="GOOGLE"/>
        <s v="ASSOCIAZIONE CULTURALE TERZO D'AQUILITA"/>
        <s v="SHI'S"/>
        <s v="MAZZUCCATO GUID"/>
        <s v="GIUNTI AL PUNTO"/>
        <s v="MEDIAWORLD"/>
        <s v="RUSSIZ SUPERIORE"/>
        <s v="FGV VALENCIA ESTACIONE"/>
        <s v="STARBUCKS RUZAFA"/>
        <s v="LAS VIANDAS DE LERMA"/>
        <s v="PINTADO A MANO"/>
        <s v="OF VALENCIA VALENCIA"/>
        <s v="MERCADO CENTRAL  VALENCIA"/>
        <s v="VALENBISI HORNO DE ALCE"/>
        <s v="EL INFANTE VALENCIA"/>
        <s v="CIUDAD DE LAS ARTES Y VALENCIA"/>
        <s v="FANTAGAZZETTA"/>
        <s v="PIZZERIA AL GELSO"/>
        <s v="Francesco Napoli"/>
        <s v="BAR ALL'ALPINO"/>
        <s v="ASSOCIAZIONE C SI"/>
        <s v="BIRRIFICIO FOGLIE D'ER FORNI"/>
        <s v="PRO LOCO REANA DEL ROJITA"/>
        <s v="PRENATAL"/>
        <s v="MAMMA KEBAB UDINE"/>
        <s v="PARCHEGGIO MAGRINI"/>
        <s v="PANIFICIO PASTICCERIA BOSIO"/>
        <s v="Fabio Zorat"/>
        <s v="EUROPCAR"/>
        <s v="PIZZA ROMANORUM GRADO"/>
        <s v="JUST HEAT"/>
        <s v="LISBON DUTY FREE LISBOA PRT"/>
        <s v="TICKET BUS UDINE"/>
        <s v="REPSOL E1159 LISBOA PRT"/>
        <s v="P.A.CEPSA BEJA PRT"/>
        <s v="RESTAURANTE SIMAO FARO PRT"/>
        <s v="FLOR SAL,LDA FARO PRT"/>
        <s v="TIVOLI LAGOS ALGARVE R LAGOS"/>
        <s v="HTL PRINCIPE AVILA LISBOA PARKING"/>
        <s v="SR JOGO,LDA LISBOA PRT"/>
        <s v="MY EMEL"/>
        <s v="LIME"/>
        <s v="IL CAFFE' DELLA STAZIO UDINE ITA"/>
        <s v="AELIA DUTY FREE"/>
        <s v="R048 RUSTICHELLI &amp; MA. VENEZIA ITA"/>
        <s v="ATVO SPA MESTRE VENEZIA ITA"/>
        <s v="BIRRA E PASTA PALMANOVA"/>
        <s v="PIZZERIA SORRISO PALMANOVA"/>
        <s v="NEW YORKER"/>
        <s v="VERALAB"/>
        <s v="AIR PORTUGAL"/>
        <s v="LA DE LE VELE GRADO"/>
        <s v="NOLEGGIO AUTO"/>
        <s v="PETROL BS MARIBOR"/>
        <s v="TROPIC COCKTAIL BUDAPEST"/>
        <s v="HAUCK TOBACCO BUDAPEST"/>
        <s v="SZIMPLA KERT"/>
        <s v="FARI SOCIETA' AGRICOLA (SPOLERT)"/>
        <s v="AL TURISTA"/>
        <s v="USUSHI"/>
        <s v="MOVIL LIGNANO"/>
        <s v="OMBRELLONE LIGNANO"/>
        <s v="30STM NOVELLARA"/>
        <s v="MRYOK"/>
        <s v="SPESE CONDOMINIALI"/>
        <s v="DAL LEP"/>
        <s v="ALIEXPRESS"/>
        <s v="SPESE INVIO E/C E RID"/>
        <s v="TENNIS CLUB CERVIGNANO"/>
        <s v="UNDERPRESSURE TOURING MILANO"/>
        <s v="TUTTI PER UNO SRL"/>
        <s v="METRO MILANO"/>
        <s v="GRADO GIT"/>
        <s v="ASIA MART PRAHA"/>
        <s v="COMMISSIONE DI CONVERSIONE"/>
        <s v="TESCO - PRAGA"/>
        <s v="TOKIO"/>
        <s v="STABILIMENTO BORA BORA"/>
        <s v="UNITED EAGLES CIVIDALE"/>
        <s v="BOOM EVENTI"/>
        <s v="BIRRERIA BERNOTTI"/>
        <s v="ROMA AL VOLO"/>
        <s v="SPREADSHIRT"/>
        <s v="RYANAIR"/>
        <s v="HILFIGER"/>
        <s v="NIKE"/>
        <s v="ISOLA D'ORO"/>
        <s v="SPESA IGNOTA"/>
        <s v="VENTUNO GRAMMI"/>
        <s v="DOPPIO MALTO"/>
        <s v="SPESA MEGA"/>
        <s v="PARCHEGGIO VENEZIA"/>
        <s v="VOLOTEA"/>
        <s v="OSTERIA PIERI MORTADELE"/>
        <s v="YUMIKO"/>
        <s v="LOCANDA AQUILEIA"/>
        <s v="PROFUMO"/>
        <s v="LA SUBIDA OSTERIA"/>
        <s v="RITTER DE ZAHONY"/>
        <s v="BU.CO"/>
        <s v="LEROY MERLIN"/>
        <s v="SPACCANAPOLI"/>
        <s v="Stefano Savanelli"/>
        <s v="BASKET TERZO"/>
        <s v="DOMORI"/>
        <s v="Francesco Savanelli"/>
        <s v="Luca Toso"/>
        <s v="RISTORANTE VOGRIG"/>
        <s v="ENOTECA OASI DEI SANI"/>
        <s v="LOCANDA ALLE VIGNE"/>
        <s v="LUMII SUSHI"/>
        <s v="BANSHI"/>
        <s v="CASA PIOCHEUR"/>
        <s v="SPESA SUPERMARK"/>
        <s v="DE ROOM"/>
        <s v="IL BAULE"/>
        <s v="PIZZERIA DA MARINELLI"/>
        <s v="PARCHEGGIO"/>
        <s v="PASTICCERIA MOSAICO"/>
        <s v="PANIFICIO PASTICCERIA CANDOTTO"/>
        <s v="URITOM"/>
        <s v="PUBLIC HOUSE"/>
        <s v="Glenda Furlan"/>
        <s v="RISTORANTE PUGLIESE"/>
        <s v="Marcella"/>
        <s v="PARCHEGGIO AEROPORTO ORIO AL SERIO"/>
        <s v="AEROPORTO DI TALLIN"/>
        <s v="AEROPORTO ORIO AL SERIO"/>
        <s v="FARMACIA MENON FERESIN"/>
        <s v="OSTERIA DEL CONTADINO"/>
        <s v="RAINBOW"/>
        <s v="TRINITY"/>
        <s v="TELLME PIZZA (SHARE)"/>
        <s v="SHOW RONDO'"/>
        <s v="ELETTRONEW"/>
        <s v="AUSA SERVIZI"/>
        <s v="FRIULI DOC"/>
        <s v="GAMESTOP"/>
        <s v="MULTA AUTO"/>
        <s v="TAGLIANDO AUTO"/>
        <s v="INSTANBUL KEBAB"/>
        <s v="LE DUE PALME"/>
        <s v="DUTY FREE"/>
        <s v="SHELL"/>
        <s v="AGROTIKO"/>
        <s v="VOURVACHAKIS"/>
        <s v="MATTHAIOS"/>
        <s v="GRIGORIS"/>
        <s v="DIANOM  RIFORNIMENTO"/>
        <s v="KASAMPALIS"/>
        <s v="COCO CAFR'"/>
        <s v="DIMOTIKI"/>
        <s v="ON THE GO"/>
        <s v="DITIKI KRITI"/>
        <s v="KOUKOURAKIS 2"/>
        <s v="KOUKOURAKIS 1"/>
        <s v="EL GRECO BAR"/>
        <s v="EVEREST"/>
        <s v="BRICO CAFE'"/>
        <s v="STZIMPLA KERT - HELLOPAY"/>
        <s v="FARMACIA LOVISONI"/>
        <s v="SPESA COOP"/>
        <s v="BAR DA TERESINA"/>
        <s v="RIVIERA EVENTI"/>
        <s v="FIORERIA AGRARIA PAV"/>
        <s v="PARCHEGGIO MILANO I DAYS"/>
        <s v="MILANO I DAYS"/>
        <s v="Pro Loco Aquileia"/>
        <s v="POKE LAND"/>
        <s v="Ca' Vittoria"/>
        <s v="I LOVE ALICANTE"/>
        <s v="FUEL"/>
        <s v="VIRGIN 77605"/>
        <s v="R100 RELAY"/>
        <s v="GLASS BAR"/>
        <s v="IL PANE QUOTIDIANO"/>
        <s v="MARCHE"/>
        <s v="LA CIACOLADA"/>
        <s v="TENUTA CA'NOVA"/>
        <s v="ATHLETES WORLD"/>
        <s v="PAGOPA SPA - Consorzio bonifica"/>
        <s v="BS STALONI"/>
        <s v="SHARE PIZZA"/>
        <s v="CINEMA"/>
        <s v="AL GRANAIO"/>
        <s v="MICROSOFT"/>
        <s v="DAI FIOI"/>
        <s v="AL PONTE"/>
        <s v="VESUVIO"/>
        <s v="POKE SUN RICE TIARE"/>
        <s v="AR-STORESHOP"/>
        <s v="TIGER STORE"/>
        <s v="FARMACIA VILLANOVA"/>
        <s v="SPESA ALDI"/>
        <s v="FREETTO"/>
        <s v="ANTICA TRATTORIA A MONTA"/>
        <s v="AI TRE SCALINI"/>
        <s v="JACK AND JONES"/>
        <s v="RADISSON BLUE RIGA"/>
        <s v="VENPAY IVS"/>
        <s v="ROOTS OF LATVIA SOUVENIR"/>
        <s v="SOUVENIR RIGA"/>
        <s v="ROADHOUSE"/>
        <s v="GIOVANNI PANETTA (SAN MARTINO)"/>
        <s v="ALBERGO BELVEDERE"/>
        <s v="SATUR"/>
        <s v="FIORELLA RUBINO"/>
        <s v="ADIDAS"/>
        <s v="EUROSPAR"/>
        <s v="HOTEL BAIA DI TALAMONE"/>
        <s v="PARCHEGGIO M. ARGENTARIO"/>
        <s v="FAM.FAILLI - SAN GIMIGNANO "/>
        <s v="VINCENZO CESANI"/>
        <s v="OSTERIA LA SOSTA (SAN GIMIGNANO)"/>
        <s v="MAXI FACTORY (BAULE)"/>
        <s v="GRANO SALIS"/>
        <s v="UNIPOLSAI"/>
        <s v="FASHION BRAND"/>
        <s v="ERBOLARIO"/>
        <s v="OSTERIA GNAGNE SESE"/>
        <s v="PAYPAL  - MRYOK"/>
        <s v="KINDLE"/>
        <s v="PIZZERIA CALYPSO"/>
        <s v="PIZZERIA CONCORDIA"/>
        <s v="WONDERFUL ZAGARELLA"/>
        <s v="FARMACIA"/>
        <s v="ASSOCIAZIONE PRO MAJAN"/>
        <s v="CAMBIO GOMME"/>
        <s v="ALIPAY"/>
        <s v="RISTORANTE TOKIO"/>
        <s v="BM FOOD MILANO"/>
        <s v="DUSCI"/>
        <s v="ROZNA DOLIN"/>
        <s v="TESCO - BUDAPEST"/>
        <s v="PENNY MARKET - BUDAPEST"/>
        <s v="DARDY"/>
        <s v="MANDRACCHIO SRL"/>
        <s v="PIZZERIA AL PLATANO"/>
        <s v="INTERNAZIONALE (SETAV)"/>
        <s v="MORENITA"/>
        <s v="NOLEGGIO SCI"/>
        <s v="KASANOVA"/>
        <s v="BRUNIERA"/>
        <s v="LA BAITA DEI SAPORI"/>
        <s v="VALBRUNA"/>
        <s v="ASSAJE"/>
        <s v="MAISON 2SHOP (BAULE)"/>
        <s v="STEIMATZKY"/>
        <s v="CAFE MALAN (TEL AVIV)"/>
        <s v="GMF*TAEL AVIV YAFO"/>
        <s v="DOMUS IMPRESA"/>
        <s v="SPESA LIDL (CZ)"/>
        <s v="HARD ROCK CAFE (PRAGA)"/>
        <s v="DUTY FREE (DUBAI)"/>
        <s v="LE PETIT BELGE (DUBAI)"/>
        <s v="GOOD DAY MARKET (DUBAI)"/>
        <s v="LIBERTY 1894"/>
        <s v="REVISIONE AUTO"/>
        <s v="PIZZIKOTTO"/>
        <s v="FARMACIA BELTRAME"/>
        <s v="MC POLISPECIALISTICA"/>
        <s v="FARMACIA GRIGOLINI"/>
        <s v="VINI MAFFY"/>
        <s v="OLDTIMER HOTEL"/>
        <s v="STABILIMENTO PIPER"/>
        <s v="MUSEO EGIZIO TORINO"/>
        <s v="TENDA BAR"/>
        <s v="LA GRISE"/>
        <s v="INGRESSO PISCINA GRADO"/>
        <s v="PAPAGAYO"/>
        <s v="ANUBI SRL"/>
        <s v="PIZZERIA ITALIA"/>
        <s v="OFFICINA DEL GUSTO"/>
        <s v="MAGLIETTA MINISTRI"/>
        <s v="PAYPAL VALUTAZIONE AUTO"/>
        <s v="KERESKEDO"/>
        <s v="A FUOCO LENTO"/>
        <s v="FARMACIA FACINI"/>
        <s v="ABBONAMENTO GAZZETTA"/>
        <s v="UNIEURO"/>
        <s v="TRENITALIA"/>
        <s v="SPESA DESPAR"/>
        <s v="ABSINTHERIE JILSKA"/>
        <s v="MINIMARKET PETRSKA (REP CECA)"/>
        <s v="EDALNICE (VIGNETTA REP CECA)"/>
        <s v="TURISMO85 (MATR. EMANUEL)"/>
        <s v="TENDENZE (ACC TENDE)"/>
        <s v="RISTORANTE NAPOLEONE"/>
        <s v="EUROSPORT"/>
        <s v="COMMISSIONE RIFORNIMENTO CALABRIA"/>
        <s v="RIFORNIMENTO CALABRIA"/>
        <s v="GHIBLI HOTEL"/>
        <s v="DOUGLAS"/>
        <s v="NON E' LE BRONSE"/>
        <s v="WIENER HAUS VILLESSE"/>
        <s v="PONTAROLO COMMERCIALE"/>
        <s v="PIZZERIA DAL LEP"/>
        <s v="AL CAMMINO"/>
        <s v="UZR BIKE 24"/>
        <s v="PAYPLUG"/>
        <s v="VODAFONE"/>
        <s v="MARACAIBA"/>
        <s v="EOLO"/>
        <s v="BROKER PER LA TELEFONIA"/>
        <s v="CENTRO ELETTRICITA'"/>
        <s v="PLAYSTATION"/>
        <s v="ELECTROSELF"/>
        <s v="FOOTBALL MANAGER"/>
        <s v="PEDAGGIO"/>
        <s v="AMICAFARMACIA"/>
        <s v="PARCHEGGIO GRADO"/>
        <s v="RISTORANTE PIZZERIA"/>
        <s v="UCINORDOVES"/>
        <s v="TERRE DI PALAZZATTO"/>
        <s v="RONCATO"/>
        <s v="IKI SUSHI"/>
        <s v="GEARBEST"/>
        <s v="BOLLO AUTO"/>
        <s v="SITO REPUBBLICA (GEDI)"/>
        <s v="NOW TV"/>
        <s v="LENOVO"/>
        <s v="NUVOLARI"/>
        <s v="PARCHEGGIO SILOS"/>
        <s v="MARCO POLO PARK"/>
        <s v="PROFUMERIE DOUGLAS"/>
        <s v="VIGNETTA SLOVENIA"/>
        <s v="EASY JET"/>
        <s v="CORMEDICA"/>
        <s v="GENERICO"/>
        <s v="HOTEL"/>
        <s v="KOMPAS SHOP"/>
        <s v="SPESE SZIGET"/>
        <s v="BIGLIETTI SZIGET"/>
        <s v="SPESE ULTRA"/>
        <s v="BIGLIETTI TRASPORTO"/>
        <m/>
      </sharedItems>
    </cacheField>
    <cacheField name="MESE" numFmtId="0">
      <sharedItems containsBlank="1"/>
    </cacheField>
    <cacheField name="ANNO" numFmtId="0">
      <sharedItems containsString="0" containsBlank="1" containsNumber="1" containsInteger="1" minValue="2019" maxValue="2026" count="9">
        <n v="2026"/>
        <n v="2025"/>
        <n v="2024"/>
        <n v="2023"/>
        <n v="2022"/>
        <n v="2021"/>
        <n v="2020"/>
        <n v="2019"/>
        <m/>
      </sharedItems>
    </cacheField>
    <cacheField name="MESE2" numFmtId="0">
      <sharedItems containsString="0" containsBlank="1" containsNumber="1" containsInteger="1" minValue="1" maxValue="12"/>
    </cacheField>
    <cacheField name="COMPOSTO" numFmtId="0">
      <sharedItems containsBlank="1"/>
    </cacheField>
    <cacheField name="COMPOSTO2" numFmtId="0">
      <sharedItems containsBlank="1" count="89">
        <s v="9 SETTEMBRE 2026"/>
        <s v="8 AGOSTO 2026"/>
        <s v="7 LUGLIO 2026"/>
        <s v="6 GIUGNO 2026"/>
        <s v="5 MAGGIO 2026"/>
        <s v="4 APRILE 2026"/>
        <s v="3 MARZO 2026"/>
        <s v="2 FEBBRAIO 2026"/>
        <s v="1 GENNAIO 2026"/>
        <s v="12 DICEMBRE 2025"/>
        <s v="11 NOVEMBRE 2025"/>
        <s v="10 OTTOBRE 2025"/>
        <s v="9 SETTEMBRE 2025"/>
        <s v="8 AGOSTO 2025"/>
        <s v="7 LUGLIO 2025"/>
        <s v="6 GIUGNO 2025"/>
        <s v="5 MAGGIO 2025"/>
        <s v="4 APRILE 2025"/>
        <s v="3 MARZO 2025"/>
        <s v="2 FEBBRAIO 2025"/>
        <s v="1 GENNAIO 2025"/>
        <s v="12 DICEMBRE 2024"/>
        <s v="11 NOVEMBRE 2024"/>
        <s v="10 OTTOBRE 2024"/>
        <s v="9 SETTEMBRE 2024"/>
        <s v="8 AGOSTO 2024"/>
        <s v="7 LUGLIO 2024"/>
        <s v="6 GIUGNO 2024"/>
        <s v="5 MAGGIO 2024"/>
        <s v="4 APRILE 2024"/>
        <s v="3 MARZO 2024"/>
        <s v="2 FEBBRAIO 2024"/>
        <s v="1 GENNAIO 2024"/>
        <s v="12 DICEMBRE 2023"/>
        <s v="11 NOVEMBRE 2023"/>
        <s v="10 OTTOBRE 2023"/>
        <s v="9 SETTEMBRE 2023"/>
        <s v="8 AGOSTO 2023"/>
        <s v="7 LUGLIO 2023"/>
        <s v="6 GIUGNO 2023"/>
        <s v="5 MAGGIO 2023"/>
        <s v="4 APRILE 2023"/>
        <s v="3 MARZO 2023"/>
        <s v="2 FEBBRAIO 2023"/>
        <s v="1 GENNAIO 2023"/>
        <s v="12 DICEMBRE 2022"/>
        <s v="11 NOVEMBRE 2022"/>
        <s v="10 OTTOBRE 2022"/>
        <s v="9 SETTEMBRE 2022"/>
        <s v="8 AGOSTO 2022"/>
        <s v="7 LUGLIO 2022"/>
        <s v="6 GIUGNO 2022"/>
        <s v="5 MAGGIO 2022"/>
        <s v="4 APRILE 2022"/>
        <s v="3 MARZO 2022"/>
        <s v="2 FEBBRAIO 2022"/>
        <s v="1 GENNAIO 2022"/>
        <s v="12 DICEMBRE 2021"/>
        <s v="11 NOVEMBRE 2021"/>
        <s v="10 OTTOBRE 2021"/>
        <s v="9 SETTEMBRE 2021"/>
        <s v="8 AGOSTO 2021"/>
        <s v="7 LUGLIO 2021"/>
        <s v="6 GIUGNO 2021"/>
        <s v="5 MAGGIO 2021"/>
        <s v="4 APRILE 2021"/>
        <s v="3 MARZO 2021"/>
        <s v="2 FEBBRAIO 2021"/>
        <s v="1 GENNAIO 2021"/>
        <s v="12 DICEMBRE 2020"/>
        <s v="11 NOVEMBRE 2020"/>
        <s v="10 OTTOBRE 2020"/>
        <s v="9 SETTEMBRE 2020"/>
        <s v="8 AGOSTO 2020"/>
        <s v="7 LUGLIO 2020"/>
        <s v="6 GIUGNO 2020"/>
        <s v="5 MAGGIO 2020"/>
        <s v="4 APRILE 2020"/>
        <s v="3 MARZO 2020"/>
        <s v="2 FEBBRAIO 2020"/>
        <s v="1 GENNAIO 2020"/>
        <s v="12 DICEMBRE 2019"/>
        <s v="11 NOVEMBRE 2019"/>
        <s v="10 OTTOBRE 2019"/>
        <s v="9 SETTEMBRE 2019"/>
        <s v="8 AGOSTO 2019"/>
        <s v="7 LUGLIO 2019"/>
        <m/>
        <e v="#N/A" u="1"/>
      </sharedItems>
    </cacheField>
    <cacheField name="TIPOLOGIA2" numFmtId="0">
      <sharedItems containsBlank="1" count="30">
        <s v="BAR E RISTORANTI"/>
        <s v="SPESE PER LA CASA"/>
        <s v="MACCHINETTA AUTOMATICA"/>
        <s v="TRASPORTI E PARCHEGGI"/>
        <s v="PRELIEVO CONTANTI"/>
        <s v="HOTEL &amp; SERVIZI"/>
        <s v="VISITE MEDICHE"/>
        <s v="ALIMENTARI"/>
        <s v="ACQUISTI ONLINE"/>
        <s v="SPESE PER LA MACCHINA"/>
        <s v="REGALI"/>
        <s v="VESTITI"/>
        <s v="CINEMA CONCERTI SPETTACOLI"/>
        <s v="SPESE AMMINISTRATIVE"/>
        <s v="MENSA"/>
        <s v="TASSE"/>
        <s v="VIAGGI"/>
        <s v="TRASFERIMENTO DENARO"/>
        <s v="SPORT &amp; ASSOCIAZIONI"/>
        <s v="VINI"/>
        <s v="ABBONAMENTI ONLINE"/>
        <s v="COSMETICI"/>
        <s v="VIDEOGIOCHI &amp; ELETTRONICA"/>
        <s v="LIBRERIA"/>
        <s v="MEDICINALI"/>
        <s v="INTERNET"/>
        <m/>
        <s v="BRICO" u="1"/>
        <s v="PROVIDER INTERNET" u="1"/>
        <s v="PRELIEVO" u="1"/>
      </sharedItems>
    </cacheField>
    <cacheField name="CATEGORIA" numFmtId="0">
      <sharedItems containsBlank="1"/>
    </cacheField>
    <cacheField name="IMPORTO" numFmtId="0">
      <sharedItems containsString="0" containsBlank="1" containsNumber="1" minValue="-125.18" maxValue="1349"/>
    </cacheField>
    <cacheField name="RATA" numFmtId="0">
      <sharedItems containsBlank="1"/>
    </cacheField>
    <cacheField name="TRAMITE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Ballestriero" refreshedDate="46300.936103587963" createdVersion="8" refreshedVersion="8" minRefreshableVersion="3" recordCount="2797" xr:uid="{B075E4A0-7A19-4D80-A7EC-48C9BF771EF8}">
  <cacheSource type="worksheet">
    <worksheetSource ref="A1:L1048576" sheet="Dettaglio Spese Generiche CC"/>
  </cacheSource>
  <cacheFields count="12">
    <cacheField name="TIPOLOGIA" numFmtId="0">
      <sharedItems containsBlank="1" count="657">
        <s v="AZZURRA SNC"/>
        <s v="LITTLE HOLLAND BAARN"/>
        <s v="AMAZON"/>
        <s v="POLIDORI DISTRIBUZIONE"/>
        <s v="SAX TANKSTELLEN"/>
        <s v="REVOLUT"/>
        <s v="CDA LOUNGE BAR"/>
        <s v="BOOKING"/>
        <s v="MEDICENTER RONCHI"/>
        <s v="ZAHRE BEER"/>
        <s v="PRO LOCO FOLGARIA (FRIULI DOC)"/>
        <s v="UFFICINA"/>
        <s v="SPESA LIDL"/>
        <s v="STABILIMENTO TIVOLI"/>
        <s v="LA TAVERNETTA PALMANOVA"/>
        <s v="SPESA ENEL"/>
        <s v="PIZZERIA CHICHIBIO"/>
        <s v="SPESA VISOTTO"/>
        <s v="SA DI TAPPO"/>
        <s v="GRUPPO NEGOZI VILLESSE"/>
        <s v="TABACCHERIA BARBINI"/>
        <s v="MONDO LAVAGGIO"/>
        <s v="PRISHOP (MEGA HOME)"/>
        <s v="PARCOMETRO CERVIGNANO"/>
        <s v="VERGANO ROMA TERMINI"/>
        <s v="SALUMERIA PELUSO SALERNO"/>
        <s v="AMALFI ART"/>
        <s v="SAPORI CETARESI"/>
        <s v="O,CHALET CETARA"/>
        <s v="VILLLA AMORE ROBERTO RAVELLO"/>
        <s v="CITTA CAPRI"/>
        <s v="OASI POSITANO"/>
        <s v="DA VINCENZO POSITANO"/>
        <s v="TRAVEL MAR  SALERNO"/>
        <s v="RELAY ROMA TERMINI"/>
        <s v="DIDON STORE"/>
        <s v="ANDRIAN MASSIMO"/>
        <s v="TBT FOOD"/>
        <s v="CIRCOLO SKIANT GRADISCA"/>
        <s v="BIRRERIA MONDELLI"/>
        <s v="TOLMINATOR"/>
        <s v="AUTOSTRADA"/>
        <s v="PIZZERIA D'AUTORE (MASCARI)"/>
        <s v="PLAYTOMIC VILLESSE PADEL"/>
        <s v="GIT INGRESSO PRINCIPALE"/>
        <s v="BAR SOLARIUM"/>
        <s v="TARLAO"/>
        <s v="RITUALS"/>
        <s v="DECATHLON"/>
        <s v="BAR TERESINA"/>
        <s v="PIZZERIA ALL'ANFORA"/>
        <s v="BAR AMERICANO"/>
        <s v="OSTERIA AL FAGIANO"/>
        <s v="IKEA VILLESSE"/>
        <s v="POKE TIARE"/>
        <s v="SPESA ILDI"/>
        <s v="OPERA RESTAURANT"/>
        <s v="AUTOGRILL"/>
        <s v="OLDTIMER"/>
        <s v="Pro Loco TERZO D'AQUILEIA"/>
        <s v="TRATTORIA ALLA BUONA VITE"/>
        <s v="CALVIN KLEIN"/>
        <s v="ENRICO COVERI"/>
        <s v="TICKETONE"/>
        <s v="FIVE GUYS VENEZIA"/>
        <s v="VENETO HOTELS"/>
        <s v="SABAIT"/>
        <s v="SPESA IPERCOOP"/>
        <s v="BIERKELLER"/>
        <s v="BIFFI"/>
        <s v="HERMITAGE"/>
        <s v="ANDREA DEL GOBBO CALZOLAIO"/>
        <s v="PVH italia"/>
        <s v="BUFALA FATTORIE"/>
        <s v="ATAC"/>
        <s v="MIBO ROMA"/>
        <s v="RISTORANTE PIZZERIA CAPELLO"/>
        <s v="STORNO QUOTA ASSOCIATIVA"/>
        <s v="UNIS PAR CLAUIAN"/>
        <s v="EASY PARK"/>
        <s v="LA COMBRICCOLA"/>
        <s v="TEDI CERVIGNANO"/>
        <s v="SPESA CONAD"/>
        <s v="THE BLACK STUFF"/>
        <s v="SPESA EUROSPAR"/>
        <s v="CENTRO SERVIZI DEITA"/>
        <s v="TRATTORIA DA NANDO"/>
        <s v="BAMBULAB"/>
        <s v="LOCANDA OROLOGIO"/>
        <s v="GRUPPO ILLIRIA"/>
        <s v="CIO'CHE C'ERA"/>
        <s v="CDA LOUNGE BAR - BREASY"/>
        <s v="VINARIUM"/>
        <s v="UFFICIO CAMERALE"/>
        <s v="TASSA CONSORZIO BONIFICA"/>
        <s v="CORNER 1896"/>
        <s v="TOMMY HILFIGHER"/>
        <s v="LJUJO"/>
        <s v="DANA SPORT"/>
        <s v="MOM'ART"/>
        <s v="AL PODERE"/>
        <s v="LOFT23"/>
        <s v="Emanuele Civello"/>
        <s v="GUSTA' AL LEPRE"/>
        <s v="TAGLIATO COL COLTELLO"/>
        <s v="MACCHINETTA ILLIRIA"/>
        <s v="FRUMENTO UDINE"/>
        <s v="QUOTA ASSOCIATIVA CARTA DI CREDITO"/>
        <s v="THE ORIONS PUB"/>
        <s v="MUSEI VATICANI"/>
        <s v="TRATTORIA DEL CIMINO"/>
        <s v="LOCANDA DEI GIUSTI"/>
        <s v="BRICOCENTER"/>
        <s v="OTTIMAX"/>
        <s v="PIZZERIA DA MARIO"/>
        <s v="DOPPIO MALTO (ZETTLE)"/>
        <s v="BILIARDO PRADAMANO"/>
        <s v="PANIFICIO PASTICCERIA CANDOTTI"/>
        <s v="UBER"/>
        <s v="PICANTON"/>
        <s v="ORANGE IN THE SKY SIVIGLIA"/>
        <s v="MC DONALD'S"/>
        <s v="AGUSTIN CERVEZAS E TAPAS SIVIGLIA"/>
        <s v="FLAMENCO"/>
        <s v="LA SACRISTIA DE MATEOS SIVIGLIA"/>
        <s v="TUSSAM EM SIVIGLIA"/>
        <s v="TRENES"/>
        <s v="GRUPO TEIKA"/>
        <s v="APT TRIESTE "/>
        <s v="ZARA"/>
        <s v="PARCHEGGIO AEROPORTO RONCHI"/>
        <s v="MOTO CLUB CERVIGNANO"/>
        <s v="AL CAVALLINO"/>
        <s v="J TEAM ASD"/>
        <s v="ABC CHIOSCO"/>
        <s v="L'AUTOGRILL PIZZERIA"/>
        <s v="MEET &amp; GREET UDINE"/>
        <s v="SPORTMED"/>
        <s v="TRATTORIA ALLA STELLA"/>
        <s v="PARCHEGGIO OSPEDALE UDINE"/>
        <s v="GOOGLE"/>
        <s v="ASSOCIAZIONE CULTURALE TERZO D'AQUILITA"/>
        <s v="SHI'S"/>
        <s v="MAZZUCCATO GUID"/>
        <s v="GIUNTI AL PUNTO"/>
        <s v="MEDIAWORLD"/>
        <s v="RUSSIZ SUPERIORE"/>
        <s v="FGV VALENCIA ESTACIONE"/>
        <s v="STARBUCKS RUZAFA"/>
        <s v="LAS VIANDAS DE LERMA"/>
        <s v="PINTADO A MANO"/>
        <s v="OF VALENCIA VALENCIA"/>
        <s v="MERCADO CENTRAL  VALENCIA"/>
        <s v="VALENBISI HORNO DE ALCE"/>
        <s v="EL INFANTE VALENCIA"/>
        <s v="CIUDAD DE LAS ARTES Y VALENCIA"/>
        <s v="FANTAGAZZETTA"/>
        <s v="PIZZERIA AL GELSO"/>
        <s v="Francesco Napoli"/>
        <s v="BAR ALL'ALPINO"/>
        <s v="ASSOCIAZIONE C SI"/>
        <s v="BIRRIFICIO FOGLIE D'ER FORNI"/>
        <s v="PRO LOCO REANA DEL ROJITA"/>
        <s v="PRENATAL"/>
        <s v="MAMMA KEBAB UDINE"/>
        <s v="PARCHEGGIO MAGRINI"/>
        <s v="PANIFICIO PASTICCERIA BOSIO"/>
        <s v="Fabio Zorat"/>
        <s v="EUROPCAR"/>
        <s v="PIZZA ROMANORUM GRADO"/>
        <s v="JUST HEAT"/>
        <s v="LISBON DUTY FREE LISBOA PRT"/>
        <s v="TICKET BUS UDINE"/>
        <s v="REPSOL E1159 LISBOA PRT"/>
        <s v="P.A.CEPSA BEJA PRT"/>
        <s v="RESTAURANTE SIMAO FARO PRT"/>
        <s v="FLOR SAL,LDA FARO PRT"/>
        <s v="TIVOLI LAGOS ALGARVE R LAGOS"/>
        <s v="HTL PRINCIPE AVILA LISBOA PARKING"/>
        <s v="SR JOGO,LDA LISBOA PRT"/>
        <s v="MY EMEL"/>
        <s v="LIME"/>
        <s v="IL CAFFE' DELLA STAZIO UDINE ITA"/>
        <s v="AELIA DUTY FREE"/>
        <s v="R048 RUSTICHELLI &amp; MA. VENEZIA ITA"/>
        <s v="ATVO SPA MESTRE VENEZIA ITA"/>
        <s v="BIRRA E PASTA PALMANOVA"/>
        <s v="PIZZERIA SORRISO PALMANOVA"/>
        <s v="NEW YORKER"/>
        <s v="VERALAB"/>
        <s v="AIR PORTUGAL"/>
        <s v="LA DE LE VELE GRADO"/>
        <s v="NOLEGGIO AUTO"/>
        <s v="PETROL BS MARIBOR"/>
        <s v="TROPIC COCKTAIL BUDAPEST"/>
        <s v="HAUCK TOBACCO BUDAPEST"/>
        <s v="SZIMPLA KERT"/>
        <s v="FARI SOCIETA' AGRICOLA (SPOLERT)"/>
        <s v="AL TURISTA"/>
        <s v="USUSHI"/>
        <s v="MOVIL LIGNANO"/>
        <s v="OMBRELLONE LIGNANO"/>
        <s v="30STM NOVELLARA"/>
        <s v="MRYOK"/>
        <s v="SPESE CONDOMINIALI"/>
        <s v="DAL LEP"/>
        <s v="ALIEXPRESS"/>
        <s v="SPESE INVIO E/C E RID"/>
        <s v="TENNIS CLUB CERVIGNANO"/>
        <s v="UNDERPRESSURE TOURING MILANO"/>
        <s v="TUTTI PER UNO SRL"/>
        <s v="METRO MILANO"/>
        <s v="GRADO GIT"/>
        <s v="ASIA MART PRAHA"/>
        <s v="COMMISSIONE DI CONVERSIONE"/>
        <s v="TESCO - PRAGA"/>
        <s v="TOKIO"/>
        <s v="STABILIMENTO BORA BORA"/>
        <s v="UNITED EAGLES CIVIDALE"/>
        <s v="BOOM EVENTI"/>
        <s v="BIRRERIA BERNOTTI"/>
        <s v="ROMA AL VOLO"/>
        <s v="SPREADSHIRT"/>
        <s v="RYANAIR"/>
        <s v="HILFIGER"/>
        <s v="NIKE"/>
        <s v="ISOLA D'ORO"/>
        <s v="SPESA IGNOTA"/>
        <s v="VENTUNO GRAMMI"/>
        <s v="DOPPIO MALTO"/>
        <s v="SPESA MEGA"/>
        <s v="PARCHEGGIO VENEZIA"/>
        <s v="VOLOTEA"/>
        <s v="OSTERIA PIERI MORTADELE"/>
        <s v="YUMIKO"/>
        <s v="LOCANDA AQUILEIA"/>
        <s v="PROFUMO"/>
        <s v="LA SUBIDA OSTERIA"/>
        <s v="RITTER DE ZAHONY"/>
        <s v="BU.CO"/>
        <s v="LEROY MERLIN"/>
        <s v="SPACCANAPOLI"/>
        <s v="Stefano Savanelli"/>
        <s v="BASKET TERZO"/>
        <s v="DOMORI"/>
        <s v="Francesco Savanelli"/>
        <s v="Luca Toso"/>
        <s v="RISTORANTE VOGRIG"/>
        <s v="ENOTECA OASI DEI SANI"/>
        <s v="LOCANDA ALLE VIGNE"/>
        <s v="LUMII SUSHI"/>
        <s v="BANSHI"/>
        <s v="CASA PIOCHEUR"/>
        <s v="SPESA SUPERMARK"/>
        <s v="DE ROOM"/>
        <s v="IL BAULE"/>
        <s v="PIZZERIA DA MARINELLI"/>
        <s v="PARCHEGGIO"/>
        <s v="PASTICCERIA MOSAICO"/>
        <s v="PANIFICIO PASTICCERIA CANDOTTO"/>
        <s v="URITOM"/>
        <s v="PUBLIC HOUSE"/>
        <s v="Glenda Furlan"/>
        <s v="RISTORANTE PUGLIESE"/>
        <s v="Marcella"/>
        <s v="PARCHEGGIO AEROPORTO ORIO AL SERIO"/>
        <s v="AEROPORTO DI TALLIN"/>
        <s v="AEROPORTO ORIO AL SERIO"/>
        <s v="FARMACIA MENON FERESIN"/>
        <s v="OSTERIA DEL CONTADINO"/>
        <s v="RAINBOW"/>
        <s v="TRINITY"/>
        <s v="TELLME PIZZA (SHARE)"/>
        <s v="SHOW RONDO'"/>
        <s v="ELETTRONEW"/>
        <s v="AUSA SERVIZI"/>
        <s v="FRIULI DOC"/>
        <s v="GAMESTOP"/>
        <s v="MULTA AUTO"/>
        <s v="TAGLIANDO AUTO"/>
        <s v="INSTANBUL KEBAB"/>
        <s v="LE DUE PALME"/>
        <s v="DUTY FREE"/>
        <s v="SHELL"/>
        <s v="AGROTIKO"/>
        <s v="VOURVACHAKIS"/>
        <s v="MATTHAIOS"/>
        <s v="GRIGORIS"/>
        <s v="DIANOM  RIFORNIMENTO"/>
        <s v="KASAMPALIS"/>
        <s v="COCO CAFR'"/>
        <s v="DIMOTIKI"/>
        <s v="ON THE GO"/>
        <s v="DITIKI KRITI"/>
        <s v="KOUKOURAKIS 2"/>
        <s v="KOUKOURAKIS 1"/>
        <s v="EL GRECO BAR"/>
        <s v="EVEREST"/>
        <s v="BRICO CAFE'"/>
        <s v="STZIMPLA KERT - HELLOPAY"/>
        <s v="FARMACIA LOVISONI"/>
        <s v="SPESA COOP"/>
        <s v="BAR DA TERESINA"/>
        <s v="RIVIERA EVENTI"/>
        <s v="FIORERIA AGRARIA PAV"/>
        <s v="PARCHEGGIO MILANO I DAYS"/>
        <s v="MILANO I DAYS"/>
        <s v="Pro Loco Aquileia"/>
        <s v="POKE LAND"/>
        <s v="Ca' Vittoria"/>
        <s v="I LOVE ALICANTE"/>
        <s v="FUEL"/>
        <s v="VIRGIN 77605"/>
        <s v="R100 RELAY"/>
        <s v="GLASS BAR"/>
        <s v="IL PANE QUOTIDIANO"/>
        <s v="MARCHE"/>
        <s v="LA CIACOLADA"/>
        <s v="TENUTA CA'NOVA"/>
        <s v="ATHLETES WORLD"/>
        <s v="PAGOPA SPA - Consorzio bonifica"/>
        <s v="BS STALONI"/>
        <s v="SHARE PIZZA"/>
        <s v="CINEMA"/>
        <s v="AL GRANAIO"/>
        <s v="MICROSOFT"/>
        <s v="DAI FIOI"/>
        <s v="AL PONTE"/>
        <s v="VESUVIO"/>
        <s v="POKE SUN RICE TIARE"/>
        <s v="AR-STORESHOP"/>
        <s v="TIGER STORE"/>
        <s v="FARMACIA VILLANOVA"/>
        <s v="SPESA ALDI"/>
        <s v="FREETTO"/>
        <s v="ANTICA TRATTORIA A MONTA"/>
        <s v="AI TRE SCALINI"/>
        <s v="JACK AND JONES"/>
        <s v="RADISSON BLUE RIGA"/>
        <s v="VENPAY IVS"/>
        <s v="ROOTS OF LATVIA SOUVENIR"/>
        <s v="SOUVENIR RIGA"/>
        <s v="ROADHOUSE"/>
        <s v="GIOVANNI PANETTA (SAN MARTINO)"/>
        <s v="ALBERGO BELVEDERE"/>
        <s v="SATUR"/>
        <s v="FIORELLA RUBINO"/>
        <s v="ADIDAS"/>
        <s v="EUROSPAR"/>
        <s v="HOTEL BAIA DI TALAMONE"/>
        <s v="PARCHEGGIO M. ARGENTARIO"/>
        <s v="FAM.FAILLI - SAN GIMIGNANO "/>
        <s v="VINCENZO CESANI"/>
        <s v="OSTERIA LA SOSTA (SAN GIMIGNANO)"/>
        <s v="MAXI FACTORY (BAULE)"/>
        <s v="GRANO SALIS"/>
        <s v="UNIPOLSAI"/>
        <s v="FASHION BRAND"/>
        <s v="ERBOLARIO"/>
        <s v="OSTERIA GNAGNE SESE"/>
        <s v="PAYPAL  - MRYOK"/>
        <s v="KINDLE"/>
        <s v="PIZZERIA CALYPSO"/>
        <s v="PIZZERIA CONCORDIA"/>
        <s v="WONDERFUL ZAGARELLA"/>
        <s v="FARMACIA"/>
        <s v="ASSOCIAZIONE PRO MAJAN"/>
        <s v="CAMBIO GOMME"/>
        <s v="ALIPAY"/>
        <s v="RISTORANTE TOKIO"/>
        <s v="BM FOOD MILANO"/>
        <s v="DUSCI"/>
        <s v="ROZNA DOLIN"/>
        <s v="TESCO - BUDAPEST"/>
        <s v="PENNY MARKET - BUDAPEST"/>
        <s v="DARDY"/>
        <s v="MANDRACCHIO SRL"/>
        <s v="PIZZERIA AL PLATANO"/>
        <s v="INTERNAZIONALE (SETAV)"/>
        <s v="MORENITA"/>
        <s v="NOLEGGIO SCI"/>
        <s v="KASANOVA"/>
        <s v="BRUNIERA"/>
        <s v="LA BAITA DEI SAPORI"/>
        <s v="VALBRUNA"/>
        <s v="ASSAJE"/>
        <s v="MAISON 2SHOP (BAULE)"/>
        <s v="STEIMATZKY"/>
        <s v="CAFE MALAN (TEL AVIV)"/>
        <s v="GMF*TAEL AVIV YAFO"/>
        <s v="DOMUS IMPRESA"/>
        <s v="SPESA LIDL (CZ)"/>
        <s v="HARD ROCK CAFE (PRAGA)"/>
        <s v="DUTY FREE (DUBAI)"/>
        <s v="LE PETIT BELGE (DUBAI)"/>
        <s v="GOOD DAY MARKET (DUBAI)"/>
        <s v="LIBERTY 1894"/>
        <s v="REVISIONE AUTO"/>
        <s v="PIZZIKOTTO"/>
        <s v="FARMACIA BELTRAME"/>
        <s v="MC POLISPECIALISTICA"/>
        <s v="FARMACIA GRIGOLINI"/>
        <s v="VINI MAFFY"/>
        <s v="OLDTIMER HOTEL"/>
        <s v="STABILIMENTO PIPER"/>
        <s v="MUSEO EGIZIO TORINO"/>
        <s v="TENDA BAR"/>
        <s v="LA GRISE"/>
        <s v="INGRESSO PISCINA GRADO"/>
        <s v="PAPAGAYO"/>
        <s v="ANUBI SRL"/>
        <s v="PIZZERIA ITALIA"/>
        <s v="OFFICINA DEL GUSTO"/>
        <s v="MAGLIETTA MINISTRI"/>
        <s v="PAYPAL VALUTAZIONE AUTO"/>
        <s v="KERESKEDO"/>
        <s v="A FUOCO LENTO"/>
        <s v="FARMACIA FACINI"/>
        <s v="ABBONAMENTO GAZZETTA"/>
        <s v="UNIEURO"/>
        <s v="TRENITALIA"/>
        <s v="SPESA DESPAR"/>
        <s v="ABSINTHERIE JILSKA"/>
        <s v="MINIMARKET PETRSKA (REP CECA)"/>
        <s v="EDALNICE (VIGNETTA REP CECA)"/>
        <s v="TURISMO85 (MATR. EMANUEL)"/>
        <s v="TENDENZE (ACC TENDE)"/>
        <s v="RISTORANTE NAPOLEONE"/>
        <s v="EUROSPORT"/>
        <s v="COMMISSIONE RIFORNIMENTO CALABRIA"/>
        <s v="RIFORNIMENTO CALABRIA"/>
        <s v="GHIBLI HOTEL"/>
        <s v="DOUGLAS"/>
        <s v="NON E' LE BRONSE"/>
        <s v="WIENER HAUS VILLESSE"/>
        <s v="PONTAROLO COMMERCIALE"/>
        <s v="PIZZERIA DAL LEP"/>
        <s v="AL CAMMINO"/>
        <s v="UZR BIKE 24"/>
        <s v="PAYPLUG"/>
        <s v="VODAFONE"/>
        <s v="MARACAIBA"/>
        <s v="EOLO"/>
        <s v="BROKER PER LA TELEFONIA"/>
        <s v="CENTRO ELETTRICITA'"/>
        <s v="PLAYSTATION"/>
        <s v="ELECTROSELF"/>
        <s v="FOOTBALL MANAGER"/>
        <s v="PEDAGGIO"/>
        <s v="AMICAFARMACIA"/>
        <s v="PARCHEGGIO GRADO"/>
        <s v="RISTORANTE PIZZERIA"/>
        <s v="UCINORDOVES"/>
        <s v="TERRE DI PALAZZATTO"/>
        <s v="RONCATO"/>
        <s v="IKI SUSHI"/>
        <s v="GEARBEST"/>
        <s v="BOLLO AUTO"/>
        <s v="SITO REPUBBLICA (GEDI)"/>
        <s v="NOW TV"/>
        <s v="LENOVO"/>
        <s v="NUVOLARI"/>
        <s v="PARCHEGGIO SILOS"/>
        <s v="MARCO POLO PARK"/>
        <s v="PROFUMERIE DOUGLAS"/>
        <s v="VIGNETTA SLOVENIA"/>
        <s v="EASY JET"/>
        <s v="CORMEDICA"/>
        <s v="GENERICO"/>
        <s v="HOTEL"/>
        <s v="KOMPAS SHOP"/>
        <s v="SPESE SZIGET"/>
        <s v="BIGLIETTI SZIGET"/>
        <s v="SPESE ULTRA"/>
        <s v="BIGLIETTI TRASPORTO"/>
        <m/>
        <s v="RIFORNIMENTO" u="1"/>
        <s v="STORNO QUOTA" u="1"/>
        <s v="\" u="1"/>
        <s v="RISTORANTE PIZZERIA CAPPELLO" u="1"/>
        <s v="EASYPARK" u="1"/>
        <s v="PAYPAL EASYPARK" u="1"/>
        <s v=" FOOTBALL MANAGER" u="1"/>
        <s v="EUROPCAR AUTOSTRADA" u="1"/>
        <s v="AELIA DUTY FREE VENEZI VENEZIA ITA" u="1"/>
        <s v="AUTOGRILL PADOVA" u="1"/>
        <s v="OMBRELLONE GRADO GIT" u="1"/>
        <s v="PARCHEGGIO ORIO AL SERIO" u="1"/>
        <s v="AEROPORTO DI BERGAMO" u="1"/>
        <s v="COMMISSIONE VIGNETTA" u="1"/>
        <s v="COMMISSIONE AUTOGRILL" u="1"/>
        <s v="AUTOGRILL VIGNETTA" u="1"/>
        <s v="MICROSOFT STORE" u="1"/>
        <s v="TS RELAY+AELIA" u="1"/>
        <s v="AELIA DUTY FREE (DUBAI)" u="1"/>
        <s v="GOOGLE STORE" u="1"/>
        <s v="GOOGLE QUADRON" u="1"/>
        <s v="TICKEONE" u="1"/>
        <s v="TICKETONE - DEEJAY TIME" u="1"/>
        <s v="AMAZON 1/3 - IKEA" u="1"/>
        <s v="PAYPAL - RATA 3/3 - VERALAB" u="1"/>
        <s v="AMAZON 3/3 - MELICONI" u="1"/>
        <s v="AMAZON 1/5 - NANO LEAF" u="1"/>
        <s v="AMAZON 1/3 - MAGLIETTE BOSS" u="1"/>
        <s v="AMAZON 2/3 - MELICONI" u="1"/>
        <s v="AMAZON  - RATA 5/5 - DREAME" u="1"/>
        <s v="AMAZON 1/3 - MELICONI" u="1"/>
        <s v="AMAZON  - RATA 4/5 - DREAME" u="1"/>
        <s v="AMAZON 5/5 - FRIENT" u="1"/>
        <s v="AMAZON  - RATA 3/5 - DREAME" u="1"/>
        <s v="AMAZON  - RATA 2/5 - DREAME" u="1"/>
        <s v="AMAZON 4/5 - FRIENT" u="1"/>
        <s v="AMAZON  - RATA 1/5 - DREAME" u="1"/>
        <s v="AMAZON 3/5 - FRIENT" u="1"/>
        <s v="AMAZON 5/5 - NANO LEAF" u="1"/>
        <s v="AMAZON 2/5 - FRIENT" u="1"/>
        <s v="AMAZON 4/5 - NANO LEAF" u="1"/>
        <s v="AMAZON 5/5 - DJ BOX" u="1"/>
        <s v="AMAZON 1/5 - FRIENT" u="1"/>
        <s v="AMAZON 3/5 - NANO LEAF" u="1"/>
        <s v="AMAZON 4/5 - DJ BOX" u="1"/>
        <s v="AMAZON 2/5 - NANO LEAF" u="1"/>
        <s v="AMAZON 3/3 - COPRIWATER" u="1"/>
        <s v="AMAZON 3/5 - DJ BOX" u="1"/>
        <s v="AMAZON 2/3 - COPRIWATER" u="1"/>
        <s v="AMAZON 5/5 - TELECAMERE" u="1"/>
        <s v="AMAZON 2/5 - DJ BOX" u="1"/>
        <s v="AMAZON 1/3 - COPRIWATER" u="1"/>
        <s v="AMAZON 4/5 - TELECAMERE" u="1"/>
        <s v="AMAZON 1/5 - DJ BOX" u="1"/>
        <s v="AMAZON 3/3 - VANS" u="1"/>
        <s v="AMAZON 3/5 - TELECAMERE" u="1"/>
        <s v="AMAZON 3/3 - MINECRAFT" u="1"/>
        <s v="AMAZON 2/3 - MINECRAFT" u="1"/>
        <s v="AMAZON 2/3 - VANS" u="1"/>
        <s v="AMAZON 2/5 - TELECAMERE" u="1"/>
        <s v="AMAZON 1/5 - TELECAMERE" u="1"/>
        <s v="AMAZON 1/3 - VANS" u="1"/>
        <s v="AMAZON RATA 3/3 - CONTROLLER XBOX" u="1"/>
        <s v="AMAZON RATA 2/3 - CONTROLLER XBOX" u="1"/>
        <s v="AMAZON RATA 1/3 - CONTROLLER XBOX" u="1"/>
        <s v="AMAZON RATA 5/5 - TABLET" u="1"/>
        <s v="AMAZON RATA 4/5 - TABLET" u="1"/>
        <s v="AMAZON RATA 3/5 - TABLET" u="1"/>
        <s v="AMAZON RATA 2/5 - TABLET" u="1"/>
        <s v="IKEA" u="1"/>
        <s v="AMAZON RATA 5/5 - VESTITI" u="1"/>
        <s v="AMAZON RATA 1/5 - TABLET" u="1"/>
        <s v="AMAZON RATA 4/5 - VESTITI" u="1"/>
        <s v="AMAZON RATA 3/5 - VESTITI" u="1"/>
        <s v="AMAZON RATA 2/5 - VESTITI" u="1"/>
        <s v="AMAZON RATA 1/5 - VESTITI" u="1"/>
        <s v="TICKEONE - RIMBORSO" u="1"/>
        <s v="AMAZON RATA 5/5" u="1"/>
        <s v="AMAZON RATA 4 /5" u="1"/>
        <s v="AMAZON RATA 3 /5" u="1"/>
        <s v="AMAZON RATA 2/5" u="1"/>
        <s v="AMAZON RATA 1/5" u="1"/>
        <s v="AMAZON RATA NEST 5/5" u="1"/>
        <s v="AMAZON RATA NEST 4/5" u="1"/>
        <s v="AMAZON RATA NEST 3/5" u="1"/>
        <s v="AMAZON RATA NEST 2/5" u="1"/>
        <s v="AMAZON RATA NEST 1/5" u="1"/>
        <s v="AMAZON RATA MOULINEX ACCESSORIO 5/5" u="1"/>
        <s v="AMAZON RATA MOULINEX 5/5" u="1"/>
        <s v="AMAZON RATA MOULINEX ACCESSORIO 4/5" u="1"/>
        <s v="AMAZON RATA MOULINEX 4/5" u="1"/>
        <s v="AMAZON RATA MOULINEX ACCESSORIO 3/5" u="1"/>
        <s v="AMAZON RATA MOULINEX 3/5" u="1"/>
        <s v="AMAZON RATA MOULINEX 2/5" u="1"/>
        <s v="AMAZON RATA MOULINEX ACCESSORIO 2/5" u="1"/>
        <s v="AMAZON RATA MOULINEX 1/5" u="1"/>
        <s v="AMAZON RATA MOULINEX ACCESSORIO 1/5" u="1"/>
        <s v="PAYPAL  - Francesco Napoli" u="1"/>
        <s v="PAYPAL - RATA 2/3 - TICKETONE - DEEJAY TIME" u="1"/>
        <s v="PAYPAL  - FABIO REGALO TOM" u="1"/>
        <s v="PAYPAL  - RATA 1/3 - TICKETONE - DEEJAY TIME" u="1"/>
        <s v="PAYPAL  JUST HEAT" u="1"/>
        <s v="PAYPAL EASY PARK" u="1"/>
        <s v="PAYPAL - LIME" u="1"/>
        <s v="PAYPAL - RATA 2/3 - VERALAB" u="1"/>
        <s v="PAYPAL  - RATA 3/3 - AIR PORTUGAL" u="1"/>
        <s v="PAYPAL - RATA 1/3 - VERALAB" u="1"/>
        <s v="PAYPAL  - RATA 2 - AIR PORTUGAL" u="1"/>
        <s v="PAYPAL  - ALIEXPRESS" u="1"/>
        <s v="PAYPAL  - RATA 1 - AIR PORTUGAL" u="1"/>
        <s v="PAYPAL  - RATA 3 - TICKETONE" u="1"/>
        <s v="PAYPAL  - SPREADSHIRT" u="1"/>
        <s v="PAYPAL  - RYANAIR - RATA 3" u="1"/>
        <s v="PAYPAL - RATA 3 - Russiz Superiore" u="1"/>
        <s v="PAYPAL - RATA 2 - Russiz Superiore" u="1"/>
        <s v="PAYPAL  - VOLOTEA" u="1"/>
        <s v="PAYPAL - RATA 1 - Russiz Superiore" u="1"/>
        <s v="PAYPAL  - RATA 3 - PROFUMO" u="1"/>
        <s v="PAYPAL  - RYANAIR - RATA 2" u="1"/>
        <s v="PAYPAL  - RYANAIR - RATA 1" u="1"/>
        <s v="PAYPAL  - RATA 2 - PROFUMO" u="1"/>
        <s v="PAYPAL  - TOSO REGALO SORGI" u="1"/>
        <s v="PAYPAL  - RATA 1 - PROFUMO" u="1"/>
        <s v="PAYPAL ARANCE EMANUELE" u="1"/>
        <s v="PAYPAL REGALO ARTURO" u="1"/>
        <s v="PAYPAL  - RATA 3/3 - TICKETONE CREMONINI" u="1"/>
        <s v="PAYPAL  - SPREADSHIRT - RATA 3" u="1"/>
        <s v="PAYPAL REGALO TOSH" u="1"/>
        <s v="PAYPAL  - RATA 2/3 - TICKETONE CREMONINI" u="1"/>
        <s v="PAYPAL  - SPREADSHIRT - RATA 2" u="1"/>
        <s v="PAYPAL  - RATA 1/3 - TICKETONE CREMONINI" u="1"/>
        <s v="PAYPAL  - NIKE" u="1"/>
        <s v="PAYPAL  - ELETTRONEW" u="1"/>
        <s v="PAYPAL  - SPREADSHIRT - RATA 1" u="1"/>
        <s v="PAYPAL  - FANTAGAZZETTA" u="1"/>
        <s v="PAYPAL  - TOSO REGALO FARFA" u="1"/>
        <s v="PAYPAL  - RATA 3/3 - TICKETONE" u="1"/>
        <s v="PAYPAL  - RATA 2/3 - TICKETONE" u="1"/>
        <s v="PAYPAL  - RATA 1/3 - TICKETONE" u="1"/>
        <s v="PAYPAL - GAMESTOP 3/3" u="1"/>
        <s v="PAYPAL  - RATA 3/3 - AR-STORESHOP" u="1"/>
        <s v="PAYPAL - GAMESTOP 2/3" u="1"/>
        <s v="PAYPAL  - RATA 2/3 - AR-STORESHOP" u="1"/>
        <s v="PAYPAL - GAMESTOP 1/3" u="1"/>
        <s v="PAYPAL - MICROSOFT" u="1"/>
        <s v="PAYPAL  - RATA 1/3 - AR-STORESHOP" u="1"/>
        <s v="PAYPAL  - RATA 3/3 - NIKE" u="1"/>
        <s v="PAYPAL  - MICROSOFT" u="1"/>
        <s v="PAYPAL  - RATA 2/3 - NIKE" u="1"/>
        <s v="PAYPAL  - RATA 1/3 - NIKE" u="1"/>
        <s v="PAYPAL  - RATA 3/3 - FASHION BRAND" u="1"/>
        <s v="PAYPAL  - RATA 2/3 - FASHION BRAND" u="1"/>
        <s v="PAYPAL  - RATA 1/3 - FASHION BRAND" u="1"/>
        <s v="PAYPAL  - RATA 1 - TICKETONE" u="1"/>
        <s v="PAYPAL  - ALIPAY" u="1"/>
        <s v="PAYPAL  - RATA 2 - NIKE" u="1"/>
        <s v="PAYPAL  - RATA 1 - NIKE" u="1"/>
        <s v="PAYPAL  - RATA 3 - IKEA" u="1"/>
        <s v="PAYPAL  - MRYOK - RATA 3" u="1"/>
        <s v="PAYPAL  - RATA 2 - IKEA" u="1"/>
        <s v="PAYPAL  - RATA 2 - TICKETONE" u="1"/>
        <s v="PAYPAL  - RATA 1 - IKEA" u="1"/>
        <s v="PAYPAL  - MRYOK - RATA 2" u="1"/>
        <s v="PAYPAL  - MRYOK - RATA 1" u="1"/>
        <s v="PAYPAL - TICKEONE - RATA" u="1"/>
        <s v="PAYPAL ORIO AL SERIO" u="1"/>
        <s v="PAYPAL - RYANAIR - RATA 3" u="1"/>
        <s v="PAYPAL - RYANAIR - RATA 2" u="1"/>
        <s v="PAYPAL - RYANAIR - RATA 1" u="1"/>
        <s v="PAYPAL FOOTBALL MANAGER" u="1"/>
        <s v="PAYPAL  - RATA 2/3 - TICKETONE - DEEJAY TIME" u="1"/>
        <s v="PAYPAL  - RATA 4/5 - DREAME" u="1"/>
        <s v="PAYPAL  - RATA 3/5 - DREAME" u="1"/>
        <s v="PAYPAL  - RATA 2/5 - DREAME" u="1"/>
        <s v="PAYPAL  - RATA 1/5 - DREAME" u="1"/>
        <s v="IDAYS MILANO" u="1"/>
        <s v="PAYPAL  - RATA 3 - DREAME" u="1"/>
        <s v="PAYPAL  - RATA 2 - DREAME" u="1"/>
        <s v="PAYPAL  - RATA 1 - DREAME" u="1"/>
        <s v="PAYPAL - RYANAIR - RATA" u="1"/>
        <s v="C" u="1"/>
      </sharedItems>
    </cacheField>
    <cacheField name="MESE" numFmtId="0">
      <sharedItems containsBlank="1"/>
    </cacheField>
    <cacheField name="ANNO" numFmtId="0">
      <sharedItems containsString="0" containsBlank="1" containsNumber="1" containsInteger="1" minValue="2019" maxValue="2026" count="9">
        <n v="2026"/>
        <n v="2025"/>
        <n v="2024"/>
        <n v="2023"/>
        <n v="2022"/>
        <n v="2021"/>
        <n v="2020"/>
        <n v="2019"/>
        <m/>
      </sharedItems>
    </cacheField>
    <cacheField name="MESE2" numFmtId="0">
      <sharedItems containsString="0" containsBlank="1" containsNumber="1" containsInteger="1" minValue="1" maxValue="12"/>
    </cacheField>
    <cacheField name="COMPOSTO" numFmtId="0">
      <sharedItems containsBlank="1"/>
    </cacheField>
    <cacheField name="COMPOSTO2" numFmtId="0">
      <sharedItems containsBlank="1"/>
    </cacheField>
    <cacheField name="TIPOLOGIA2" numFmtId="0">
      <sharedItems containsBlank="1" count="36">
        <s v="BAR E RISTORANTI"/>
        <s v="SPESE PER LA CASA"/>
        <s v="MACCHINETTA AUTOMATICA"/>
        <s v="TRASPORTI E PARCHEGGI"/>
        <s v="PRELIEVO CONTANTI"/>
        <s v="HOTEL &amp; SERVIZI"/>
        <s v="VISITE MEDICHE"/>
        <s v="ALIMENTARI"/>
        <s v="ACQUISTI ONLINE"/>
        <s v="SPESE PER LA MACCHINA"/>
        <s v="REGALI"/>
        <s v="VESTITI"/>
        <s v="CINEMA CONCERTI SPETTACOLI"/>
        <s v="SPESE AMMINISTRATIVE"/>
        <s v="MENSA"/>
        <s v="TASSE"/>
        <s v="VIAGGI"/>
        <s v="TRASFERIMENTO DENARO"/>
        <s v="SPORT &amp; ASSOCIAZIONI"/>
        <s v="VINI"/>
        <s v="ABBONAMENTI ONLINE"/>
        <s v="COSMETICI"/>
        <s v="VIDEOGIOCHI &amp; ELETTRONICA"/>
        <s v="LIBRERIA"/>
        <s v="MEDICINALI"/>
        <s v="INTERNET"/>
        <m/>
        <s v="BRICO" u="1"/>
        <s v="PROVIDER INTERNET" u="1"/>
        <s v="PRELIEVO" u="1"/>
        <s v="TRASFERIMENTO" u="1"/>
        <s v="PAGAMENTI ONLINE" u="1"/>
        <s v="RIMBORSO" u="1"/>
        <s v="AQUISTI ONLINE" u="1"/>
        <s v="HOTEL" u="1"/>
        <s v="SPESE MACCHINA" u="1"/>
      </sharedItems>
    </cacheField>
    <cacheField name="CATEGORIA" numFmtId="0">
      <sharedItems containsBlank="1" count="12">
        <s v="COSTO SVAGHI"/>
        <s v="COSTO CASA"/>
        <s v="COSTO SOPRAVVIVENZA"/>
        <s v="COSTO MOBILITA'"/>
        <s v="MOVIMENTI CONTO"/>
        <s v="COSTO VACANZE"/>
        <s v="COSTO SFIZI"/>
        <s v="GESTIONE CONTO"/>
        <s v="TASSE"/>
        <s v="COSTO ABBONAMENTI"/>
        <m/>
        <s v="COSTO SVAGHI (CINEMA&amp;BAR&amp;RISTO)" u="1"/>
      </sharedItems>
    </cacheField>
    <cacheField name="IMPORTO" numFmtId="0">
      <sharedItems containsString="0" containsBlank="1" containsNumber="1" minValue="-125.18" maxValue="1349"/>
    </cacheField>
    <cacheField name="RATA" numFmtId="0">
      <sharedItems containsBlank="1"/>
    </cacheField>
    <cacheField name="TRAMITE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Ballestriero" refreshedDate="46300.93612997685" createdVersion="8" refreshedVersion="8" minRefreshableVersion="3" recordCount="315" xr:uid="{27F15330-D2BE-475A-BC7F-E916047063FD}">
  <cacheSource type="worksheet">
    <worksheetSource ref="A1:L1048576" sheet="Spese Generiche BANCOMAT "/>
  </cacheSource>
  <cacheFields count="12">
    <cacheField name="TIPOLOGIA" numFmtId="0">
      <sharedItems containsBlank="1"/>
    </cacheField>
    <cacheField name="MESE" numFmtId="0">
      <sharedItems containsBlank="1"/>
    </cacheField>
    <cacheField name="ANNO" numFmtId="0">
      <sharedItems containsString="0" containsBlank="1" containsNumber="1" containsInteger="1" minValue="2019" maxValue="2026" count="9">
        <n v="2026"/>
        <n v="2025"/>
        <n v="2024"/>
        <n v="2023"/>
        <n v="2022"/>
        <n v="2021"/>
        <n v="2020"/>
        <n v="2019"/>
        <m/>
      </sharedItems>
    </cacheField>
    <cacheField name="MESE2" numFmtId="0">
      <sharedItems containsString="0" containsBlank="1" containsNumber="1" containsInteger="1" minValue="1" maxValue="12"/>
    </cacheField>
    <cacheField name="COMPOSTO" numFmtId="0">
      <sharedItems containsBlank="1"/>
    </cacheField>
    <cacheField name="COMPOSTO2" numFmtId="0">
      <sharedItems containsBlank="1"/>
    </cacheField>
    <cacheField name="TIPOLOGIA2" numFmtId="0">
      <sharedItems containsBlank="1" count="25">
        <s v="ALIMENTARI"/>
        <s v="SPESE PER LA CASA"/>
        <s v="BAR E RISTORANTI"/>
        <s v="ACQUISTI ONLINE"/>
        <s v="RIFORNIMENTI"/>
        <s v="MEDICINALI"/>
        <s v="SPESE PER LA MACCHINA"/>
        <s v="HOTEL &amp; SERVIZI"/>
        <s v="TRASPORTI E PARCHEGGI"/>
        <s v="TASSE"/>
        <s v="REGALI"/>
        <s v="VISITE MEDICHE"/>
        <s v="TRASFERIMENTO DENARO"/>
        <s v="VESTITI"/>
        <s v="COMMISSIONI"/>
        <s v="ABBONAMENTI ONLINE"/>
        <s v="VIAGGI"/>
        <s v="CINEMA CONCERTI SPETTACOLI"/>
        <s v="SPESE AMMINISTRATIVE"/>
        <s v="RATE MENSILI"/>
        <s v="PRELIEVO CONTANTI"/>
        <s v="VINI"/>
        <s v="TELEFONO"/>
        <s v="SPORT &amp; ASSOCIAZIONI"/>
        <m/>
      </sharedItems>
    </cacheField>
    <cacheField name="CATEGORIA" numFmtId="0">
      <sharedItems containsBlank="1" count="12">
        <s v="COSTO SOPRAVVIVENZA"/>
        <s v="COSTO CASA"/>
        <s v="COSTO SVAGHI"/>
        <s v="COSTO SFIZI"/>
        <s v="COSTO MOBILITA'"/>
        <s v="COSTO VACANZE"/>
        <s v="TASSE"/>
        <s v="MOVIMENTI CONTO"/>
        <s v="COSTO ABBONAMENTI"/>
        <s v="GESTIONE CONTO"/>
        <s v="RATE GENERICHE"/>
        <m/>
      </sharedItems>
    </cacheField>
    <cacheField name="IMPORTO" numFmtId="0">
      <sharedItems containsString="0" containsBlank="1" containsNumber="1" minValue="-1050" maxValue="2715.49"/>
    </cacheField>
    <cacheField name="RATA" numFmtId="0">
      <sharedItems containsBlank="1"/>
    </cacheField>
    <cacheField name="TRAMITE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">
  <r>
    <x v="0"/>
    <x v="0"/>
    <s v="DICEMBRE"/>
    <x v="0"/>
    <n v="12"/>
    <s v="DICEMBRE 2026"/>
    <x v="0"/>
    <n v="253.16"/>
    <x v="0"/>
  </r>
  <r>
    <x v="1"/>
    <x v="0"/>
    <s v="DICEMBRE"/>
    <x v="0"/>
    <n v="12"/>
    <s v="DICEMBRE 2026"/>
    <x v="0"/>
    <n v="3.5"/>
    <x v="1"/>
  </r>
  <r>
    <x v="2"/>
    <x v="1"/>
    <s v="DICEMBRE"/>
    <x v="0"/>
    <n v="12"/>
    <s v="DICEMBRE 2026"/>
    <x v="0"/>
    <n v="-739.5"/>
    <x v="2"/>
  </r>
  <r>
    <x v="3"/>
    <x v="0"/>
    <s v="DICEMBRE"/>
    <x v="0"/>
    <n v="12"/>
    <s v="DICEMBRE 2026"/>
    <x v="0"/>
    <n v="630.65"/>
    <x v="3"/>
  </r>
  <r>
    <x v="4"/>
    <x v="0"/>
    <s v="DICEMBRE"/>
    <x v="0"/>
    <n v="12"/>
    <s v="DICEMBRE 2026"/>
    <x v="0"/>
    <n v="44.5"/>
    <x v="4"/>
  </r>
  <r>
    <x v="1"/>
    <x v="0"/>
    <s v="NOVEMBRE"/>
    <x v="0"/>
    <n v="11"/>
    <s v="NOVEMBRE 2026"/>
    <x v="1"/>
    <n v="3.5"/>
    <x v="1"/>
  </r>
  <r>
    <x v="2"/>
    <x v="1"/>
    <s v="NOVEMBRE"/>
    <x v="0"/>
    <n v="11"/>
    <s v="NOVEMBRE 2026"/>
    <x v="1"/>
    <n v="-739.5"/>
    <x v="2"/>
  </r>
  <r>
    <x v="3"/>
    <x v="0"/>
    <s v="NOVEMBRE"/>
    <x v="0"/>
    <n v="11"/>
    <s v="NOVEMBRE 2026"/>
    <x v="1"/>
    <n v="630.65"/>
    <x v="3"/>
  </r>
  <r>
    <x v="4"/>
    <x v="0"/>
    <s v="NOVEMBRE"/>
    <x v="0"/>
    <n v="11"/>
    <s v="NOVEMBRE 2026"/>
    <x v="1"/>
    <n v="44.5"/>
    <x v="4"/>
  </r>
  <r>
    <x v="1"/>
    <x v="0"/>
    <s v="OTTOBRE"/>
    <x v="0"/>
    <n v="10"/>
    <s v="OTTOBRE 2026"/>
    <x v="2"/>
    <n v="3.5"/>
    <x v="1"/>
  </r>
  <r>
    <x v="2"/>
    <x v="1"/>
    <s v="OTTOBRE"/>
    <x v="0"/>
    <n v="10"/>
    <s v="OTTOBRE 2026"/>
    <x v="2"/>
    <n v="-739.5"/>
    <x v="2"/>
  </r>
  <r>
    <x v="3"/>
    <x v="0"/>
    <s v="OTTOBRE"/>
    <x v="0"/>
    <n v="10"/>
    <s v="OTTOBRE 2026"/>
    <x v="2"/>
    <n v="630.65"/>
    <x v="3"/>
  </r>
  <r>
    <x v="4"/>
    <x v="0"/>
    <s v="OTTOBRE"/>
    <x v="0"/>
    <n v="10"/>
    <s v="OTTOBRE 2026"/>
    <x v="2"/>
    <n v="44.5"/>
    <x v="4"/>
  </r>
  <r>
    <x v="1"/>
    <x v="0"/>
    <s v="SETTEMBRE"/>
    <x v="0"/>
    <n v="9"/>
    <s v="SETTEMBRE 2026"/>
    <x v="3"/>
    <n v="3.5"/>
    <x v="1"/>
  </r>
  <r>
    <x v="2"/>
    <x v="1"/>
    <s v="SETTEMBRE"/>
    <x v="0"/>
    <n v="9"/>
    <s v="SETTEMBRE 2026"/>
    <x v="3"/>
    <n v="-684.5"/>
    <x v="2"/>
  </r>
  <r>
    <x v="3"/>
    <x v="0"/>
    <s v="SETTEMBRE"/>
    <x v="0"/>
    <n v="9"/>
    <s v="SETTEMBRE 2026"/>
    <x v="3"/>
    <n v="630.65"/>
    <x v="3"/>
  </r>
  <r>
    <x v="4"/>
    <x v="0"/>
    <s v="SETTEMBRE"/>
    <x v="0"/>
    <n v="9"/>
    <s v="SETTEMBRE 2026"/>
    <x v="3"/>
    <n v="44.5"/>
    <x v="4"/>
  </r>
  <r>
    <x v="1"/>
    <x v="0"/>
    <s v="AGOSTO"/>
    <x v="0"/>
    <n v="8"/>
    <s v="AGOSTO 2026"/>
    <x v="4"/>
    <n v="3.5"/>
    <x v="1"/>
  </r>
  <r>
    <x v="2"/>
    <x v="1"/>
    <s v="AGOSTO"/>
    <x v="0"/>
    <n v="8"/>
    <s v="AGOSTO 2026"/>
    <x v="4"/>
    <n v="-739.5"/>
    <x v="2"/>
  </r>
  <r>
    <x v="3"/>
    <x v="0"/>
    <s v="AGOSTO"/>
    <x v="0"/>
    <n v="8"/>
    <s v="AGOSTO 2026"/>
    <x v="4"/>
    <n v="630.65"/>
    <x v="3"/>
  </r>
  <r>
    <x v="4"/>
    <x v="0"/>
    <s v="AGOSTO"/>
    <x v="0"/>
    <n v="8"/>
    <s v="AGOSTO 2026"/>
    <x v="4"/>
    <n v="44.5"/>
    <x v="4"/>
  </r>
  <r>
    <x v="1"/>
    <x v="0"/>
    <s v="LUGLIO"/>
    <x v="0"/>
    <n v="7"/>
    <s v="LUGLIO 2026"/>
    <x v="5"/>
    <n v="3.5"/>
    <x v="1"/>
  </r>
  <r>
    <x v="2"/>
    <x v="1"/>
    <s v="LUGLIO"/>
    <x v="0"/>
    <n v="7"/>
    <s v="LUGLIO 2026"/>
    <x v="5"/>
    <n v="-749.5"/>
    <x v="2"/>
  </r>
  <r>
    <x v="5"/>
    <x v="0"/>
    <s v="LUGLIO"/>
    <x v="0"/>
    <n v="7"/>
    <s v="LUGLIO 2026"/>
    <x v="5"/>
    <n v="150.5"/>
    <x v="5"/>
  </r>
  <r>
    <x v="3"/>
    <x v="0"/>
    <s v="LUGLIO"/>
    <x v="0"/>
    <n v="7"/>
    <s v="LUGLIO 2026"/>
    <x v="5"/>
    <n v="630.65"/>
    <x v="3"/>
  </r>
  <r>
    <x v="4"/>
    <x v="0"/>
    <s v="LUGLIO"/>
    <x v="0"/>
    <n v="7"/>
    <s v="LUGLIO 2026"/>
    <x v="5"/>
    <n v="44.5"/>
    <x v="4"/>
  </r>
  <r>
    <x v="1"/>
    <x v="0"/>
    <s v="GIUGNO"/>
    <x v="0"/>
    <n v="6"/>
    <s v="GIUGNO 2026"/>
    <x v="6"/>
    <n v="3.5"/>
    <x v="1"/>
  </r>
  <r>
    <x v="2"/>
    <x v="1"/>
    <s v="GIUGNO"/>
    <x v="0"/>
    <n v="6"/>
    <s v="GIUGNO 2026"/>
    <x v="6"/>
    <n v="-699.5"/>
    <x v="2"/>
  </r>
  <r>
    <x v="3"/>
    <x v="0"/>
    <s v="GIUGNO"/>
    <x v="0"/>
    <n v="6"/>
    <s v="GIUGNO 2026"/>
    <x v="6"/>
    <n v="630.71"/>
    <x v="3"/>
  </r>
  <r>
    <x v="4"/>
    <x v="0"/>
    <s v="GIUGNO"/>
    <x v="0"/>
    <n v="6"/>
    <s v="GIUGNO 2026"/>
    <x v="6"/>
    <n v="44.5"/>
    <x v="4"/>
  </r>
  <r>
    <x v="1"/>
    <x v="0"/>
    <s v="MAGGIO"/>
    <x v="0"/>
    <n v="5"/>
    <s v="MAGGIO 2026"/>
    <x v="7"/>
    <n v="3.5"/>
    <x v="1"/>
  </r>
  <r>
    <x v="2"/>
    <x v="1"/>
    <s v="MAGGIO"/>
    <x v="0"/>
    <n v="5"/>
    <s v="MAGGIO 2026"/>
    <x v="7"/>
    <n v="-699.5"/>
    <x v="2"/>
  </r>
  <r>
    <x v="3"/>
    <x v="0"/>
    <s v="MAGGIO"/>
    <x v="0"/>
    <n v="5"/>
    <s v="MAGGIO 2026"/>
    <x v="7"/>
    <n v="630.65"/>
    <x v="3"/>
  </r>
  <r>
    <x v="4"/>
    <x v="0"/>
    <s v="MAGGIO"/>
    <x v="0"/>
    <n v="5"/>
    <s v="MAGGIO 2026"/>
    <x v="7"/>
    <n v="44.5"/>
    <x v="4"/>
  </r>
  <r>
    <x v="1"/>
    <x v="0"/>
    <s v="APRILE"/>
    <x v="0"/>
    <n v="4"/>
    <s v="APRILE 2026"/>
    <x v="8"/>
    <n v="3.5"/>
    <x v="1"/>
  </r>
  <r>
    <x v="2"/>
    <x v="1"/>
    <s v="APRILE"/>
    <x v="0"/>
    <n v="4"/>
    <s v="APRILE 2026"/>
    <x v="8"/>
    <n v="-699.5"/>
    <x v="2"/>
  </r>
  <r>
    <x v="3"/>
    <x v="0"/>
    <s v="APRILE"/>
    <x v="0"/>
    <n v="4"/>
    <s v="APRILE 2026"/>
    <x v="8"/>
    <n v="630.59"/>
    <x v="3"/>
  </r>
  <r>
    <x v="4"/>
    <x v="0"/>
    <s v="APRILE"/>
    <x v="0"/>
    <n v="4"/>
    <s v="APRILE 2026"/>
    <x v="8"/>
    <n v="44.5"/>
    <x v="4"/>
  </r>
  <r>
    <x v="1"/>
    <x v="0"/>
    <s v="MARZO"/>
    <x v="0"/>
    <n v="3"/>
    <s v="MARZO 2026"/>
    <x v="9"/>
    <n v="3.5"/>
    <x v="1"/>
  </r>
  <r>
    <x v="2"/>
    <x v="1"/>
    <s v="MARZO"/>
    <x v="0"/>
    <n v="3"/>
    <s v="MARZO 2026"/>
    <x v="9"/>
    <n v="-849.5"/>
    <x v="2"/>
  </r>
  <r>
    <x v="5"/>
    <x v="0"/>
    <s v="MARZO"/>
    <x v="0"/>
    <n v="3"/>
    <s v="MARZO 2026"/>
    <x v="9"/>
    <n v="150.5"/>
    <x v="5"/>
  </r>
  <r>
    <x v="3"/>
    <x v="0"/>
    <s v="MARZO"/>
    <x v="0"/>
    <n v="3"/>
    <s v="MARZO 2026"/>
    <x v="9"/>
    <n v="630.65"/>
    <x v="3"/>
  </r>
  <r>
    <x v="4"/>
    <x v="0"/>
    <s v="MARZO"/>
    <x v="0"/>
    <n v="3"/>
    <s v="MARZO 2026"/>
    <x v="9"/>
    <n v="44.5"/>
    <x v="4"/>
  </r>
  <r>
    <x v="6"/>
    <x v="0"/>
    <s v="MARZO"/>
    <x v="0"/>
    <n v="3"/>
    <s v="MARZO 2026"/>
    <x v="9"/>
    <n v="0.45"/>
    <x v="1"/>
  </r>
  <r>
    <x v="1"/>
    <x v="0"/>
    <s v="FEBBRAIO"/>
    <x v="0"/>
    <n v="2"/>
    <s v="FEBBRAIO 2026"/>
    <x v="10"/>
    <n v="3.5"/>
    <x v="1"/>
  </r>
  <r>
    <x v="2"/>
    <x v="1"/>
    <s v="FEBBRAIO"/>
    <x v="0"/>
    <n v="2"/>
    <s v="FEBBRAIO 2026"/>
    <x v="10"/>
    <n v="-499.5"/>
    <x v="2"/>
  </r>
  <r>
    <x v="3"/>
    <x v="0"/>
    <s v="FEBBRAIO"/>
    <x v="0"/>
    <n v="2"/>
    <s v="FEBBRAIO 2026"/>
    <x v="10"/>
    <n v="630.65"/>
    <x v="3"/>
  </r>
  <r>
    <x v="4"/>
    <x v="0"/>
    <s v="FEBBRAIO"/>
    <x v="0"/>
    <n v="2"/>
    <s v="FEBBRAIO 2026"/>
    <x v="10"/>
    <n v="44.5"/>
    <x v="4"/>
  </r>
  <r>
    <x v="1"/>
    <x v="0"/>
    <s v="GENNAIO"/>
    <x v="0"/>
    <n v="1"/>
    <s v="GENNAIO 2026"/>
    <x v="11"/>
    <n v="3.5"/>
    <x v="1"/>
  </r>
  <r>
    <x v="7"/>
    <x v="0"/>
    <s v="GENNAIO"/>
    <x v="0"/>
    <n v="1"/>
    <s v="GENNAIO 2026"/>
    <x v="11"/>
    <n v="0.01"/>
    <x v="1"/>
  </r>
  <r>
    <x v="8"/>
    <x v="0"/>
    <s v="GENNAIO"/>
    <x v="0"/>
    <n v="1"/>
    <s v="GENNAIO 2026"/>
    <x v="11"/>
    <n v="-0.03"/>
    <x v="1"/>
  </r>
  <r>
    <x v="2"/>
    <x v="1"/>
    <s v="GENNAIO"/>
    <x v="0"/>
    <n v="1"/>
    <s v="GENNAIO 2026"/>
    <x v="11"/>
    <n v="-779.5"/>
    <x v="2"/>
  </r>
  <r>
    <x v="3"/>
    <x v="0"/>
    <s v="GENNAIO"/>
    <x v="0"/>
    <n v="1"/>
    <s v="GENNAIO 2026"/>
    <x v="11"/>
    <n v="630.53"/>
    <x v="3"/>
  </r>
  <r>
    <x v="4"/>
    <x v="0"/>
    <s v="GENNAIO"/>
    <x v="0"/>
    <n v="1"/>
    <s v="GENNAIO 2026"/>
    <x v="11"/>
    <n v="44.5"/>
    <x v="4"/>
  </r>
  <r>
    <x v="0"/>
    <x v="0"/>
    <s v="DICEMBRE"/>
    <x v="1"/>
    <n v="12"/>
    <s v="DICEMBRE 2025"/>
    <x v="12"/>
    <n v="253.16"/>
    <x v="0"/>
  </r>
  <r>
    <x v="1"/>
    <x v="0"/>
    <s v="DICEMBRE"/>
    <x v="1"/>
    <n v="12"/>
    <s v="DICEMBRE 2025"/>
    <x v="12"/>
    <n v="3.5"/>
    <x v="1"/>
  </r>
  <r>
    <x v="2"/>
    <x v="1"/>
    <s v="DICEMBRE"/>
    <x v="1"/>
    <n v="12"/>
    <s v="DICEMBRE 2025"/>
    <x v="12"/>
    <n v="-779.5"/>
    <x v="2"/>
  </r>
  <r>
    <x v="3"/>
    <x v="0"/>
    <s v="DICEMBRE"/>
    <x v="1"/>
    <n v="12"/>
    <s v="DICEMBRE 2025"/>
    <x v="12"/>
    <n v="630.22"/>
    <x v="3"/>
  </r>
  <r>
    <x v="4"/>
    <x v="0"/>
    <s v="DICEMBRE"/>
    <x v="1"/>
    <n v="12"/>
    <s v="DICEMBRE 2025"/>
    <x v="12"/>
    <n v="44.5"/>
    <x v="4"/>
  </r>
  <r>
    <x v="1"/>
    <x v="0"/>
    <s v="NOVEMBRE"/>
    <x v="1"/>
    <n v="11"/>
    <s v="NOVEMBRE 2025"/>
    <x v="13"/>
    <n v="3.5"/>
    <x v="1"/>
  </r>
  <r>
    <x v="2"/>
    <x v="1"/>
    <s v="NOVEMBRE"/>
    <x v="1"/>
    <n v="11"/>
    <s v="NOVEMBRE 2025"/>
    <x v="13"/>
    <n v="-699.5"/>
    <x v="2"/>
  </r>
  <r>
    <x v="3"/>
    <x v="0"/>
    <s v="NOVEMBRE"/>
    <x v="1"/>
    <n v="11"/>
    <s v="NOVEMBRE 2025"/>
    <x v="13"/>
    <n v="630.65"/>
    <x v="3"/>
  </r>
  <r>
    <x v="4"/>
    <x v="0"/>
    <s v="NOVEMBRE"/>
    <x v="1"/>
    <n v="11"/>
    <s v="NOVEMBRE 2025"/>
    <x v="13"/>
    <n v="44.5"/>
    <x v="4"/>
  </r>
  <r>
    <x v="1"/>
    <x v="0"/>
    <s v="OTTOBRE"/>
    <x v="1"/>
    <n v="10"/>
    <s v="OTTOBRE 2025"/>
    <x v="14"/>
    <n v="3.5"/>
    <x v="1"/>
  </r>
  <r>
    <x v="2"/>
    <x v="1"/>
    <s v="OTTOBRE"/>
    <x v="1"/>
    <n v="10"/>
    <s v="OTTOBRE 2025"/>
    <x v="14"/>
    <n v="-769.5"/>
    <x v="2"/>
  </r>
  <r>
    <x v="3"/>
    <x v="0"/>
    <s v="OTTOBRE"/>
    <x v="1"/>
    <n v="10"/>
    <s v="OTTOBRE 2025"/>
    <x v="14"/>
    <n v="630.59"/>
    <x v="3"/>
  </r>
  <r>
    <x v="4"/>
    <x v="0"/>
    <s v="OTTOBRE"/>
    <x v="1"/>
    <n v="10"/>
    <s v="OTTOBRE 2025"/>
    <x v="14"/>
    <n v="44.5"/>
    <x v="4"/>
  </r>
  <r>
    <x v="1"/>
    <x v="0"/>
    <s v="SETTEMBRE"/>
    <x v="1"/>
    <n v="9"/>
    <s v="SETTEMBRE 2025"/>
    <x v="15"/>
    <n v="3.5"/>
    <x v="1"/>
  </r>
  <r>
    <x v="2"/>
    <x v="1"/>
    <s v="SETTEMBRE"/>
    <x v="1"/>
    <n v="9"/>
    <s v="SETTEMBRE 2025"/>
    <x v="15"/>
    <n v="-639.5"/>
    <x v="2"/>
  </r>
  <r>
    <x v="3"/>
    <x v="0"/>
    <s v="SETTEMBRE"/>
    <x v="1"/>
    <n v="9"/>
    <s v="SETTEMBRE 2025"/>
    <x v="15"/>
    <n v="630.65"/>
    <x v="3"/>
  </r>
  <r>
    <x v="4"/>
    <x v="0"/>
    <s v="SETTEMBRE"/>
    <x v="1"/>
    <n v="9"/>
    <s v="SETTEMBRE 2025"/>
    <x v="15"/>
    <n v="44.5"/>
    <x v="4"/>
  </r>
  <r>
    <x v="1"/>
    <x v="0"/>
    <s v="AGOSTO"/>
    <x v="1"/>
    <n v="8"/>
    <s v="AGOSTO 2025"/>
    <x v="16"/>
    <n v="3.5"/>
    <x v="1"/>
  </r>
  <r>
    <x v="2"/>
    <x v="1"/>
    <s v="AGOSTO"/>
    <x v="1"/>
    <n v="8"/>
    <s v="AGOSTO 2025"/>
    <x v="16"/>
    <n v="-739.5"/>
    <x v="2"/>
  </r>
  <r>
    <x v="3"/>
    <x v="0"/>
    <s v="AGOSTO"/>
    <x v="1"/>
    <n v="8"/>
    <s v="AGOSTO 2025"/>
    <x v="16"/>
    <n v="630.65"/>
    <x v="3"/>
  </r>
  <r>
    <x v="4"/>
    <x v="0"/>
    <s v="AGOSTO"/>
    <x v="1"/>
    <n v="8"/>
    <s v="AGOSTO 2025"/>
    <x v="16"/>
    <n v="44.5"/>
    <x v="4"/>
  </r>
  <r>
    <x v="1"/>
    <x v="0"/>
    <s v="LUGLIO"/>
    <x v="1"/>
    <n v="7"/>
    <s v="LUGLIO 2025"/>
    <x v="17"/>
    <n v="3.5"/>
    <x v="1"/>
  </r>
  <r>
    <x v="2"/>
    <x v="1"/>
    <s v="LUGLIO"/>
    <x v="1"/>
    <n v="7"/>
    <s v="LUGLIO 2025"/>
    <x v="17"/>
    <n v="-639.5"/>
    <x v="2"/>
  </r>
  <r>
    <x v="3"/>
    <x v="0"/>
    <s v="LUGLIO"/>
    <x v="1"/>
    <n v="7"/>
    <s v="LUGLIO 2025"/>
    <x v="17"/>
    <n v="630.65"/>
    <x v="3"/>
  </r>
  <r>
    <x v="4"/>
    <x v="0"/>
    <s v="LUGLIO"/>
    <x v="1"/>
    <n v="7"/>
    <s v="LUGLIO 2025"/>
    <x v="17"/>
    <n v="44.5"/>
    <x v="4"/>
  </r>
  <r>
    <x v="1"/>
    <x v="0"/>
    <s v="GIUGNO"/>
    <x v="1"/>
    <n v="6"/>
    <s v="GIUGNO 2025"/>
    <x v="18"/>
    <n v="3.5"/>
    <x v="1"/>
  </r>
  <r>
    <x v="2"/>
    <x v="1"/>
    <s v="GIUGNO"/>
    <x v="1"/>
    <n v="6"/>
    <s v="GIUGNO 2025"/>
    <x v="18"/>
    <n v="-679.5"/>
    <x v="2"/>
  </r>
  <r>
    <x v="3"/>
    <x v="0"/>
    <s v="GIUGNO"/>
    <x v="1"/>
    <n v="6"/>
    <s v="GIUGNO 2025"/>
    <x v="18"/>
    <n v="630.71"/>
    <x v="3"/>
  </r>
  <r>
    <x v="4"/>
    <x v="0"/>
    <s v="GIUGNO"/>
    <x v="1"/>
    <n v="6"/>
    <s v="GIUGNO 2025"/>
    <x v="18"/>
    <n v="44.5"/>
    <x v="4"/>
  </r>
  <r>
    <x v="1"/>
    <x v="0"/>
    <s v="MAGGIO"/>
    <x v="1"/>
    <n v="5"/>
    <s v="MAGGIO 2025"/>
    <x v="19"/>
    <n v="3.5"/>
    <x v="1"/>
  </r>
  <r>
    <x v="2"/>
    <x v="1"/>
    <s v="MAGGIO"/>
    <x v="1"/>
    <n v="5"/>
    <s v="MAGGIO 2025"/>
    <x v="19"/>
    <n v="-739.5"/>
    <x v="2"/>
  </r>
  <r>
    <x v="3"/>
    <x v="0"/>
    <s v="MAGGIO"/>
    <x v="1"/>
    <n v="5"/>
    <s v="MAGGIO 2025"/>
    <x v="19"/>
    <n v="630.71"/>
    <x v="3"/>
  </r>
  <r>
    <x v="4"/>
    <x v="0"/>
    <s v="MAGGIO"/>
    <x v="1"/>
    <n v="5"/>
    <s v="MAGGIO 2025"/>
    <x v="19"/>
    <n v="44.5"/>
    <x v="4"/>
  </r>
  <r>
    <x v="1"/>
    <x v="0"/>
    <s v="APRILE"/>
    <x v="1"/>
    <n v="4"/>
    <s v="APRILE 2025"/>
    <x v="20"/>
    <n v="3.5"/>
    <x v="1"/>
  </r>
  <r>
    <x v="2"/>
    <x v="1"/>
    <s v="APRILE"/>
    <x v="1"/>
    <n v="4"/>
    <s v="APRILE 2025"/>
    <x v="20"/>
    <n v="-679.5"/>
    <x v="2"/>
  </r>
  <r>
    <x v="3"/>
    <x v="0"/>
    <s v="APRILE"/>
    <x v="1"/>
    <n v="4"/>
    <s v="APRILE 2025"/>
    <x v="20"/>
    <n v="630.84"/>
    <x v="3"/>
  </r>
  <r>
    <x v="4"/>
    <x v="0"/>
    <s v="APRILE"/>
    <x v="1"/>
    <n v="4"/>
    <s v="APRILE 2025"/>
    <x v="20"/>
    <n v="44.5"/>
    <x v="4"/>
  </r>
  <r>
    <x v="1"/>
    <x v="0"/>
    <s v="MARZO"/>
    <x v="1"/>
    <n v="3"/>
    <s v="MARZO 2025"/>
    <x v="21"/>
    <n v="3.5"/>
    <x v="1"/>
  </r>
  <r>
    <x v="2"/>
    <x v="1"/>
    <s v="MARZO"/>
    <x v="1"/>
    <n v="3"/>
    <s v="MARZO 2025"/>
    <x v="21"/>
    <n v="-739.5"/>
    <x v="2"/>
  </r>
  <r>
    <x v="3"/>
    <x v="0"/>
    <s v="MARZO"/>
    <x v="1"/>
    <n v="3"/>
    <s v="MARZO 2025"/>
    <x v="21"/>
    <n v="630.65"/>
    <x v="3"/>
  </r>
  <r>
    <x v="4"/>
    <x v="0"/>
    <s v="MARZO"/>
    <x v="1"/>
    <n v="3"/>
    <s v="MARZO 2025"/>
    <x v="21"/>
    <n v="44.5"/>
    <x v="4"/>
  </r>
  <r>
    <x v="6"/>
    <x v="0"/>
    <s v="MARZO"/>
    <x v="1"/>
    <n v="3"/>
    <s v="MARZO 2025"/>
    <x v="21"/>
    <n v="0.13"/>
    <x v="1"/>
  </r>
  <r>
    <x v="1"/>
    <x v="0"/>
    <s v="FEBBRAIO"/>
    <x v="1"/>
    <n v="2"/>
    <s v="FEBBRAIO 2025"/>
    <x v="22"/>
    <n v="3.5"/>
    <x v="1"/>
  </r>
  <r>
    <x v="2"/>
    <x v="1"/>
    <s v="FEBBRAIO"/>
    <x v="1"/>
    <n v="2"/>
    <s v="FEBBRAIO 2025"/>
    <x v="22"/>
    <n v="-799.5"/>
    <x v="2"/>
  </r>
  <r>
    <x v="9"/>
    <x v="0"/>
    <s v="FEBBRAIO"/>
    <x v="1"/>
    <n v="2"/>
    <s v="FEBBRAIO 2025"/>
    <x v="22"/>
    <n v="135.5"/>
    <x v="6"/>
  </r>
  <r>
    <x v="3"/>
    <x v="0"/>
    <s v="FEBBRAIO"/>
    <x v="1"/>
    <n v="2"/>
    <s v="FEBBRAIO 2025"/>
    <x v="22"/>
    <n v="630.65"/>
    <x v="3"/>
  </r>
  <r>
    <x v="4"/>
    <x v="0"/>
    <s v="FEBBRAIO"/>
    <x v="1"/>
    <n v="2"/>
    <s v="FEBBRAIO 2025"/>
    <x v="22"/>
    <n v="44.5"/>
    <x v="4"/>
  </r>
  <r>
    <x v="1"/>
    <x v="0"/>
    <s v="GENNAIO"/>
    <x v="1"/>
    <n v="1"/>
    <s v="GENNAIO 2025"/>
    <x v="23"/>
    <n v="3.5"/>
    <x v="1"/>
  </r>
  <r>
    <x v="7"/>
    <x v="0"/>
    <s v="GENNAIO"/>
    <x v="1"/>
    <n v="1"/>
    <s v="GENNAIO 2025"/>
    <x v="23"/>
    <n v="0.01"/>
    <x v="1"/>
  </r>
  <r>
    <x v="8"/>
    <x v="0"/>
    <s v="GENNAIO"/>
    <x v="1"/>
    <n v="1"/>
    <s v="GENNAIO 2025"/>
    <x v="23"/>
    <n v="-0.02"/>
    <x v="1"/>
  </r>
  <r>
    <x v="2"/>
    <x v="1"/>
    <s v="GENNAIO"/>
    <x v="1"/>
    <n v="1"/>
    <s v="GENNAIO 2025"/>
    <x v="23"/>
    <n v="-99.5"/>
    <x v="2"/>
  </r>
  <r>
    <x v="2"/>
    <x v="1"/>
    <s v="GENNAIO"/>
    <x v="1"/>
    <n v="1"/>
    <s v="GENNAIO 2025"/>
    <x v="23"/>
    <n v="-749.5"/>
    <x v="2"/>
  </r>
  <r>
    <x v="9"/>
    <x v="0"/>
    <s v="GENNAIO"/>
    <x v="1"/>
    <n v="1"/>
    <s v="GENNAIO 2025"/>
    <x v="23"/>
    <n v="135.5"/>
    <x v="6"/>
  </r>
  <r>
    <x v="3"/>
    <x v="0"/>
    <s v="GENNAIO"/>
    <x v="1"/>
    <n v="1"/>
    <s v="GENNAIO 2025"/>
    <x v="23"/>
    <n v="629.97"/>
    <x v="3"/>
  </r>
  <r>
    <x v="4"/>
    <x v="0"/>
    <s v="GENNAIO"/>
    <x v="1"/>
    <n v="1"/>
    <s v="GENNAIO 2025"/>
    <x v="23"/>
    <n v="44.5"/>
    <x v="4"/>
  </r>
  <r>
    <x v="0"/>
    <x v="0"/>
    <s v="DICEMBRE"/>
    <x v="2"/>
    <n v="12"/>
    <s v="DICEMBRE 2024"/>
    <x v="24"/>
    <n v="253.16"/>
    <x v="0"/>
  </r>
  <r>
    <x v="1"/>
    <x v="0"/>
    <s v="DICEMBRE"/>
    <x v="2"/>
    <n v="12"/>
    <s v="DICEMBRE 2024"/>
    <x v="24"/>
    <n v="3.5"/>
    <x v="1"/>
  </r>
  <r>
    <x v="2"/>
    <x v="1"/>
    <s v="DICEMBRE"/>
    <x v="2"/>
    <n v="12"/>
    <s v="DICEMBRE 2024"/>
    <x v="24"/>
    <n v="-59.5"/>
    <x v="2"/>
  </r>
  <r>
    <x v="2"/>
    <x v="1"/>
    <s v="DICEMBRE"/>
    <x v="2"/>
    <n v="12"/>
    <s v="DICEMBRE 2024"/>
    <x v="24"/>
    <n v="-825"/>
    <x v="2"/>
  </r>
  <r>
    <x v="3"/>
    <x v="0"/>
    <s v="DICEMBRE"/>
    <x v="2"/>
    <n v="12"/>
    <s v="DICEMBRE 2024"/>
    <x v="24"/>
    <n v="630.53"/>
    <x v="3"/>
  </r>
  <r>
    <x v="9"/>
    <x v="0"/>
    <s v="DICEMBRE"/>
    <x v="2"/>
    <n v="12"/>
    <s v="DICEMBRE 2024"/>
    <x v="24"/>
    <n v="135.5"/>
    <x v="6"/>
  </r>
  <r>
    <x v="4"/>
    <x v="0"/>
    <s v="DICEMBRE"/>
    <x v="2"/>
    <n v="12"/>
    <s v="DICEMBRE 2024"/>
    <x v="24"/>
    <n v="44.5"/>
    <x v="4"/>
  </r>
  <r>
    <x v="1"/>
    <x v="0"/>
    <s v="NOVEMBRE"/>
    <x v="2"/>
    <n v="11"/>
    <s v="NOVEMBRE 2024"/>
    <x v="25"/>
    <n v="3.5"/>
    <x v="1"/>
  </r>
  <r>
    <x v="2"/>
    <x v="1"/>
    <s v="NOVEMBRE"/>
    <x v="2"/>
    <n v="11"/>
    <s v="NOVEMBRE 2024"/>
    <x v="25"/>
    <n v="-859.5"/>
    <x v="2"/>
  </r>
  <r>
    <x v="3"/>
    <x v="0"/>
    <s v="NOVEMBRE"/>
    <x v="2"/>
    <n v="11"/>
    <s v="NOVEMBRE 2024"/>
    <x v="25"/>
    <n v="630.84"/>
    <x v="3"/>
  </r>
  <r>
    <x v="9"/>
    <x v="0"/>
    <s v="NOVEMBRE"/>
    <x v="2"/>
    <n v="11"/>
    <s v="NOVEMBRE 2024"/>
    <x v="25"/>
    <n v="135.5"/>
    <x v="6"/>
  </r>
  <r>
    <x v="4"/>
    <x v="0"/>
    <s v="NOVEMBRE"/>
    <x v="2"/>
    <n v="11"/>
    <s v="NOVEMBRE 2024"/>
    <x v="25"/>
    <n v="44.5"/>
    <x v="4"/>
  </r>
  <r>
    <x v="1"/>
    <x v="0"/>
    <s v="OTTOBRE"/>
    <x v="2"/>
    <n v="10"/>
    <s v="OTTOBRE 2024"/>
    <x v="26"/>
    <n v="3.5"/>
    <x v="1"/>
  </r>
  <r>
    <x v="2"/>
    <x v="1"/>
    <s v="OTTOBRE"/>
    <x v="2"/>
    <n v="10"/>
    <s v="OTTOBRE 2024"/>
    <x v="26"/>
    <n v="-859.5"/>
    <x v="2"/>
  </r>
  <r>
    <x v="3"/>
    <x v="0"/>
    <s v="OTTOBRE"/>
    <x v="2"/>
    <n v="10"/>
    <s v="OTTOBRE 2024"/>
    <x v="26"/>
    <n v="630.65"/>
    <x v="3"/>
  </r>
  <r>
    <x v="9"/>
    <x v="0"/>
    <s v="OTTOBRE"/>
    <x v="2"/>
    <n v="10"/>
    <s v="OTTOBRE 2024"/>
    <x v="26"/>
    <n v="135.5"/>
    <x v="6"/>
  </r>
  <r>
    <x v="4"/>
    <x v="0"/>
    <s v="OTTOBRE"/>
    <x v="2"/>
    <n v="10"/>
    <s v="OTTOBRE 2024"/>
    <x v="26"/>
    <n v="44.5"/>
    <x v="4"/>
  </r>
  <r>
    <x v="1"/>
    <x v="0"/>
    <s v="SETTEMBRE"/>
    <x v="2"/>
    <n v="9"/>
    <s v="SETTEMBRE 2024"/>
    <x v="27"/>
    <n v="3.5"/>
    <x v="1"/>
  </r>
  <r>
    <x v="2"/>
    <x v="1"/>
    <s v="SETTEMBRE"/>
    <x v="2"/>
    <n v="9"/>
    <s v="SETTEMBRE 2024"/>
    <x v="27"/>
    <n v="-859.5"/>
    <x v="2"/>
  </r>
  <r>
    <x v="3"/>
    <x v="0"/>
    <s v="SETTEMBRE"/>
    <x v="2"/>
    <n v="9"/>
    <s v="SETTEMBRE 2024"/>
    <x v="27"/>
    <n v="630.65"/>
    <x v="3"/>
  </r>
  <r>
    <x v="9"/>
    <x v="0"/>
    <s v="SETTEMBRE"/>
    <x v="2"/>
    <n v="9"/>
    <s v="SETTEMBRE 2024"/>
    <x v="27"/>
    <n v="135.5"/>
    <x v="6"/>
  </r>
  <r>
    <x v="4"/>
    <x v="0"/>
    <s v="SETTEMBRE"/>
    <x v="2"/>
    <n v="9"/>
    <s v="SETTEMBRE 2024"/>
    <x v="27"/>
    <n v="44.5"/>
    <x v="4"/>
  </r>
  <r>
    <x v="1"/>
    <x v="0"/>
    <s v="AGOSTO"/>
    <x v="2"/>
    <n v="8"/>
    <s v="AGOSTO 2024"/>
    <x v="28"/>
    <n v="3.5"/>
    <x v="1"/>
  </r>
  <r>
    <x v="2"/>
    <x v="1"/>
    <s v="AGOSTO"/>
    <x v="2"/>
    <n v="8"/>
    <s v="AGOSTO 2024"/>
    <x v="28"/>
    <n v="-859.5"/>
    <x v="2"/>
  </r>
  <r>
    <x v="3"/>
    <x v="0"/>
    <s v="AGOSTO"/>
    <x v="2"/>
    <n v="8"/>
    <s v="AGOSTO 2024"/>
    <x v="28"/>
    <n v="630.71"/>
    <x v="3"/>
  </r>
  <r>
    <x v="9"/>
    <x v="0"/>
    <s v="AGOSTO"/>
    <x v="2"/>
    <n v="8"/>
    <s v="AGOSTO 2024"/>
    <x v="28"/>
    <n v="135.5"/>
    <x v="6"/>
  </r>
  <r>
    <x v="4"/>
    <x v="0"/>
    <s v="AGOSTO"/>
    <x v="2"/>
    <n v="8"/>
    <s v="AGOSTO 2024"/>
    <x v="28"/>
    <n v="44.5"/>
    <x v="4"/>
  </r>
  <r>
    <x v="1"/>
    <x v="0"/>
    <s v="LUGLIO"/>
    <x v="2"/>
    <n v="7"/>
    <s v="LUGLIO 2024"/>
    <x v="29"/>
    <n v="3.5"/>
    <x v="1"/>
  </r>
  <r>
    <x v="5"/>
    <x v="0"/>
    <s v="LUGLIO"/>
    <x v="2"/>
    <n v="7"/>
    <s v="LUGLIO 2024"/>
    <x v="29"/>
    <n v="150.5"/>
    <x v="5"/>
  </r>
  <r>
    <x v="2"/>
    <x v="1"/>
    <s v="LUGLIO"/>
    <x v="2"/>
    <n v="7"/>
    <s v="LUGLIO 2024"/>
    <x v="29"/>
    <n v="-859.5"/>
    <x v="2"/>
  </r>
  <r>
    <x v="3"/>
    <x v="0"/>
    <s v="LUGLIO"/>
    <x v="2"/>
    <n v="7"/>
    <s v="LUGLIO 2024"/>
    <x v="29"/>
    <n v="630.65"/>
    <x v="3"/>
  </r>
  <r>
    <x v="9"/>
    <x v="0"/>
    <s v="LUGLIO"/>
    <x v="2"/>
    <n v="7"/>
    <s v="LUGLIO 2024"/>
    <x v="29"/>
    <n v="135.5"/>
    <x v="6"/>
  </r>
  <r>
    <x v="4"/>
    <x v="0"/>
    <s v="LUGLIO"/>
    <x v="2"/>
    <n v="7"/>
    <s v="LUGLIO 2024"/>
    <x v="29"/>
    <n v="44.5"/>
    <x v="4"/>
  </r>
  <r>
    <x v="1"/>
    <x v="0"/>
    <s v="GIUGNO"/>
    <x v="2"/>
    <n v="6"/>
    <s v="GIUGNO 2024"/>
    <x v="30"/>
    <n v="3.5"/>
    <x v="1"/>
  </r>
  <r>
    <x v="2"/>
    <x v="1"/>
    <s v="GIUGNO"/>
    <x v="2"/>
    <n v="6"/>
    <s v="GIUGNO 2024"/>
    <x v="30"/>
    <n v="-859.5"/>
    <x v="2"/>
  </r>
  <r>
    <x v="3"/>
    <x v="0"/>
    <s v="GIUGNO"/>
    <x v="2"/>
    <n v="6"/>
    <s v="GIUGNO 2024"/>
    <x v="30"/>
    <n v="630.77"/>
    <x v="3"/>
  </r>
  <r>
    <x v="9"/>
    <x v="0"/>
    <s v="GIUGNO"/>
    <x v="2"/>
    <n v="6"/>
    <s v="GIUGNO 2024"/>
    <x v="30"/>
    <n v="135.5"/>
    <x v="6"/>
  </r>
  <r>
    <x v="4"/>
    <x v="0"/>
    <s v="GIUGNO"/>
    <x v="2"/>
    <n v="6"/>
    <s v="GIUGNO 2024"/>
    <x v="30"/>
    <n v="44.5"/>
    <x v="4"/>
  </r>
  <r>
    <x v="1"/>
    <x v="0"/>
    <s v="MAGGIO"/>
    <x v="2"/>
    <n v="5"/>
    <s v="MAGGIO 2024"/>
    <x v="31"/>
    <n v="3.5"/>
    <x v="1"/>
  </r>
  <r>
    <x v="2"/>
    <x v="1"/>
    <s v="MAGGIO"/>
    <x v="2"/>
    <n v="5"/>
    <s v="MAGGIO 2024"/>
    <x v="31"/>
    <n v="-859.5"/>
    <x v="2"/>
  </r>
  <r>
    <x v="3"/>
    <x v="0"/>
    <s v="MAGGIO"/>
    <x v="2"/>
    <n v="5"/>
    <s v="MAGGIO 2024"/>
    <x v="31"/>
    <n v="630.59"/>
    <x v="3"/>
  </r>
  <r>
    <x v="9"/>
    <x v="0"/>
    <s v="MAGGIO"/>
    <x v="2"/>
    <n v="5"/>
    <s v="MAGGIO 2024"/>
    <x v="31"/>
    <n v="135.5"/>
    <x v="6"/>
  </r>
  <r>
    <x v="4"/>
    <x v="0"/>
    <s v="MAGGIO"/>
    <x v="2"/>
    <n v="5"/>
    <s v="MAGGIO 2024"/>
    <x v="31"/>
    <n v="44.5"/>
    <x v="4"/>
  </r>
  <r>
    <x v="1"/>
    <x v="0"/>
    <s v="APRILE"/>
    <x v="2"/>
    <n v="4"/>
    <s v="APRILE 2024"/>
    <x v="32"/>
    <n v="3.5"/>
    <x v="1"/>
  </r>
  <r>
    <x v="2"/>
    <x v="1"/>
    <s v="APRILE"/>
    <x v="2"/>
    <n v="4"/>
    <s v="APRILE 2024"/>
    <x v="32"/>
    <n v="-785"/>
    <x v="2"/>
  </r>
  <r>
    <x v="3"/>
    <x v="0"/>
    <s v="APRILE"/>
    <x v="2"/>
    <n v="4"/>
    <s v="APRILE 2024"/>
    <x v="32"/>
    <n v="630.65"/>
    <x v="3"/>
  </r>
  <r>
    <x v="9"/>
    <x v="0"/>
    <s v="APRILE"/>
    <x v="2"/>
    <n v="4"/>
    <s v="APRILE 2024"/>
    <x v="32"/>
    <n v="135.5"/>
    <x v="6"/>
  </r>
  <r>
    <x v="4"/>
    <x v="0"/>
    <s v="APRILE"/>
    <x v="2"/>
    <n v="4"/>
    <s v="APRILE 2024"/>
    <x v="32"/>
    <n v="44.5"/>
    <x v="4"/>
  </r>
  <r>
    <x v="1"/>
    <x v="0"/>
    <s v="MARZO"/>
    <x v="2"/>
    <n v="3"/>
    <s v="MARZO 2024"/>
    <x v="33"/>
    <n v="3.5"/>
    <x v="1"/>
  </r>
  <r>
    <x v="2"/>
    <x v="1"/>
    <s v="MARZO"/>
    <x v="2"/>
    <n v="3"/>
    <s v="MARZO 2024"/>
    <x v="33"/>
    <n v="-849.5"/>
    <x v="2"/>
  </r>
  <r>
    <x v="3"/>
    <x v="0"/>
    <s v="MARZO"/>
    <x v="2"/>
    <n v="3"/>
    <s v="MARZO 2024"/>
    <x v="33"/>
    <n v="630.65"/>
    <x v="3"/>
  </r>
  <r>
    <x v="9"/>
    <x v="0"/>
    <s v="MARZO"/>
    <x v="2"/>
    <n v="3"/>
    <s v="MARZO 2024"/>
    <x v="33"/>
    <n v="135.5"/>
    <x v="6"/>
  </r>
  <r>
    <x v="4"/>
    <x v="0"/>
    <s v="MARZO"/>
    <x v="2"/>
    <n v="3"/>
    <s v="MARZO 2024"/>
    <x v="33"/>
    <n v="44.5"/>
    <x v="4"/>
  </r>
  <r>
    <x v="1"/>
    <x v="0"/>
    <s v="FEBBRAIO"/>
    <x v="2"/>
    <n v="2"/>
    <s v="FEBBRAIO 2024"/>
    <x v="34"/>
    <n v="3.5"/>
    <x v="1"/>
  </r>
  <r>
    <x v="2"/>
    <x v="1"/>
    <s v="FEBBRAIO"/>
    <x v="2"/>
    <n v="2"/>
    <s v="FEBBRAIO 2024"/>
    <x v="34"/>
    <n v="-819.5"/>
    <x v="2"/>
  </r>
  <r>
    <x v="3"/>
    <x v="0"/>
    <s v="FEBBRAIO"/>
    <x v="2"/>
    <n v="2"/>
    <s v="FEBBRAIO 2024"/>
    <x v="34"/>
    <n v="630.71"/>
    <x v="3"/>
  </r>
  <r>
    <x v="10"/>
    <x v="0"/>
    <s v="FEBBRAIO"/>
    <x v="2"/>
    <n v="2"/>
    <s v="FEBBRAIO 2024"/>
    <x v="34"/>
    <n v="10.5"/>
    <x v="2"/>
  </r>
  <r>
    <x v="9"/>
    <x v="0"/>
    <s v="FEBBRAIO"/>
    <x v="2"/>
    <n v="2"/>
    <s v="FEBBRAIO 2024"/>
    <x v="34"/>
    <n v="135.5"/>
    <x v="6"/>
  </r>
  <r>
    <x v="4"/>
    <x v="0"/>
    <s v="FEBBRAIO"/>
    <x v="2"/>
    <n v="2"/>
    <s v="FEBBRAIO 2024"/>
    <x v="34"/>
    <n v="44.5"/>
    <x v="4"/>
  </r>
  <r>
    <x v="1"/>
    <x v="0"/>
    <s v="GENNAIO"/>
    <x v="2"/>
    <n v="1"/>
    <s v="GENNAIO 2024"/>
    <x v="35"/>
    <n v="3.5"/>
    <x v="1"/>
  </r>
  <r>
    <x v="7"/>
    <x v="0"/>
    <s v="GENNAIO"/>
    <x v="2"/>
    <n v="1"/>
    <s v="GENNAIO 2024"/>
    <x v="35"/>
    <n v="0.01"/>
    <x v="1"/>
  </r>
  <r>
    <x v="8"/>
    <x v="0"/>
    <s v="GENNAIO"/>
    <x v="2"/>
    <n v="1"/>
    <s v="GENNAIO 2024"/>
    <x v="35"/>
    <n v="-0.02"/>
    <x v="1"/>
  </r>
  <r>
    <x v="2"/>
    <x v="1"/>
    <s v="GENNAIO"/>
    <x v="2"/>
    <n v="1"/>
    <s v="GENNAIO 2024"/>
    <x v="35"/>
    <n v="-869.5"/>
    <x v="2"/>
  </r>
  <r>
    <x v="8"/>
    <x v="0"/>
    <s v="GENNAIO"/>
    <x v="2"/>
    <n v="1"/>
    <s v="GENNAIO 2024"/>
    <x v="35"/>
    <n v="12.89"/>
    <x v="1"/>
  </r>
  <r>
    <x v="3"/>
    <x v="0"/>
    <s v="GENNAIO"/>
    <x v="2"/>
    <n v="1"/>
    <s v="GENNAIO 2024"/>
    <x v="35"/>
    <n v="630.65"/>
    <x v="3"/>
  </r>
  <r>
    <x v="11"/>
    <x v="0"/>
    <s v="GENNAIO"/>
    <x v="2"/>
    <n v="1"/>
    <s v="GENNAIO 2024"/>
    <x v="35"/>
    <n v="52.26"/>
    <x v="7"/>
  </r>
  <r>
    <x v="9"/>
    <x v="0"/>
    <s v="GENNAIO"/>
    <x v="2"/>
    <n v="1"/>
    <s v="GENNAIO 2024"/>
    <x v="35"/>
    <n v="135.5"/>
    <x v="6"/>
  </r>
  <r>
    <x v="4"/>
    <x v="0"/>
    <s v="GENNAIO"/>
    <x v="2"/>
    <n v="1"/>
    <s v="GENNAIO 2024"/>
    <x v="35"/>
    <n v="44.5"/>
    <x v="4"/>
  </r>
  <r>
    <x v="1"/>
    <x v="0"/>
    <s v="DICEMBRE"/>
    <x v="3"/>
    <n v="12"/>
    <s v="DICEMBRE 2023"/>
    <x v="36"/>
    <n v="3.5"/>
    <x v="1"/>
  </r>
  <r>
    <x v="2"/>
    <x v="1"/>
    <s v="DICEMBRE"/>
    <x v="3"/>
    <n v="12"/>
    <s v="DICEMBRE 2023"/>
    <x v="36"/>
    <n v="-1100"/>
    <x v="2"/>
  </r>
  <r>
    <x v="3"/>
    <x v="0"/>
    <s v="DICEMBRE"/>
    <x v="3"/>
    <n v="12"/>
    <s v="DICEMBRE 2023"/>
    <x v="36"/>
    <n v="630.65"/>
    <x v="3"/>
  </r>
  <r>
    <x v="11"/>
    <x v="0"/>
    <s v="DICEMBRE"/>
    <x v="3"/>
    <n v="12"/>
    <s v="DICEMBRE 2023"/>
    <x v="36"/>
    <n v="51.06"/>
    <x v="7"/>
  </r>
  <r>
    <x v="9"/>
    <x v="0"/>
    <s v="DICEMBRE"/>
    <x v="3"/>
    <n v="12"/>
    <s v="DICEMBRE 2023"/>
    <x v="36"/>
    <n v="135.5"/>
    <x v="6"/>
  </r>
  <r>
    <x v="4"/>
    <x v="0"/>
    <s v="DICEMBRE"/>
    <x v="3"/>
    <n v="12"/>
    <s v="DICEMBRE 2023"/>
    <x v="36"/>
    <n v="44.5"/>
    <x v="4"/>
  </r>
  <r>
    <x v="0"/>
    <x v="0"/>
    <s v="NOVEMBRE"/>
    <x v="3"/>
    <n v="11"/>
    <s v="NOVEMBRE 2023"/>
    <x v="37"/>
    <n v="253.16"/>
    <x v="0"/>
  </r>
  <r>
    <x v="1"/>
    <x v="0"/>
    <s v="NOVEMBRE"/>
    <x v="3"/>
    <n v="11"/>
    <s v="NOVEMBRE 2023"/>
    <x v="37"/>
    <n v="3.5"/>
    <x v="1"/>
  </r>
  <r>
    <x v="2"/>
    <x v="1"/>
    <s v="NOVEMBRE"/>
    <x v="3"/>
    <n v="11"/>
    <s v="NOVEMBRE 2023"/>
    <x v="37"/>
    <n v="-870"/>
    <x v="2"/>
  </r>
  <r>
    <x v="3"/>
    <x v="0"/>
    <s v="NOVEMBRE"/>
    <x v="3"/>
    <n v="11"/>
    <s v="NOVEMBRE 2023"/>
    <x v="37"/>
    <n v="630.59"/>
    <x v="3"/>
  </r>
  <r>
    <x v="11"/>
    <x v="0"/>
    <s v="NOVEMBRE"/>
    <x v="3"/>
    <n v="11"/>
    <s v="NOVEMBRE 2023"/>
    <x v="37"/>
    <n v="51.06"/>
    <x v="7"/>
  </r>
  <r>
    <x v="9"/>
    <x v="0"/>
    <s v="NOVEMBRE"/>
    <x v="3"/>
    <n v="11"/>
    <s v="NOVEMBRE 2023"/>
    <x v="37"/>
    <n v="135.5"/>
    <x v="6"/>
  </r>
  <r>
    <x v="4"/>
    <x v="0"/>
    <s v="NOVEMBRE"/>
    <x v="3"/>
    <n v="11"/>
    <s v="NOVEMBRE 2023"/>
    <x v="37"/>
    <n v="44.5"/>
    <x v="4"/>
  </r>
  <r>
    <x v="1"/>
    <x v="0"/>
    <s v="OTTOBRE"/>
    <x v="3"/>
    <n v="10"/>
    <s v="OTTOBRE 2023"/>
    <x v="38"/>
    <n v="3.5"/>
    <x v="1"/>
  </r>
  <r>
    <x v="2"/>
    <x v="1"/>
    <s v="OTTOBRE"/>
    <x v="3"/>
    <n v="10"/>
    <s v="OTTOBRE 2023"/>
    <x v="38"/>
    <n v="-870"/>
    <x v="2"/>
  </r>
  <r>
    <x v="3"/>
    <x v="0"/>
    <s v="OTTOBRE"/>
    <x v="3"/>
    <n v="10"/>
    <s v="OTTOBRE 2023"/>
    <x v="38"/>
    <n v="630.71"/>
    <x v="3"/>
  </r>
  <r>
    <x v="11"/>
    <x v="0"/>
    <s v="OTTOBRE"/>
    <x v="3"/>
    <n v="10"/>
    <s v="OTTOBRE 2023"/>
    <x v="38"/>
    <n v="51.06"/>
    <x v="7"/>
  </r>
  <r>
    <x v="9"/>
    <x v="0"/>
    <s v="OTTOBRE"/>
    <x v="3"/>
    <n v="10"/>
    <s v="OTTOBRE 2023"/>
    <x v="38"/>
    <n v="135.5"/>
    <x v="6"/>
  </r>
  <r>
    <x v="4"/>
    <x v="0"/>
    <s v="OTTOBRE"/>
    <x v="3"/>
    <n v="10"/>
    <s v="OTTOBRE 2023"/>
    <x v="38"/>
    <n v="44.5"/>
    <x v="4"/>
  </r>
  <r>
    <x v="1"/>
    <x v="0"/>
    <s v="SETTEMBRE"/>
    <x v="3"/>
    <n v="9"/>
    <s v="SETTEMBRE 2023"/>
    <x v="39"/>
    <n v="3.5"/>
    <x v="1"/>
  </r>
  <r>
    <x v="2"/>
    <x v="1"/>
    <s v="SETTEMBRE"/>
    <x v="3"/>
    <n v="9"/>
    <s v="SETTEMBRE 2023"/>
    <x v="39"/>
    <n v="-870"/>
    <x v="2"/>
  </r>
  <r>
    <x v="3"/>
    <x v="0"/>
    <s v="SETTEMBRE"/>
    <x v="3"/>
    <n v="9"/>
    <s v="SETTEMBRE 2023"/>
    <x v="39"/>
    <n v="630.65"/>
    <x v="3"/>
  </r>
  <r>
    <x v="11"/>
    <x v="0"/>
    <s v="SETTEMBRE"/>
    <x v="3"/>
    <n v="9"/>
    <s v="SETTEMBRE 2023"/>
    <x v="39"/>
    <n v="51.06"/>
    <x v="7"/>
  </r>
  <r>
    <x v="9"/>
    <x v="0"/>
    <s v="SETTEMBRE"/>
    <x v="3"/>
    <n v="9"/>
    <s v="SETTEMBRE 2023"/>
    <x v="39"/>
    <n v="135.5"/>
    <x v="6"/>
  </r>
  <r>
    <x v="4"/>
    <x v="0"/>
    <s v="SETTEMBRE"/>
    <x v="3"/>
    <n v="9"/>
    <s v="SETTEMBRE 2023"/>
    <x v="39"/>
    <n v="44.5"/>
    <x v="4"/>
  </r>
  <r>
    <x v="1"/>
    <x v="0"/>
    <s v="AGOSTO"/>
    <x v="3"/>
    <n v="8"/>
    <s v="AGOSTO 2023"/>
    <x v="40"/>
    <n v="3.5"/>
    <x v="1"/>
  </r>
  <r>
    <x v="2"/>
    <x v="1"/>
    <s v="AGOSTO"/>
    <x v="3"/>
    <n v="8"/>
    <s v="AGOSTO 2023"/>
    <x v="40"/>
    <n v="-870"/>
    <x v="2"/>
  </r>
  <r>
    <x v="3"/>
    <x v="0"/>
    <s v="AGOSTO"/>
    <x v="3"/>
    <n v="8"/>
    <s v="AGOSTO 2023"/>
    <x v="40"/>
    <n v="630.96"/>
    <x v="3"/>
  </r>
  <r>
    <x v="11"/>
    <x v="0"/>
    <s v="AGOSTO"/>
    <x v="3"/>
    <n v="8"/>
    <s v="AGOSTO 2023"/>
    <x v="40"/>
    <n v="51.06"/>
    <x v="7"/>
  </r>
  <r>
    <x v="9"/>
    <x v="0"/>
    <s v="AGOSTO"/>
    <x v="3"/>
    <n v="8"/>
    <s v="AGOSTO 2023"/>
    <x v="40"/>
    <n v="135.5"/>
    <x v="6"/>
  </r>
  <r>
    <x v="4"/>
    <x v="0"/>
    <s v="AGOSTO"/>
    <x v="3"/>
    <n v="8"/>
    <s v="AGOSTO 2023"/>
    <x v="40"/>
    <n v="44.5"/>
    <x v="4"/>
  </r>
  <r>
    <x v="1"/>
    <x v="0"/>
    <s v="LUGLIO"/>
    <x v="3"/>
    <n v="7"/>
    <s v="LUGLIO 2023"/>
    <x v="41"/>
    <n v="3.5"/>
    <x v="1"/>
  </r>
  <r>
    <x v="2"/>
    <x v="1"/>
    <s v="LUGLIO"/>
    <x v="3"/>
    <n v="7"/>
    <s v="LUGLIO 2023"/>
    <x v="41"/>
    <n v="-870"/>
    <x v="2"/>
  </r>
  <r>
    <x v="3"/>
    <x v="0"/>
    <s v="LUGLIO"/>
    <x v="3"/>
    <n v="7"/>
    <s v="LUGLIO 2023"/>
    <x v="41"/>
    <n v="630.65"/>
    <x v="3"/>
  </r>
  <r>
    <x v="11"/>
    <x v="0"/>
    <s v="LUGLIO"/>
    <x v="3"/>
    <n v="7"/>
    <s v="LUGLIO 2023"/>
    <x v="41"/>
    <n v="51.06"/>
    <x v="7"/>
  </r>
  <r>
    <x v="9"/>
    <x v="0"/>
    <s v="LUGLIO"/>
    <x v="3"/>
    <n v="7"/>
    <s v="LUGLIO 2023"/>
    <x v="41"/>
    <n v="135.5"/>
    <x v="6"/>
  </r>
  <r>
    <x v="4"/>
    <x v="0"/>
    <s v="LUGLIO"/>
    <x v="3"/>
    <n v="7"/>
    <s v="LUGLIO 2023"/>
    <x v="41"/>
    <n v="44.5"/>
    <x v="4"/>
  </r>
  <r>
    <x v="1"/>
    <x v="0"/>
    <s v="GIUGNO"/>
    <x v="3"/>
    <n v="6"/>
    <s v="GIUGNO 2023"/>
    <x v="42"/>
    <n v="3.5"/>
    <x v="1"/>
  </r>
  <r>
    <x v="2"/>
    <x v="1"/>
    <s v="GIUGNO"/>
    <x v="3"/>
    <n v="6"/>
    <s v="GIUGNO 2023"/>
    <x v="42"/>
    <n v="-870"/>
    <x v="2"/>
  </r>
  <r>
    <x v="3"/>
    <x v="0"/>
    <s v="GIUGNO"/>
    <x v="3"/>
    <n v="6"/>
    <s v="GIUGNO 2023"/>
    <x v="42"/>
    <n v="630.53"/>
    <x v="3"/>
  </r>
  <r>
    <x v="11"/>
    <x v="0"/>
    <s v="GIUGNO"/>
    <x v="3"/>
    <n v="6"/>
    <s v="GIUGNO 2023"/>
    <x v="42"/>
    <n v="51.06"/>
    <x v="7"/>
  </r>
  <r>
    <x v="9"/>
    <x v="0"/>
    <s v="GIUGNO"/>
    <x v="3"/>
    <n v="6"/>
    <s v="GIUGNO 2023"/>
    <x v="42"/>
    <n v="135.5"/>
    <x v="6"/>
  </r>
  <r>
    <x v="4"/>
    <x v="0"/>
    <s v="GIUGNO"/>
    <x v="3"/>
    <n v="6"/>
    <s v="GIUGNO 2023"/>
    <x v="42"/>
    <n v="44.5"/>
    <x v="4"/>
  </r>
  <r>
    <x v="1"/>
    <x v="0"/>
    <s v="MAGGIO"/>
    <x v="3"/>
    <n v="5"/>
    <s v="MAGGIO 2023"/>
    <x v="43"/>
    <n v="3.5"/>
    <x v="1"/>
  </r>
  <r>
    <x v="2"/>
    <x v="1"/>
    <s v="MAGGIO"/>
    <x v="3"/>
    <n v="5"/>
    <s v="MAGGIO 2023"/>
    <x v="43"/>
    <n v="-870"/>
    <x v="2"/>
  </r>
  <r>
    <x v="3"/>
    <x v="0"/>
    <s v="MAGGIO"/>
    <x v="3"/>
    <n v="5"/>
    <s v="MAGGIO 2023"/>
    <x v="43"/>
    <n v="630.71"/>
    <x v="3"/>
  </r>
  <r>
    <x v="11"/>
    <x v="0"/>
    <s v="MAGGIO"/>
    <x v="3"/>
    <n v="5"/>
    <s v="MAGGIO 2023"/>
    <x v="43"/>
    <n v="51.06"/>
    <x v="7"/>
  </r>
  <r>
    <x v="9"/>
    <x v="0"/>
    <s v="MAGGIO"/>
    <x v="3"/>
    <n v="5"/>
    <s v="MAGGIO 2023"/>
    <x v="43"/>
    <n v="135.5"/>
    <x v="6"/>
  </r>
  <r>
    <x v="4"/>
    <x v="0"/>
    <s v="MAGGIO"/>
    <x v="3"/>
    <n v="5"/>
    <s v="MAGGIO 2023"/>
    <x v="43"/>
    <n v="44.5"/>
    <x v="4"/>
  </r>
  <r>
    <x v="1"/>
    <x v="0"/>
    <s v="APRILE"/>
    <x v="3"/>
    <n v="4"/>
    <s v="APRILE 2023"/>
    <x v="44"/>
    <n v="3.5"/>
    <x v="1"/>
  </r>
  <r>
    <x v="2"/>
    <x v="1"/>
    <s v="APRILE"/>
    <x v="3"/>
    <n v="4"/>
    <s v="APRILE 2023"/>
    <x v="44"/>
    <n v="-850"/>
    <x v="2"/>
  </r>
  <r>
    <x v="3"/>
    <x v="0"/>
    <s v="APRILE"/>
    <x v="3"/>
    <n v="4"/>
    <s v="APRILE 2023"/>
    <x v="44"/>
    <n v="630.65"/>
    <x v="3"/>
  </r>
  <r>
    <x v="11"/>
    <x v="0"/>
    <s v="MAGGIO"/>
    <x v="3"/>
    <n v="5"/>
    <s v="MAGGIO 2023"/>
    <x v="43"/>
    <n v="51.06"/>
    <x v="7"/>
  </r>
  <r>
    <x v="9"/>
    <x v="0"/>
    <s v="APRILE"/>
    <x v="3"/>
    <n v="4"/>
    <s v="APRILE 2023"/>
    <x v="44"/>
    <n v="135.5"/>
    <x v="6"/>
  </r>
  <r>
    <x v="4"/>
    <x v="0"/>
    <s v="APRILE"/>
    <x v="3"/>
    <n v="4"/>
    <s v="APRILE 2023"/>
    <x v="44"/>
    <n v="44.5"/>
    <x v="4"/>
  </r>
  <r>
    <x v="6"/>
    <x v="0"/>
    <s v="MARZO"/>
    <x v="3"/>
    <n v="3"/>
    <s v="MARZO 2023"/>
    <x v="45"/>
    <n v="1.58"/>
    <x v="1"/>
  </r>
  <r>
    <x v="1"/>
    <x v="0"/>
    <s v="MARZO"/>
    <x v="3"/>
    <n v="3"/>
    <s v="MARZO 2023"/>
    <x v="45"/>
    <n v="3.5"/>
    <x v="1"/>
  </r>
  <r>
    <x v="2"/>
    <x v="1"/>
    <s v="MARZO"/>
    <x v="3"/>
    <n v="3"/>
    <s v="MARZO 2023"/>
    <x v="45"/>
    <n v="-870"/>
    <x v="2"/>
  </r>
  <r>
    <x v="3"/>
    <x v="0"/>
    <s v="MARZO"/>
    <x v="3"/>
    <n v="3"/>
    <s v="MARZO 2023"/>
    <x v="45"/>
    <n v="630.59"/>
    <x v="3"/>
  </r>
  <r>
    <x v="11"/>
    <x v="0"/>
    <s v="MARZO"/>
    <x v="3"/>
    <n v="3"/>
    <s v="MARZO 2023"/>
    <x v="45"/>
    <n v="51.06"/>
    <x v="7"/>
  </r>
  <r>
    <x v="9"/>
    <x v="0"/>
    <s v="MARZO"/>
    <x v="3"/>
    <n v="3"/>
    <s v="MARZO 2023"/>
    <x v="45"/>
    <n v="135.5"/>
    <x v="6"/>
  </r>
  <r>
    <x v="4"/>
    <x v="0"/>
    <s v="MARZO"/>
    <x v="3"/>
    <n v="3"/>
    <s v="MARZO 2023"/>
    <x v="45"/>
    <n v="44.5"/>
    <x v="4"/>
  </r>
  <r>
    <x v="11"/>
    <x v="0"/>
    <s v="MARZO"/>
    <x v="3"/>
    <n v="3"/>
    <s v="MARZO 2023"/>
    <x v="45"/>
    <n v="51.06"/>
    <x v="7"/>
  </r>
  <r>
    <x v="1"/>
    <x v="0"/>
    <s v="FEBBRAIO"/>
    <x v="3"/>
    <n v="2"/>
    <s v="FEBBRAIO 2023"/>
    <x v="46"/>
    <n v="3.5"/>
    <x v="1"/>
  </r>
  <r>
    <x v="2"/>
    <x v="1"/>
    <s v="FEBBRAIO"/>
    <x v="3"/>
    <n v="2"/>
    <s v="FEBBRAIO 2023"/>
    <x v="46"/>
    <n v="-870"/>
    <x v="2"/>
  </r>
  <r>
    <x v="3"/>
    <x v="0"/>
    <s v="FEBBRAIO"/>
    <x v="3"/>
    <n v="2"/>
    <s v="FEBBRAIO 2023"/>
    <x v="46"/>
    <n v="630.59"/>
    <x v="3"/>
  </r>
  <r>
    <x v="9"/>
    <x v="0"/>
    <s v="FEBBRAIO"/>
    <x v="3"/>
    <n v="2"/>
    <s v="FEBBRAIO 2023"/>
    <x v="46"/>
    <n v="135.5"/>
    <x v="6"/>
  </r>
  <r>
    <x v="4"/>
    <x v="0"/>
    <s v="FEBBRAIO"/>
    <x v="3"/>
    <n v="2"/>
    <s v="FEBBRAIO 2023"/>
    <x v="46"/>
    <n v="44.5"/>
    <x v="4"/>
  </r>
  <r>
    <x v="7"/>
    <x v="0"/>
    <s v="GENNAIO"/>
    <x v="3"/>
    <n v="1"/>
    <s v="GENNAIO 2023"/>
    <x v="47"/>
    <n v="0.02"/>
    <x v="1"/>
  </r>
  <r>
    <x v="8"/>
    <x v="0"/>
    <s v="GENNAIO"/>
    <x v="3"/>
    <n v="1"/>
    <s v="GENNAIO 2023"/>
    <x v="47"/>
    <n v="-0.04"/>
    <x v="1"/>
  </r>
  <r>
    <x v="2"/>
    <x v="1"/>
    <s v="GENNAIO"/>
    <x v="3"/>
    <n v="1"/>
    <s v="GENNAIO 2023"/>
    <x v="47"/>
    <n v="-820"/>
    <x v="2"/>
  </r>
  <r>
    <x v="1"/>
    <x v="0"/>
    <s v="GENNAIO"/>
    <x v="3"/>
    <n v="1"/>
    <s v="GENNAIO 2023"/>
    <x v="47"/>
    <n v="3.5"/>
    <x v="1"/>
  </r>
  <r>
    <x v="3"/>
    <x v="0"/>
    <s v="GENNAIO"/>
    <x v="3"/>
    <n v="1"/>
    <s v="GENNAIO 2023"/>
    <x v="47"/>
    <n v="630.65"/>
    <x v="3"/>
  </r>
  <r>
    <x v="11"/>
    <x v="0"/>
    <s v="GENNAIO"/>
    <x v="3"/>
    <n v="1"/>
    <s v="GENNAIO 2023"/>
    <x v="47"/>
    <n v="54.26"/>
    <x v="7"/>
  </r>
  <r>
    <x v="9"/>
    <x v="0"/>
    <s v="GENNAIO"/>
    <x v="3"/>
    <n v="1"/>
    <s v="GENNAIO 2023"/>
    <x v="47"/>
    <n v="135.5"/>
    <x v="6"/>
  </r>
  <r>
    <x v="4"/>
    <x v="0"/>
    <s v="GENNAIO"/>
    <x v="3"/>
    <n v="1"/>
    <s v="GENNAIO 2023"/>
    <x v="47"/>
    <n v="44.5"/>
    <x v="4"/>
  </r>
  <r>
    <x v="0"/>
    <x v="0"/>
    <s v="DICEMBRE"/>
    <x v="4"/>
    <n v="12"/>
    <s v="DICEMBRE 2022"/>
    <x v="48"/>
    <n v="253.16"/>
    <x v="0"/>
  </r>
  <r>
    <x v="1"/>
    <x v="0"/>
    <s v="DICEMBRE"/>
    <x v="4"/>
    <n v="12"/>
    <s v="DICEMBRE 2022"/>
    <x v="48"/>
    <n v="3.5"/>
    <x v="1"/>
  </r>
  <r>
    <x v="2"/>
    <x v="1"/>
    <s v="DICEMBRE"/>
    <x v="4"/>
    <n v="12"/>
    <s v="DICEMBRE 2022"/>
    <x v="48"/>
    <n v="-1150"/>
    <x v="2"/>
  </r>
  <r>
    <x v="3"/>
    <x v="0"/>
    <s v="DICEMBRE"/>
    <x v="4"/>
    <n v="12"/>
    <s v="DICEMBRE 2022"/>
    <x v="48"/>
    <n v="630.71"/>
    <x v="3"/>
  </r>
  <r>
    <x v="11"/>
    <x v="0"/>
    <s v="DICEMBRE"/>
    <x v="4"/>
    <n v="12"/>
    <s v="DICEMBRE 2022"/>
    <x v="48"/>
    <n v="51.06"/>
    <x v="7"/>
  </r>
  <r>
    <x v="9"/>
    <x v="0"/>
    <s v="DICEMBRE"/>
    <x v="4"/>
    <n v="12"/>
    <s v="DICEMBRE 2022"/>
    <x v="48"/>
    <n v="135.5"/>
    <x v="6"/>
  </r>
  <r>
    <x v="4"/>
    <x v="0"/>
    <s v="DICEMBRE"/>
    <x v="4"/>
    <n v="12"/>
    <s v="DICEMBRE 2022"/>
    <x v="48"/>
    <n v="44.5"/>
    <x v="4"/>
  </r>
  <r>
    <x v="1"/>
    <x v="0"/>
    <s v="NOVEMBRE"/>
    <x v="4"/>
    <n v="11"/>
    <s v="NOVEMBRE 2022"/>
    <x v="49"/>
    <n v="3.5"/>
    <x v="1"/>
  </r>
  <r>
    <x v="2"/>
    <x v="1"/>
    <s v="NOVEMBRE"/>
    <x v="4"/>
    <n v="11"/>
    <s v="NOVEMBRE 2022"/>
    <x v="49"/>
    <n v="-870"/>
    <x v="2"/>
  </r>
  <r>
    <x v="3"/>
    <x v="0"/>
    <s v="NOVEMBRE"/>
    <x v="4"/>
    <n v="11"/>
    <s v="NOVEMBRE 2022"/>
    <x v="49"/>
    <n v="630.65"/>
    <x v="3"/>
  </r>
  <r>
    <x v="11"/>
    <x v="0"/>
    <s v="NOVEMBRE"/>
    <x v="4"/>
    <n v="11"/>
    <s v="NOVEMBRE 2022"/>
    <x v="49"/>
    <n v="51.06"/>
    <x v="7"/>
  </r>
  <r>
    <x v="9"/>
    <x v="0"/>
    <s v="NOVEMBRE"/>
    <x v="4"/>
    <n v="11"/>
    <s v="NOVEMBRE 2022"/>
    <x v="49"/>
    <n v="135.5"/>
    <x v="6"/>
  </r>
  <r>
    <x v="4"/>
    <x v="0"/>
    <s v="NOVEMBRE"/>
    <x v="4"/>
    <n v="11"/>
    <s v="NOVEMBRE 2022"/>
    <x v="49"/>
    <n v="44.5"/>
    <x v="4"/>
  </r>
  <r>
    <x v="1"/>
    <x v="0"/>
    <s v="OTTOBRE"/>
    <x v="4"/>
    <n v="10"/>
    <s v="OTTOBRE 2022"/>
    <x v="50"/>
    <n v="3.5"/>
    <x v="1"/>
  </r>
  <r>
    <x v="2"/>
    <x v="1"/>
    <s v="OTTOBRE"/>
    <x v="4"/>
    <n v="10"/>
    <s v="OTTOBRE 2022"/>
    <x v="50"/>
    <n v="-870"/>
    <x v="2"/>
  </r>
  <r>
    <x v="3"/>
    <x v="0"/>
    <s v="OTTOBRE"/>
    <x v="4"/>
    <n v="10"/>
    <s v="OTTOBRE 2022"/>
    <x v="50"/>
    <n v="630.65"/>
    <x v="3"/>
  </r>
  <r>
    <x v="11"/>
    <x v="0"/>
    <s v="OTTOBRE"/>
    <x v="4"/>
    <n v="10"/>
    <s v="OTTOBRE 2022"/>
    <x v="50"/>
    <n v="51.06"/>
    <x v="7"/>
  </r>
  <r>
    <x v="9"/>
    <x v="0"/>
    <s v="OTTOBRE"/>
    <x v="4"/>
    <n v="10"/>
    <s v="OTTOBRE 2022"/>
    <x v="50"/>
    <n v="135.5"/>
    <x v="6"/>
  </r>
  <r>
    <x v="4"/>
    <x v="0"/>
    <s v="OTTOBRE"/>
    <x v="4"/>
    <n v="10"/>
    <s v="OTTOBRE 2022"/>
    <x v="50"/>
    <n v="44.5"/>
    <x v="4"/>
  </r>
  <r>
    <x v="1"/>
    <x v="0"/>
    <s v="SETTEMBRE"/>
    <x v="4"/>
    <n v="9"/>
    <s v="SETTEMBRE 2022"/>
    <x v="51"/>
    <n v="3.5"/>
    <x v="1"/>
  </r>
  <r>
    <x v="2"/>
    <x v="1"/>
    <s v="SETTEMBRE"/>
    <x v="4"/>
    <n v="9"/>
    <s v="SETTEMBRE 2022"/>
    <x v="51"/>
    <n v="-870"/>
    <x v="2"/>
  </r>
  <r>
    <x v="3"/>
    <x v="0"/>
    <s v="SETTEMBRE"/>
    <x v="4"/>
    <n v="9"/>
    <s v="SETTEMBRE 2022"/>
    <x v="51"/>
    <n v="630.53"/>
    <x v="3"/>
  </r>
  <r>
    <x v="11"/>
    <x v="0"/>
    <s v="SETTEMBRE"/>
    <x v="4"/>
    <n v="9"/>
    <s v="SETTEMBRE 2022"/>
    <x v="51"/>
    <n v="51.06"/>
    <x v="7"/>
  </r>
  <r>
    <x v="9"/>
    <x v="0"/>
    <s v="SETTEMBRE"/>
    <x v="4"/>
    <n v="9"/>
    <s v="SETTEMBRE 2022"/>
    <x v="51"/>
    <n v="135.5"/>
    <x v="6"/>
  </r>
  <r>
    <x v="4"/>
    <x v="0"/>
    <s v="SETTEMBRE"/>
    <x v="4"/>
    <n v="9"/>
    <s v="SETTEMBRE 2022"/>
    <x v="51"/>
    <n v="44.5"/>
    <x v="4"/>
  </r>
  <r>
    <x v="1"/>
    <x v="0"/>
    <s v="AGOSTO"/>
    <x v="4"/>
    <n v="8"/>
    <s v="AGOSTO 2022"/>
    <x v="52"/>
    <n v="3.5"/>
    <x v="1"/>
  </r>
  <r>
    <x v="2"/>
    <x v="1"/>
    <s v="AGOSTO"/>
    <x v="4"/>
    <n v="8"/>
    <s v="AGOSTO 2022"/>
    <x v="52"/>
    <n v="-870"/>
    <x v="2"/>
  </r>
  <r>
    <x v="3"/>
    <x v="0"/>
    <s v="AGOSTO"/>
    <x v="4"/>
    <n v="8"/>
    <s v="AGOSTO 2022"/>
    <x v="52"/>
    <n v="630.59"/>
    <x v="3"/>
  </r>
  <r>
    <x v="11"/>
    <x v="0"/>
    <s v="AGOSTO"/>
    <x v="4"/>
    <n v="8"/>
    <s v="AGOSTO 2022"/>
    <x v="52"/>
    <n v="51.06"/>
    <x v="7"/>
  </r>
  <r>
    <x v="9"/>
    <x v="0"/>
    <s v="AGOSTO"/>
    <x v="4"/>
    <n v="8"/>
    <s v="AGOSTO 2022"/>
    <x v="52"/>
    <n v="135.5"/>
    <x v="6"/>
  </r>
  <r>
    <x v="4"/>
    <x v="0"/>
    <s v="AGOSTO"/>
    <x v="4"/>
    <n v="8"/>
    <s v="AGOSTO 2022"/>
    <x v="52"/>
    <n v="44.5"/>
    <x v="4"/>
  </r>
  <r>
    <x v="2"/>
    <x v="1"/>
    <s v="LUGLIO"/>
    <x v="4"/>
    <n v="7"/>
    <s v="LUGLIO 2022"/>
    <x v="53"/>
    <n v="-200"/>
    <x v="2"/>
  </r>
  <r>
    <x v="8"/>
    <x v="0"/>
    <s v="LUGLIO"/>
    <x v="4"/>
    <n v="7"/>
    <s v="LUGLIO 2022"/>
    <x v="53"/>
    <n v="32.869999999999997"/>
    <x v="1"/>
  </r>
  <r>
    <x v="1"/>
    <x v="0"/>
    <s v="LUGLIO"/>
    <x v="4"/>
    <n v="7"/>
    <s v="LUGLIO 2022"/>
    <x v="53"/>
    <n v="3.5"/>
    <x v="1"/>
  </r>
  <r>
    <x v="2"/>
    <x v="1"/>
    <s v="LUGLIO"/>
    <x v="4"/>
    <n v="7"/>
    <s v="LUGLIO 2022"/>
    <x v="53"/>
    <n v="-870"/>
    <x v="2"/>
  </r>
  <r>
    <x v="3"/>
    <x v="0"/>
    <s v="LUGLIO"/>
    <x v="4"/>
    <n v="7"/>
    <s v="LUGLIO 2022"/>
    <x v="53"/>
    <n v="629.97"/>
    <x v="3"/>
  </r>
  <r>
    <x v="11"/>
    <x v="0"/>
    <s v="LUGLIO"/>
    <x v="4"/>
    <n v="7"/>
    <s v="LUGLIO 2022"/>
    <x v="53"/>
    <n v="51.06"/>
    <x v="7"/>
  </r>
  <r>
    <x v="9"/>
    <x v="0"/>
    <s v="LUGLIO"/>
    <x v="4"/>
    <n v="7"/>
    <s v="LUGLIO 2022"/>
    <x v="53"/>
    <n v="135.5"/>
    <x v="6"/>
  </r>
  <r>
    <x v="4"/>
    <x v="0"/>
    <s v="LUGLIO"/>
    <x v="4"/>
    <n v="7"/>
    <s v="LUGLIO 2022"/>
    <x v="53"/>
    <n v="44.5"/>
    <x v="4"/>
  </r>
  <r>
    <x v="1"/>
    <x v="0"/>
    <s v="GIUGNO"/>
    <x v="4"/>
    <n v="6"/>
    <s v="GIUGNO 2022"/>
    <x v="54"/>
    <n v="3.5"/>
    <x v="1"/>
  </r>
  <r>
    <x v="2"/>
    <x v="1"/>
    <s v="GIUGNO"/>
    <x v="4"/>
    <n v="6"/>
    <s v="GIUGNO 2022"/>
    <x v="54"/>
    <n v="-700"/>
    <x v="2"/>
  </r>
  <r>
    <x v="3"/>
    <x v="0"/>
    <s v="GIUGNO"/>
    <x v="4"/>
    <n v="6"/>
    <s v="GIUGNO 2022"/>
    <x v="54"/>
    <n v="630.84"/>
    <x v="3"/>
  </r>
  <r>
    <x v="11"/>
    <x v="0"/>
    <s v="GIUGNO"/>
    <x v="4"/>
    <n v="6"/>
    <s v="GIUGNO 2022"/>
    <x v="54"/>
    <n v="51.06"/>
    <x v="7"/>
  </r>
  <r>
    <x v="9"/>
    <x v="0"/>
    <s v="GIUGNO"/>
    <x v="4"/>
    <n v="6"/>
    <s v="GIUGNO 2022"/>
    <x v="54"/>
    <n v="135.5"/>
    <x v="6"/>
  </r>
  <r>
    <x v="4"/>
    <x v="0"/>
    <s v="GIUGNO"/>
    <x v="4"/>
    <n v="6"/>
    <s v="GIUGNO 2022"/>
    <x v="54"/>
    <n v="44.5"/>
    <x v="4"/>
  </r>
  <r>
    <x v="1"/>
    <x v="0"/>
    <s v="MAGGIO"/>
    <x v="4"/>
    <n v="5"/>
    <s v="MAGGIO 2022"/>
    <x v="55"/>
    <n v="3.5"/>
    <x v="1"/>
  </r>
  <r>
    <x v="2"/>
    <x v="1"/>
    <s v="MAGGIO"/>
    <x v="4"/>
    <n v="5"/>
    <s v="MAGGIO 2022"/>
    <x v="55"/>
    <n v="-820"/>
    <x v="2"/>
  </r>
  <r>
    <x v="3"/>
    <x v="0"/>
    <s v="MAGGIO"/>
    <x v="4"/>
    <n v="5"/>
    <s v="MAGGIO 2022"/>
    <x v="55"/>
    <n v="629.97"/>
    <x v="3"/>
  </r>
  <r>
    <x v="11"/>
    <x v="0"/>
    <s v="MAGGIO"/>
    <x v="4"/>
    <n v="5"/>
    <s v="MAGGIO 2022"/>
    <x v="55"/>
    <n v="51.06"/>
    <x v="7"/>
  </r>
  <r>
    <x v="9"/>
    <x v="0"/>
    <s v="MAGGIO"/>
    <x v="4"/>
    <n v="5"/>
    <s v="MAGGIO 2022"/>
    <x v="55"/>
    <n v="135.5"/>
    <x v="6"/>
  </r>
  <r>
    <x v="4"/>
    <x v="0"/>
    <s v="MAGGIO"/>
    <x v="4"/>
    <n v="5"/>
    <s v="MAGGIO 2022"/>
    <x v="55"/>
    <n v="44.5"/>
    <x v="4"/>
  </r>
  <r>
    <x v="1"/>
    <x v="0"/>
    <s v="APRILE"/>
    <x v="4"/>
    <n v="4"/>
    <s v="APRILE 2022"/>
    <x v="56"/>
    <n v="3.5"/>
    <x v="1"/>
  </r>
  <r>
    <x v="2"/>
    <x v="1"/>
    <s v="APRILE"/>
    <x v="4"/>
    <n v="4"/>
    <s v="APRILE 2022"/>
    <x v="56"/>
    <n v="-700"/>
    <x v="2"/>
  </r>
  <r>
    <x v="3"/>
    <x v="0"/>
    <s v="APRILE"/>
    <x v="4"/>
    <n v="4"/>
    <s v="APRILE 2022"/>
    <x v="56"/>
    <n v="630.65"/>
    <x v="3"/>
  </r>
  <r>
    <x v="11"/>
    <x v="0"/>
    <s v="APRILE"/>
    <x v="4"/>
    <n v="4"/>
    <s v="APRILE 2022"/>
    <x v="56"/>
    <n v="51.06"/>
    <x v="7"/>
  </r>
  <r>
    <x v="9"/>
    <x v="0"/>
    <s v="APRILE"/>
    <x v="4"/>
    <n v="4"/>
    <s v="APRILE 2022"/>
    <x v="56"/>
    <n v="135.5"/>
    <x v="6"/>
  </r>
  <r>
    <x v="4"/>
    <x v="0"/>
    <s v="APRILE"/>
    <x v="4"/>
    <n v="4"/>
    <s v="APRILE 2022"/>
    <x v="56"/>
    <n v="44.5"/>
    <x v="4"/>
  </r>
  <r>
    <x v="7"/>
    <x v="0"/>
    <s v="MARZO"/>
    <x v="4"/>
    <n v="3"/>
    <s v="MARZO 2022"/>
    <x v="57"/>
    <n v="7.0000000000000007E-2"/>
    <x v="1"/>
  </r>
  <r>
    <x v="1"/>
    <x v="0"/>
    <s v="MARZO"/>
    <x v="4"/>
    <n v="3"/>
    <s v="MARZO 2022"/>
    <x v="57"/>
    <n v="3.5"/>
    <x v="1"/>
  </r>
  <r>
    <x v="2"/>
    <x v="1"/>
    <s v="MARZO"/>
    <x v="4"/>
    <n v="3"/>
    <s v="MARZO 2022"/>
    <x v="57"/>
    <n v="-600"/>
    <x v="2"/>
  </r>
  <r>
    <x v="3"/>
    <x v="0"/>
    <s v="MARZO"/>
    <x v="4"/>
    <n v="3"/>
    <s v="MARZO 2022"/>
    <x v="57"/>
    <n v="630.9"/>
    <x v="3"/>
  </r>
  <r>
    <x v="11"/>
    <x v="0"/>
    <s v="MARZO"/>
    <x v="4"/>
    <n v="3"/>
    <s v="MARZO 2022"/>
    <x v="57"/>
    <n v="51.06"/>
    <x v="7"/>
  </r>
  <r>
    <x v="9"/>
    <x v="0"/>
    <s v="MARZO"/>
    <x v="4"/>
    <n v="3"/>
    <s v="MARZO 2022"/>
    <x v="57"/>
    <n v="135.5"/>
    <x v="6"/>
  </r>
  <r>
    <x v="4"/>
    <x v="0"/>
    <s v="MARZO"/>
    <x v="4"/>
    <n v="3"/>
    <s v="MARZO 2022"/>
    <x v="57"/>
    <n v="44.5"/>
    <x v="4"/>
  </r>
  <r>
    <x v="11"/>
    <x v="0"/>
    <s v="MARZO"/>
    <x v="4"/>
    <n v="3"/>
    <s v="MARZO 2022"/>
    <x v="57"/>
    <n v="51.06"/>
    <x v="7"/>
  </r>
  <r>
    <x v="1"/>
    <x v="0"/>
    <s v="FEBBRAIO"/>
    <x v="4"/>
    <n v="2"/>
    <s v="FEBBRAIO 2022"/>
    <x v="58"/>
    <n v="3.5"/>
    <x v="1"/>
  </r>
  <r>
    <x v="2"/>
    <x v="1"/>
    <s v="FEBBRAIO"/>
    <x v="4"/>
    <n v="2"/>
    <s v="FEBBRAIO 2022"/>
    <x v="58"/>
    <n v="-870"/>
    <x v="2"/>
  </r>
  <r>
    <x v="12"/>
    <x v="0"/>
    <s v="FEBBRAIO"/>
    <x v="4"/>
    <n v="2"/>
    <s v="FEBBRAIO 2022"/>
    <x v="58"/>
    <n v="150.5"/>
    <x v="5"/>
  </r>
  <r>
    <x v="3"/>
    <x v="0"/>
    <s v="FEBBRAIO"/>
    <x v="4"/>
    <n v="2"/>
    <s v="FEBBRAIO 2022"/>
    <x v="58"/>
    <n v="630.4"/>
    <x v="3"/>
  </r>
  <r>
    <x v="13"/>
    <x v="0"/>
    <s v="FEBBRAIO"/>
    <x v="4"/>
    <n v="2"/>
    <s v="FEBBRAIO 2022"/>
    <x v="58"/>
    <n v="-65.040000000000006"/>
    <x v="8"/>
  </r>
  <r>
    <x v="9"/>
    <x v="0"/>
    <s v="FEBBRAIO"/>
    <x v="4"/>
    <n v="2"/>
    <s v="FEBBRAIO 2022"/>
    <x v="58"/>
    <n v="135.5"/>
    <x v="6"/>
  </r>
  <r>
    <x v="4"/>
    <x v="0"/>
    <s v="FEBBRAIO"/>
    <x v="4"/>
    <n v="2"/>
    <s v="FEBBRAIO 2022"/>
    <x v="58"/>
    <n v="44.5"/>
    <x v="4"/>
  </r>
  <r>
    <x v="2"/>
    <x v="1"/>
    <s v="GENNAIO"/>
    <x v="4"/>
    <n v="1"/>
    <s v="GENNAIO 2022"/>
    <x v="59"/>
    <n v="-845"/>
    <x v="2"/>
  </r>
  <r>
    <x v="13"/>
    <x v="0"/>
    <s v="GENNAIO"/>
    <x v="4"/>
    <n v="1"/>
    <s v="GENNAIO 2022"/>
    <x v="59"/>
    <n v="67.540000000000006"/>
    <x v="8"/>
  </r>
  <r>
    <x v="1"/>
    <x v="0"/>
    <s v="GENNAIO"/>
    <x v="4"/>
    <n v="1"/>
    <s v="GENNAIO 2022"/>
    <x v="59"/>
    <n v="3.5"/>
    <x v="1"/>
  </r>
  <r>
    <x v="3"/>
    <x v="0"/>
    <s v="GENNAIO"/>
    <x v="4"/>
    <n v="1"/>
    <s v="GENNAIO 2022"/>
    <x v="59"/>
    <n v="629.97"/>
    <x v="3"/>
  </r>
  <r>
    <x v="11"/>
    <x v="0"/>
    <s v="GENNAIO"/>
    <x v="4"/>
    <n v="1"/>
    <s v="GENNAIO 2022"/>
    <x v="59"/>
    <n v="54.26"/>
    <x v="7"/>
  </r>
  <r>
    <x v="9"/>
    <x v="0"/>
    <s v="GENNAIO"/>
    <x v="4"/>
    <n v="1"/>
    <s v="GENNAIO 2022"/>
    <x v="59"/>
    <n v="135.5"/>
    <x v="6"/>
  </r>
  <r>
    <x v="4"/>
    <x v="0"/>
    <s v="GENNAIO"/>
    <x v="4"/>
    <n v="1"/>
    <s v="GENNAIO 2022"/>
    <x v="59"/>
    <n v="44.5"/>
    <x v="4"/>
  </r>
  <r>
    <x v="2"/>
    <x v="1"/>
    <s v="GENNAIO"/>
    <x v="4"/>
    <n v="1"/>
    <s v="GENNAIO 2022"/>
    <x v="59"/>
    <n v="-50"/>
    <x v="2"/>
  </r>
  <r>
    <x v="7"/>
    <x v="0"/>
    <s v="GENNAIO"/>
    <x v="4"/>
    <n v="1"/>
    <s v="GENNAIO 2022"/>
    <x v="59"/>
    <n v="0.03"/>
    <x v="1"/>
  </r>
  <r>
    <x v="8"/>
    <x v="0"/>
    <s v="GENNAIO"/>
    <x v="4"/>
    <n v="1"/>
    <s v="GENNAIO 2022"/>
    <x v="59"/>
    <n v="-0.1"/>
    <x v="1"/>
  </r>
  <r>
    <x v="8"/>
    <x v="0"/>
    <s v="GENNAIO"/>
    <x v="4"/>
    <n v="1"/>
    <s v="GENNAIO 2022"/>
    <x v="59"/>
    <n v="11.61"/>
    <x v="1"/>
  </r>
  <r>
    <x v="2"/>
    <x v="1"/>
    <s v="DICEMBRE"/>
    <x v="5"/>
    <n v="12"/>
    <s v="DICEMBRE 2021"/>
    <x v="60"/>
    <n v="-250"/>
    <x v="2"/>
  </r>
  <r>
    <x v="0"/>
    <x v="0"/>
    <s v="DICEMBRE"/>
    <x v="5"/>
    <n v="12"/>
    <s v="DICEMBRE 2021"/>
    <x v="60"/>
    <n v="253.16"/>
    <x v="0"/>
  </r>
  <r>
    <x v="1"/>
    <x v="0"/>
    <s v="DICEMBRE"/>
    <x v="5"/>
    <n v="12"/>
    <s v="DICEMBRE 2021"/>
    <x v="60"/>
    <n v="3.5"/>
    <x v="1"/>
  </r>
  <r>
    <x v="2"/>
    <x v="1"/>
    <s v="DICEMBRE"/>
    <x v="5"/>
    <n v="12"/>
    <s v="DICEMBRE 2021"/>
    <x v="60"/>
    <n v="-1000"/>
    <x v="2"/>
  </r>
  <r>
    <x v="14"/>
    <x v="0"/>
    <s v="DICEMBRE"/>
    <x v="5"/>
    <n v="12"/>
    <s v="DICEMBRE 2021"/>
    <x v="60"/>
    <n v="48.81"/>
    <x v="9"/>
  </r>
  <r>
    <x v="14"/>
    <x v="0"/>
    <s v="DICEMBRE"/>
    <x v="5"/>
    <n v="12"/>
    <s v="DICEMBRE 2021"/>
    <x v="60"/>
    <n v="48.96"/>
    <x v="10"/>
  </r>
  <r>
    <x v="11"/>
    <x v="0"/>
    <s v="DICEMBRE"/>
    <x v="5"/>
    <n v="12"/>
    <s v="DICEMBRE 2021"/>
    <x v="60"/>
    <n v="51.06"/>
    <x v="7"/>
  </r>
  <r>
    <x v="9"/>
    <x v="0"/>
    <s v="DICEMBRE"/>
    <x v="5"/>
    <n v="12"/>
    <s v="DICEMBRE 2021"/>
    <x v="60"/>
    <n v="135.5"/>
    <x v="6"/>
  </r>
  <r>
    <x v="13"/>
    <x v="0"/>
    <s v="DICEMBRE"/>
    <x v="5"/>
    <n v="12"/>
    <s v="DICEMBRE 2021"/>
    <x v="60"/>
    <n v="67.540000000000006"/>
    <x v="8"/>
  </r>
  <r>
    <x v="4"/>
    <x v="0"/>
    <s v="DICEMBRE"/>
    <x v="5"/>
    <n v="12"/>
    <s v="DICEMBRE 2021"/>
    <x v="60"/>
    <n v="44.5"/>
    <x v="4"/>
  </r>
  <r>
    <x v="1"/>
    <x v="0"/>
    <s v="NOVEMBRE"/>
    <x v="5"/>
    <n v="11"/>
    <s v="NOVEMBRE 2021"/>
    <x v="61"/>
    <n v="3.5"/>
    <x v="1"/>
  </r>
  <r>
    <x v="3"/>
    <x v="0"/>
    <s v="NOVEMBRE"/>
    <x v="5"/>
    <n v="11"/>
    <s v="NOVEMBRE 2021"/>
    <x v="61"/>
    <n v="629.97"/>
    <x v="3"/>
  </r>
  <r>
    <x v="11"/>
    <x v="0"/>
    <s v="NOVEMBRE"/>
    <x v="5"/>
    <n v="11"/>
    <s v="NOVEMBRE 2021"/>
    <x v="61"/>
    <n v="51.06"/>
    <x v="7"/>
  </r>
  <r>
    <x v="2"/>
    <x v="1"/>
    <s v="NOVEMBRE"/>
    <x v="5"/>
    <n v="11"/>
    <s v="NOVEMBRE 2021"/>
    <x v="61"/>
    <n v="-950"/>
    <x v="2"/>
  </r>
  <r>
    <x v="9"/>
    <x v="0"/>
    <s v="NOVEMBRE"/>
    <x v="5"/>
    <n v="11"/>
    <s v="NOVEMBRE 2021"/>
    <x v="61"/>
    <n v="135.5"/>
    <x v="6"/>
  </r>
  <r>
    <x v="13"/>
    <x v="0"/>
    <s v="NOVEMBRE"/>
    <x v="5"/>
    <n v="11"/>
    <s v="NOVEMBRE 2021"/>
    <x v="61"/>
    <n v="67.540000000000006"/>
    <x v="8"/>
  </r>
  <r>
    <x v="4"/>
    <x v="0"/>
    <s v="NOVEMBRE"/>
    <x v="5"/>
    <n v="11"/>
    <s v="NOVEMBRE 2021"/>
    <x v="61"/>
    <n v="44.5"/>
    <x v="4"/>
  </r>
  <r>
    <x v="1"/>
    <x v="0"/>
    <s v="OTTOBRE"/>
    <x v="5"/>
    <n v="10"/>
    <s v="OTTOBRE 2021"/>
    <x v="62"/>
    <n v="3.5"/>
    <x v="1"/>
  </r>
  <r>
    <x v="2"/>
    <x v="1"/>
    <s v="OTTOBRE"/>
    <x v="5"/>
    <n v="10"/>
    <s v="OTTOBRE 2021"/>
    <x v="62"/>
    <n v="-1000"/>
    <x v="2"/>
  </r>
  <r>
    <x v="3"/>
    <x v="0"/>
    <s v="OTTOBRE"/>
    <x v="5"/>
    <n v="10"/>
    <s v="OTTOBRE 2021"/>
    <x v="62"/>
    <n v="629.97"/>
    <x v="3"/>
  </r>
  <r>
    <x v="11"/>
    <x v="0"/>
    <s v="OTTOBRE"/>
    <x v="5"/>
    <n v="10"/>
    <s v="OTTOBRE 2021"/>
    <x v="62"/>
    <n v="51.06"/>
    <x v="7"/>
  </r>
  <r>
    <x v="14"/>
    <x v="0"/>
    <s v="OTTOBRE"/>
    <x v="5"/>
    <n v="10"/>
    <s v="OTTOBRE 2021"/>
    <x v="62"/>
    <n v="101.25"/>
    <x v="9"/>
  </r>
  <r>
    <x v="14"/>
    <x v="0"/>
    <s v="OTTOBRE"/>
    <x v="5"/>
    <n v="10"/>
    <s v="OTTOBRE 2021"/>
    <x v="62"/>
    <n v="9.5"/>
    <x v="9"/>
  </r>
  <r>
    <x v="14"/>
    <x v="0"/>
    <s v="OTTOBRE"/>
    <x v="5"/>
    <n v="10"/>
    <s v="OTTOBRE 2021"/>
    <x v="62"/>
    <n v="37.5"/>
    <x v="10"/>
  </r>
  <r>
    <x v="9"/>
    <x v="0"/>
    <s v="OTTOBRE"/>
    <x v="5"/>
    <n v="10"/>
    <s v="OTTOBRE 2021"/>
    <x v="62"/>
    <n v="135.5"/>
    <x v="6"/>
  </r>
  <r>
    <x v="13"/>
    <x v="0"/>
    <s v="OTTOBRE"/>
    <x v="5"/>
    <n v="10"/>
    <s v="OTTOBRE 2021"/>
    <x v="62"/>
    <n v="67.540000000000006"/>
    <x v="8"/>
  </r>
  <r>
    <x v="4"/>
    <x v="0"/>
    <s v="OTTOBRE"/>
    <x v="5"/>
    <n v="10"/>
    <s v="OTTOBRE 2021"/>
    <x v="62"/>
    <n v="44.57"/>
    <x v="4"/>
  </r>
  <r>
    <x v="8"/>
    <x v="0"/>
    <s v="OTTOBRE"/>
    <x v="5"/>
    <n v="10"/>
    <s v="OTTOBRE 2021"/>
    <x v="62"/>
    <n v="9.89"/>
    <x v="1"/>
  </r>
  <r>
    <x v="1"/>
    <x v="0"/>
    <s v="SETTEMBRE"/>
    <x v="5"/>
    <n v="9"/>
    <s v="SETTEMBRE 2021"/>
    <x v="63"/>
    <n v="3.5"/>
    <x v="1"/>
  </r>
  <r>
    <x v="3"/>
    <x v="0"/>
    <s v="SETTEMBRE"/>
    <x v="5"/>
    <n v="9"/>
    <s v="SETTEMBRE 2021"/>
    <x v="63"/>
    <n v="629.97"/>
    <x v="3"/>
  </r>
  <r>
    <x v="11"/>
    <x v="0"/>
    <s v="SETTEMBRE"/>
    <x v="5"/>
    <n v="9"/>
    <s v="SETTEMBRE 2021"/>
    <x v="63"/>
    <n v="51.06"/>
    <x v="7"/>
  </r>
  <r>
    <x v="2"/>
    <x v="1"/>
    <s v="SETTEMBRE"/>
    <x v="5"/>
    <n v="9"/>
    <s v="SETTEMBRE 2021"/>
    <x v="63"/>
    <n v="-950"/>
    <x v="2"/>
  </r>
  <r>
    <x v="9"/>
    <x v="0"/>
    <s v="SETTEMBRE"/>
    <x v="5"/>
    <n v="9"/>
    <s v="SETTEMBRE 2021"/>
    <x v="63"/>
    <n v="135.5"/>
    <x v="6"/>
  </r>
  <r>
    <x v="13"/>
    <x v="0"/>
    <s v="SETTEMBRE"/>
    <x v="5"/>
    <n v="9"/>
    <s v="SETTEMBRE 2021"/>
    <x v="63"/>
    <n v="67.540000000000006"/>
    <x v="8"/>
  </r>
  <r>
    <x v="4"/>
    <x v="0"/>
    <s v="SETTEMBRE"/>
    <x v="5"/>
    <n v="9"/>
    <s v="SETTEMBRE 2021"/>
    <x v="63"/>
    <n v="44.5"/>
    <x v="4"/>
  </r>
  <r>
    <x v="1"/>
    <x v="0"/>
    <s v="AGOSTO"/>
    <x v="5"/>
    <n v="8"/>
    <s v="AGOSTO 2021"/>
    <x v="64"/>
    <n v="3.5"/>
    <x v="1"/>
  </r>
  <r>
    <x v="2"/>
    <x v="1"/>
    <s v="AGOSTO"/>
    <x v="5"/>
    <n v="8"/>
    <s v="AGOSTO 2021"/>
    <x v="64"/>
    <n v="-900"/>
    <x v="2"/>
  </r>
  <r>
    <x v="3"/>
    <x v="0"/>
    <s v="AGOSTO"/>
    <x v="5"/>
    <n v="8"/>
    <s v="AGOSTO 2021"/>
    <x v="64"/>
    <n v="629.97"/>
    <x v="3"/>
  </r>
  <r>
    <x v="11"/>
    <x v="0"/>
    <s v="AGOSTO"/>
    <x v="5"/>
    <n v="8"/>
    <s v="AGOSTO 2021"/>
    <x v="64"/>
    <n v="51.06"/>
    <x v="7"/>
  </r>
  <r>
    <x v="14"/>
    <x v="0"/>
    <s v="AGOSTO"/>
    <x v="5"/>
    <n v="8"/>
    <s v="AGOSTO 2021"/>
    <x v="64"/>
    <n v="111.88"/>
    <x v="9"/>
  </r>
  <r>
    <x v="14"/>
    <x v="0"/>
    <s v="AGOSTO"/>
    <x v="5"/>
    <n v="8"/>
    <s v="AGOSTO 2021"/>
    <x v="64"/>
    <n v="41.39"/>
    <x v="10"/>
  </r>
  <r>
    <x v="9"/>
    <x v="0"/>
    <s v="AGOSTO"/>
    <x v="5"/>
    <n v="8"/>
    <s v="AGOSTO 2021"/>
    <x v="64"/>
    <n v="135.5"/>
    <x v="6"/>
  </r>
  <r>
    <x v="13"/>
    <x v="0"/>
    <s v="AGOSTO"/>
    <x v="5"/>
    <n v="8"/>
    <s v="AGOSTO 2021"/>
    <x v="64"/>
    <n v="67.540000000000006"/>
    <x v="8"/>
  </r>
  <r>
    <x v="4"/>
    <x v="0"/>
    <s v="AGOSTO"/>
    <x v="5"/>
    <n v="8"/>
    <s v="AGOSTO 2021"/>
    <x v="64"/>
    <n v="44.5"/>
    <x v="4"/>
  </r>
  <r>
    <x v="1"/>
    <x v="0"/>
    <s v="LUGLIO"/>
    <x v="5"/>
    <n v="7"/>
    <s v="LUGLIO 2021"/>
    <x v="65"/>
    <n v="3.5"/>
    <x v="1"/>
  </r>
  <r>
    <x v="3"/>
    <x v="0"/>
    <s v="LUGLIO"/>
    <x v="5"/>
    <n v="7"/>
    <s v="LUGLIO 2021"/>
    <x v="65"/>
    <n v="629.97"/>
    <x v="3"/>
  </r>
  <r>
    <x v="2"/>
    <x v="1"/>
    <s v="LUGLIO"/>
    <x v="5"/>
    <n v="7"/>
    <s v="LUGLIO 2021"/>
    <x v="65"/>
    <n v="-550"/>
    <x v="2"/>
  </r>
  <r>
    <x v="11"/>
    <x v="0"/>
    <s v="LUGLIO"/>
    <x v="5"/>
    <n v="7"/>
    <s v="LUGLIO 2021"/>
    <x v="65"/>
    <n v="51.06"/>
    <x v="7"/>
  </r>
  <r>
    <x v="15"/>
    <x v="2"/>
    <s v="LUGLIO"/>
    <x v="5"/>
    <n v="7"/>
    <s v="LUGLIO 2021"/>
    <x v="65"/>
    <n v="-500"/>
    <x v="2"/>
  </r>
  <r>
    <x v="9"/>
    <x v="0"/>
    <s v="LUGLIO"/>
    <x v="5"/>
    <n v="7"/>
    <s v="LUGLIO 2021"/>
    <x v="65"/>
    <n v="135.5"/>
    <x v="6"/>
  </r>
  <r>
    <x v="13"/>
    <x v="0"/>
    <s v="LUGLIO"/>
    <x v="5"/>
    <n v="7"/>
    <s v="LUGLIO 2021"/>
    <x v="65"/>
    <n v="67.540000000000006"/>
    <x v="8"/>
  </r>
  <r>
    <x v="4"/>
    <x v="0"/>
    <s v="LUGLIO"/>
    <x v="5"/>
    <n v="7"/>
    <s v="LUGLIO 2021"/>
    <x v="65"/>
    <n v="44.5"/>
    <x v="4"/>
  </r>
  <r>
    <x v="16"/>
    <x v="0"/>
    <s v="LUGLIO"/>
    <x v="5"/>
    <n v="7"/>
    <s v="LUGLIO 2021"/>
    <x v="65"/>
    <n v="150.5"/>
    <x v="5"/>
  </r>
  <r>
    <x v="3"/>
    <x v="0"/>
    <s v="GIUGNO"/>
    <x v="5"/>
    <n v="6"/>
    <s v="GIUGNO 2021"/>
    <x v="66"/>
    <n v="629.97"/>
    <x v="3"/>
  </r>
  <r>
    <x v="1"/>
    <x v="0"/>
    <s v="GIUGNO"/>
    <x v="5"/>
    <n v="6"/>
    <s v="GIUGNO 2021"/>
    <x v="66"/>
    <n v="3.5"/>
    <x v="1"/>
  </r>
  <r>
    <x v="2"/>
    <x v="1"/>
    <s v="GIUGNO"/>
    <x v="5"/>
    <n v="6"/>
    <s v="GIUGNO 2021"/>
    <x v="66"/>
    <n v="-600"/>
    <x v="2"/>
  </r>
  <r>
    <x v="11"/>
    <x v="0"/>
    <s v="GIUGNO"/>
    <x v="5"/>
    <n v="6"/>
    <s v="GIUGNO 2021"/>
    <x v="66"/>
    <n v="51.06"/>
    <x v="7"/>
  </r>
  <r>
    <x v="15"/>
    <x v="2"/>
    <s v="GIUGNO"/>
    <x v="5"/>
    <n v="6"/>
    <s v="GIUGNO 2021"/>
    <x v="66"/>
    <n v="-450"/>
    <x v="2"/>
  </r>
  <r>
    <x v="9"/>
    <x v="0"/>
    <s v="GIUGNO"/>
    <x v="5"/>
    <n v="6"/>
    <s v="GIUGNO 2021"/>
    <x v="66"/>
    <n v="135.5"/>
    <x v="6"/>
  </r>
  <r>
    <x v="13"/>
    <x v="0"/>
    <s v="GIUGNO"/>
    <x v="5"/>
    <n v="6"/>
    <s v="GIUGNO 2021"/>
    <x v="66"/>
    <n v="67.540000000000006"/>
    <x v="8"/>
  </r>
  <r>
    <x v="14"/>
    <x v="0"/>
    <s v="GIUGNO"/>
    <x v="5"/>
    <n v="6"/>
    <s v="GIUGNO 2021"/>
    <x v="66"/>
    <n v="116.72"/>
    <x v="9"/>
  </r>
  <r>
    <x v="14"/>
    <x v="0"/>
    <s v="GIUGNO"/>
    <x v="5"/>
    <n v="6"/>
    <s v="GIUGNO 2021"/>
    <x v="66"/>
    <n v="66.38"/>
    <x v="10"/>
  </r>
  <r>
    <x v="4"/>
    <x v="0"/>
    <s v="GIUGNO"/>
    <x v="5"/>
    <n v="6"/>
    <s v="GIUGNO 2021"/>
    <x v="66"/>
    <n v="44.5"/>
    <x v="4"/>
  </r>
  <r>
    <x v="1"/>
    <x v="0"/>
    <s v="MAGGIO"/>
    <x v="5"/>
    <n v="5"/>
    <s v="MAGGIO 2021"/>
    <x v="67"/>
    <n v="3.5"/>
    <x v="1"/>
  </r>
  <r>
    <x v="3"/>
    <x v="0"/>
    <s v="MAGGIO"/>
    <x v="5"/>
    <n v="5"/>
    <s v="MAGGIO 2021"/>
    <x v="67"/>
    <n v="629.97"/>
    <x v="3"/>
  </r>
  <r>
    <x v="11"/>
    <x v="0"/>
    <s v="MAGGIO"/>
    <x v="5"/>
    <n v="5"/>
    <s v="MAGGIO 2021"/>
    <x v="67"/>
    <n v="51.06"/>
    <x v="7"/>
  </r>
  <r>
    <x v="13"/>
    <x v="0"/>
    <s v="MAGGIO"/>
    <x v="5"/>
    <n v="5"/>
    <s v="MAGGIO 2021"/>
    <x v="67"/>
    <n v="67.540000000000006"/>
    <x v="8"/>
  </r>
  <r>
    <x v="9"/>
    <x v="0"/>
    <s v="MAGGIO"/>
    <x v="5"/>
    <n v="5"/>
    <s v="MAGGIO 2021"/>
    <x v="67"/>
    <n v="135.5"/>
    <x v="6"/>
  </r>
  <r>
    <x v="4"/>
    <x v="0"/>
    <s v="MAGGIO"/>
    <x v="5"/>
    <n v="5"/>
    <s v="MAGGIO 2021"/>
    <x v="67"/>
    <n v="44.5"/>
    <x v="4"/>
  </r>
  <r>
    <x v="15"/>
    <x v="2"/>
    <s v="MAGGIO"/>
    <x v="5"/>
    <n v="5"/>
    <s v="MAGGIO 2021"/>
    <x v="67"/>
    <n v="-500"/>
    <x v="2"/>
  </r>
  <r>
    <x v="2"/>
    <x v="1"/>
    <s v="MAGGIO"/>
    <x v="5"/>
    <n v="5"/>
    <s v="MAGGIO 2021"/>
    <x v="67"/>
    <n v="-500"/>
    <x v="2"/>
  </r>
  <r>
    <x v="1"/>
    <x v="0"/>
    <s v="APRILE"/>
    <x v="5"/>
    <n v="4"/>
    <s v="APRILE 2021"/>
    <x v="68"/>
    <n v="3.5"/>
    <x v="1"/>
  </r>
  <r>
    <x v="3"/>
    <x v="0"/>
    <s v="APRILE"/>
    <x v="5"/>
    <n v="4"/>
    <s v="APRILE 2021"/>
    <x v="68"/>
    <n v="629.97"/>
    <x v="3"/>
  </r>
  <r>
    <x v="11"/>
    <x v="0"/>
    <s v="APRILE"/>
    <x v="5"/>
    <n v="4"/>
    <s v="APRILE 2021"/>
    <x v="68"/>
    <n v="51.06"/>
    <x v="7"/>
  </r>
  <r>
    <x v="9"/>
    <x v="0"/>
    <s v="APRILE"/>
    <x v="5"/>
    <n v="4"/>
    <s v="APRILE 2021"/>
    <x v="68"/>
    <n v="135.5"/>
    <x v="6"/>
  </r>
  <r>
    <x v="14"/>
    <x v="0"/>
    <s v="APRILE"/>
    <x v="5"/>
    <n v="4"/>
    <s v="APRILE 2021"/>
    <x v="68"/>
    <n v="100.96"/>
    <x v="10"/>
  </r>
  <r>
    <x v="15"/>
    <x v="2"/>
    <s v="APRILE"/>
    <x v="5"/>
    <n v="4"/>
    <s v="APRILE 2021"/>
    <x v="68"/>
    <n v="-500"/>
    <x v="2"/>
  </r>
  <r>
    <x v="2"/>
    <x v="1"/>
    <s v="APRILE"/>
    <x v="5"/>
    <n v="4"/>
    <s v="APRILE 2021"/>
    <x v="68"/>
    <n v="-500"/>
    <x v="2"/>
  </r>
  <r>
    <x v="14"/>
    <x v="0"/>
    <s v="APRILE"/>
    <x v="5"/>
    <n v="4"/>
    <s v="APRILE 2021"/>
    <x v="68"/>
    <n v="133.32"/>
    <x v="9"/>
  </r>
  <r>
    <x v="4"/>
    <x v="0"/>
    <s v="APRILE"/>
    <x v="5"/>
    <n v="4"/>
    <s v="APRILE 2021"/>
    <x v="68"/>
    <n v="44.5"/>
    <x v="4"/>
  </r>
  <r>
    <x v="1"/>
    <x v="0"/>
    <s v="MARZO"/>
    <x v="5"/>
    <n v="3"/>
    <s v="MARZO 2021"/>
    <x v="69"/>
    <n v="3.5"/>
    <x v="1"/>
  </r>
  <r>
    <x v="3"/>
    <x v="0"/>
    <s v="MARZO"/>
    <x v="5"/>
    <n v="3"/>
    <s v="MARZO 2021"/>
    <x v="69"/>
    <n v="629.97"/>
    <x v="3"/>
  </r>
  <r>
    <x v="11"/>
    <x v="0"/>
    <s v="MARZO"/>
    <x v="5"/>
    <n v="3"/>
    <s v="MARZO 2021"/>
    <x v="69"/>
    <n v="51.06"/>
    <x v="7"/>
  </r>
  <r>
    <x v="2"/>
    <x v="1"/>
    <s v="MARZO"/>
    <x v="5"/>
    <n v="3"/>
    <s v="MARZO 2021"/>
    <x v="69"/>
    <n v="-350"/>
    <x v="2"/>
  </r>
  <r>
    <x v="9"/>
    <x v="0"/>
    <s v="MARZO"/>
    <x v="5"/>
    <n v="3"/>
    <s v="MARZO 2021"/>
    <x v="69"/>
    <n v="150"/>
    <x v="6"/>
  </r>
  <r>
    <x v="4"/>
    <x v="0"/>
    <s v="MARZO"/>
    <x v="5"/>
    <n v="3"/>
    <s v="MARZO 2021"/>
    <x v="69"/>
    <n v="44.5"/>
    <x v="4"/>
  </r>
  <r>
    <x v="15"/>
    <x v="2"/>
    <s v="MARZO"/>
    <x v="5"/>
    <n v="3"/>
    <s v="MARZO 2021"/>
    <x v="69"/>
    <n v="-500"/>
    <x v="2"/>
  </r>
  <r>
    <x v="11"/>
    <x v="0"/>
    <s v="FEBBRAIO"/>
    <x v="5"/>
    <n v="2"/>
    <s v="FEBBRAIO 2021"/>
    <x v="70"/>
    <n v="67.06"/>
    <x v="7"/>
  </r>
  <r>
    <x v="1"/>
    <x v="0"/>
    <s v="FEBBRAIO"/>
    <x v="5"/>
    <n v="2"/>
    <s v="FEBBRAIO 2021"/>
    <x v="70"/>
    <n v="3.5"/>
    <x v="1"/>
  </r>
  <r>
    <x v="3"/>
    <x v="0"/>
    <s v="FEBBRAIO"/>
    <x v="5"/>
    <n v="2"/>
    <s v="FEBBRAIO 2021"/>
    <x v="70"/>
    <n v="629.97"/>
    <x v="3"/>
  </r>
  <r>
    <x v="15"/>
    <x v="2"/>
    <s v="FEBBRAIO"/>
    <x v="5"/>
    <n v="2"/>
    <s v="FEBBRAIO 2021"/>
    <x v="70"/>
    <n v="-500"/>
    <x v="2"/>
  </r>
  <r>
    <x v="14"/>
    <x v="0"/>
    <s v="FEBBRAIO"/>
    <x v="5"/>
    <n v="2"/>
    <s v="FEBBRAIO 2021"/>
    <x v="70"/>
    <n v="272.57"/>
    <x v="9"/>
  </r>
  <r>
    <x v="14"/>
    <x v="0"/>
    <s v="FEBBRAIO"/>
    <x v="5"/>
    <n v="2"/>
    <s v="FEBBRAIO 2021"/>
    <x v="70"/>
    <n v="111.86"/>
    <x v="10"/>
  </r>
  <r>
    <x v="4"/>
    <x v="0"/>
    <s v="FEBBRAIO"/>
    <x v="5"/>
    <n v="2"/>
    <s v="FEBBRAIO 2021"/>
    <x v="70"/>
    <n v="44.5"/>
    <x v="4"/>
  </r>
  <r>
    <x v="2"/>
    <x v="1"/>
    <s v="FEBBRAIO"/>
    <x v="5"/>
    <n v="2"/>
    <s v="FEBBRAIO 2021"/>
    <x v="70"/>
    <n v="-500"/>
    <x v="2"/>
  </r>
  <r>
    <x v="17"/>
    <x v="0"/>
    <s v="FEBBRAIO"/>
    <x v="5"/>
    <n v="2"/>
    <s v="FEBBRAIO 2021"/>
    <x v="70"/>
    <n v="1144.5"/>
    <x v="2"/>
  </r>
  <r>
    <x v="18"/>
    <x v="0"/>
    <s v="FEBBRAIO"/>
    <x v="5"/>
    <n v="2"/>
    <s v="FEBBRAIO 2021"/>
    <x v="70"/>
    <n v="-1160"/>
    <x v="2"/>
  </r>
  <r>
    <x v="1"/>
    <x v="0"/>
    <s v="GENNAIO"/>
    <x v="5"/>
    <n v="1"/>
    <s v="GENNAIO 2021"/>
    <x v="71"/>
    <n v="3.5"/>
    <x v="1"/>
  </r>
  <r>
    <x v="3"/>
    <x v="0"/>
    <s v="GENNAIO"/>
    <x v="5"/>
    <n v="1"/>
    <s v="GENNAIO 2021"/>
    <x v="71"/>
    <n v="629.97"/>
    <x v="3"/>
  </r>
  <r>
    <x v="4"/>
    <x v="0"/>
    <s v="GENNAIO"/>
    <x v="5"/>
    <n v="1"/>
    <s v="GENNAIO 2021"/>
    <x v="71"/>
    <n v="44.5"/>
    <x v="4"/>
  </r>
  <r>
    <x v="15"/>
    <x v="2"/>
    <s v="GENNAIO"/>
    <x v="5"/>
    <n v="1"/>
    <s v="GENNAIO 2021"/>
    <x v="71"/>
    <n v="-800"/>
    <x v="2"/>
  </r>
  <r>
    <x v="19"/>
    <x v="0"/>
    <s v="DICEMBRE"/>
    <x v="6"/>
    <n v="12"/>
    <s v="DICEMBRE 2020"/>
    <x v="72"/>
    <n v="0.02"/>
    <x v="1"/>
  </r>
  <r>
    <x v="20"/>
    <x v="0"/>
    <s v="DICEMBRE"/>
    <x v="6"/>
    <n v="12"/>
    <s v="DICEMBRE 2020"/>
    <x v="72"/>
    <n v="-7.0000000000000007E-2"/>
    <x v="1"/>
  </r>
  <r>
    <x v="1"/>
    <x v="0"/>
    <s v="DICEMBRE"/>
    <x v="6"/>
    <n v="12"/>
    <s v="DICEMBRE 2020"/>
    <x v="72"/>
    <n v="3.5"/>
    <x v="1"/>
  </r>
  <r>
    <x v="3"/>
    <x v="0"/>
    <s v="DICEMBRE"/>
    <x v="6"/>
    <n v="12"/>
    <s v="DICEMBRE 2020"/>
    <x v="72"/>
    <n v="629.97"/>
    <x v="3"/>
  </r>
  <r>
    <x v="2"/>
    <x v="1"/>
    <s v="DICEMBRE"/>
    <x v="6"/>
    <n v="12"/>
    <s v="DICEMBRE 2020"/>
    <x v="72"/>
    <n v="-350"/>
    <x v="2"/>
  </r>
  <r>
    <x v="4"/>
    <x v="0"/>
    <s v="DICEMBRE"/>
    <x v="6"/>
    <n v="12"/>
    <s v="DICEMBRE 2020"/>
    <x v="72"/>
    <n v="44.5"/>
    <x v="4"/>
  </r>
  <r>
    <x v="15"/>
    <x v="2"/>
    <s v="DICEMBRE"/>
    <x v="6"/>
    <n v="12"/>
    <s v="DICEMBRE 2020"/>
    <x v="72"/>
    <n v="-700"/>
    <x v="2"/>
  </r>
  <r>
    <x v="21"/>
    <x v="0"/>
    <s v="DICEMBRE"/>
    <x v="6"/>
    <n v="12"/>
    <s v="DICEMBRE 2020"/>
    <x v="72"/>
    <n v="1169.29"/>
    <x v="0"/>
  </r>
  <r>
    <x v="22"/>
    <x v="0"/>
    <s v="DICEMBRE"/>
    <x v="6"/>
    <n v="12"/>
    <s v="DICEMBRE 2020"/>
    <x v="72"/>
    <n v="1823.6"/>
    <x v="0"/>
  </r>
  <r>
    <x v="0"/>
    <x v="0"/>
    <s v="DICEMBRE"/>
    <x v="6"/>
    <n v="12"/>
    <s v="DICEMBRE 2020"/>
    <x v="72"/>
    <n v="253.16"/>
    <x v="0"/>
  </r>
  <r>
    <x v="23"/>
    <x v="0"/>
    <s v="DICEMBRE"/>
    <x v="6"/>
    <n v="12"/>
    <s v="DICEMBRE 2020"/>
    <x v="72"/>
    <n v="840.32"/>
    <x v="0"/>
  </r>
  <r>
    <x v="24"/>
    <x v="0"/>
    <s v="DICEMBRE"/>
    <x v="6"/>
    <n v="12"/>
    <s v="DICEMBRE 2020"/>
    <x v="72"/>
    <n v="721.27"/>
    <x v="0"/>
  </r>
  <r>
    <x v="1"/>
    <x v="0"/>
    <s v="NOVEMBRE"/>
    <x v="6"/>
    <n v="11"/>
    <s v="NOVEMBRE 2020"/>
    <x v="73"/>
    <n v="3.5"/>
    <x v="1"/>
  </r>
  <r>
    <x v="4"/>
    <x v="0"/>
    <s v="NOVEMBRE"/>
    <x v="6"/>
    <n v="11"/>
    <s v="NOVEMBRE 2020"/>
    <x v="73"/>
    <n v="31.13"/>
    <x v="4"/>
  </r>
  <r>
    <x v="25"/>
    <x v="0"/>
    <s v="NOVEMBRE"/>
    <x v="6"/>
    <n v="11"/>
    <s v="NOVEMBRE 2020"/>
    <x v="73"/>
    <n v="4292"/>
    <x v="11"/>
  </r>
  <r>
    <x v="26"/>
    <x v="0"/>
    <s v="NOVEMBRE"/>
    <x v="6"/>
    <n v="11"/>
    <s v="NOVEMBRE 2020"/>
    <x v="73"/>
    <n v="11.25"/>
    <x v="1"/>
  </r>
  <r>
    <x v="27"/>
    <x v="0"/>
    <s v="NOVEMBRE"/>
    <x v="6"/>
    <n v="11"/>
    <s v="NOVEMBRE 2020"/>
    <x v="73"/>
    <n v="-4500"/>
    <x v="12"/>
  </r>
  <r>
    <x v="28"/>
    <x v="0"/>
    <s v="NOVEMBRE"/>
    <x v="6"/>
    <n v="11"/>
    <s v="NOVEMBRE 2020"/>
    <x v="73"/>
    <n v="146693"/>
    <x v="11"/>
  </r>
  <r>
    <x v="29"/>
    <x v="0"/>
    <s v="NOVEMBRE"/>
    <x v="6"/>
    <n v="11"/>
    <s v="NOVEMBRE 2020"/>
    <x v="73"/>
    <n v="321.75"/>
    <x v="11"/>
  </r>
  <r>
    <x v="30"/>
    <x v="0"/>
    <s v="NOVEMBRE"/>
    <x v="6"/>
    <n v="11"/>
    <s v="NOVEMBRE 2020"/>
    <x v="73"/>
    <n v="1000"/>
    <x v="11"/>
  </r>
  <r>
    <x v="31"/>
    <x v="0"/>
    <s v="NOVEMBRE"/>
    <x v="6"/>
    <n v="11"/>
    <s v="NOVEMBRE 2020"/>
    <x v="73"/>
    <n v="-128700"/>
    <x v="13"/>
  </r>
  <r>
    <x v="32"/>
    <x v="0"/>
    <s v="NOVEMBRE"/>
    <x v="6"/>
    <n v="11"/>
    <s v="NOVEMBRE 2020"/>
    <x v="73"/>
    <n v="-213.5"/>
    <x v="11"/>
  </r>
  <r>
    <x v="15"/>
    <x v="2"/>
    <s v="NOVEMBRE"/>
    <x v="6"/>
    <n v="11"/>
    <s v="NOVEMBRE 2020"/>
    <x v="73"/>
    <n v="-13000"/>
    <x v="14"/>
  </r>
  <r>
    <x v="33"/>
    <x v="0"/>
    <s v="NOVEMBRE"/>
    <x v="6"/>
    <n v="11"/>
    <s v="NOVEMBRE 2020"/>
    <x v="73"/>
    <n v="218.5"/>
    <x v="11"/>
  </r>
  <r>
    <x v="2"/>
    <x v="1"/>
    <s v="NOVEMBRE"/>
    <x v="6"/>
    <n v="11"/>
    <s v="NOVEMBRE 2020"/>
    <x v="73"/>
    <n v="-11000"/>
    <x v="14"/>
  </r>
  <r>
    <x v="1"/>
    <x v="0"/>
    <s v="OTTOBRE"/>
    <x v="6"/>
    <n v="10"/>
    <s v="OTTOBRE 2020"/>
    <x v="74"/>
    <n v="0.56000000000000005"/>
    <x v="1"/>
  </r>
  <r>
    <x v="34"/>
    <x v="3"/>
    <m/>
    <x v="7"/>
    <m/>
    <m/>
    <x v="75"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7">
  <r>
    <x v="0"/>
    <s v="SETTEMBRE"/>
    <x v="0"/>
    <n v="9"/>
    <s v="SETTEMBRE 2026"/>
    <x v="0"/>
    <x v="0"/>
    <s v="COSTO SVAGHI"/>
    <n v="32"/>
    <m/>
    <m/>
    <m/>
  </r>
  <r>
    <x v="1"/>
    <s v="SETTEMBRE"/>
    <x v="0"/>
    <n v="9"/>
    <s v="SETTEMBRE 2026"/>
    <x v="0"/>
    <x v="0"/>
    <s v="COSTO SVAGHI"/>
    <n v="6"/>
    <m/>
    <m/>
    <m/>
  </r>
  <r>
    <x v="2"/>
    <s v="SETTEMBRE"/>
    <x v="0"/>
    <n v="9"/>
    <s v="SETTEMBRE 2026"/>
    <x v="0"/>
    <x v="1"/>
    <s v="COSTO CASA"/>
    <n v="20"/>
    <m/>
    <m/>
    <s v="SPESA PAPA'"/>
  </r>
  <r>
    <x v="3"/>
    <s v="SETTEMBRE"/>
    <x v="0"/>
    <n v="9"/>
    <s v="SETTEMBRE 2026"/>
    <x v="0"/>
    <x v="2"/>
    <s v="COSTO SOPRAVVIVENZA"/>
    <n v="5"/>
    <m/>
    <m/>
    <m/>
  </r>
  <r>
    <x v="4"/>
    <s v="SETTEMBRE"/>
    <x v="0"/>
    <n v="9"/>
    <s v="SETTEMBRE 2026"/>
    <x v="0"/>
    <x v="3"/>
    <s v="COSTO MOBILITA'"/>
    <n v="0.7"/>
    <m/>
    <m/>
    <m/>
  </r>
  <r>
    <x v="5"/>
    <s v="SETTEMBRE"/>
    <x v="0"/>
    <n v="9"/>
    <s v="SETTEMBRE 2026"/>
    <x v="0"/>
    <x v="4"/>
    <s v="MOVIMENTI CONTO"/>
    <n v="30"/>
    <m/>
    <s v="REVOLUT"/>
    <m/>
  </r>
  <r>
    <x v="3"/>
    <s v="SETTEMBRE"/>
    <x v="0"/>
    <n v="9"/>
    <s v="SETTEMBRE 2026"/>
    <x v="0"/>
    <x v="2"/>
    <s v="COSTO SOPRAVVIVENZA"/>
    <n v="5"/>
    <m/>
    <m/>
    <m/>
  </r>
  <r>
    <x v="6"/>
    <s v="SETTEMBRE"/>
    <x v="0"/>
    <n v="9"/>
    <s v="SETTEMBRE 2026"/>
    <x v="0"/>
    <x v="0"/>
    <s v="COSTO SVAGHI"/>
    <n v="14.5"/>
    <m/>
    <m/>
    <m/>
  </r>
  <r>
    <x v="3"/>
    <s v="SETTEMBRE"/>
    <x v="0"/>
    <n v="9"/>
    <s v="SETTEMBRE 2026"/>
    <x v="0"/>
    <x v="2"/>
    <s v="COSTO SOPRAVVIVENZA"/>
    <n v="5"/>
    <m/>
    <m/>
    <m/>
  </r>
  <r>
    <x v="7"/>
    <s v="SETTEMBRE"/>
    <x v="0"/>
    <n v="9"/>
    <s v="SETTEMBRE 2026"/>
    <x v="0"/>
    <x v="5"/>
    <s v="COSTO VACANZE"/>
    <n v="324"/>
    <m/>
    <m/>
    <s v="Matrimonio CUC"/>
  </r>
  <r>
    <x v="3"/>
    <s v="SETTEMBRE"/>
    <x v="0"/>
    <n v="9"/>
    <s v="SETTEMBRE 2026"/>
    <x v="0"/>
    <x v="2"/>
    <s v="COSTO SOPRAVVIVENZA"/>
    <n v="5"/>
    <m/>
    <m/>
    <m/>
  </r>
  <r>
    <x v="8"/>
    <s v="SETTEMBRE"/>
    <x v="0"/>
    <n v="9"/>
    <s v="SETTEMBRE 2026"/>
    <x v="0"/>
    <x v="6"/>
    <s v="COSTO SOPRAVVIVENZA"/>
    <n v="33"/>
    <m/>
    <m/>
    <m/>
  </r>
  <r>
    <x v="9"/>
    <s v="SETTEMBRE"/>
    <x v="0"/>
    <n v="9"/>
    <s v="SETTEMBRE 2026"/>
    <x v="0"/>
    <x v="0"/>
    <s v="COSTO SVAGHI"/>
    <n v="30"/>
    <m/>
    <m/>
    <m/>
  </r>
  <r>
    <x v="10"/>
    <s v="SETTEMBRE"/>
    <x v="0"/>
    <n v="9"/>
    <s v="SETTEMBRE 2026"/>
    <x v="0"/>
    <x v="0"/>
    <s v="COSTO SVAGHI"/>
    <n v="68.5"/>
    <m/>
    <m/>
    <m/>
  </r>
  <r>
    <x v="11"/>
    <s v="SETTEMBRE"/>
    <x v="0"/>
    <n v="9"/>
    <s v="SETTEMBRE 2026"/>
    <x v="0"/>
    <x v="0"/>
    <s v="COSTO SVAGHI"/>
    <n v="17"/>
    <m/>
    <m/>
    <m/>
  </r>
  <r>
    <x v="3"/>
    <s v="SETTEMBRE"/>
    <x v="0"/>
    <n v="9"/>
    <s v="SETTEMBRE 2026"/>
    <x v="0"/>
    <x v="2"/>
    <s v="COSTO SOPRAVVIVENZA"/>
    <n v="5"/>
    <m/>
    <m/>
    <m/>
  </r>
  <r>
    <x v="12"/>
    <s v="SETTEMBRE"/>
    <x v="0"/>
    <n v="9"/>
    <s v="SETTEMBRE 2026"/>
    <x v="0"/>
    <x v="7"/>
    <s v="COSTO SOPRAVVIVENZA"/>
    <n v="37.76"/>
    <m/>
    <m/>
    <m/>
  </r>
  <r>
    <x v="12"/>
    <s v="SETTEMBRE"/>
    <x v="0"/>
    <n v="9"/>
    <s v="SETTEMBRE 2026"/>
    <x v="0"/>
    <x v="7"/>
    <s v="COSTO SOPRAVVIVENZA"/>
    <n v="13.28"/>
    <m/>
    <m/>
    <m/>
  </r>
  <r>
    <x v="13"/>
    <s v="SETTEMBRE"/>
    <x v="0"/>
    <n v="9"/>
    <s v="SETTEMBRE 2026"/>
    <x v="0"/>
    <x v="0"/>
    <s v="COSTO SVAGHI"/>
    <n v="8"/>
    <m/>
    <m/>
    <m/>
  </r>
  <r>
    <x v="14"/>
    <s v="SETTEMBRE"/>
    <x v="0"/>
    <n v="9"/>
    <s v="SETTEMBRE 2026"/>
    <x v="0"/>
    <x v="0"/>
    <s v="COSTO SVAGHI"/>
    <n v="48.5"/>
    <m/>
    <m/>
    <m/>
  </r>
  <r>
    <x v="2"/>
    <s v="SETTEMBRE"/>
    <x v="0"/>
    <n v="9"/>
    <s v="SETTEMBRE 2026"/>
    <x v="0"/>
    <x v="8"/>
    <s v="COSTO SFIZI"/>
    <n v="15.95"/>
    <m/>
    <m/>
    <s v="SPESA PAPA'"/>
  </r>
  <r>
    <x v="3"/>
    <s v="SETTEMBRE"/>
    <x v="0"/>
    <n v="9"/>
    <s v="SETTEMBRE 2026"/>
    <x v="0"/>
    <x v="2"/>
    <s v="COSTO SOPRAVVIVENZA"/>
    <n v="5"/>
    <m/>
    <m/>
    <m/>
  </r>
  <r>
    <x v="11"/>
    <s v="SETTEMBRE"/>
    <x v="0"/>
    <n v="9"/>
    <s v="SETTEMBRE 2026"/>
    <x v="0"/>
    <x v="0"/>
    <s v="COSTO SVAGHI"/>
    <n v="4"/>
    <m/>
    <m/>
    <m/>
  </r>
  <r>
    <x v="2"/>
    <s v="SETTEMBRE"/>
    <x v="0"/>
    <n v="9"/>
    <s v="SETTEMBRE 2026"/>
    <x v="0"/>
    <x v="1"/>
    <s v="COSTO CASA"/>
    <n v="75.900000000000006"/>
    <m/>
    <m/>
    <s v="SPESA PAPA'"/>
  </r>
  <r>
    <x v="2"/>
    <s v="SETTEMBRE"/>
    <x v="0"/>
    <n v="9"/>
    <s v="SETTEMBRE 2026"/>
    <x v="0"/>
    <x v="8"/>
    <s v="COSTO SFIZI"/>
    <n v="21.99"/>
    <m/>
    <m/>
    <s v="REGALO DAVIDE TOSO"/>
  </r>
  <r>
    <x v="2"/>
    <s v="SETTEMBRE"/>
    <x v="0"/>
    <n v="9"/>
    <s v="SETTEMBRE 2026"/>
    <x v="0"/>
    <x v="8"/>
    <s v="COSTO SFIZI"/>
    <n v="19.989999999999998"/>
    <m/>
    <m/>
    <s v="SPESA PAPA'"/>
  </r>
  <r>
    <x v="2"/>
    <s v="SETTEMBRE"/>
    <x v="0"/>
    <n v="9"/>
    <s v="SETTEMBRE 2026"/>
    <x v="0"/>
    <x v="8"/>
    <s v="COSTO SFIZI"/>
    <n v="23.99"/>
    <m/>
    <m/>
    <s v="SPESA PAPA'"/>
  </r>
  <r>
    <x v="2"/>
    <s v="SETTEMBRE"/>
    <x v="0"/>
    <n v="9"/>
    <s v="SETTEMBRE 2026"/>
    <x v="0"/>
    <x v="8"/>
    <s v="COSTO SFIZI"/>
    <n v="19.5"/>
    <m/>
    <m/>
    <m/>
  </r>
  <r>
    <x v="5"/>
    <s v="SETTEMBRE"/>
    <x v="0"/>
    <n v="9"/>
    <s v="SETTEMBRE 2026"/>
    <x v="0"/>
    <x v="4"/>
    <s v="MOVIMENTI CONTO"/>
    <n v="600"/>
    <m/>
    <s v="REVOLUT"/>
    <m/>
  </r>
  <r>
    <x v="15"/>
    <s v="SETTEMBRE"/>
    <x v="0"/>
    <n v="9"/>
    <s v="SETTEMBRE 2026"/>
    <x v="0"/>
    <x v="1"/>
    <s v="COSTO CASA"/>
    <n v="21.23"/>
    <m/>
    <m/>
    <s v="SPESA GAS"/>
  </r>
  <r>
    <x v="16"/>
    <s v="SETTEMBRE"/>
    <x v="0"/>
    <n v="9"/>
    <s v="SETTEMBRE 2026"/>
    <x v="0"/>
    <x v="0"/>
    <s v="COSTO SVAGHI"/>
    <n v="39"/>
    <m/>
    <m/>
    <m/>
  </r>
  <r>
    <x v="17"/>
    <s v="SETTEMBRE"/>
    <x v="0"/>
    <n v="9"/>
    <s v="SETTEMBRE 2026"/>
    <x v="0"/>
    <x v="7"/>
    <s v="COSTO SOPRAVVIVENZA"/>
    <n v="36.04"/>
    <m/>
    <m/>
    <m/>
  </r>
  <r>
    <x v="2"/>
    <s v="SETTEMBRE"/>
    <x v="0"/>
    <n v="9"/>
    <s v="SETTEMBRE 2026"/>
    <x v="0"/>
    <x v="8"/>
    <s v="COSTO SFIZI"/>
    <n v="73.8"/>
    <s v="5/5"/>
    <s v="AMAZON"/>
    <s v="TV PAPA'"/>
  </r>
  <r>
    <x v="2"/>
    <s v="SETTEMBRE"/>
    <x v="0"/>
    <n v="9"/>
    <s v="SETTEMBRE 2026"/>
    <x v="0"/>
    <x v="8"/>
    <s v="COSTO SFIZI"/>
    <n v="45.75"/>
    <s v="3/5"/>
    <s v="AMAZON"/>
    <s v="MOVA"/>
  </r>
  <r>
    <x v="2"/>
    <s v="SETTEMBRE"/>
    <x v="0"/>
    <n v="9"/>
    <s v="SETTEMBRE 2026"/>
    <x v="0"/>
    <x v="1"/>
    <s v="COSTO CASA"/>
    <n v="23.9"/>
    <m/>
    <m/>
    <m/>
  </r>
  <r>
    <x v="5"/>
    <s v="SETTEMBRE"/>
    <x v="0"/>
    <n v="9"/>
    <s v="SETTEMBRE 2026"/>
    <x v="0"/>
    <x v="4"/>
    <s v="MOVIMENTI CONTO"/>
    <n v="300"/>
    <m/>
    <s v="REVOLUT"/>
    <m/>
  </r>
  <r>
    <x v="2"/>
    <s v="SETTEMBRE"/>
    <x v="0"/>
    <n v="9"/>
    <s v="SETTEMBRE 2026"/>
    <x v="0"/>
    <x v="1"/>
    <s v="COSTO CASA"/>
    <n v="56.9"/>
    <m/>
    <m/>
    <s v="SPESA PAPA'"/>
  </r>
  <r>
    <x v="18"/>
    <s v="SETTEMBRE"/>
    <x v="0"/>
    <n v="9"/>
    <s v="SETTEMBRE 2026"/>
    <x v="0"/>
    <x v="0"/>
    <s v="COSTO SVAGHI"/>
    <n v="7"/>
    <m/>
    <m/>
    <m/>
  </r>
  <r>
    <x v="3"/>
    <s v="SETTEMBRE"/>
    <x v="0"/>
    <n v="9"/>
    <s v="SETTEMBRE 2026"/>
    <x v="0"/>
    <x v="2"/>
    <s v="COSTO SOPRAVVIVENZA"/>
    <n v="5"/>
    <m/>
    <m/>
    <m/>
  </r>
  <r>
    <x v="19"/>
    <s v="SETTEMBRE"/>
    <x v="0"/>
    <n v="9"/>
    <s v="SETTEMBRE 2026"/>
    <x v="0"/>
    <x v="0"/>
    <s v="COSTO SVAGHI"/>
    <n v="10.9"/>
    <m/>
    <m/>
    <m/>
  </r>
  <r>
    <x v="20"/>
    <s v="AGOSTO"/>
    <x v="0"/>
    <n v="8"/>
    <s v="AGOSTO 2026"/>
    <x v="1"/>
    <x v="0"/>
    <s v="COSTO SVAGHI"/>
    <n v="5.8"/>
    <m/>
    <m/>
    <m/>
  </r>
  <r>
    <x v="3"/>
    <s v="AGOSTO"/>
    <x v="0"/>
    <n v="8"/>
    <s v="AGOSTO 2026"/>
    <x v="1"/>
    <x v="2"/>
    <s v="COSTO SOPRAVVIVENZA"/>
    <n v="5"/>
    <m/>
    <m/>
    <m/>
  </r>
  <r>
    <x v="2"/>
    <s v="AGOSTO"/>
    <x v="0"/>
    <n v="8"/>
    <s v="AGOSTO 2026"/>
    <x v="1"/>
    <x v="8"/>
    <s v="COSTO SFIZI"/>
    <n v="20"/>
    <m/>
    <m/>
    <m/>
  </r>
  <r>
    <x v="15"/>
    <s v="AGOSTO"/>
    <x v="0"/>
    <n v="8"/>
    <s v="AGOSTO 2026"/>
    <x v="1"/>
    <x v="1"/>
    <s v="COSTO CASA"/>
    <n v="92.14"/>
    <m/>
    <m/>
    <s v="SPESA ENERGIA"/>
  </r>
  <r>
    <x v="2"/>
    <s v="AGOSTO"/>
    <x v="0"/>
    <n v="8"/>
    <s v="AGOSTO 2026"/>
    <x v="1"/>
    <x v="8"/>
    <s v="COSTO SFIZI"/>
    <n v="10.99"/>
    <m/>
    <m/>
    <m/>
  </r>
  <r>
    <x v="21"/>
    <s v="AGOSTO"/>
    <x v="0"/>
    <n v="8"/>
    <s v="AGOSTO 2026"/>
    <x v="1"/>
    <x v="9"/>
    <s v="COSTO MOBILITA'"/>
    <n v="12"/>
    <m/>
    <m/>
    <m/>
  </r>
  <r>
    <x v="17"/>
    <s v="AGOSTO"/>
    <x v="0"/>
    <n v="8"/>
    <s v="AGOSTO 2026"/>
    <x v="1"/>
    <x v="7"/>
    <s v="COSTO SOPRAVVIVENZA"/>
    <n v="5.73"/>
    <m/>
    <m/>
    <m/>
  </r>
  <r>
    <x v="22"/>
    <s v="AGOSTO"/>
    <x v="0"/>
    <n v="8"/>
    <s v="AGOSTO 2026"/>
    <x v="1"/>
    <x v="1"/>
    <s v="COSTO CASA"/>
    <n v="1.8"/>
    <m/>
    <m/>
    <m/>
  </r>
  <r>
    <x v="23"/>
    <s v="AGOSTO"/>
    <x v="0"/>
    <n v="8"/>
    <s v="AGOSTO 2026"/>
    <x v="1"/>
    <x v="3"/>
    <s v="COSTO MOBILITA'"/>
    <n v="0.95"/>
    <m/>
    <m/>
    <m/>
  </r>
  <r>
    <x v="24"/>
    <s v="AGOSTO"/>
    <x v="0"/>
    <n v="8"/>
    <s v="AGOSTO 2026"/>
    <x v="1"/>
    <x v="0"/>
    <s v="COSTO SVAGHI"/>
    <n v="12.5"/>
    <m/>
    <m/>
    <s v="Viaggio Costiera Amalfitana 26"/>
  </r>
  <r>
    <x v="25"/>
    <s v="AGOSTO"/>
    <x v="0"/>
    <n v="8"/>
    <s v="AGOSTO 2026"/>
    <x v="1"/>
    <x v="0"/>
    <s v="COSTO SVAGHI"/>
    <n v="9.6"/>
    <m/>
    <m/>
    <s v="Viaggio Costiera Amalfitana 26"/>
  </r>
  <r>
    <x v="26"/>
    <s v="AGOSTO"/>
    <x v="0"/>
    <n v="8"/>
    <s v="AGOSTO 2026"/>
    <x v="1"/>
    <x v="10"/>
    <s v="COSTO SFIZI"/>
    <n v="8.5"/>
    <m/>
    <m/>
    <s v="Viaggio Costiera Amalfitana 26"/>
  </r>
  <r>
    <x v="27"/>
    <s v="AGOSTO"/>
    <x v="0"/>
    <n v="8"/>
    <s v="AGOSTO 2026"/>
    <x v="1"/>
    <x v="10"/>
    <s v="COSTO SFIZI"/>
    <n v="10.5"/>
    <m/>
    <m/>
    <s v="Viaggio Costiera Amalfitana 26"/>
  </r>
  <r>
    <x v="28"/>
    <s v="AGOSTO"/>
    <x v="0"/>
    <n v="8"/>
    <s v="AGOSTO 2026"/>
    <x v="1"/>
    <x v="0"/>
    <s v="COSTO SVAGHI"/>
    <n v="20"/>
    <m/>
    <m/>
    <s v="Viaggio Costiera Amalfitana 26"/>
  </r>
  <r>
    <x v="29"/>
    <s v="AGOSTO"/>
    <x v="0"/>
    <n v="8"/>
    <s v="AGOSTO 2026"/>
    <x v="1"/>
    <x v="0"/>
    <s v="COSTO SVAGHI"/>
    <n v="44"/>
    <m/>
    <m/>
    <s v="Viaggio Costiera Amalfitana 26"/>
  </r>
  <r>
    <x v="30"/>
    <s v="AGOSTO"/>
    <x v="0"/>
    <n v="8"/>
    <s v="AGOSTO 2026"/>
    <x v="1"/>
    <x v="5"/>
    <s v="COSTO VACANZE"/>
    <n v="5"/>
    <m/>
    <m/>
    <s v="Viaggio Costiera Amalfitana 26"/>
  </r>
  <r>
    <x v="31"/>
    <s v="AGOSTO"/>
    <x v="0"/>
    <n v="8"/>
    <s v="AGOSTO 2026"/>
    <x v="1"/>
    <x v="11"/>
    <s v="COSTO SFIZI"/>
    <n v="10"/>
    <m/>
    <m/>
    <s v="Viaggio Costiera Amalfitana 26"/>
  </r>
  <r>
    <x v="32"/>
    <s v="AGOSTO"/>
    <x v="0"/>
    <n v="8"/>
    <s v="AGOSTO 2026"/>
    <x v="1"/>
    <x v="0"/>
    <s v="COSTO SVAGHI"/>
    <n v="112"/>
    <m/>
    <m/>
    <s v="Viaggio Costiera Amalfitana 26"/>
  </r>
  <r>
    <x v="33"/>
    <s v="AGOSTO"/>
    <x v="0"/>
    <n v="8"/>
    <s v="AGOSTO 2026"/>
    <x v="1"/>
    <x v="3"/>
    <s v="COSTO MOBILITA'"/>
    <n v="24"/>
    <m/>
    <m/>
    <s v="Viaggio Costiera Amalfitana 26"/>
  </r>
  <r>
    <x v="34"/>
    <s v="AGOSTO"/>
    <x v="0"/>
    <n v="8"/>
    <s v="AGOSTO 2026"/>
    <x v="1"/>
    <x v="0"/>
    <s v="COSTO SVAGHI"/>
    <n v="11.95"/>
    <m/>
    <m/>
    <s v="Viaggio Costiera Amalfitana 26"/>
  </r>
  <r>
    <x v="35"/>
    <s v="AGOSTO"/>
    <x v="0"/>
    <n v="8"/>
    <s v="AGOSTO 2026"/>
    <x v="1"/>
    <x v="1"/>
    <s v="COSTO CASA"/>
    <n v="23.39"/>
    <m/>
    <m/>
    <m/>
  </r>
  <r>
    <x v="36"/>
    <s v="AGOSTO"/>
    <x v="0"/>
    <n v="8"/>
    <s v="AGOSTO 2026"/>
    <x v="1"/>
    <x v="0"/>
    <s v="COSTO SVAGHI"/>
    <n v="11.2"/>
    <m/>
    <m/>
    <m/>
  </r>
  <r>
    <x v="37"/>
    <s v="AGOSTO"/>
    <x v="0"/>
    <n v="8"/>
    <s v="AGOSTO 2026"/>
    <x v="1"/>
    <x v="0"/>
    <s v="COSTO SVAGHI"/>
    <n v="13.4"/>
    <m/>
    <m/>
    <m/>
  </r>
  <r>
    <x v="20"/>
    <s v="AGOSTO"/>
    <x v="0"/>
    <n v="8"/>
    <s v="AGOSTO 2026"/>
    <x v="1"/>
    <x v="0"/>
    <s v="COSTO SVAGHI"/>
    <n v="5.8"/>
    <m/>
    <m/>
    <m/>
  </r>
  <r>
    <x v="3"/>
    <s v="AGOSTO"/>
    <x v="0"/>
    <n v="8"/>
    <s v="AGOSTO 2026"/>
    <x v="1"/>
    <x v="2"/>
    <s v="COSTO SOPRAVVIVENZA"/>
    <n v="5"/>
    <m/>
    <m/>
    <m/>
  </r>
  <r>
    <x v="7"/>
    <s v="AGOSTO"/>
    <x v="0"/>
    <n v="8"/>
    <s v="AGOSTO 2026"/>
    <x v="1"/>
    <x v="5"/>
    <s v="COSTO VACANZE"/>
    <n v="1349"/>
    <m/>
    <m/>
    <s v="Viaggio Costiera Amalfitana 26"/>
  </r>
  <r>
    <x v="2"/>
    <s v="AGOSTO"/>
    <x v="0"/>
    <n v="8"/>
    <s v="AGOSTO 2026"/>
    <x v="1"/>
    <x v="8"/>
    <s v="COSTO SFIZI"/>
    <n v="73.8"/>
    <s v="4/5"/>
    <s v="AMAZON"/>
    <s v="TV PAPA'"/>
  </r>
  <r>
    <x v="2"/>
    <s v="AGOSTO"/>
    <x v="0"/>
    <n v="8"/>
    <s v="AGOSTO 2026"/>
    <x v="1"/>
    <x v="8"/>
    <s v="COSTO SFIZI"/>
    <n v="20.9"/>
    <m/>
    <s v="AMAZON"/>
    <m/>
  </r>
  <r>
    <x v="12"/>
    <s v="AGOSTO"/>
    <x v="0"/>
    <n v="8"/>
    <s v="AGOSTO 2026"/>
    <x v="1"/>
    <x v="7"/>
    <s v="COSTO SOPRAVVIVENZA"/>
    <n v="17.87"/>
    <m/>
    <m/>
    <m/>
  </r>
  <r>
    <x v="11"/>
    <s v="AGOSTO"/>
    <x v="0"/>
    <n v="8"/>
    <s v="AGOSTO 2026"/>
    <x v="1"/>
    <x v="0"/>
    <s v="COSTO SVAGHI"/>
    <n v="39.5"/>
    <m/>
    <m/>
    <m/>
  </r>
  <r>
    <x v="2"/>
    <s v="AGOSTO"/>
    <x v="0"/>
    <n v="8"/>
    <s v="AGOSTO 2026"/>
    <x v="1"/>
    <x v="8"/>
    <s v="COSTO SFIZI"/>
    <n v="12"/>
    <m/>
    <s v="AMAZON"/>
    <m/>
  </r>
  <r>
    <x v="18"/>
    <s v="AGOSTO"/>
    <x v="0"/>
    <n v="8"/>
    <s v="AGOSTO 2026"/>
    <x v="1"/>
    <x v="0"/>
    <s v="COSTO SVAGHI"/>
    <n v="9.5"/>
    <m/>
    <m/>
    <m/>
  </r>
  <r>
    <x v="18"/>
    <s v="AGOSTO"/>
    <x v="0"/>
    <n v="8"/>
    <s v="AGOSTO 2026"/>
    <x v="1"/>
    <x v="0"/>
    <s v="COSTO SVAGHI"/>
    <n v="26"/>
    <m/>
    <m/>
    <m/>
  </r>
  <r>
    <x v="2"/>
    <s v="AGOSTO"/>
    <x v="0"/>
    <n v="8"/>
    <s v="AGOSTO 2026"/>
    <x v="1"/>
    <x v="8"/>
    <s v="COSTO SFIZI"/>
    <n v="45.75"/>
    <s v="2/5"/>
    <s v="AMAZON"/>
    <s v="MOVA"/>
  </r>
  <r>
    <x v="15"/>
    <s v="AGOSTO"/>
    <x v="0"/>
    <n v="8"/>
    <s v="AGOSTO 2026"/>
    <x v="1"/>
    <x v="1"/>
    <s v="COSTO CASA"/>
    <n v="30.25"/>
    <m/>
    <m/>
    <s v="SPESA GAS"/>
  </r>
  <r>
    <x v="38"/>
    <s v="AGOSTO"/>
    <x v="0"/>
    <n v="8"/>
    <s v="AGOSTO 2026"/>
    <x v="1"/>
    <x v="0"/>
    <s v="COSTO SVAGHI"/>
    <n v="15"/>
    <m/>
    <m/>
    <m/>
  </r>
  <r>
    <x v="39"/>
    <s v="AGOSTO"/>
    <x v="0"/>
    <n v="8"/>
    <s v="AGOSTO 2026"/>
    <x v="1"/>
    <x v="0"/>
    <s v="COSTO SVAGHI"/>
    <n v="34"/>
    <m/>
    <m/>
    <m/>
  </r>
  <r>
    <x v="12"/>
    <s v="AGOSTO"/>
    <x v="0"/>
    <n v="8"/>
    <s v="AGOSTO 2026"/>
    <x v="1"/>
    <x v="7"/>
    <s v="COSTO SOPRAVVIVENZA"/>
    <n v="19.760000000000002"/>
    <m/>
    <m/>
    <m/>
  </r>
  <r>
    <x v="37"/>
    <s v="AGOSTO"/>
    <x v="0"/>
    <n v="8"/>
    <s v="AGOSTO 2026"/>
    <x v="1"/>
    <x v="0"/>
    <s v="COSTO SVAGHI"/>
    <n v="13.4"/>
    <m/>
    <m/>
    <m/>
  </r>
  <r>
    <x v="35"/>
    <s v="AGOSTO"/>
    <x v="0"/>
    <n v="8"/>
    <s v="AGOSTO 2026"/>
    <x v="1"/>
    <x v="1"/>
    <s v="COSTO CASA"/>
    <n v="22.68"/>
    <m/>
    <m/>
    <m/>
  </r>
  <r>
    <x v="17"/>
    <s v="AGOSTO"/>
    <x v="0"/>
    <n v="8"/>
    <s v="AGOSTO 2026"/>
    <x v="1"/>
    <x v="7"/>
    <s v="COSTO SOPRAVVIVENZA"/>
    <n v="13.36"/>
    <m/>
    <m/>
    <m/>
  </r>
  <r>
    <x v="3"/>
    <s v="AGOSTO"/>
    <x v="0"/>
    <n v="8"/>
    <s v="AGOSTO 2026"/>
    <x v="1"/>
    <x v="2"/>
    <s v="COSTO SOPRAVVIVENZA"/>
    <n v="5"/>
    <m/>
    <m/>
    <m/>
  </r>
  <r>
    <x v="2"/>
    <s v="LUGLIO"/>
    <x v="0"/>
    <n v="7"/>
    <s v="LUGLIO 2026"/>
    <x v="2"/>
    <x v="8"/>
    <s v="COSTO SFIZI"/>
    <n v="20"/>
    <m/>
    <s v="AMAZON"/>
    <m/>
  </r>
  <r>
    <x v="40"/>
    <s v="LUGLIO"/>
    <x v="0"/>
    <n v="7"/>
    <s v="LUGLIO 2026"/>
    <x v="2"/>
    <x v="0"/>
    <s v="COSTO SVAGHI"/>
    <n v="40"/>
    <m/>
    <m/>
    <s v="Addio al cellibato Cuc"/>
  </r>
  <r>
    <x v="40"/>
    <s v="LUGLIO"/>
    <x v="0"/>
    <n v="7"/>
    <s v="LUGLIO 2026"/>
    <x v="2"/>
    <x v="0"/>
    <s v="COSTO SVAGHI"/>
    <n v="50"/>
    <m/>
    <m/>
    <s v="Addio al cellibato Cuc"/>
  </r>
  <r>
    <x v="40"/>
    <s v="LUGLIO"/>
    <x v="0"/>
    <n v="7"/>
    <s v="LUGLIO 2026"/>
    <x v="2"/>
    <x v="0"/>
    <s v="COSTO SVAGHI"/>
    <n v="50"/>
    <m/>
    <m/>
    <s v="Addio al cellibato Cuc"/>
  </r>
  <r>
    <x v="41"/>
    <s v="LUGLIO"/>
    <x v="0"/>
    <n v="7"/>
    <s v="LUGLIO 2026"/>
    <x v="2"/>
    <x v="3"/>
    <s v="COSTO MOBILITA'"/>
    <n v="20"/>
    <m/>
    <m/>
    <s v="Addio al cellibato Cuc"/>
  </r>
  <r>
    <x v="15"/>
    <s v="LUGLIO"/>
    <x v="0"/>
    <n v="7"/>
    <s v="LUGLIO 2026"/>
    <x v="2"/>
    <x v="1"/>
    <s v="COSTO CASA"/>
    <n v="90.27"/>
    <m/>
    <m/>
    <s v="SPESA ENERGIA"/>
  </r>
  <r>
    <x v="2"/>
    <s v="LUGLIO"/>
    <x v="0"/>
    <n v="7"/>
    <s v="LUGLIO 2026"/>
    <x v="2"/>
    <x v="8"/>
    <s v="COSTO SFIZI"/>
    <n v="13.99"/>
    <m/>
    <s v="AMAZON"/>
    <m/>
  </r>
  <r>
    <x v="17"/>
    <s v="LUGLIO"/>
    <x v="0"/>
    <n v="7"/>
    <s v="LUGLIO 2026"/>
    <x v="2"/>
    <x v="7"/>
    <s v="COSTO SOPRAVVIVENZA"/>
    <n v="18.760000000000002"/>
    <m/>
    <m/>
    <m/>
  </r>
  <r>
    <x v="42"/>
    <s v="LUGLIO"/>
    <x v="0"/>
    <n v="7"/>
    <s v="LUGLIO 2026"/>
    <x v="2"/>
    <x v="0"/>
    <s v="COSTO SVAGHI"/>
    <n v="48.5"/>
    <m/>
    <m/>
    <m/>
  </r>
  <r>
    <x v="20"/>
    <s v="LUGLIO"/>
    <x v="0"/>
    <n v="7"/>
    <s v="LUGLIO 2026"/>
    <x v="2"/>
    <x v="0"/>
    <s v="COSTO SVAGHI"/>
    <n v="5.8"/>
    <m/>
    <m/>
    <m/>
  </r>
  <r>
    <x v="3"/>
    <s v="LUGLIO"/>
    <x v="0"/>
    <n v="7"/>
    <s v="LUGLIO 2026"/>
    <x v="2"/>
    <x v="2"/>
    <s v="COSTO SOPRAVVIVENZA"/>
    <n v="5"/>
    <m/>
    <m/>
    <m/>
  </r>
  <r>
    <x v="17"/>
    <s v="LUGLIO"/>
    <x v="0"/>
    <n v="7"/>
    <s v="LUGLIO 2026"/>
    <x v="2"/>
    <x v="7"/>
    <s v="COSTO SOPRAVVIVENZA"/>
    <n v="3.97"/>
    <m/>
    <m/>
    <m/>
  </r>
  <r>
    <x v="22"/>
    <s v="LUGLIO"/>
    <x v="0"/>
    <n v="7"/>
    <s v="LUGLIO 2026"/>
    <x v="2"/>
    <x v="1"/>
    <s v="COSTO CASA"/>
    <n v="6.1"/>
    <m/>
    <m/>
    <m/>
  </r>
  <r>
    <x v="12"/>
    <s v="LUGLIO"/>
    <x v="0"/>
    <n v="7"/>
    <s v="LUGLIO 2026"/>
    <x v="2"/>
    <x v="7"/>
    <s v="COSTO SOPRAVVIVENZA"/>
    <n v="6.47"/>
    <m/>
    <m/>
    <m/>
  </r>
  <r>
    <x v="19"/>
    <s v="LUGLIO"/>
    <x v="0"/>
    <n v="7"/>
    <s v="LUGLIO 2026"/>
    <x v="2"/>
    <x v="0"/>
    <s v="COSTO SVAGHI"/>
    <n v="11.9"/>
    <m/>
    <m/>
    <m/>
  </r>
  <r>
    <x v="43"/>
    <s v="LUGLIO"/>
    <x v="0"/>
    <n v="7"/>
    <s v="LUGLIO 2026"/>
    <x v="2"/>
    <x v="12"/>
    <s v="COSTO SVAGHI"/>
    <n v="14.49"/>
    <m/>
    <m/>
    <m/>
  </r>
  <r>
    <x v="5"/>
    <s v="LUGLIO"/>
    <x v="0"/>
    <n v="7"/>
    <s v="LUGLIO 2026"/>
    <x v="2"/>
    <x v="4"/>
    <s v="MOVIMENTI CONTO"/>
    <n v="50"/>
    <m/>
    <s v="REVOLUT"/>
    <m/>
  </r>
  <r>
    <x v="44"/>
    <s v="LUGLIO"/>
    <x v="0"/>
    <n v="7"/>
    <s v="LUGLIO 2026"/>
    <x v="2"/>
    <x v="0"/>
    <s v="COSTO SVAGHI"/>
    <n v="6.5"/>
    <m/>
    <m/>
    <m/>
  </r>
  <r>
    <x v="45"/>
    <s v="LUGLIO"/>
    <x v="0"/>
    <n v="7"/>
    <s v="LUGLIO 2026"/>
    <x v="2"/>
    <x v="0"/>
    <s v="COSTO SVAGHI"/>
    <n v="23"/>
    <m/>
    <m/>
    <m/>
  </r>
  <r>
    <x v="46"/>
    <s v="LUGLIO"/>
    <x v="0"/>
    <n v="7"/>
    <s v="LUGLIO 2026"/>
    <x v="2"/>
    <x v="0"/>
    <s v="COSTO SVAGHI"/>
    <n v="5"/>
    <m/>
    <m/>
    <m/>
  </r>
  <r>
    <x v="46"/>
    <s v="LUGLIO"/>
    <x v="0"/>
    <n v="7"/>
    <s v="LUGLIO 2026"/>
    <x v="2"/>
    <x v="0"/>
    <s v="COSTO SVAGHI"/>
    <n v="60"/>
    <m/>
    <m/>
    <m/>
  </r>
  <r>
    <x v="47"/>
    <s v="LUGLIO"/>
    <x v="0"/>
    <n v="7"/>
    <s v="LUGLIO 2026"/>
    <x v="2"/>
    <x v="10"/>
    <s v="COSTO SFIZI"/>
    <n v="34.9"/>
    <m/>
    <m/>
    <m/>
  </r>
  <r>
    <x v="48"/>
    <s v="LUGLIO"/>
    <x v="0"/>
    <n v="7"/>
    <s v="LUGLIO 2026"/>
    <x v="2"/>
    <x v="10"/>
    <s v="COSTO SFIZI"/>
    <n v="23.99"/>
    <m/>
    <m/>
    <m/>
  </r>
  <r>
    <x v="49"/>
    <s v="LUGLIO"/>
    <x v="0"/>
    <n v="7"/>
    <s v="LUGLIO 2026"/>
    <x v="2"/>
    <x v="0"/>
    <s v="COSTO SVAGHI"/>
    <n v="10.3"/>
    <m/>
    <m/>
    <m/>
  </r>
  <r>
    <x v="2"/>
    <s v="LUGLIO"/>
    <x v="0"/>
    <n v="7"/>
    <s v="LUGLIO 2026"/>
    <x v="2"/>
    <x v="8"/>
    <s v="COSTO SFIZI"/>
    <n v="52.79"/>
    <m/>
    <s v="AMAZON"/>
    <m/>
  </r>
  <r>
    <x v="37"/>
    <s v="LUGLIO"/>
    <x v="0"/>
    <n v="7"/>
    <s v="LUGLIO 2026"/>
    <x v="2"/>
    <x v="0"/>
    <s v="COSTO SVAGHI"/>
    <n v="11.4"/>
    <m/>
    <m/>
    <m/>
  </r>
  <r>
    <x v="2"/>
    <s v="LUGLIO"/>
    <x v="0"/>
    <n v="7"/>
    <s v="LUGLIO 2026"/>
    <x v="2"/>
    <x v="11"/>
    <s v="COSTO SFIZI"/>
    <n v="23.42"/>
    <m/>
    <m/>
    <m/>
  </r>
  <r>
    <x v="17"/>
    <s v="LUGLIO"/>
    <x v="0"/>
    <n v="7"/>
    <s v="LUGLIO 2026"/>
    <x v="2"/>
    <x v="7"/>
    <s v="COSTO SOPRAVVIVENZA"/>
    <n v="8.94"/>
    <m/>
    <m/>
    <m/>
  </r>
  <r>
    <x v="3"/>
    <s v="LUGLIO"/>
    <x v="0"/>
    <n v="7"/>
    <s v="LUGLIO 2026"/>
    <x v="2"/>
    <x v="2"/>
    <s v="COSTO SOPRAVVIVENZA"/>
    <n v="5"/>
    <m/>
    <m/>
    <m/>
  </r>
  <r>
    <x v="2"/>
    <s v="LUGLIO"/>
    <x v="0"/>
    <n v="7"/>
    <s v="LUGLIO 2026"/>
    <x v="2"/>
    <x v="11"/>
    <s v="COSTO SFIZI"/>
    <n v="72"/>
    <m/>
    <s v="AMAZON"/>
    <m/>
  </r>
  <r>
    <x v="45"/>
    <s v="LUGLIO"/>
    <x v="0"/>
    <n v="7"/>
    <s v="LUGLIO 2026"/>
    <x v="2"/>
    <x v="0"/>
    <s v="COSTO SVAGHI"/>
    <n v="20.3"/>
    <m/>
    <m/>
    <m/>
  </r>
  <r>
    <x v="50"/>
    <s v="LUGLIO"/>
    <x v="0"/>
    <n v="7"/>
    <s v="LUGLIO 2026"/>
    <x v="2"/>
    <x v="0"/>
    <s v="COSTO SVAGHI"/>
    <n v="33.5"/>
    <m/>
    <m/>
    <m/>
  </r>
  <r>
    <x v="11"/>
    <s v="LUGLIO"/>
    <x v="0"/>
    <n v="7"/>
    <s v="LUGLIO 2026"/>
    <x v="2"/>
    <x v="0"/>
    <s v="COSTO SVAGHI"/>
    <n v="13.5"/>
    <m/>
    <m/>
    <m/>
  </r>
  <r>
    <x v="7"/>
    <s v="LUGLIO"/>
    <x v="0"/>
    <n v="7"/>
    <s v="LUGLIO 2026"/>
    <x v="2"/>
    <x v="5"/>
    <s v="COSTO VACANZE"/>
    <n v="758.33"/>
    <m/>
    <m/>
    <s v="Addio al cellibato Cuc"/>
  </r>
  <r>
    <x v="51"/>
    <s v="LUGLIO"/>
    <x v="0"/>
    <n v="7"/>
    <s v="LUGLIO 2026"/>
    <x v="2"/>
    <x v="0"/>
    <s v="COSTO SVAGHI"/>
    <n v="3.5"/>
    <m/>
    <m/>
    <m/>
  </r>
  <r>
    <x v="51"/>
    <s v="LUGLIO"/>
    <x v="0"/>
    <n v="7"/>
    <s v="LUGLIO 2026"/>
    <x v="2"/>
    <x v="0"/>
    <s v="COSTO SVAGHI"/>
    <n v="5.8"/>
    <m/>
    <m/>
    <m/>
  </r>
  <r>
    <x v="52"/>
    <s v="LUGLIO"/>
    <x v="0"/>
    <n v="7"/>
    <s v="LUGLIO 2026"/>
    <x v="2"/>
    <x v="0"/>
    <s v="COSTO SVAGHI"/>
    <n v="37"/>
    <m/>
    <m/>
    <m/>
  </r>
  <r>
    <x v="6"/>
    <s v="LUGLIO"/>
    <x v="0"/>
    <n v="7"/>
    <s v="LUGLIO 2026"/>
    <x v="2"/>
    <x v="0"/>
    <s v="COSTO SVAGHI"/>
    <n v="24"/>
    <m/>
    <m/>
    <m/>
  </r>
  <r>
    <x v="2"/>
    <s v="LUGLIO"/>
    <x v="0"/>
    <n v="7"/>
    <s v="LUGLIO 2026"/>
    <x v="2"/>
    <x v="8"/>
    <s v="COSTO SFIZI"/>
    <n v="73.8"/>
    <s v="3/5"/>
    <s v="AMAZON"/>
    <s v="TV PAPA'"/>
  </r>
  <r>
    <x v="2"/>
    <s v="LUGLIO"/>
    <x v="0"/>
    <n v="7"/>
    <s v="LUGLIO 2026"/>
    <x v="2"/>
    <x v="8"/>
    <s v="COSTO SFIZI"/>
    <n v="45.75"/>
    <s v="1/5"/>
    <s v="AMAZON"/>
    <s v="MOVA"/>
  </r>
  <r>
    <x v="12"/>
    <s v="LUGLIO"/>
    <x v="0"/>
    <n v="7"/>
    <s v="LUGLIO 2026"/>
    <x v="2"/>
    <x v="7"/>
    <s v="COSTO SOPRAVVIVENZA"/>
    <n v="17.420000000000002"/>
    <m/>
    <m/>
    <m/>
  </r>
  <r>
    <x v="3"/>
    <s v="LUGLIO"/>
    <x v="0"/>
    <n v="7"/>
    <s v="LUGLIO 2026"/>
    <x v="2"/>
    <x v="2"/>
    <s v="COSTO SOPRAVVIVENZA"/>
    <n v="5"/>
    <m/>
    <m/>
    <m/>
  </r>
  <r>
    <x v="43"/>
    <s v="LUGLIO"/>
    <x v="0"/>
    <n v="7"/>
    <s v="LUGLIO 2026"/>
    <x v="2"/>
    <x v="12"/>
    <s v="COSTO SVAGHI"/>
    <n v="14.49"/>
    <m/>
    <m/>
    <m/>
  </r>
  <r>
    <x v="17"/>
    <s v="LUGLIO"/>
    <x v="0"/>
    <n v="7"/>
    <s v="LUGLIO 2026"/>
    <x v="2"/>
    <x v="7"/>
    <s v="COSTO SOPRAVVIVENZA"/>
    <n v="30.84"/>
    <m/>
    <m/>
    <m/>
  </r>
  <r>
    <x v="41"/>
    <s v="LUGLIO"/>
    <x v="0"/>
    <n v="7"/>
    <s v="LUGLIO 2026"/>
    <x v="2"/>
    <x v="3"/>
    <s v="COSTO MOBILITA'"/>
    <n v="2.2000000000000002"/>
    <m/>
    <m/>
    <m/>
  </r>
  <r>
    <x v="53"/>
    <s v="LUGLIO"/>
    <x v="0"/>
    <n v="7"/>
    <s v="LUGLIO 2026"/>
    <x v="2"/>
    <x v="1"/>
    <s v="COSTO CASA"/>
    <n v="60.6"/>
    <m/>
    <m/>
    <m/>
  </r>
  <r>
    <x v="54"/>
    <s v="LUGLIO"/>
    <x v="0"/>
    <n v="7"/>
    <s v="LUGLIO 2026"/>
    <x v="2"/>
    <x v="0"/>
    <s v="COSTO SVAGHI"/>
    <n v="10.4"/>
    <m/>
    <m/>
    <m/>
  </r>
  <r>
    <x v="55"/>
    <s v="LUGLIO"/>
    <x v="0"/>
    <n v="7"/>
    <s v="LUGLIO 2026"/>
    <x v="2"/>
    <x v="7"/>
    <s v="COSTO SOPRAVVIVENZA"/>
    <n v="22.83"/>
    <m/>
    <m/>
    <m/>
  </r>
  <r>
    <x v="15"/>
    <s v="GIUGNO"/>
    <x v="0"/>
    <n v="6"/>
    <s v="GIUGNO 2026"/>
    <x v="3"/>
    <x v="1"/>
    <s v="COSTO CASA"/>
    <n v="69.45"/>
    <m/>
    <m/>
    <s v="SPESA ENERGIA"/>
  </r>
  <r>
    <x v="3"/>
    <s v="GIUGNO"/>
    <x v="0"/>
    <n v="6"/>
    <s v="GIUGNO 2026"/>
    <x v="3"/>
    <x v="2"/>
    <s v="COSTO SOPRAVVIVENZA"/>
    <n v="5"/>
    <m/>
    <m/>
    <m/>
  </r>
  <r>
    <x v="2"/>
    <s v="GIUGNO"/>
    <x v="0"/>
    <n v="6"/>
    <s v="GIUGNO 2026"/>
    <x v="3"/>
    <x v="8"/>
    <s v="COSTO SFIZI"/>
    <n v="20"/>
    <m/>
    <s v="AMAZON"/>
    <m/>
  </r>
  <r>
    <x v="12"/>
    <s v="GIUGNO"/>
    <x v="0"/>
    <n v="6"/>
    <s v="GIUGNO 2026"/>
    <x v="3"/>
    <x v="7"/>
    <s v="COSTO SOPRAVVIVENZA"/>
    <n v="13.29"/>
    <m/>
    <m/>
    <m/>
  </r>
  <r>
    <x v="45"/>
    <s v="GIUGNO"/>
    <x v="0"/>
    <n v="6"/>
    <s v="GIUGNO 2026"/>
    <x v="3"/>
    <x v="0"/>
    <s v="COSTO SVAGHI"/>
    <n v="11"/>
    <m/>
    <m/>
    <m/>
  </r>
  <r>
    <x v="2"/>
    <s v="GIUGNO"/>
    <x v="0"/>
    <n v="6"/>
    <s v="GIUGNO 2026"/>
    <x v="3"/>
    <x v="8"/>
    <s v="COSTO SFIZI"/>
    <n v="17.09"/>
    <m/>
    <s v="AMAZON"/>
    <m/>
  </r>
  <r>
    <x v="2"/>
    <s v="GIUGNO"/>
    <x v="0"/>
    <n v="6"/>
    <s v="GIUGNO 2026"/>
    <x v="3"/>
    <x v="11"/>
    <s v="COSTO SFIZI"/>
    <n v="18"/>
    <m/>
    <s v="AMAZON"/>
    <m/>
  </r>
  <r>
    <x v="5"/>
    <s v="GIUGNO"/>
    <x v="0"/>
    <n v="6"/>
    <s v="GIUGNO 2026"/>
    <x v="3"/>
    <x v="4"/>
    <s v="MOVIMENTI CONTO"/>
    <n v="15"/>
    <m/>
    <s v="REVOLUT"/>
    <m/>
  </r>
  <r>
    <x v="3"/>
    <s v="GIUGNO"/>
    <x v="0"/>
    <n v="6"/>
    <s v="GIUGNO 2026"/>
    <x v="3"/>
    <x v="2"/>
    <s v="COSTO SOPRAVVIVENZA"/>
    <n v="5"/>
    <m/>
    <m/>
    <m/>
  </r>
  <r>
    <x v="5"/>
    <s v="GIUGNO"/>
    <x v="0"/>
    <n v="6"/>
    <s v="GIUGNO 2026"/>
    <x v="3"/>
    <x v="4"/>
    <s v="MOVIMENTI CONTO"/>
    <n v="80"/>
    <m/>
    <s v="REVOLUT"/>
    <m/>
  </r>
  <r>
    <x v="21"/>
    <s v="GIUGNO"/>
    <x v="0"/>
    <n v="6"/>
    <s v="GIUGNO 2026"/>
    <x v="3"/>
    <x v="9"/>
    <s v="COSTO MOBILITA'"/>
    <n v="10"/>
    <m/>
    <m/>
    <m/>
  </r>
  <r>
    <x v="2"/>
    <s v="GIUGNO"/>
    <x v="0"/>
    <n v="6"/>
    <s v="GIUGNO 2026"/>
    <x v="3"/>
    <x v="11"/>
    <s v="COSTO SFIZI"/>
    <n v="21.6"/>
    <m/>
    <s v="AMAZON"/>
    <m/>
  </r>
  <r>
    <x v="56"/>
    <s v="GIUGNO"/>
    <x v="0"/>
    <n v="6"/>
    <s v="GIUGNO 2026"/>
    <x v="3"/>
    <x v="0"/>
    <s v="COSTO SVAGHI"/>
    <n v="25"/>
    <m/>
    <m/>
    <m/>
  </r>
  <r>
    <x v="56"/>
    <s v="GIUGNO"/>
    <x v="0"/>
    <n v="6"/>
    <s v="GIUGNO 2026"/>
    <x v="3"/>
    <x v="0"/>
    <s v="COSTO SVAGHI"/>
    <n v="5"/>
    <m/>
    <m/>
    <m/>
  </r>
  <r>
    <x v="56"/>
    <s v="GIUGNO"/>
    <x v="0"/>
    <n v="6"/>
    <s v="GIUGNO 2026"/>
    <x v="3"/>
    <x v="0"/>
    <s v="COSTO SVAGHI"/>
    <n v="55"/>
    <m/>
    <m/>
    <m/>
  </r>
  <r>
    <x v="57"/>
    <s v="GIUGNO"/>
    <x v="0"/>
    <n v="6"/>
    <s v="GIUGNO 2026"/>
    <x v="3"/>
    <x v="0"/>
    <s v="COSTO SVAGHI"/>
    <n v="24.9"/>
    <m/>
    <m/>
    <m/>
  </r>
  <r>
    <x v="57"/>
    <s v="GIUGNO"/>
    <x v="0"/>
    <n v="6"/>
    <s v="GIUGNO 2026"/>
    <x v="3"/>
    <x v="0"/>
    <s v="COSTO SVAGHI"/>
    <n v="9.3000000000000007"/>
    <m/>
    <m/>
    <m/>
  </r>
  <r>
    <x v="3"/>
    <s v="GIUGNO"/>
    <x v="0"/>
    <n v="6"/>
    <s v="GIUGNO 2026"/>
    <x v="3"/>
    <x v="2"/>
    <s v="COSTO SOPRAVVIVENZA"/>
    <n v="5"/>
    <m/>
    <m/>
    <m/>
  </r>
  <r>
    <x v="58"/>
    <s v="GIUGNO"/>
    <x v="0"/>
    <n v="6"/>
    <s v="GIUGNO 2026"/>
    <x v="3"/>
    <x v="0"/>
    <s v="COSTO SVAGHI"/>
    <n v="2.15"/>
    <m/>
    <m/>
    <m/>
  </r>
  <r>
    <x v="59"/>
    <s v="GIUGNO"/>
    <x v="0"/>
    <n v="6"/>
    <s v="GIUGNO 2026"/>
    <x v="3"/>
    <x v="0"/>
    <s v="COSTO SVAGHI"/>
    <n v="28"/>
    <m/>
    <m/>
    <s v="La Lagunare"/>
  </r>
  <r>
    <x v="60"/>
    <s v="GIUGNO"/>
    <x v="0"/>
    <n v="6"/>
    <s v="GIUGNO 2026"/>
    <x v="3"/>
    <x v="0"/>
    <s v="COSTO SVAGHI"/>
    <n v="20"/>
    <m/>
    <m/>
    <s v="La Lagunare"/>
  </r>
  <r>
    <x v="59"/>
    <s v="GIUGNO"/>
    <x v="0"/>
    <n v="6"/>
    <s v="GIUGNO 2026"/>
    <x v="3"/>
    <x v="0"/>
    <s v="COSTO SVAGHI"/>
    <n v="16"/>
    <m/>
    <m/>
    <s v="La Lagunare"/>
  </r>
  <r>
    <x v="11"/>
    <s v="GIUGNO"/>
    <x v="0"/>
    <n v="6"/>
    <s v="GIUGNO 2026"/>
    <x v="3"/>
    <x v="0"/>
    <s v="COSTO SVAGHI"/>
    <n v="6"/>
    <m/>
    <m/>
    <m/>
  </r>
  <r>
    <x v="59"/>
    <s v="GIUGNO"/>
    <x v="0"/>
    <n v="6"/>
    <s v="GIUGNO 2026"/>
    <x v="3"/>
    <x v="0"/>
    <s v="COSTO SVAGHI"/>
    <n v="12"/>
    <m/>
    <m/>
    <s v="La Lagunare"/>
  </r>
  <r>
    <x v="12"/>
    <s v="GIUGNO"/>
    <x v="0"/>
    <n v="6"/>
    <s v="GIUGNO 2026"/>
    <x v="3"/>
    <x v="7"/>
    <s v="COSTO SOPRAVVIVENZA"/>
    <n v="13.19"/>
    <m/>
    <m/>
    <m/>
  </r>
  <r>
    <x v="17"/>
    <s v="GIUGNO"/>
    <x v="0"/>
    <n v="6"/>
    <s v="GIUGNO 2026"/>
    <x v="3"/>
    <x v="7"/>
    <s v="COSTO SOPRAVVIVENZA"/>
    <n v="31.8"/>
    <m/>
    <m/>
    <m/>
  </r>
  <r>
    <x v="12"/>
    <s v="GIUGNO"/>
    <x v="0"/>
    <n v="6"/>
    <s v="GIUGNO 2026"/>
    <x v="3"/>
    <x v="7"/>
    <s v="COSTO SOPRAVVIVENZA"/>
    <n v="4.99"/>
    <m/>
    <m/>
    <m/>
  </r>
  <r>
    <x v="3"/>
    <s v="GIUGNO"/>
    <x v="0"/>
    <n v="6"/>
    <s v="GIUGNO 2026"/>
    <x v="3"/>
    <x v="2"/>
    <s v="COSTO SOPRAVVIVENZA"/>
    <n v="5"/>
    <m/>
    <m/>
    <m/>
  </r>
  <r>
    <x v="21"/>
    <s v="GIUGNO"/>
    <x v="0"/>
    <n v="6"/>
    <s v="GIUGNO 2026"/>
    <x v="3"/>
    <x v="9"/>
    <s v="COSTO MOBILITA'"/>
    <n v="8"/>
    <m/>
    <m/>
    <m/>
  </r>
  <r>
    <x v="35"/>
    <s v="GIUGNO"/>
    <x v="0"/>
    <n v="6"/>
    <s v="GIUGNO 2026"/>
    <x v="3"/>
    <x v="1"/>
    <s v="COSTO CASA"/>
    <n v="14.08"/>
    <m/>
    <m/>
    <m/>
  </r>
  <r>
    <x v="61"/>
    <s v="GIUGNO"/>
    <x v="0"/>
    <n v="6"/>
    <s v="GIUGNO 2026"/>
    <x v="3"/>
    <x v="11"/>
    <s v="COSTO SFIZI"/>
    <n v="67"/>
    <m/>
    <m/>
    <m/>
  </r>
  <r>
    <x v="62"/>
    <s v="GIUGNO"/>
    <x v="0"/>
    <n v="6"/>
    <s v="GIUGNO 2026"/>
    <x v="3"/>
    <x v="11"/>
    <s v="COSTO SFIZI"/>
    <n v="199"/>
    <m/>
    <m/>
    <m/>
  </r>
  <r>
    <x v="63"/>
    <s v="GIUGNO"/>
    <x v="0"/>
    <n v="6"/>
    <s v="GIUGNO 2026"/>
    <x v="3"/>
    <x v="12"/>
    <s v="COSTO SVAGHI"/>
    <n v="6.82"/>
    <m/>
    <s v="PAYPAL"/>
    <s v="Eleazaro Rossi"/>
  </r>
  <r>
    <x v="12"/>
    <s v="GIUGNO"/>
    <x v="0"/>
    <n v="6"/>
    <s v="GIUGNO 2026"/>
    <x v="3"/>
    <x v="7"/>
    <s v="COSTO SOPRAVVIVENZA"/>
    <n v="30.81"/>
    <m/>
    <m/>
    <m/>
  </r>
  <r>
    <x v="64"/>
    <s v="GIUGNO"/>
    <x v="0"/>
    <n v="6"/>
    <s v="GIUGNO 2026"/>
    <x v="3"/>
    <x v="0"/>
    <s v="COSTO SVAGHI"/>
    <n v="2.5"/>
    <m/>
    <m/>
    <s v="Viaggio Venezia 2026"/>
  </r>
  <r>
    <x v="65"/>
    <s v="GIUGNO"/>
    <x v="0"/>
    <n v="6"/>
    <s v="GIUGNO 2026"/>
    <x v="3"/>
    <x v="0"/>
    <s v="COSTO SVAGHI"/>
    <n v="42"/>
    <m/>
    <m/>
    <s v="Viaggio Venezia 2026"/>
  </r>
  <r>
    <x v="7"/>
    <s v="GIUGNO"/>
    <x v="0"/>
    <n v="6"/>
    <s v="GIUGNO 2026"/>
    <x v="3"/>
    <x v="12"/>
    <s v="COSTO SVAGHI"/>
    <n v="56"/>
    <m/>
    <m/>
    <s v="Viaggio Venezia 2026"/>
  </r>
  <r>
    <x v="63"/>
    <s v="GIUGNO"/>
    <x v="0"/>
    <n v="6"/>
    <s v="GIUGNO 2026"/>
    <x v="3"/>
    <x v="12"/>
    <s v="COSTO SVAGHI"/>
    <n v="19.09"/>
    <m/>
    <s v="PAYPAL"/>
    <s v="I ministri"/>
  </r>
  <r>
    <x v="5"/>
    <s v="GIUGNO"/>
    <x v="0"/>
    <n v="6"/>
    <s v="GIUGNO 2026"/>
    <x v="3"/>
    <x v="4"/>
    <s v="MOVIMENTI CONTO"/>
    <n v="80"/>
    <m/>
    <s v="REVOLUT"/>
    <m/>
  </r>
  <r>
    <x v="5"/>
    <s v="GIUGNO"/>
    <x v="0"/>
    <n v="6"/>
    <s v="GIUGNO 2026"/>
    <x v="3"/>
    <x v="4"/>
    <s v="MOVIMENTI CONTO"/>
    <n v="130"/>
    <m/>
    <s v="REVOLUT"/>
    <m/>
  </r>
  <r>
    <x v="2"/>
    <s v="GIUGNO"/>
    <x v="0"/>
    <n v="6"/>
    <s v="GIUGNO 2026"/>
    <x v="3"/>
    <x v="8"/>
    <s v="COSTO SFIZI"/>
    <n v="59.99"/>
    <m/>
    <s v="AMAZON"/>
    <s v="Rasoio Braun"/>
  </r>
  <r>
    <x v="2"/>
    <s v="GIUGNO"/>
    <x v="0"/>
    <n v="6"/>
    <s v="GIUGNO 2026"/>
    <x v="3"/>
    <x v="8"/>
    <s v="COSTO CASA"/>
    <n v="193.97"/>
    <m/>
    <s v="AMAZON"/>
    <s v="VIDA XL "/>
  </r>
  <r>
    <x v="2"/>
    <s v="GIUGNO"/>
    <x v="0"/>
    <n v="6"/>
    <s v="GIUGNO 2026"/>
    <x v="3"/>
    <x v="8"/>
    <s v="COSTO SFIZI"/>
    <n v="73.8"/>
    <s v="2/5"/>
    <s v="AMAZON"/>
    <s v="TV PAPA'"/>
  </r>
  <r>
    <x v="2"/>
    <s v="GIUGNO"/>
    <x v="0"/>
    <n v="6"/>
    <s v="GIUGNO 2026"/>
    <x v="3"/>
    <x v="8"/>
    <s v="COSTO SFIZI"/>
    <n v="35.79"/>
    <s v="5/5"/>
    <s v="AMAZON"/>
    <s v="Router Mercusys"/>
  </r>
  <r>
    <x v="2"/>
    <s v="GIUGNO"/>
    <x v="0"/>
    <n v="6"/>
    <s v="GIUGNO 2026"/>
    <x v="3"/>
    <x v="8"/>
    <s v="COSTO SFIZI"/>
    <n v="38.799999999999997"/>
    <s v="5/5"/>
    <s v="AMAZON"/>
    <s v="Monitor LG 32&quot;"/>
  </r>
  <r>
    <x v="66"/>
    <s v="MAGGIO"/>
    <x v="0"/>
    <n v="5"/>
    <s v="MAGGIO 2026"/>
    <x v="4"/>
    <x v="3"/>
    <s v="COSTO MOBILITA'"/>
    <n v="41.95"/>
    <m/>
    <m/>
    <s v="Viaggio Venezia 2026"/>
  </r>
  <r>
    <x v="3"/>
    <s v="MAGGIO"/>
    <x v="0"/>
    <n v="5"/>
    <s v="MAGGIO 2026"/>
    <x v="4"/>
    <x v="2"/>
    <s v="COSTO SOPRAVVIVENZA"/>
    <n v="5"/>
    <m/>
    <m/>
    <m/>
  </r>
  <r>
    <x v="7"/>
    <s v="MAGGIO"/>
    <x v="0"/>
    <n v="5"/>
    <s v="MAGGIO 2026"/>
    <x v="4"/>
    <x v="5"/>
    <s v="COSTO VACANZE"/>
    <n v="339.78"/>
    <m/>
    <m/>
    <s v="Viaggio Venezia 2026"/>
  </r>
  <r>
    <x v="5"/>
    <s v="MAGGIO"/>
    <x v="0"/>
    <n v="5"/>
    <s v="MAGGIO 2026"/>
    <x v="4"/>
    <x v="4"/>
    <s v="MOVIMENTI CONTO"/>
    <n v="100"/>
    <m/>
    <s v="REVOLUT"/>
    <m/>
  </r>
  <r>
    <x v="67"/>
    <s v="MAGGIO"/>
    <x v="0"/>
    <n v="5"/>
    <s v="MAGGIO 2026"/>
    <x v="4"/>
    <x v="7"/>
    <s v="COSTO SOPRAVVIVENZA"/>
    <n v="4.57"/>
    <m/>
    <m/>
    <m/>
  </r>
  <r>
    <x v="21"/>
    <s v="MAGGIO"/>
    <x v="0"/>
    <n v="5"/>
    <s v="MAGGIO 2026"/>
    <x v="4"/>
    <x v="9"/>
    <s v="COSTO MOBILITA'"/>
    <n v="10"/>
    <m/>
    <m/>
    <m/>
  </r>
  <r>
    <x v="19"/>
    <s v="MAGGIO"/>
    <x v="0"/>
    <n v="5"/>
    <s v="MAGGIO 2026"/>
    <x v="4"/>
    <x v="0"/>
    <s v="COSTO SVAGHI"/>
    <n v="11.4"/>
    <m/>
    <m/>
    <m/>
  </r>
  <r>
    <x v="3"/>
    <s v="MAGGIO"/>
    <x v="0"/>
    <n v="5"/>
    <s v="MAGGIO 2026"/>
    <x v="4"/>
    <x v="2"/>
    <s v="COSTO SOPRAVVIVENZA"/>
    <n v="5"/>
    <m/>
    <m/>
    <m/>
  </r>
  <r>
    <x v="3"/>
    <s v="MAGGIO"/>
    <x v="0"/>
    <n v="5"/>
    <s v="MAGGIO 2026"/>
    <x v="4"/>
    <x v="2"/>
    <s v="COSTO SOPRAVVIVENZA"/>
    <n v="5"/>
    <m/>
    <m/>
    <m/>
  </r>
  <r>
    <x v="5"/>
    <s v="MAGGIO"/>
    <x v="0"/>
    <n v="5"/>
    <s v="MAGGIO 2026"/>
    <x v="4"/>
    <x v="4"/>
    <s v="MOVIMENTI CONTO"/>
    <n v="20"/>
    <m/>
    <s v="REVOLUT"/>
    <m/>
  </r>
  <r>
    <x v="5"/>
    <s v="MAGGIO"/>
    <x v="0"/>
    <n v="5"/>
    <s v="MAGGIO 2026"/>
    <x v="4"/>
    <x v="4"/>
    <s v="MOVIMENTI CONTO"/>
    <n v="100"/>
    <m/>
    <s v="REVOLUT"/>
    <m/>
  </r>
  <r>
    <x v="68"/>
    <s v="MAGGIO"/>
    <x v="0"/>
    <n v="5"/>
    <s v="MAGGIO 2026"/>
    <x v="4"/>
    <x v="0"/>
    <s v="COSTO SVAGHI"/>
    <n v="8.5"/>
    <m/>
    <m/>
    <m/>
  </r>
  <r>
    <x v="41"/>
    <s v="MAGGIO"/>
    <x v="0"/>
    <n v="5"/>
    <s v="MAGGIO 2026"/>
    <x v="4"/>
    <x v="3"/>
    <s v="COSTO MOBILITA'"/>
    <n v="1.7"/>
    <m/>
    <m/>
    <m/>
  </r>
  <r>
    <x v="22"/>
    <s v="MAGGIO"/>
    <x v="0"/>
    <n v="5"/>
    <s v="MAGGIO 2026"/>
    <x v="4"/>
    <x v="1"/>
    <s v="COSTO CASA"/>
    <n v="3.5"/>
    <m/>
    <m/>
    <m/>
  </r>
  <r>
    <x v="41"/>
    <s v="MAGGIO"/>
    <x v="0"/>
    <n v="5"/>
    <s v="MAGGIO 2026"/>
    <x v="4"/>
    <x v="3"/>
    <s v="COSTO MOBILITA'"/>
    <n v="1.7"/>
    <m/>
    <m/>
    <m/>
  </r>
  <r>
    <x v="41"/>
    <s v="MAGGIO"/>
    <x v="0"/>
    <n v="5"/>
    <s v="MAGGIO 2026"/>
    <x v="4"/>
    <x v="3"/>
    <s v="COSTO MOBILITA'"/>
    <n v="1.4"/>
    <m/>
    <m/>
    <m/>
  </r>
  <r>
    <x v="69"/>
    <s v="MAGGIO"/>
    <x v="0"/>
    <n v="5"/>
    <s v="MAGGIO 2026"/>
    <x v="4"/>
    <x v="0"/>
    <s v="COSTO SVAGHI"/>
    <n v="39"/>
    <m/>
    <m/>
    <m/>
  </r>
  <r>
    <x v="2"/>
    <s v="MAGGIO"/>
    <x v="0"/>
    <n v="5"/>
    <s v="MAGGIO 2026"/>
    <x v="4"/>
    <x v="8"/>
    <s v="COSTO SFIZI"/>
    <n v="38.700000000000003"/>
    <m/>
    <m/>
    <s v="Enterolactis CRINA"/>
  </r>
  <r>
    <x v="3"/>
    <s v="MAGGIO"/>
    <x v="0"/>
    <n v="5"/>
    <s v="MAGGIO 2026"/>
    <x v="4"/>
    <x v="2"/>
    <s v="COSTO SOPRAVVIVENZA"/>
    <n v="5"/>
    <m/>
    <m/>
    <m/>
  </r>
  <r>
    <x v="12"/>
    <s v="MAGGIO"/>
    <x v="0"/>
    <n v="5"/>
    <s v="MAGGIO 2026"/>
    <x v="4"/>
    <x v="7"/>
    <s v="COSTO SOPRAVVIVENZA"/>
    <n v="30.17"/>
    <m/>
    <m/>
    <m/>
  </r>
  <r>
    <x v="37"/>
    <s v="MAGGIO"/>
    <x v="0"/>
    <n v="5"/>
    <s v="MAGGIO 2026"/>
    <x v="4"/>
    <x v="0"/>
    <s v="COSTO SVAGHI"/>
    <n v="14.4"/>
    <m/>
    <m/>
    <m/>
  </r>
  <r>
    <x v="41"/>
    <s v="MAGGIO"/>
    <x v="0"/>
    <n v="5"/>
    <s v="MAGGIO 2026"/>
    <x v="4"/>
    <x v="3"/>
    <s v="COSTO MOBILITA'"/>
    <n v="3.3"/>
    <m/>
    <m/>
    <m/>
  </r>
  <r>
    <x v="41"/>
    <s v="MAGGIO"/>
    <x v="0"/>
    <n v="5"/>
    <s v="MAGGIO 2026"/>
    <x v="4"/>
    <x v="3"/>
    <s v="COSTO MOBILITA'"/>
    <n v="1.7"/>
    <m/>
    <m/>
    <m/>
  </r>
  <r>
    <x v="2"/>
    <s v="MAGGIO"/>
    <x v="0"/>
    <n v="5"/>
    <s v="MAGGIO 2026"/>
    <x v="4"/>
    <x v="8"/>
    <s v="COSTO SFIZI"/>
    <n v="6.99"/>
    <m/>
    <m/>
    <s v="TV PAPA'"/>
  </r>
  <r>
    <x v="3"/>
    <s v="MAGGIO"/>
    <x v="0"/>
    <n v="5"/>
    <s v="MAGGIO 2026"/>
    <x v="4"/>
    <x v="2"/>
    <s v="COSTO SOPRAVVIVENZA"/>
    <n v="5"/>
    <m/>
    <m/>
    <m/>
  </r>
  <r>
    <x v="70"/>
    <s v="MAGGIO"/>
    <x v="0"/>
    <n v="5"/>
    <s v="MAGGIO 2026"/>
    <x v="4"/>
    <x v="11"/>
    <s v="COSTO SFIZI"/>
    <n v="75.2"/>
    <m/>
    <m/>
    <s v="Regalo Stefano"/>
  </r>
  <r>
    <x v="71"/>
    <s v="MAGGIO"/>
    <x v="0"/>
    <n v="5"/>
    <s v="MAGGIO 2026"/>
    <x v="4"/>
    <x v="11"/>
    <s v="COSTO SFIZI"/>
    <n v="45"/>
    <m/>
    <m/>
    <s v="Regalo Stefano"/>
  </r>
  <r>
    <x v="72"/>
    <s v="MAGGIO"/>
    <x v="0"/>
    <n v="5"/>
    <s v="MAGGIO 2026"/>
    <x v="4"/>
    <x v="10"/>
    <s v="COSTO SFIZI"/>
    <n v="50.31"/>
    <m/>
    <m/>
    <s v="Regalo Stefano"/>
  </r>
  <r>
    <x v="3"/>
    <s v="MAGGIO"/>
    <x v="0"/>
    <n v="5"/>
    <s v="MAGGIO 2026"/>
    <x v="4"/>
    <x v="2"/>
    <s v="COSTO SOPRAVVIVENZA"/>
    <n v="5"/>
    <m/>
    <m/>
    <m/>
  </r>
  <r>
    <x v="12"/>
    <s v="MAGGIO"/>
    <x v="0"/>
    <n v="5"/>
    <s v="MAGGIO 2026"/>
    <x v="4"/>
    <x v="7"/>
    <s v="COSTO SOPRAVVIVENZA"/>
    <n v="23.57"/>
    <m/>
    <m/>
    <m/>
  </r>
  <r>
    <x v="2"/>
    <s v="MAGGIO"/>
    <x v="0"/>
    <n v="5"/>
    <s v="MAGGIO 2026"/>
    <x v="4"/>
    <x v="8"/>
    <s v="COSTO SFIZI"/>
    <n v="98.7"/>
    <s v="1/5"/>
    <s v="AMAZON"/>
    <s v="TV PAPA'"/>
  </r>
  <r>
    <x v="3"/>
    <s v="MAGGIO"/>
    <x v="0"/>
    <n v="5"/>
    <s v="MAGGIO 2026"/>
    <x v="4"/>
    <x v="2"/>
    <s v="COSTO SOPRAVVIVENZA"/>
    <n v="5"/>
    <m/>
    <m/>
    <m/>
  </r>
  <r>
    <x v="41"/>
    <s v="MAGGIO"/>
    <x v="0"/>
    <n v="5"/>
    <s v="MAGGIO 2026"/>
    <x v="4"/>
    <x v="3"/>
    <s v="COSTO MOBILITA'"/>
    <n v="1.7"/>
    <m/>
    <m/>
    <m/>
  </r>
  <r>
    <x v="12"/>
    <s v="MAGGIO"/>
    <x v="0"/>
    <n v="5"/>
    <s v="MAGGIO 2026"/>
    <x v="4"/>
    <x v="7"/>
    <s v="COSTO SOPRAVVIVENZA"/>
    <n v="2.58"/>
    <m/>
    <m/>
    <m/>
  </r>
  <r>
    <x v="73"/>
    <s v="MAGGIO"/>
    <x v="0"/>
    <n v="5"/>
    <s v="MAGGIO 2026"/>
    <x v="4"/>
    <x v="0"/>
    <s v="COSTO SVAGHI"/>
    <n v="7.9"/>
    <m/>
    <m/>
    <m/>
  </r>
  <r>
    <x v="74"/>
    <s v="MAGGIO"/>
    <x v="0"/>
    <n v="5"/>
    <s v="MAGGIO 2026"/>
    <x v="4"/>
    <x v="3"/>
    <s v="COSTO MOBILITA'"/>
    <n v="1.5"/>
    <m/>
    <m/>
    <s v="Addio al cellibato Aqui"/>
  </r>
  <r>
    <x v="75"/>
    <s v="MAGGIO"/>
    <x v="0"/>
    <n v="5"/>
    <s v="MAGGIO 2026"/>
    <x v="4"/>
    <x v="10"/>
    <s v="COSTO SFIZI"/>
    <n v="18"/>
    <m/>
    <m/>
    <m/>
  </r>
  <r>
    <x v="5"/>
    <s v="MAGGIO"/>
    <x v="0"/>
    <n v="5"/>
    <s v="MAGGIO 2026"/>
    <x v="4"/>
    <x v="4"/>
    <s v="MOVIMENTI CONTO"/>
    <n v="100"/>
    <m/>
    <s v="REVOLUT"/>
    <m/>
  </r>
  <r>
    <x v="74"/>
    <s v="MAGGIO"/>
    <x v="0"/>
    <n v="5"/>
    <s v="MAGGIO 2026"/>
    <x v="4"/>
    <x v="3"/>
    <s v="COSTO MOBILITA'"/>
    <n v="1.5"/>
    <m/>
    <m/>
    <s v="Addio al cellibato Aqui"/>
  </r>
  <r>
    <x v="76"/>
    <s v="MAGGIO"/>
    <x v="0"/>
    <n v="5"/>
    <s v="MAGGIO 2026"/>
    <x v="4"/>
    <x v="0"/>
    <s v="COSTO SVAGHI"/>
    <n v="33.700000000000003"/>
    <m/>
    <m/>
    <m/>
  </r>
  <r>
    <x v="21"/>
    <s v="MAGGIO"/>
    <x v="0"/>
    <n v="5"/>
    <s v="MAGGIO 2026"/>
    <x v="4"/>
    <x v="9"/>
    <s v="COSTO MOBILITA'"/>
    <n v="20"/>
    <m/>
    <m/>
    <m/>
  </r>
  <r>
    <x v="2"/>
    <s v="MAGGIO"/>
    <x v="0"/>
    <n v="5"/>
    <s v="MAGGIO 2026"/>
    <x v="4"/>
    <x v="8"/>
    <s v="COSTO SFIZI"/>
    <n v="17.489999999999998"/>
    <m/>
    <m/>
    <s v="Assicurazione TV Papa'"/>
  </r>
  <r>
    <x v="11"/>
    <s v="MAGGIO"/>
    <x v="0"/>
    <n v="5"/>
    <s v="MAGGIO 2026"/>
    <x v="4"/>
    <x v="0"/>
    <s v="COSTO SVAGHI"/>
    <n v="5"/>
    <m/>
    <m/>
    <m/>
  </r>
  <r>
    <x v="5"/>
    <s v="MAGGIO"/>
    <x v="0"/>
    <n v="5"/>
    <s v="MAGGIO 2026"/>
    <x v="4"/>
    <x v="4"/>
    <s v="MOVIMENTI CONTO"/>
    <n v="100"/>
    <m/>
    <s v="REVOLUT"/>
    <m/>
  </r>
  <r>
    <x v="17"/>
    <s v="MAGGIO"/>
    <x v="0"/>
    <n v="5"/>
    <s v="MAGGIO 2026"/>
    <x v="4"/>
    <x v="7"/>
    <s v="COSTO SOPRAVVIVENZA"/>
    <n v="22.61"/>
    <m/>
    <m/>
    <m/>
  </r>
  <r>
    <x v="12"/>
    <s v="MAGGIO"/>
    <x v="0"/>
    <n v="5"/>
    <s v="MAGGIO 2026"/>
    <x v="4"/>
    <x v="7"/>
    <s v="COSTO SOPRAVVIVENZA"/>
    <n v="15"/>
    <m/>
    <m/>
    <m/>
  </r>
  <r>
    <x v="2"/>
    <s v="MAGGIO"/>
    <x v="0"/>
    <n v="5"/>
    <s v="MAGGIO 2026"/>
    <x v="4"/>
    <x v="8"/>
    <s v="COSTO SFIZI"/>
    <n v="17.899999999999999"/>
    <m/>
    <m/>
    <m/>
  </r>
  <r>
    <x v="35"/>
    <s v="MAGGIO"/>
    <x v="0"/>
    <n v="5"/>
    <s v="MAGGIO 2026"/>
    <x v="4"/>
    <x v="1"/>
    <s v="COSTO CASA"/>
    <n v="21.93"/>
    <m/>
    <m/>
    <m/>
  </r>
  <r>
    <x v="17"/>
    <s v="MAGGIO"/>
    <x v="0"/>
    <n v="5"/>
    <s v="MAGGIO 2026"/>
    <x v="4"/>
    <x v="7"/>
    <s v="COSTO SOPRAVVIVENZA"/>
    <n v="9"/>
    <m/>
    <m/>
    <m/>
  </r>
  <r>
    <x v="2"/>
    <s v="MAGGIO"/>
    <x v="0"/>
    <n v="5"/>
    <s v="MAGGIO 2026"/>
    <x v="4"/>
    <x v="8"/>
    <s v="COSTO SFIZI"/>
    <n v="35.798000000000002"/>
    <s v="4/5"/>
    <s v="AMAZON"/>
    <s v="Router Mercusys"/>
  </r>
  <r>
    <x v="2"/>
    <s v="MAGGIO"/>
    <x v="0"/>
    <n v="5"/>
    <s v="MAGGIO 2026"/>
    <x v="4"/>
    <x v="8"/>
    <s v="COSTO SFIZI"/>
    <n v="38.799999999999997"/>
    <s v="4/5"/>
    <s v="AMAZON"/>
    <s v="Monitor LG 32&quot;"/>
  </r>
  <r>
    <x v="77"/>
    <s v="APRILE"/>
    <x v="0"/>
    <n v="4"/>
    <s v="APRILE 2026"/>
    <x v="5"/>
    <x v="13"/>
    <s v="GESTIONE CONTO"/>
    <n v="-25.82"/>
    <m/>
    <m/>
    <s v="Storno quota carta di credito"/>
  </r>
  <r>
    <x v="78"/>
    <s v="APRILE"/>
    <x v="0"/>
    <n v="4"/>
    <s v="APRILE 2026"/>
    <x v="5"/>
    <x v="0"/>
    <s v="COSTO SVAGHI"/>
    <n v="32"/>
    <m/>
    <m/>
    <m/>
  </r>
  <r>
    <x v="50"/>
    <s v="APRILE"/>
    <x v="0"/>
    <n v="4"/>
    <s v="APRILE 2026"/>
    <x v="5"/>
    <x v="0"/>
    <s v="COSTO SVAGHI"/>
    <n v="50.5"/>
    <m/>
    <m/>
    <m/>
  </r>
  <r>
    <x v="79"/>
    <s v="APRILE"/>
    <x v="0"/>
    <n v="4"/>
    <s v="APRILE 2026"/>
    <x v="5"/>
    <x v="3"/>
    <s v="COSTO MOBILITA'"/>
    <n v="0.21"/>
    <m/>
    <s v="PAYPAL"/>
    <m/>
  </r>
  <r>
    <x v="79"/>
    <s v="APRILE"/>
    <x v="0"/>
    <n v="4"/>
    <s v="APRILE 2026"/>
    <x v="5"/>
    <x v="3"/>
    <s v="COSTO MOBILITA'"/>
    <n v="6.61"/>
    <m/>
    <s v="PAYPAL"/>
    <m/>
  </r>
  <r>
    <x v="80"/>
    <s v="APRILE"/>
    <x v="0"/>
    <n v="4"/>
    <s v="APRILE 2026"/>
    <x v="5"/>
    <x v="0"/>
    <s v="COSTO SVAGHI"/>
    <n v="35"/>
    <m/>
    <m/>
    <m/>
  </r>
  <r>
    <x v="81"/>
    <s v="APRILE"/>
    <x v="0"/>
    <n v="4"/>
    <s v="APRILE 2026"/>
    <x v="5"/>
    <x v="1"/>
    <s v="COSTO CASA"/>
    <n v="11"/>
    <m/>
    <m/>
    <m/>
  </r>
  <r>
    <x v="53"/>
    <s v="APRILE"/>
    <x v="0"/>
    <n v="4"/>
    <s v="APRILE 2026"/>
    <x v="5"/>
    <x v="1"/>
    <s v="COSTO CASA"/>
    <n v="69.900000000000006"/>
    <m/>
    <m/>
    <m/>
  </r>
  <r>
    <x v="79"/>
    <s v="APRILE"/>
    <x v="0"/>
    <n v="4"/>
    <s v="APRILE 2026"/>
    <x v="5"/>
    <x v="3"/>
    <s v="COSTO MOBILITA'"/>
    <n v="1.38"/>
    <m/>
    <s v="PAYPAL"/>
    <m/>
  </r>
  <r>
    <x v="2"/>
    <s v="APRILE"/>
    <x v="0"/>
    <n v="4"/>
    <s v="APRILE 2026"/>
    <x v="5"/>
    <x v="8"/>
    <s v="COSTO SFIZI"/>
    <n v="39.99"/>
    <m/>
    <m/>
    <m/>
  </r>
  <r>
    <x v="8"/>
    <s v="APRILE"/>
    <x v="0"/>
    <n v="4"/>
    <s v="APRILE 2026"/>
    <x v="5"/>
    <x v="6"/>
    <s v="COSTO SOPRAVVIVENZA"/>
    <n v="33"/>
    <m/>
    <m/>
    <m/>
  </r>
  <r>
    <x v="12"/>
    <s v="APRILE"/>
    <x v="0"/>
    <n v="4"/>
    <s v="APRILE 2026"/>
    <x v="5"/>
    <x v="7"/>
    <s v="COSTO SOPRAVVIVENZA"/>
    <n v="7.45"/>
    <m/>
    <m/>
    <m/>
  </r>
  <r>
    <x v="82"/>
    <s v="APRILE"/>
    <x v="0"/>
    <n v="4"/>
    <s v="APRILE 2026"/>
    <x v="5"/>
    <x v="7"/>
    <s v="COSTO SOPRAVVIVENZA"/>
    <n v="4.17"/>
    <m/>
    <m/>
    <m/>
  </r>
  <r>
    <x v="35"/>
    <s v="APRILE"/>
    <x v="0"/>
    <n v="4"/>
    <s v="APRILE 2026"/>
    <x v="5"/>
    <x v="1"/>
    <s v="COSTO CASA"/>
    <n v="13.09"/>
    <m/>
    <m/>
    <m/>
  </r>
  <r>
    <x v="67"/>
    <s v="APRILE"/>
    <x v="0"/>
    <n v="4"/>
    <s v="APRILE 2026"/>
    <x v="5"/>
    <x v="7"/>
    <s v="COSTO SOPRAVVIVENZA"/>
    <n v="15.4"/>
    <m/>
    <m/>
    <m/>
  </r>
  <r>
    <x v="67"/>
    <s v="APRILE"/>
    <x v="0"/>
    <n v="4"/>
    <s v="APRILE 2026"/>
    <x v="5"/>
    <x v="7"/>
    <s v="COSTO SOPRAVVIVENZA"/>
    <n v="4.3"/>
    <m/>
    <m/>
    <m/>
  </r>
  <r>
    <x v="53"/>
    <s v="APRILE"/>
    <x v="0"/>
    <n v="4"/>
    <s v="APRILE 2026"/>
    <x v="5"/>
    <x v="1"/>
    <s v="COSTO CASA"/>
    <n v="41.75"/>
    <m/>
    <m/>
    <m/>
  </r>
  <r>
    <x v="2"/>
    <s v="APRILE"/>
    <x v="0"/>
    <n v="4"/>
    <s v="APRILE 2026"/>
    <x v="5"/>
    <x v="10"/>
    <s v="COSTO SFIZI"/>
    <n v="109"/>
    <m/>
    <m/>
    <s v="Doccetta Papa'"/>
  </r>
  <r>
    <x v="5"/>
    <s v="APRILE"/>
    <x v="0"/>
    <n v="4"/>
    <s v="APRILE 2026"/>
    <x v="5"/>
    <x v="4"/>
    <s v="MOVIMENTI CONTO"/>
    <n v="60"/>
    <m/>
    <s v="REVOLUT"/>
    <m/>
  </r>
  <r>
    <x v="83"/>
    <s v="APRILE"/>
    <x v="0"/>
    <n v="4"/>
    <s v="APRILE 2026"/>
    <x v="5"/>
    <x v="0"/>
    <s v="COSTO SVAGHI"/>
    <n v="16"/>
    <m/>
    <m/>
    <m/>
  </r>
  <r>
    <x v="2"/>
    <s v="APRILE"/>
    <x v="0"/>
    <n v="4"/>
    <s v="APRILE 2026"/>
    <x v="5"/>
    <x v="8"/>
    <s v="COSTO SFIZI"/>
    <n v="6.49"/>
    <m/>
    <m/>
    <m/>
  </r>
  <r>
    <x v="82"/>
    <s v="APRILE"/>
    <x v="0"/>
    <n v="4"/>
    <s v="APRILE 2026"/>
    <x v="5"/>
    <x v="7"/>
    <s v="COSTO SOPRAVVIVENZA"/>
    <n v="6.86"/>
    <m/>
    <m/>
    <m/>
  </r>
  <r>
    <x v="84"/>
    <s v="APRILE"/>
    <x v="0"/>
    <n v="4"/>
    <s v="APRILE 2026"/>
    <x v="5"/>
    <x v="7"/>
    <s v="COSTO SOPRAVVIVENZA"/>
    <n v="1.69"/>
    <m/>
    <m/>
    <m/>
  </r>
  <r>
    <x v="5"/>
    <s v="APRILE"/>
    <x v="0"/>
    <n v="4"/>
    <s v="APRILE 2026"/>
    <x v="5"/>
    <x v="4"/>
    <s v="MOVIMENTI CONTO"/>
    <n v="100"/>
    <m/>
    <s v="REVOLUT"/>
    <s v="Hotel Addio al celibato Aqui"/>
  </r>
  <r>
    <x v="12"/>
    <s v="APRILE"/>
    <x v="0"/>
    <n v="4"/>
    <s v="APRILE 2026"/>
    <x v="5"/>
    <x v="7"/>
    <s v="COSTO SOPRAVVIVENZA"/>
    <n v="8.7899999999999991"/>
    <m/>
    <m/>
    <m/>
  </r>
  <r>
    <x v="35"/>
    <s v="APRILE"/>
    <x v="0"/>
    <n v="4"/>
    <s v="APRILE 2026"/>
    <x v="5"/>
    <x v="1"/>
    <s v="COSTO CASA"/>
    <n v="11"/>
    <m/>
    <m/>
    <m/>
  </r>
  <r>
    <x v="35"/>
    <s v="APRILE"/>
    <x v="0"/>
    <n v="4"/>
    <s v="APRILE 2026"/>
    <x v="5"/>
    <x v="1"/>
    <s v="COSTO CASA"/>
    <n v="9.94"/>
    <m/>
    <m/>
    <m/>
  </r>
  <r>
    <x v="17"/>
    <s v="APRILE"/>
    <x v="0"/>
    <n v="4"/>
    <s v="APRILE 2026"/>
    <x v="5"/>
    <x v="7"/>
    <s v="COSTO SOPRAVVIVENZA"/>
    <n v="7.75"/>
    <m/>
    <m/>
    <m/>
  </r>
  <r>
    <x v="21"/>
    <s v="APRILE"/>
    <x v="0"/>
    <n v="4"/>
    <s v="APRILE 2026"/>
    <x v="5"/>
    <x v="9"/>
    <s v="COSTO MOBILITA'"/>
    <n v="16"/>
    <m/>
    <m/>
    <m/>
  </r>
  <r>
    <x v="5"/>
    <s v="APRILE"/>
    <x v="0"/>
    <n v="4"/>
    <s v="APRILE 2026"/>
    <x v="5"/>
    <x v="4"/>
    <s v="MOVIMENTI CONTO"/>
    <n v="130"/>
    <m/>
    <s v="REVOLUT"/>
    <s v="Treno Addio al celibato Aqui"/>
  </r>
  <r>
    <x v="17"/>
    <s v="APRILE"/>
    <x v="0"/>
    <n v="4"/>
    <s v="APRILE 2026"/>
    <x v="5"/>
    <x v="7"/>
    <s v="COSTO SOPRAVVIVENZA"/>
    <n v="29.7"/>
    <m/>
    <m/>
    <m/>
  </r>
  <r>
    <x v="12"/>
    <s v="APRILE"/>
    <x v="0"/>
    <n v="4"/>
    <s v="APRILE 2026"/>
    <x v="5"/>
    <x v="7"/>
    <s v="COSTO SOPRAVVIVENZA"/>
    <n v="53.28"/>
    <m/>
    <m/>
    <m/>
  </r>
  <r>
    <x v="35"/>
    <s v="APRILE"/>
    <x v="0"/>
    <n v="4"/>
    <s v="APRILE 2026"/>
    <x v="5"/>
    <x v="10"/>
    <s v="COSTO SFIZI"/>
    <n v="25.99"/>
    <m/>
    <m/>
    <s v="Spesa per mamma e papa'"/>
  </r>
  <r>
    <x v="85"/>
    <s v="APRILE"/>
    <x v="0"/>
    <n v="4"/>
    <s v="APRILE 2026"/>
    <x v="5"/>
    <x v="10"/>
    <s v="COSTO SFIZI"/>
    <n v="10.8"/>
    <m/>
    <m/>
    <s v="Spesa per mamma e papa'"/>
  </r>
  <r>
    <x v="82"/>
    <s v="APRILE"/>
    <x v="0"/>
    <n v="4"/>
    <s v="APRILE 2026"/>
    <x v="5"/>
    <x v="10"/>
    <s v="COSTO SFIZI"/>
    <n v="39.880000000000003"/>
    <m/>
    <m/>
    <s v="Spesa per mamma e papa'"/>
  </r>
  <r>
    <x v="6"/>
    <s v="APRILE"/>
    <x v="0"/>
    <n v="4"/>
    <s v="APRILE 2026"/>
    <x v="5"/>
    <x v="0"/>
    <s v="COSTO SVAGHI"/>
    <n v="36"/>
    <m/>
    <m/>
    <m/>
  </r>
  <r>
    <x v="41"/>
    <s v="APRILE"/>
    <x v="0"/>
    <n v="4"/>
    <s v="APRILE 2026"/>
    <x v="5"/>
    <x v="3"/>
    <s v="COSTO MOBILITA'"/>
    <n v="1.7"/>
    <m/>
    <m/>
    <m/>
  </r>
  <r>
    <x v="41"/>
    <s v="APRILE"/>
    <x v="0"/>
    <n v="4"/>
    <s v="APRILE 2026"/>
    <x v="5"/>
    <x v="3"/>
    <s v="COSTO MOBILITA'"/>
    <n v="1.7"/>
    <m/>
    <m/>
    <m/>
  </r>
  <r>
    <x v="6"/>
    <s v="APRILE"/>
    <x v="0"/>
    <n v="4"/>
    <s v="APRILE 2026"/>
    <x v="5"/>
    <x v="14"/>
    <s v="COSTO SOPRAVVIVENZA"/>
    <n v="7"/>
    <m/>
    <m/>
    <m/>
  </r>
  <r>
    <x v="86"/>
    <s v="APRILE"/>
    <x v="0"/>
    <n v="4"/>
    <s v="APRILE 2026"/>
    <x v="5"/>
    <x v="0"/>
    <s v="COSTO SVAGHI"/>
    <n v="44"/>
    <m/>
    <m/>
    <m/>
  </r>
  <r>
    <x v="6"/>
    <s v="APRILE"/>
    <x v="0"/>
    <n v="4"/>
    <s v="APRILE 2026"/>
    <x v="5"/>
    <x v="14"/>
    <s v="COSTO SOPRAVVIVENZA"/>
    <n v="7"/>
    <m/>
    <m/>
    <m/>
  </r>
  <r>
    <x v="5"/>
    <s v="APRILE"/>
    <x v="0"/>
    <n v="4"/>
    <s v="APRILE 2026"/>
    <x v="5"/>
    <x v="4"/>
    <s v="MOVIMENTI CONTO"/>
    <n v="130"/>
    <m/>
    <s v="REVOLUT"/>
    <s v="Assilt Papà"/>
  </r>
  <r>
    <x v="87"/>
    <s v="APRILE"/>
    <x v="0"/>
    <n v="4"/>
    <s v="APRILE 2026"/>
    <x v="5"/>
    <x v="8"/>
    <s v="COSTO SFIZI"/>
    <n v="68.92"/>
    <s v="3/3"/>
    <s v="PAYPAL"/>
    <s v="Stampante 3D A1 mini"/>
  </r>
  <r>
    <x v="2"/>
    <s v="APRILE"/>
    <x v="0"/>
    <n v="4"/>
    <s v="APRILE 2026"/>
    <x v="5"/>
    <x v="8"/>
    <s v="COSTO SFIZI"/>
    <n v="35.798000000000002"/>
    <s v="3/5"/>
    <s v="AMAZON"/>
    <s v="Router Mercusys"/>
  </r>
  <r>
    <x v="2"/>
    <s v="APRILE"/>
    <x v="0"/>
    <n v="4"/>
    <s v="APRILE 2026"/>
    <x v="5"/>
    <x v="8"/>
    <s v="COSTO SFIZI"/>
    <n v="38.799999999999997"/>
    <s v="3/5"/>
    <s v="AMAZON"/>
    <s v="Monitor LG 32&quot;"/>
  </r>
  <r>
    <x v="12"/>
    <s v="APRILE"/>
    <x v="0"/>
    <n v="4"/>
    <s v="APRILE 2026"/>
    <x v="5"/>
    <x v="7"/>
    <s v="COSTO SOPRAVVIVENZA"/>
    <n v="13.59"/>
    <m/>
    <m/>
    <m/>
  </r>
  <r>
    <x v="88"/>
    <s v="APRILE"/>
    <x v="0"/>
    <n v="4"/>
    <s v="APRILE 2026"/>
    <x v="5"/>
    <x v="0"/>
    <s v="COSTO SVAGHI"/>
    <n v="82"/>
    <m/>
    <m/>
    <m/>
  </r>
  <r>
    <x v="11"/>
    <s v="APRILE"/>
    <x v="0"/>
    <n v="4"/>
    <s v="APRILE 2026"/>
    <x v="5"/>
    <x v="0"/>
    <s v="COSTO SVAGHI"/>
    <n v="20"/>
    <m/>
    <m/>
    <m/>
  </r>
  <r>
    <x v="17"/>
    <s v="APRILE"/>
    <x v="0"/>
    <n v="4"/>
    <s v="APRILE 2026"/>
    <x v="5"/>
    <x v="7"/>
    <s v="COSTO SOPRAVVIVENZA"/>
    <n v="20.45"/>
    <m/>
    <m/>
    <m/>
  </r>
  <r>
    <x v="41"/>
    <s v="APRILE"/>
    <x v="0"/>
    <n v="4"/>
    <s v="APRILE 2026"/>
    <x v="5"/>
    <x v="3"/>
    <s v="COSTO MOBILITA'"/>
    <n v="1.7"/>
    <m/>
    <m/>
    <m/>
  </r>
  <r>
    <x v="41"/>
    <s v="APRILE"/>
    <x v="0"/>
    <n v="4"/>
    <s v="APRILE 2026"/>
    <x v="5"/>
    <x v="3"/>
    <s v="COSTO MOBILITA'"/>
    <n v="1.7"/>
    <m/>
    <m/>
    <m/>
  </r>
  <r>
    <x v="6"/>
    <s v="APRILE"/>
    <x v="0"/>
    <n v="4"/>
    <s v="APRILE 2026"/>
    <x v="5"/>
    <x v="14"/>
    <s v="COSTO SOPRAVVIVENZA"/>
    <n v="7"/>
    <m/>
    <m/>
    <m/>
  </r>
  <r>
    <x v="35"/>
    <s v="MARZO"/>
    <x v="0"/>
    <n v="3"/>
    <s v="MARZO 2026"/>
    <x v="6"/>
    <x v="1"/>
    <s v="COSTO CASA"/>
    <n v="16.64"/>
    <m/>
    <m/>
    <m/>
  </r>
  <r>
    <x v="89"/>
    <s v="MARZO"/>
    <x v="0"/>
    <n v="3"/>
    <s v="MARZO 2026"/>
    <x v="6"/>
    <x v="2"/>
    <s v="COSTO SOPRAVVIVENZA"/>
    <n v="5"/>
    <m/>
    <m/>
    <m/>
  </r>
  <r>
    <x v="6"/>
    <s v="MARZO"/>
    <x v="0"/>
    <n v="3"/>
    <s v="MARZO 2026"/>
    <x v="6"/>
    <x v="14"/>
    <s v="COSTO SOPRAVVIVENZA"/>
    <n v="7"/>
    <m/>
    <m/>
    <m/>
  </r>
  <r>
    <x v="6"/>
    <s v="MARZO"/>
    <x v="0"/>
    <n v="3"/>
    <s v="MARZO 2026"/>
    <x v="6"/>
    <x v="0"/>
    <s v="COSTO SVAGHI"/>
    <n v="6"/>
    <m/>
    <m/>
    <m/>
  </r>
  <r>
    <x v="90"/>
    <s v="MARZO"/>
    <x v="0"/>
    <n v="3"/>
    <s v="MARZO 2026"/>
    <x v="6"/>
    <x v="0"/>
    <s v="COSTO SVAGHI"/>
    <n v="23.1"/>
    <m/>
    <m/>
    <m/>
  </r>
  <r>
    <x v="12"/>
    <s v="MARZO"/>
    <x v="0"/>
    <n v="3"/>
    <s v="MARZO 2026"/>
    <x v="6"/>
    <x v="7"/>
    <s v="COSTO SOPRAVVIVENZA"/>
    <n v="17.36"/>
    <m/>
    <m/>
    <m/>
  </r>
  <r>
    <x v="5"/>
    <s v="MARZO"/>
    <x v="0"/>
    <n v="3"/>
    <s v="MARZO 2026"/>
    <x v="6"/>
    <x v="4"/>
    <s v="MOVIMENTI CONTO"/>
    <n v="60"/>
    <m/>
    <s v="REVOLUT"/>
    <s v="Prelievo"/>
  </r>
  <r>
    <x v="6"/>
    <s v="MARZO"/>
    <x v="0"/>
    <n v="3"/>
    <s v="MARZO 2026"/>
    <x v="6"/>
    <x v="0"/>
    <s v="COSTO SVAGHI"/>
    <n v="30"/>
    <m/>
    <m/>
    <m/>
  </r>
  <r>
    <x v="6"/>
    <s v="MARZO"/>
    <x v="0"/>
    <n v="3"/>
    <s v="MARZO 2026"/>
    <x v="6"/>
    <x v="14"/>
    <s v="COSTO SOPRAVVIVENZA"/>
    <n v="7"/>
    <m/>
    <m/>
    <m/>
  </r>
  <r>
    <x v="2"/>
    <s v="MARZO"/>
    <x v="0"/>
    <n v="3"/>
    <s v="MARZO 2026"/>
    <x v="6"/>
    <x v="8"/>
    <s v="COSTO SFIZI"/>
    <n v="15.99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17"/>
    <s v="MARZO"/>
    <x v="0"/>
    <n v="3"/>
    <s v="MARZO 2026"/>
    <x v="6"/>
    <x v="7"/>
    <s v="COSTO SOPRAVVIVENZA"/>
    <n v="3.4"/>
    <m/>
    <m/>
    <m/>
  </r>
  <r>
    <x v="91"/>
    <s v="MARZO"/>
    <x v="0"/>
    <n v="3"/>
    <s v="MARZO 2026"/>
    <x v="6"/>
    <x v="2"/>
    <s v="COSTO SOPRAVVIVENZA"/>
    <n v="0.4"/>
    <m/>
    <m/>
    <m/>
  </r>
  <r>
    <x v="6"/>
    <s v="MARZO"/>
    <x v="0"/>
    <n v="3"/>
    <s v="MARZO 2026"/>
    <x v="6"/>
    <x v="0"/>
    <s v="COSTO SVAGHI"/>
    <n v="3"/>
    <m/>
    <m/>
    <m/>
  </r>
  <r>
    <x v="2"/>
    <s v="MARZO"/>
    <x v="0"/>
    <n v="3"/>
    <s v="MARZO 2026"/>
    <x v="6"/>
    <x v="8"/>
    <s v="COSTO SFIZI"/>
    <n v="28.49"/>
    <m/>
    <m/>
    <m/>
  </r>
  <r>
    <x v="12"/>
    <s v="MARZO"/>
    <x v="0"/>
    <n v="3"/>
    <s v="MARZO 2026"/>
    <x v="6"/>
    <x v="7"/>
    <s v="COSTO SOPRAVVIVENZA"/>
    <n v="18.850000000000001"/>
    <m/>
    <m/>
    <m/>
  </r>
  <r>
    <x v="88"/>
    <s v="MARZO"/>
    <x v="0"/>
    <n v="3"/>
    <s v="MARZO 2026"/>
    <x v="6"/>
    <x v="0"/>
    <s v="COSTO SVAGHI"/>
    <n v="103"/>
    <m/>
    <m/>
    <m/>
  </r>
  <r>
    <x v="16"/>
    <s v="MARZO"/>
    <x v="0"/>
    <n v="3"/>
    <s v="MARZO 2026"/>
    <x v="6"/>
    <x v="0"/>
    <s v="COSTO SVAGHI"/>
    <n v="39"/>
    <m/>
    <m/>
    <m/>
  </r>
  <r>
    <x v="82"/>
    <s v="MARZO"/>
    <x v="0"/>
    <n v="3"/>
    <s v="MARZO 2026"/>
    <x v="6"/>
    <x v="7"/>
    <s v="COSTO SOPRAVVIVENZA"/>
    <n v="10.63"/>
    <m/>
    <m/>
    <m/>
  </r>
  <r>
    <x v="6"/>
    <s v="MARZO"/>
    <x v="0"/>
    <n v="3"/>
    <s v="MARZO 2026"/>
    <x v="6"/>
    <x v="14"/>
    <s v="COSTO SOPRAVVIVENZA"/>
    <n v="7"/>
    <m/>
    <m/>
    <m/>
  </r>
  <r>
    <x v="6"/>
    <s v="MARZO"/>
    <x v="0"/>
    <n v="3"/>
    <s v="MARZO 2026"/>
    <x v="6"/>
    <x v="14"/>
    <s v="COSTO SOPRAVVIVENZA"/>
    <n v="8.5"/>
    <m/>
    <m/>
    <m/>
  </r>
  <r>
    <x v="2"/>
    <s v="MARZO"/>
    <x v="0"/>
    <n v="3"/>
    <s v="MARZO 2026"/>
    <x v="6"/>
    <x v="8"/>
    <s v="COSTO SFIZI"/>
    <n v="55.52"/>
    <m/>
    <m/>
    <m/>
  </r>
  <r>
    <x v="6"/>
    <s v="MARZO"/>
    <x v="0"/>
    <n v="3"/>
    <s v="MARZO 2026"/>
    <x v="6"/>
    <x v="14"/>
    <s v="COSTO SOPRAVVIVENZA"/>
    <n v="7"/>
    <m/>
    <m/>
    <m/>
  </r>
  <r>
    <x v="8"/>
    <s v="MARZO"/>
    <x v="0"/>
    <n v="3"/>
    <s v="MARZO 2026"/>
    <x v="6"/>
    <x v="6"/>
    <s v="COSTO SOPRAVVIVENZA"/>
    <n v="33"/>
    <m/>
    <m/>
    <m/>
  </r>
  <r>
    <x v="5"/>
    <s v="MARZO"/>
    <x v="0"/>
    <n v="3"/>
    <s v="MARZO 2026"/>
    <x v="6"/>
    <x v="4"/>
    <s v="MOVIMENTI CONTO"/>
    <n v="50"/>
    <m/>
    <s v="REVOLUT"/>
    <s v="Prelievo"/>
  </r>
  <r>
    <x v="2"/>
    <s v="MARZO"/>
    <x v="0"/>
    <n v="3"/>
    <s v="MARZO 2026"/>
    <x v="6"/>
    <x v="11"/>
    <s v="COSTO SFIZI"/>
    <n v="139.56"/>
    <m/>
    <m/>
    <m/>
  </r>
  <r>
    <x v="92"/>
    <s v="MARZO"/>
    <x v="0"/>
    <n v="3"/>
    <s v="MARZO 2026"/>
    <x v="6"/>
    <x v="0"/>
    <s v="COSTO SVAGHI"/>
    <n v="28.8"/>
    <m/>
    <m/>
    <m/>
  </r>
  <r>
    <x v="79"/>
    <s v="MARZO"/>
    <x v="0"/>
    <n v="3"/>
    <s v="MARZO 2026"/>
    <x v="6"/>
    <x v="3"/>
    <s v="COSTO MOBILITA'"/>
    <n v="4.3099999999999996"/>
    <m/>
    <s v="PAYPAL"/>
    <m/>
  </r>
  <r>
    <x v="17"/>
    <s v="MARZO"/>
    <x v="0"/>
    <n v="3"/>
    <s v="MARZO 2026"/>
    <x v="6"/>
    <x v="7"/>
    <s v="COSTO SOPRAVVIVENZA"/>
    <n v="15.39"/>
    <m/>
    <m/>
    <m/>
  </r>
  <r>
    <x v="12"/>
    <s v="MARZO"/>
    <x v="0"/>
    <n v="3"/>
    <s v="MARZO 2026"/>
    <x v="6"/>
    <x v="7"/>
    <s v="COSTO SOPRAVVIVENZA"/>
    <n v="34.96"/>
    <m/>
    <m/>
    <m/>
  </r>
  <r>
    <x v="91"/>
    <s v="MARZO"/>
    <x v="0"/>
    <n v="3"/>
    <s v="MARZO 2026"/>
    <x v="6"/>
    <x v="2"/>
    <s v="COSTO SOPRAVVIVENZA"/>
    <n v="0.4"/>
    <m/>
    <m/>
    <m/>
  </r>
  <r>
    <x v="6"/>
    <s v="MARZO"/>
    <x v="0"/>
    <n v="3"/>
    <s v="MARZO 2026"/>
    <x v="6"/>
    <x v="14"/>
    <s v="COSTO SOPRAVVIVENZA"/>
    <n v="9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1.3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3"/>
    <s v="MARZO"/>
    <x v="0"/>
    <n v="3"/>
    <s v="MARZO 2026"/>
    <x v="6"/>
    <x v="8"/>
    <s v="COSTO SFIZI"/>
    <n v="23.18"/>
    <m/>
    <m/>
    <s v="Report KFL"/>
  </r>
  <r>
    <x v="2"/>
    <s v="MARZO"/>
    <x v="0"/>
    <n v="3"/>
    <s v="MARZO 2026"/>
    <x v="6"/>
    <x v="8"/>
    <s v="COSTO SFIZI"/>
    <n v="29"/>
    <m/>
    <m/>
    <m/>
  </r>
  <r>
    <x v="94"/>
    <s v="MARZO"/>
    <x v="0"/>
    <n v="3"/>
    <s v="MARZO 2026"/>
    <x v="6"/>
    <x v="15"/>
    <s v="TASSE"/>
    <n v="18.48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6"/>
    <s v="MARZO"/>
    <x v="0"/>
    <n v="3"/>
    <s v="MARZO 2026"/>
    <x v="6"/>
    <x v="14"/>
    <s v="COSTO SOPRAVVIVENZA"/>
    <n v="7"/>
    <m/>
    <m/>
    <m/>
  </r>
  <r>
    <x v="95"/>
    <s v="MARZO"/>
    <x v="0"/>
    <n v="3"/>
    <s v="MARZO 2026"/>
    <x v="6"/>
    <x v="0"/>
    <s v="COSTO SVAGHI"/>
    <n v="8"/>
    <m/>
    <m/>
    <m/>
  </r>
  <r>
    <x v="95"/>
    <s v="MARZO"/>
    <x v="0"/>
    <n v="3"/>
    <s v="MARZO 2026"/>
    <x v="6"/>
    <x v="0"/>
    <s v="COSTO SVAGHI"/>
    <n v="18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91"/>
    <s v="MARZO"/>
    <x v="0"/>
    <n v="3"/>
    <s v="MARZO 2026"/>
    <x v="6"/>
    <x v="2"/>
    <s v="COSTO SOPRAVVIVENZA"/>
    <n v="0.4"/>
    <m/>
    <m/>
    <m/>
  </r>
  <r>
    <x v="12"/>
    <s v="MARZO"/>
    <x v="0"/>
    <n v="3"/>
    <s v="MARZO 2026"/>
    <x v="6"/>
    <x v="7"/>
    <s v="COSTO SOPRAVVIVENZA"/>
    <n v="26.02"/>
    <m/>
    <m/>
    <m/>
  </r>
  <r>
    <x v="96"/>
    <s v="MARZO"/>
    <x v="0"/>
    <n v="3"/>
    <s v="MARZO 2026"/>
    <x v="6"/>
    <x v="11"/>
    <s v="COSTO SFIZI"/>
    <n v="20.95"/>
    <m/>
    <m/>
    <m/>
  </r>
  <r>
    <x v="97"/>
    <s v="MARZO"/>
    <x v="0"/>
    <n v="3"/>
    <s v="MARZO 2026"/>
    <x v="6"/>
    <x v="11"/>
    <s v="COSTO SFIZI"/>
    <n v="59.8"/>
    <m/>
    <m/>
    <m/>
  </r>
  <r>
    <x v="21"/>
    <s v="MARZO"/>
    <x v="0"/>
    <n v="3"/>
    <s v="MARZO 2026"/>
    <x v="6"/>
    <x v="9"/>
    <s v="COSTO MOBILITA'"/>
    <n v="12"/>
    <m/>
    <m/>
    <m/>
  </r>
  <r>
    <x v="2"/>
    <s v="MARZO"/>
    <x v="0"/>
    <n v="3"/>
    <s v="MARZO 2026"/>
    <x v="6"/>
    <x v="8"/>
    <s v="COSTO SFIZI"/>
    <n v="42.5"/>
    <m/>
    <m/>
    <m/>
  </r>
  <r>
    <x v="5"/>
    <s v="MARZO"/>
    <x v="0"/>
    <n v="3"/>
    <s v="MARZO 2026"/>
    <x v="6"/>
    <x v="4"/>
    <s v="MOVIMENTI CONTO"/>
    <n v="100"/>
    <m/>
    <s v="REVOLUT"/>
    <s v="Rimborso BASKET TERZO"/>
  </r>
  <r>
    <x v="87"/>
    <s v="MARZO"/>
    <x v="0"/>
    <n v="3"/>
    <s v="MARZO 2026"/>
    <x v="6"/>
    <x v="8"/>
    <s v="COSTO SFIZI"/>
    <n v="68.92"/>
    <s v="2/3"/>
    <s v="PAYPAL"/>
    <s v="Stampante 3D A1 mini"/>
  </r>
  <r>
    <x v="2"/>
    <s v="MARZO"/>
    <x v="0"/>
    <n v="3"/>
    <s v="MARZO 2026"/>
    <x v="6"/>
    <x v="8"/>
    <s v="COSTO SFIZI"/>
    <n v="35.799999999999997"/>
    <s v="2/5"/>
    <s v="AMAZON"/>
    <s v="Router Mercusys"/>
  </r>
  <r>
    <x v="2"/>
    <s v="MARZO"/>
    <x v="0"/>
    <n v="3"/>
    <s v="MARZO 2026"/>
    <x v="6"/>
    <x v="8"/>
    <s v="COSTO SFIZI"/>
    <n v="38.799999999999997"/>
    <s v="2/5"/>
    <s v="AMAZON"/>
    <s v="Monitor LG 32&quot;"/>
  </r>
  <r>
    <x v="91"/>
    <s v="MARZO"/>
    <x v="0"/>
    <n v="3"/>
    <s v="MARZO 2026"/>
    <x v="6"/>
    <x v="2"/>
    <s v="COSTO SOPRAVVIVENZA"/>
    <n v="1.5"/>
    <m/>
    <m/>
    <m/>
  </r>
  <r>
    <x v="91"/>
    <s v="MARZO"/>
    <x v="0"/>
    <n v="3"/>
    <s v="MARZO 2026"/>
    <x v="6"/>
    <x v="2"/>
    <s v="COSTO SOPRAVVIVENZA"/>
    <n v="1.5"/>
    <m/>
    <m/>
    <m/>
  </r>
  <r>
    <x v="2"/>
    <s v="FEBBRAIO"/>
    <x v="0"/>
    <n v="2"/>
    <s v="FEBBRAIO 2026"/>
    <x v="7"/>
    <x v="8"/>
    <s v="COSTO SFIZI"/>
    <n v="8.99"/>
    <m/>
    <m/>
    <m/>
  </r>
  <r>
    <x v="91"/>
    <s v="FEBBRAIO"/>
    <x v="0"/>
    <n v="2"/>
    <s v="FEBBRAIO 2026"/>
    <x v="7"/>
    <x v="2"/>
    <s v="COSTO SOPRAVVIVENZA"/>
    <n v="0.4"/>
    <m/>
    <m/>
    <m/>
  </r>
  <r>
    <x v="91"/>
    <s v="FEBBRAIO"/>
    <x v="0"/>
    <n v="2"/>
    <s v="FEBBRAIO 2026"/>
    <x v="7"/>
    <x v="2"/>
    <s v="COSTO SOPRAVVIVENZA"/>
    <n v="0.4"/>
    <m/>
    <m/>
    <m/>
  </r>
  <r>
    <x v="6"/>
    <s v="FEBBRAIO"/>
    <x v="0"/>
    <n v="2"/>
    <s v="FEBBRAIO 2026"/>
    <x v="7"/>
    <x v="0"/>
    <s v="COSTO SVAGHI"/>
    <n v="4.5"/>
    <m/>
    <m/>
    <m/>
  </r>
  <r>
    <x v="17"/>
    <s v="FEBBRAIO"/>
    <x v="0"/>
    <n v="2"/>
    <s v="FEBBRAIO 2026"/>
    <x v="7"/>
    <x v="7"/>
    <s v="COSTO SOPRAVVIVENZA"/>
    <n v="10.119999999999999"/>
    <m/>
    <m/>
    <m/>
  </r>
  <r>
    <x v="11"/>
    <s v="FEBBRAIO"/>
    <x v="0"/>
    <n v="2"/>
    <s v="FEBBRAIO 2026"/>
    <x v="7"/>
    <x v="0"/>
    <s v="COSTO SVAGHI"/>
    <n v="20.5"/>
    <m/>
    <m/>
    <m/>
  </r>
  <r>
    <x v="11"/>
    <s v="FEBBRAIO"/>
    <x v="0"/>
    <n v="2"/>
    <s v="FEBBRAIO 2026"/>
    <x v="7"/>
    <x v="0"/>
    <s v="COSTO SVAGHI"/>
    <n v="20"/>
    <m/>
    <m/>
    <m/>
  </r>
  <r>
    <x v="53"/>
    <s v="FEBBRAIO"/>
    <x v="0"/>
    <n v="2"/>
    <s v="FEBBRAIO 2026"/>
    <x v="7"/>
    <x v="1"/>
    <s v="COSTO CASA"/>
    <n v="70"/>
    <m/>
    <m/>
    <m/>
  </r>
  <r>
    <x v="53"/>
    <s v="FEBBRAIO"/>
    <x v="0"/>
    <n v="2"/>
    <s v="FEBBRAIO 2026"/>
    <x v="7"/>
    <x v="1"/>
    <s v="COSTO CASA"/>
    <n v="22.9"/>
    <m/>
    <m/>
    <m/>
  </r>
  <r>
    <x v="98"/>
    <s v="FEBBRAIO"/>
    <x v="0"/>
    <n v="2"/>
    <s v="FEBBRAIO 2026"/>
    <x v="7"/>
    <x v="11"/>
    <s v="COSTO SFIZI"/>
    <n v="65"/>
    <m/>
    <m/>
    <m/>
  </r>
  <r>
    <x v="99"/>
    <s v="FEBBRAIO"/>
    <x v="0"/>
    <n v="2"/>
    <s v="FEBBRAIO 2026"/>
    <x v="7"/>
    <x v="0"/>
    <s v="COSTO SVAGHI"/>
    <n v="21"/>
    <m/>
    <m/>
    <m/>
  </r>
  <r>
    <x v="35"/>
    <s v="FEBBRAIO"/>
    <x v="0"/>
    <n v="2"/>
    <s v="FEBBRAIO 2026"/>
    <x v="7"/>
    <x v="1"/>
    <s v="COSTO CASA"/>
    <n v="6"/>
    <m/>
    <m/>
    <m/>
  </r>
  <r>
    <x v="91"/>
    <s v="FEBBRAIO"/>
    <x v="0"/>
    <n v="2"/>
    <s v="FEBBRAIO 2026"/>
    <x v="7"/>
    <x v="2"/>
    <s v="COSTO SOPRAVVIVENZA"/>
    <n v="0.4"/>
    <m/>
    <m/>
    <m/>
  </r>
  <r>
    <x v="91"/>
    <s v="FEBBRAIO"/>
    <x v="0"/>
    <n v="2"/>
    <s v="FEBBRAIO 2026"/>
    <x v="7"/>
    <x v="2"/>
    <s v="COSTO SOPRAVVIVENZA"/>
    <n v="0.4"/>
    <m/>
    <m/>
    <m/>
  </r>
  <r>
    <x v="79"/>
    <s v="FEBBRAIO"/>
    <x v="0"/>
    <n v="2"/>
    <s v="FEBBRAIO 2026"/>
    <x v="7"/>
    <x v="3"/>
    <s v="COSTO MOBILITA'"/>
    <n v="0.85"/>
    <m/>
    <s v="PAYPAL"/>
    <s v="Pagato con Paypal"/>
  </r>
  <r>
    <x v="2"/>
    <s v="FEBBRAIO"/>
    <x v="0"/>
    <n v="2"/>
    <s v="FEBBRAIO 2026"/>
    <x v="7"/>
    <x v="8"/>
    <s v="COSTO SFIZI"/>
    <n v="19.989999999999998"/>
    <m/>
    <m/>
    <m/>
  </r>
  <r>
    <x v="6"/>
    <s v="FEBBRAIO"/>
    <x v="0"/>
    <n v="2"/>
    <s v="FEBBRAIO 2026"/>
    <x v="7"/>
    <x v="14"/>
    <s v="COSTO SOPRAVVIVENZA"/>
    <n v="9"/>
    <m/>
    <m/>
    <m/>
  </r>
  <r>
    <x v="5"/>
    <s v="FEBBRAIO"/>
    <x v="0"/>
    <n v="2"/>
    <s v="FEBBRAIO 2026"/>
    <x v="7"/>
    <x v="4"/>
    <s v="MOVIMENTI CONTO"/>
    <n v="20"/>
    <m/>
    <s v="REVOLUT"/>
    <s v="Pagamento Regalo Sandra"/>
  </r>
  <r>
    <x v="35"/>
    <s v="FEBBRAIO"/>
    <x v="0"/>
    <n v="2"/>
    <s v="FEBBRAIO 2026"/>
    <x v="7"/>
    <x v="1"/>
    <s v="COSTO CASA"/>
    <n v="7.9"/>
    <m/>
    <m/>
    <m/>
  </r>
  <r>
    <x v="12"/>
    <s v="FEBBRAIO"/>
    <x v="0"/>
    <n v="2"/>
    <s v="FEBBRAIO 2026"/>
    <x v="7"/>
    <x v="7"/>
    <s v="COSTO SOPRAVVIVENZA"/>
    <n v="5.57"/>
    <m/>
    <m/>
    <m/>
  </r>
  <r>
    <x v="79"/>
    <s v="FEBBRAIO"/>
    <x v="0"/>
    <n v="2"/>
    <s v="FEBBRAIO 2026"/>
    <x v="7"/>
    <x v="3"/>
    <s v="COSTO MOBILITA'"/>
    <n v="0.79"/>
    <m/>
    <s v="PAYPAL"/>
    <m/>
  </r>
  <r>
    <x v="2"/>
    <s v="FEBBRAIO"/>
    <x v="0"/>
    <n v="2"/>
    <s v="FEBBRAIO 2026"/>
    <x v="7"/>
    <x v="8"/>
    <s v="COSTO SFIZI"/>
    <n v="15.99"/>
    <m/>
    <m/>
    <m/>
  </r>
  <r>
    <x v="87"/>
    <s v="FEBBRAIO"/>
    <x v="0"/>
    <n v="2"/>
    <s v="FEBBRAIO 2026"/>
    <x v="7"/>
    <x v="8"/>
    <s v="COSTO SFIZI"/>
    <n v="68.92"/>
    <s v="1/3"/>
    <s v="PAYPAL"/>
    <s v="Stampante 3D A1 mini"/>
  </r>
  <r>
    <x v="87"/>
    <s v="FEBBRAIO"/>
    <x v="0"/>
    <n v="2"/>
    <s v="FEBBRAIO 2026"/>
    <x v="7"/>
    <x v="8"/>
    <s v="COSTO SFIZI"/>
    <n v="65.59"/>
    <m/>
    <s v="PAYPAL"/>
    <s v="Errore Stampante 3D A1 mini"/>
  </r>
  <r>
    <x v="100"/>
    <s v="FEBBRAIO"/>
    <x v="0"/>
    <n v="2"/>
    <s v="FEBBRAIO 2026"/>
    <x v="7"/>
    <x v="0"/>
    <s v="COSTO SVAGHI"/>
    <n v="62.5"/>
    <m/>
    <m/>
    <m/>
  </r>
  <r>
    <x v="21"/>
    <s v="FEBBRAIO"/>
    <x v="0"/>
    <n v="2"/>
    <s v="FEBBRAIO 2026"/>
    <x v="7"/>
    <x v="9"/>
    <s v="COSTO MOBILITA'"/>
    <n v="10"/>
    <m/>
    <m/>
    <m/>
  </r>
  <r>
    <x v="101"/>
    <s v="FEBBRAIO"/>
    <x v="0"/>
    <n v="2"/>
    <s v="FEBBRAIO 2026"/>
    <x v="7"/>
    <x v="0"/>
    <s v="COSTO SVAGHI"/>
    <n v="40"/>
    <m/>
    <m/>
    <m/>
  </r>
  <r>
    <x v="6"/>
    <s v="FEBBRAIO"/>
    <x v="0"/>
    <n v="2"/>
    <s v="FEBBRAIO 2026"/>
    <x v="7"/>
    <x v="14"/>
    <s v="COSTO SOPRAVVIVENZA"/>
    <n v="7"/>
    <m/>
    <m/>
    <m/>
  </r>
  <r>
    <x v="79"/>
    <s v="FEBBRAIO"/>
    <x v="0"/>
    <n v="2"/>
    <s v="FEBBRAIO 2026"/>
    <x v="7"/>
    <x v="3"/>
    <s v="COSTO MOBILITA'"/>
    <n v="0.73"/>
    <m/>
    <s v="PAYPAL"/>
    <m/>
  </r>
  <r>
    <x v="2"/>
    <s v="FEBBRAIO"/>
    <x v="0"/>
    <n v="2"/>
    <s v="FEBBRAIO 2026"/>
    <x v="7"/>
    <x v="8"/>
    <s v="COSTO SFIZI"/>
    <n v="10.44"/>
    <m/>
    <m/>
    <m/>
  </r>
  <r>
    <x v="5"/>
    <s v="FEBBRAIO"/>
    <x v="0"/>
    <n v="2"/>
    <s v="FEBBRAIO 2026"/>
    <x v="7"/>
    <x v="4"/>
    <s v="MOVIMENTI CONTO"/>
    <n v="22"/>
    <m/>
    <s v="REVOLUT"/>
    <s v="Pagamento CAFC Papà e Mamma"/>
  </r>
  <r>
    <x v="35"/>
    <s v="FEBBRAIO"/>
    <x v="0"/>
    <n v="2"/>
    <s v="FEBBRAIO 2026"/>
    <x v="7"/>
    <x v="1"/>
    <s v="COSTO CASA"/>
    <n v="18.14"/>
    <m/>
    <m/>
    <m/>
  </r>
  <r>
    <x v="17"/>
    <s v="FEBBRAIO"/>
    <x v="0"/>
    <n v="2"/>
    <s v="FEBBRAIO 2026"/>
    <x v="7"/>
    <x v="7"/>
    <s v="COSTO SOPRAVVIVENZA"/>
    <n v="5.63"/>
    <m/>
    <m/>
    <m/>
  </r>
  <r>
    <x v="12"/>
    <s v="FEBBRAIO"/>
    <x v="0"/>
    <n v="2"/>
    <s v="FEBBRAIO 2026"/>
    <x v="7"/>
    <x v="7"/>
    <s v="COSTO SOPRAVVIVENZA"/>
    <n v="24.38"/>
    <m/>
    <m/>
    <m/>
  </r>
  <r>
    <x v="79"/>
    <s v="FEBBRAIO"/>
    <x v="0"/>
    <n v="2"/>
    <s v="FEBBRAIO 2026"/>
    <x v="7"/>
    <x v="3"/>
    <s v="COSTO MOBILITA'"/>
    <n v="0.98"/>
    <m/>
    <s v="PAYPAL"/>
    <m/>
  </r>
  <r>
    <x v="79"/>
    <s v="FEBBRAIO"/>
    <x v="0"/>
    <n v="2"/>
    <s v="FEBBRAIO 2026"/>
    <x v="7"/>
    <x v="3"/>
    <s v="COSTO MOBILITA'"/>
    <n v="0.8"/>
    <m/>
    <s v="PAYPAL"/>
    <m/>
  </r>
  <r>
    <x v="102"/>
    <s v="FEBBRAIO"/>
    <x v="0"/>
    <n v="2"/>
    <s v="FEBBRAIO 2026"/>
    <x v="7"/>
    <x v="7"/>
    <s v="COSTO SOPRAVVIVENZA"/>
    <n v="22"/>
    <m/>
    <s v="PAYPAL"/>
    <s v="Arance Siciliane"/>
  </r>
  <r>
    <x v="2"/>
    <s v="FEBBRAIO"/>
    <x v="0"/>
    <n v="2"/>
    <s v="FEBBRAIO 2026"/>
    <x v="7"/>
    <x v="8"/>
    <s v="COSTO SFIZI"/>
    <n v="35.798000000000002"/>
    <s v="1/5"/>
    <s v="AMAZON"/>
    <s v="Router Mercusys"/>
  </r>
  <r>
    <x v="103"/>
    <s v="FEBBRAIO"/>
    <x v="0"/>
    <n v="2"/>
    <s v="FEBBRAIO 2026"/>
    <x v="7"/>
    <x v="0"/>
    <s v="COSTO SVAGHI"/>
    <n v="63"/>
    <m/>
    <m/>
    <m/>
  </r>
  <r>
    <x v="104"/>
    <s v="FEBBRAIO"/>
    <x v="0"/>
    <n v="2"/>
    <s v="FEBBRAIO 2026"/>
    <x v="7"/>
    <x v="0"/>
    <s v="COSTO SVAGHI"/>
    <n v="21"/>
    <m/>
    <m/>
    <m/>
  </r>
  <r>
    <x v="6"/>
    <s v="FEBBRAIO"/>
    <x v="0"/>
    <n v="2"/>
    <s v="FEBBRAIO 2026"/>
    <x v="7"/>
    <x v="0"/>
    <s v="COSTO SVAGHI"/>
    <n v="17.5"/>
    <m/>
    <m/>
    <m/>
  </r>
  <r>
    <x v="79"/>
    <s v="FEBBRAIO"/>
    <x v="0"/>
    <n v="2"/>
    <s v="FEBBRAIO 2026"/>
    <x v="7"/>
    <x v="3"/>
    <s v="COSTO MOBILITA'"/>
    <n v="0.84"/>
    <m/>
    <s v="PAYPAL"/>
    <m/>
  </r>
  <r>
    <x v="79"/>
    <s v="FEBBRAIO"/>
    <x v="0"/>
    <n v="2"/>
    <s v="FEBBRAIO 2026"/>
    <x v="7"/>
    <x v="3"/>
    <s v="COSTO MOBILITA'"/>
    <n v="0.95"/>
    <m/>
    <s v="PAYPAL"/>
    <m/>
  </r>
  <r>
    <x v="5"/>
    <s v="FEBBRAIO"/>
    <x v="0"/>
    <n v="2"/>
    <s v="FEBBRAIO 2026"/>
    <x v="7"/>
    <x v="4"/>
    <s v="MOVIMENTI CONTO"/>
    <n v="20"/>
    <m/>
    <s v="REVOLUT"/>
    <s v="Pagamento CAFC Papà e Mamma"/>
  </r>
  <r>
    <x v="105"/>
    <s v="FEBBRAIO"/>
    <x v="0"/>
    <n v="2"/>
    <s v="FEBBRAIO 2026"/>
    <x v="7"/>
    <x v="2"/>
    <s v="COSTO SOPRAVVIVENZA"/>
    <n v="1.5"/>
    <m/>
    <m/>
    <m/>
  </r>
  <r>
    <x v="105"/>
    <s v="FEBBRAIO"/>
    <x v="0"/>
    <n v="2"/>
    <s v="FEBBRAIO 2026"/>
    <x v="7"/>
    <x v="2"/>
    <s v="COSTO SOPRAVVIVENZA"/>
    <n v="0.8"/>
    <m/>
    <m/>
    <m/>
  </r>
  <r>
    <x v="105"/>
    <s v="FEBBRAIO"/>
    <x v="0"/>
    <n v="2"/>
    <s v="FEBBRAIO 2026"/>
    <x v="7"/>
    <x v="2"/>
    <s v="COSTO SOPRAVVIVENZA"/>
    <n v="0.8"/>
    <m/>
    <m/>
    <m/>
  </r>
  <r>
    <x v="105"/>
    <s v="FEBBRAIO"/>
    <x v="0"/>
    <n v="2"/>
    <s v="FEBBRAIO 2026"/>
    <x v="7"/>
    <x v="2"/>
    <s v="COSTO SOPRAVVIVENZA"/>
    <n v="1.5"/>
    <m/>
    <m/>
    <m/>
  </r>
  <r>
    <x v="105"/>
    <s v="FEBBRAIO"/>
    <x v="0"/>
    <n v="2"/>
    <s v="FEBBRAIO 2026"/>
    <x v="7"/>
    <x v="2"/>
    <s v="COSTO SOPRAVVIVENZA"/>
    <n v="0.8"/>
    <m/>
    <m/>
    <m/>
  </r>
  <r>
    <x v="105"/>
    <s v="FEBBRAIO"/>
    <x v="0"/>
    <n v="2"/>
    <s v="FEBBRAIO 2026"/>
    <x v="7"/>
    <x v="2"/>
    <s v="COSTO SOPRAVVIVENZA"/>
    <n v="0.8"/>
    <m/>
    <m/>
    <m/>
  </r>
  <r>
    <x v="105"/>
    <s v="FEBBRAIO"/>
    <x v="0"/>
    <n v="2"/>
    <s v="FEBBRAIO 2026"/>
    <x v="7"/>
    <x v="2"/>
    <s v="COSTO SOPRAVVIVENZA"/>
    <n v="1.3"/>
    <m/>
    <m/>
    <m/>
  </r>
  <r>
    <x v="105"/>
    <s v="FEBBRAIO"/>
    <x v="0"/>
    <n v="2"/>
    <s v="FEBBRAIO 2026"/>
    <x v="7"/>
    <x v="2"/>
    <s v="COSTO SOPRAVVIVENZA"/>
    <n v="1"/>
    <m/>
    <m/>
    <m/>
  </r>
  <r>
    <x v="91"/>
    <s v="FEBBRAIO"/>
    <x v="0"/>
    <n v="2"/>
    <s v="FEBBRAIO 2026"/>
    <x v="7"/>
    <x v="2"/>
    <s v="COSTO SOPRAVVIVENZA"/>
    <n v="0.4"/>
    <m/>
    <m/>
    <m/>
  </r>
  <r>
    <x v="79"/>
    <s v="FEBBRAIO"/>
    <x v="0"/>
    <n v="2"/>
    <s v="FEBBRAIO 2026"/>
    <x v="7"/>
    <x v="3"/>
    <s v="COSTO MOBILITA'"/>
    <n v="0.66"/>
    <m/>
    <s v="PAYPAL"/>
    <m/>
  </r>
  <r>
    <x v="12"/>
    <s v="FEBBRAIO"/>
    <x v="0"/>
    <n v="2"/>
    <s v="FEBBRAIO 2026"/>
    <x v="7"/>
    <x v="7"/>
    <s v="COSTO SOPRAVVIVENZA"/>
    <n v="13.92"/>
    <m/>
    <m/>
    <m/>
  </r>
  <r>
    <x v="2"/>
    <s v="FEBBRAIO"/>
    <x v="0"/>
    <n v="2"/>
    <s v="FEBBRAIO 2026"/>
    <x v="7"/>
    <x v="8"/>
    <s v="COSTO SFIZI"/>
    <n v="149.99"/>
    <m/>
    <m/>
    <m/>
  </r>
  <r>
    <x v="79"/>
    <s v="FEBBRAIO"/>
    <x v="0"/>
    <n v="2"/>
    <s v="FEBBRAIO 2026"/>
    <x v="7"/>
    <x v="3"/>
    <s v="COSTO MOBILITA'"/>
    <n v="2.2200000000000002"/>
    <m/>
    <s v="PAYPAL"/>
    <m/>
  </r>
  <r>
    <x v="79"/>
    <s v="FEBBRAIO"/>
    <x v="0"/>
    <n v="2"/>
    <s v="FEBBRAIO 2026"/>
    <x v="7"/>
    <x v="3"/>
    <s v="COSTO MOBILITA'"/>
    <n v="0.17"/>
    <m/>
    <s v="PAYPAL"/>
    <m/>
  </r>
  <r>
    <x v="17"/>
    <s v="FEBBRAIO"/>
    <x v="0"/>
    <n v="2"/>
    <s v="FEBBRAIO 2026"/>
    <x v="7"/>
    <x v="7"/>
    <s v="COSTO SOPRAVVIVENZA"/>
    <n v="4.8600000000000003"/>
    <m/>
    <m/>
    <m/>
  </r>
  <r>
    <x v="82"/>
    <s v="FEBBRAIO"/>
    <x v="0"/>
    <n v="2"/>
    <s v="FEBBRAIO 2026"/>
    <x v="7"/>
    <x v="7"/>
    <s v="COSTO SOPRAVVIVENZA"/>
    <n v="21"/>
    <m/>
    <m/>
    <m/>
  </r>
  <r>
    <x v="6"/>
    <s v="FEBBRAIO"/>
    <x v="0"/>
    <n v="2"/>
    <s v="FEBBRAIO 2026"/>
    <x v="7"/>
    <x v="14"/>
    <s v="COSTO SOPRAVVIVENZA"/>
    <n v="7"/>
    <m/>
    <m/>
    <m/>
  </r>
  <r>
    <x v="5"/>
    <s v="FEBBRAIO"/>
    <x v="0"/>
    <n v="2"/>
    <s v="FEBBRAIO 2026"/>
    <x v="7"/>
    <x v="4"/>
    <s v="MOVIMENTI CONTO"/>
    <n v="30"/>
    <m/>
    <s v="REVOLUT"/>
    <s v="Consolidamento conto"/>
  </r>
  <r>
    <x v="5"/>
    <s v="FEBBRAIO"/>
    <x v="0"/>
    <n v="2"/>
    <s v="FEBBRAIO 2026"/>
    <x v="7"/>
    <x v="15"/>
    <s v="TASSE"/>
    <n v="2.2799999999999998"/>
    <m/>
    <s v="REVOLUT"/>
    <s v="Consolidamento conto"/>
  </r>
  <r>
    <x v="5"/>
    <s v="FEBBRAIO"/>
    <x v="0"/>
    <n v="2"/>
    <s v="FEBBRAIO 2026"/>
    <x v="7"/>
    <x v="4"/>
    <s v="MOVIMENTI CONTO"/>
    <n v="130.06"/>
    <m/>
    <s v="REVOLUT"/>
    <s v="Consolidamento conto"/>
  </r>
  <r>
    <x v="79"/>
    <s v="FEBBRAIO"/>
    <x v="0"/>
    <n v="2"/>
    <s v="FEBBRAIO 2026"/>
    <x v="7"/>
    <x v="3"/>
    <s v="COSTO MOBILITA'"/>
    <n v="0.85"/>
    <m/>
    <s v="PAYPAL"/>
    <m/>
  </r>
  <r>
    <x v="106"/>
    <s v="FEBBRAIO"/>
    <x v="0"/>
    <n v="2"/>
    <s v="FEBBRAIO 2026"/>
    <x v="7"/>
    <x v="0"/>
    <s v="COSTO SVAGHI"/>
    <n v="10"/>
    <m/>
    <m/>
    <m/>
  </r>
  <r>
    <x v="105"/>
    <s v="FEBBRAIO"/>
    <x v="0"/>
    <n v="2"/>
    <s v="FEBBRAIO 2026"/>
    <x v="7"/>
    <x v="2"/>
    <s v="COSTO SOPRAVVIVENZA"/>
    <n v="1"/>
    <m/>
    <m/>
    <m/>
  </r>
  <r>
    <x v="105"/>
    <s v="FEBBRAIO"/>
    <x v="0"/>
    <n v="2"/>
    <s v="FEBBRAIO 2026"/>
    <x v="7"/>
    <x v="2"/>
    <s v="COSTO SOPRAVVIVENZA"/>
    <n v="1"/>
    <m/>
    <m/>
    <m/>
  </r>
  <r>
    <x v="8"/>
    <s v="FEBBRAIO"/>
    <x v="0"/>
    <n v="2"/>
    <s v="FEBBRAIO 2026"/>
    <x v="7"/>
    <x v="6"/>
    <s v="COSTO SOPRAVVIVENZA"/>
    <n v="33"/>
    <m/>
    <m/>
    <m/>
  </r>
  <r>
    <x v="6"/>
    <s v="FEBBRAIO"/>
    <x v="0"/>
    <n v="2"/>
    <s v="FEBBRAIO 2026"/>
    <x v="7"/>
    <x v="14"/>
    <s v="COSTO SOPRAVVIVENZA"/>
    <n v="7"/>
    <m/>
    <m/>
    <m/>
  </r>
  <r>
    <x v="2"/>
    <s v="FEBBRAIO"/>
    <x v="0"/>
    <n v="2"/>
    <s v="FEBBRAIO 2026"/>
    <x v="7"/>
    <x v="8"/>
    <s v="COSTO SFIZI"/>
    <n v="38.799999999999997"/>
    <s v="1/5"/>
    <s v="AMAZON"/>
    <s v="Monitor LG 32&quot;"/>
  </r>
  <r>
    <x v="2"/>
    <s v="FEBBRAIO"/>
    <x v="0"/>
    <n v="2"/>
    <s v="FEBBRAIO 2026"/>
    <x v="7"/>
    <x v="8"/>
    <s v="COSTO SFIZI"/>
    <n v="94.8"/>
    <s v="5/5"/>
    <s v="AMAZON"/>
    <s v="Samsung Galaxy Watch 2025"/>
  </r>
  <r>
    <x v="107"/>
    <s v="GENNAIO"/>
    <x v="0"/>
    <n v="1"/>
    <s v="GENNAIO 2026"/>
    <x v="8"/>
    <x v="13"/>
    <s v="GESTIONE CONTO"/>
    <n v="25.82"/>
    <m/>
    <m/>
    <m/>
  </r>
  <r>
    <x v="54"/>
    <s v="GENNAIO"/>
    <x v="0"/>
    <n v="1"/>
    <s v="GENNAIO 2026"/>
    <x v="8"/>
    <x v="0"/>
    <s v="COSTO SVAGHI"/>
    <n v="24"/>
    <m/>
    <m/>
    <m/>
  </r>
  <r>
    <x v="67"/>
    <s v="GENNAIO"/>
    <x v="0"/>
    <n v="1"/>
    <s v="GENNAIO 2026"/>
    <x v="8"/>
    <x v="7"/>
    <s v="COSTO SOPRAVVIVENZA"/>
    <n v="3.65"/>
    <m/>
    <m/>
    <m/>
  </r>
  <r>
    <x v="11"/>
    <s v="GENNAIO"/>
    <x v="0"/>
    <n v="1"/>
    <s v="GENNAIO 2026"/>
    <x v="8"/>
    <x v="0"/>
    <s v="COSTO SVAGHI"/>
    <n v="15.5"/>
    <m/>
    <m/>
    <m/>
  </r>
  <r>
    <x v="6"/>
    <s v="GENNAIO"/>
    <x v="0"/>
    <n v="1"/>
    <s v="GENNAIO 2026"/>
    <x v="8"/>
    <x v="14"/>
    <s v="COSTO SOPRAVVIVENZA"/>
    <n v="7"/>
    <m/>
    <m/>
    <m/>
  </r>
  <r>
    <x v="17"/>
    <s v="GENNAIO"/>
    <x v="0"/>
    <n v="1"/>
    <s v="GENNAIO 2026"/>
    <x v="8"/>
    <x v="7"/>
    <s v="COSTO SOPRAVVIVENZA"/>
    <n v="5.78"/>
    <m/>
    <m/>
    <m/>
  </r>
  <r>
    <x v="6"/>
    <s v="GENNAIO"/>
    <x v="0"/>
    <n v="1"/>
    <s v="GENNAIO 2026"/>
    <x v="8"/>
    <x v="14"/>
    <s v="COSTO SOPRAVVIVENZA"/>
    <n v="7"/>
    <m/>
    <m/>
    <m/>
  </r>
  <r>
    <x v="2"/>
    <s v="GENNAIO"/>
    <x v="0"/>
    <n v="1"/>
    <s v="GENNAIO 2026"/>
    <x v="8"/>
    <x v="8"/>
    <s v="COSTO SFIZI"/>
    <n v="17.25"/>
    <m/>
    <m/>
    <m/>
  </r>
  <r>
    <x v="6"/>
    <s v="GENNAIO"/>
    <x v="0"/>
    <n v="1"/>
    <s v="GENNAIO 2026"/>
    <x v="8"/>
    <x v="14"/>
    <s v="COSTO SOPRAVVIVENZA"/>
    <n v="7"/>
    <m/>
    <m/>
    <m/>
  </r>
  <r>
    <x v="5"/>
    <s v="GENNAIO"/>
    <x v="0"/>
    <n v="1"/>
    <s v="GENNAIO 2026"/>
    <x v="8"/>
    <x v="4"/>
    <s v="MOVIMENTI CONTO"/>
    <n v="50"/>
    <m/>
    <s v="REVOLUT"/>
    <s v="Anticipo Multa Paolo"/>
  </r>
  <r>
    <x v="12"/>
    <s v="GENNAIO"/>
    <x v="0"/>
    <n v="1"/>
    <s v="GENNAIO 2026"/>
    <x v="8"/>
    <x v="7"/>
    <s v="COSTO SOPRAVVIVENZA"/>
    <n v="21.38"/>
    <m/>
    <m/>
    <m/>
  </r>
  <r>
    <x v="11"/>
    <s v="GENNAIO"/>
    <x v="0"/>
    <n v="1"/>
    <s v="GENNAIO 2026"/>
    <x v="8"/>
    <x v="0"/>
    <s v="COSTO SVAGHI"/>
    <n v="40"/>
    <m/>
    <m/>
    <m/>
  </r>
  <r>
    <x v="5"/>
    <s v="GENNAIO"/>
    <x v="0"/>
    <n v="1"/>
    <s v="GENNAIO 2026"/>
    <x v="8"/>
    <x v="4"/>
    <s v="MOVIMENTI CONTO"/>
    <n v="50.5"/>
    <m/>
    <s v="REVOLUT"/>
    <s v="Abbonamento XBOX"/>
  </r>
  <r>
    <x v="6"/>
    <s v="GENNAIO"/>
    <x v="0"/>
    <n v="1"/>
    <s v="GENNAIO 2026"/>
    <x v="8"/>
    <x v="14"/>
    <s v="COSTO SOPRAVVIVENZA"/>
    <n v="7"/>
    <m/>
    <m/>
    <m/>
  </r>
  <r>
    <x v="6"/>
    <s v="GENNAIO"/>
    <x v="0"/>
    <n v="1"/>
    <s v="GENNAIO 2026"/>
    <x v="8"/>
    <x v="14"/>
    <s v="COSTO SOPRAVVIVENZA"/>
    <n v="7"/>
    <m/>
    <m/>
    <m/>
  </r>
  <r>
    <x v="17"/>
    <s v="GENNAIO"/>
    <x v="0"/>
    <n v="1"/>
    <s v="GENNAIO 2026"/>
    <x v="8"/>
    <x v="7"/>
    <s v="COSTO SOPRAVVIVENZA"/>
    <n v="3.08"/>
    <m/>
    <m/>
    <m/>
  </r>
  <r>
    <x v="6"/>
    <s v="GENNAIO"/>
    <x v="0"/>
    <n v="1"/>
    <s v="GENNAIO 2026"/>
    <x v="8"/>
    <x v="0"/>
    <s v="COSTO SVAGHI"/>
    <n v="3"/>
    <m/>
    <m/>
    <m/>
  </r>
  <r>
    <x v="102"/>
    <s v="GENNAIO"/>
    <x v="0"/>
    <n v="1"/>
    <s v="GENNAIO 2026"/>
    <x v="8"/>
    <x v="7"/>
    <s v="COSTO SOPRAVVIVENZA"/>
    <n v="22"/>
    <m/>
    <s v="PAYPAL"/>
    <s v="Arance Siciliane"/>
  </r>
  <r>
    <x v="12"/>
    <s v="GENNAIO"/>
    <x v="0"/>
    <n v="1"/>
    <s v="GENNAIO 2026"/>
    <x v="8"/>
    <x v="7"/>
    <s v="COSTO SOPRAVVIVENZA"/>
    <n v="5.76"/>
    <m/>
    <m/>
    <m/>
  </r>
  <r>
    <x v="108"/>
    <s v="GENNAIO"/>
    <x v="0"/>
    <n v="1"/>
    <s v="GENNAIO 2026"/>
    <x v="8"/>
    <x v="0"/>
    <s v="COSTO SVAGHI"/>
    <n v="42"/>
    <m/>
    <m/>
    <m/>
  </r>
  <r>
    <x v="21"/>
    <s v="GENNAIO"/>
    <x v="0"/>
    <n v="1"/>
    <s v="GENNAIO 2026"/>
    <x v="8"/>
    <x v="9"/>
    <s v="COSTO MOBILITA'"/>
    <n v="12"/>
    <m/>
    <m/>
    <m/>
  </r>
  <r>
    <x v="35"/>
    <s v="GENNAIO"/>
    <x v="0"/>
    <n v="1"/>
    <s v="GENNAIO 2026"/>
    <x v="8"/>
    <x v="1"/>
    <s v="COSTO CASA"/>
    <n v="16.89"/>
    <m/>
    <m/>
    <m/>
  </r>
  <r>
    <x v="82"/>
    <s v="GENNAIO"/>
    <x v="0"/>
    <n v="1"/>
    <s v="GENNAIO 2026"/>
    <x v="8"/>
    <x v="7"/>
    <s v="COSTO SOPRAVVIVENZA"/>
    <n v="12.03"/>
    <m/>
    <m/>
    <m/>
  </r>
  <r>
    <x v="12"/>
    <s v="GENNAIO"/>
    <x v="0"/>
    <n v="1"/>
    <s v="GENNAIO 2026"/>
    <x v="8"/>
    <x v="7"/>
    <s v="COSTO SOPRAVVIVENZA"/>
    <n v="25.6"/>
    <m/>
    <m/>
    <m/>
  </r>
  <r>
    <x v="41"/>
    <s v="GENNAIO"/>
    <x v="0"/>
    <n v="1"/>
    <s v="GENNAIO 2026"/>
    <x v="8"/>
    <x v="16"/>
    <s v="COSTO VACANZE"/>
    <n v="9.6"/>
    <m/>
    <m/>
    <s v="Viaggio Viterbo 2026"/>
  </r>
  <r>
    <x v="109"/>
    <s v="GENNAIO"/>
    <x v="0"/>
    <n v="1"/>
    <s v="GENNAIO 2026"/>
    <x v="8"/>
    <x v="12"/>
    <s v="COSTO SVAGHI"/>
    <n v="104"/>
    <m/>
    <m/>
    <s v="Viaggio Viterbo 2026"/>
  </r>
  <r>
    <x v="110"/>
    <s v="GENNAIO"/>
    <x v="0"/>
    <n v="1"/>
    <s v="GENNAIO 2026"/>
    <x v="8"/>
    <x v="0"/>
    <s v="COSTO SVAGHI"/>
    <n v="64"/>
    <m/>
    <m/>
    <s v="Viaggio Viterbo 2026"/>
  </r>
  <r>
    <x v="41"/>
    <s v="GENNAIO"/>
    <x v="0"/>
    <n v="1"/>
    <s v="GENNAIO 2026"/>
    <x v="8"/>
    <x v="16"/>
    <s v="COSTO VACANZE"/>
    <n v="12.7"/>
    <m/>
    <m/>
    <s v="Viaggio Viterbo 2026"/>
  </r>
  <r>
    <x v="111"/>
    <s v="GENNAIO"/>
    <x v="0"/>
    <n v="1"/>
    <s v="GENNAIO 2026"/>
    <x v="8"/>
    <x v="0"/>
    <s v="COSTO SVAGHI"/>
    <n v="69"/>
    <m/>
    <m/>
    <s v="Viaggio Viterbo 2026"/>
  </r>
  <r>
    <x v="41"/>
    <s v="GENNAIO"/>
    <x v="0"/>
    <n v="1"/>
    <s v="GENNAIO 2026"/>
    <x v="8"/>
    <x v="16"/>
    <s v="COSTO VACANZE"/>
    <n v="12.1"/>
    <m/>
    <m/>
    <s v="Viaggio Viterbo 2026"/>
  </r>
  <r>
    <x v="41"/>
    <s v="GENNAIO"/>
    <x v="0"/>
    <n v="1"/>
    <s v="GENNAIO 2026"/>
    <x v="8"/>
    <x v="16"/>
    <s v="COSTO VACANZE"/>
    <n v="12.2"/>
    <m/>
    <m/>
    <s v="Viaggio Viterbo 2026"/>
  </r>
  <r>
    <x v="57"/>
    <s v="GENNAIO"/>
    <x v="0"/>
    <n v="1"/>
    <s v="GENNAIO 2026"/>
    <x v="8"/>
    <x v="0"/>
    <s v="COSTO SVAGHI"/>
    <n v="7"/>
    <m/>
    <m/>
    <s v="Viaggio Viterbo 2026"/>
  </r>
  <r>
    <x v="53"/>
    <s v="GENNAIO"/>
    <x v="0"/>
    <n v="1"/>
    <s v="GENNAIO 2026"/>
    <x v="8"/>
    <x v="1"/>
    <s v="COSTO CASA"/>
    <n v="9.25"/>
    <m/>
    <m/>
    <m/>
  </r>
  <r>
    <x v="2"/>
    <s v="GENNAIO"/>
    <x v="0"/>
    <n v="1"/>
    <s v="GENNAIO 2026"/>
    <x v="8"/>
    <x v="8"/>
    <s v="COSTO SFIZI"/>
    <n v="94.8"/>
    <s v="4/5"/>
    <s v="AMAZON"/>
    <s v="Samsung Galaxy Watch 2025"/>
  </r>
  <r>
    <x v="2"/>
    <s v="GENNAIO"/>
    <x v="0"/>
    <n v="1"/>
    <s v="GENNAIO 2026"/>
    <x v="8"/>
    <x v="8"/>
    <s v="COSTO SFIZI"/>
    <n v="10.92"/>
    <s v="5/5"/>
    <s v="AMAZON"/>
    <s v="NANO LEAF"/>
  </r>
  <r>
    <x v="17"/>
    <s v="GENNAIO"/>
    <x v="0"/>
    <n v="1"/>
    <s v="GENNAIO 2026"/>
    <x v="8"/>
    <x v="7"/>
    <s v="COSTO SOPRAVVIVENZA"/>
    <n v="26.51"/>
    <m/>
    <m/>
    <s v="Capodanno 2025"/>
  </r>
  <r>
    <x v="12"/>
    <s v="GENNAIO"/>
    <x v="0"/>
    <n v="1"/>
    <s v="GENNAIO 2026"/>
    <x v="8"/>
    <x v="7"/>
    <s v="COSTO SOPRAVVIVENZA"/>
    <n v="28.5"/>
    <m/>
    <m/>
    <s v="Capodanno 2025"/>
  </r>
  <r>
    <x v="112"/>
    <s v="GENNAIO"/>
    <x v="0"/>
    <n v="1"/>
    <s v="GENNAIO 2026"/>
    <x v="8"/>
    <x v="1"/>
    <s v="COSTO CASA"/>
    <n v="24.4"/>
    <m/>
    <m/>
    <s v="Capodanno 2025"/>
  </r>
  <r>
    <x v="35"/>
    <s v="GENNAIO"/>
    <x v="0"/>
    <n v="1"/>
    <s v="GENNAIO 2026"/>
    <x v="8"/>
    <x v="1"/>
    <s v="COSTO CASA"/>
    <n v="26.4"/>
    <m/>
    <m/>
    <m/>
  </r>
  <r>
    <x v="53"/>
    <s v="GENNAIO"/>
    <x v="0"/>
    <n v="1"/>
    <s v="GENNAIO 2026"/>
    <x v="8"/>
    <x v="1"/>
    <s v="COSTO CASA"/>
    <n v="38.1"/>
    <m/>
    <m/>
    <m/>
  </r>
  <r>
    <x v="113"/>
    <s v="GENNAIO"/>
    <x v="0"/>
    <n v="1"/>
    <s v="GENNAIO 2026"/>
    <x v="8"/>
    <x v="1"/>
    <s v="COSTO CASA"/>
    <n v="19.8"/>
    <m/>
    <m/>
    <m/>
  </r>
  <r>
    <x v="53"/>
    <s v="GENNAIO"/>
    <x v="0"/>
    <n v="1"/>
    <s v="GENNAIO 2026"/>
    <x v="8"/>
    <x v="1"/>
    <s v="COSTO CASA"/>
    <n v="45.65"/>
    <m/>
    <m/>
    <m/>
  </r>
  <r>
    <x v="114"/>
    <s v="GENNAIO"/>
    <x v="0"/>
    <n v="1"/>
    <s v="GENNAIO 2026"/>
    <x v="8"/>
    <x v="0"/>
    <s v="COSTO SVAGHI"/>
    <n v="33.5"/>
    <m/>
    <m/>
    <m/>
  </r>
  <r>
    <x v="21"/>
    <s v="GENNAIO"/>
    <x v="0"/>
    <n v="1"/>
    <s v="GENNAIO 2026"/>
    <x v="8"/>
    <x v="9"/>
    <s v="COSTO MOBILITA'"/>
    <n v="13"/>
    <m/>
    <m/>
    <m/>
  </r>
  <r>
    <x v="6"/>
    <s v="DICEMBRE"/>
    <x v="1"/>
    <n v="12"/>
    <s v="DICEMBRE 2025"/>
    <x v="9"/>
    <x v="14"/>
    <s v="COSTO SOPRAVVIVENZA"/>
    <n v="7"/>
    <m/>
    <m/>
    <m/>
  </r>
  <r>
    <x v="2"/>
    <s v="DICEMBRE"/>
    <x v="1"/>
    <n v="12"/>
    <s v="DICEMBRE 2025"/>
    <x v="9"/>
    <x v="8"/>
    <s v="COSTO SFIZI"/>
    <n v="58.49"/>
    <m/>
    <m/>
    <s v="Regali Natale 2025 - Papà"/>
  </r>
  <r>
    <x v="2"/>
    <s v="DICEMBRE"/>
    <x v="1"/>
    <n v="12"/>
    <s v="DICEMBRE 2025"/>
    <x v="9"/>
    <x v="8"/>
    <s v="COSTO SFIZI"/>
    <n v="34.5"/>
    <m/>
    <m/>
    <s v="Regali Natale 2025"/>
  </r>
  <r>
    <x v="55"/>
    <s v="DICEMBRE"/>
    <x v="1"/>
    <n v="12"/>
    <s v="DICEMBRE 2025"/>
    <x v="9"/>
    <x v="7"/>
    <s v="COSTO SOPRAVVIVENZA"/>
    <n v="24.14"/>
    <m/>
    <m/>
    <s v="Compleanno 2025"/>
  </r>
  <r>
    <x v="115"/>
    <s v="DICEMBRE"/>
    <x v="1"/>
    <n v="12"/>
    <s v="DICEMBRE 2025"/>
    <x v="9"/>
    <x v="0"/>
    <s v="COSTO SVAGHI"/>
    <n v="22.6"/>
    <m/>
    <m/>
    <m/>
  </r>
  <r>
    <x v="11"/>
    <s v="DICEMBRE"/>
    <x v="1"/>
    <n v="12"/>
    <s v="DICEMBRE 2025"/>
    <x v="9"/>
    <x v="0"/>
    <s v="COSTO SVAGHI"/>
    <n v="22"/>
    <m/>
    <m/>
    <m/>
  </r>
  <r>
    <x v="6"/>
    <s v="DICEMBRE"/>
    <x v="1"/>
    <n v="12"/>
    <s v="DICEMBRE 2025"/>
    <x v="9"/>
    <x v="14"/>
    <s v="COSTO SOPRAVVIVENZA"/>
    <n v="7"/>
    <m/>
    <m/>
    <m/>
  </r>
  <r>
    <x v="6"/>
    <s v="DICEMBRE"/>
    <x v="1"/>
    <n v="12"/>
    <s v="DICEMBRE 2025"/>
    <x v="9"/>
    <x v="14"/>
    <s v="COSTO SOPRAVVIVENZA"/>
    <n v="9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116"/>
    <s v="DICEMBRE"/>
    <x v="1"/>
    <n v="12"/>
    <s v="DICEMBRE 2025"/>
    <x v="9"/>
    <x v="0"/>
    <s v="COSTO SVAGHI"/>
    <n v="40"/>
    <m/>
    <m/>
    <s v="Compleanno 2025"/>
  </r>
  <r>
    <x v="2"/>
    <s v="DICEMBRE"/>
    <x v="1"/>
    <n v="12"/>
    <s v="DICEMBRE 2025"/>
    <x v="9"/>
    <x v="8"/>
    <s v="COSTO SFIZI"/>
    <n v="20.39"/>
    <m/>
    <m/>
    <m/>
  </r>
  <r>
    <x v="2"/>
    <s v="DICEMBRE"/>
    <x v="1"/>
    <n v="12"/>
    <s v="DICEMBRE 2025"/>
    <x v="9"/>
    <x v="8"/>
    <s v="COSTO SFIZI"/>
    <n v="39.58"/>
    <m/>
    <m/>
    <m/>
  </r>
  <r>
    <x v="6"/>
    <s v="DICEMBRE"/>
    <x v="1"/>
    <n v="12"/>
    <s v="DICEMBRE 2025"/>
    <x v="9"/>
    <x v="14"/>
    <s v="COSTO SOPRAVVIVENZA"/>
    <n v="7"/>
    <m/>
    <m/>
    <m/>
  </r>
  <r>
    <x v="117"/>
    <s v="DICEMBRE"/>
    <x v="1"/>
    <n v="12"/>
    <s v="DICEMBRE 2025"/>
    <x v="9"/>
    <x v="0"/>
    <s v="COSTO SVAGHI"/>
    <n v="37"/>
    <m/>
    <m/>
    <s v="Compleanno 2025"/>
  </r>
  <r>
    <x v="16"/>
    <s v="DICEMBRE"/>
    <x v="1"/>
    <n v="12"/>
    <s v="DICEMBRE 2025"/>
    <x v="9"/>
    <x v="0"/>
    <s v="COSTO SVAGHI"/>
    <n v="36.4"/>
    <m/>
    <m/>
    <m/>
  </r>
  <r>
    <x v="118"/>
    <s v="DICEMBRE"/>
    <x v="1"/>
    <n v="12"/>
    <s v="DICEMBRE 2025"/>
    <x v="9"/>
    <x v="16"/>
    <s v="COSTO VACANZE"/>
    <n v="15.74"/>
    <m/>
    <m/>
    <s v="Viaggio Siviglia 2025"/>
  </r>
  <r>
    <x v="119"/>
    <s v="DICEMBRE"/>
    <x v="1"/>
    <n v="12"/>
    <s v="DICEMBRE 2025"/>
    <x v="9"/>
    <x v="0"/>
    <s v="COSTO SVAGHI"/>
    <n v="33.9"/>
    <m/>
    <m/>
    <s v="Viaggio Siviglia 2025"/>
  </r>
  <r>
    <x v="120"/>
    <s v="DICEMBRE"/>
    <x v="1"/>
    <n v="12"/>
    <s v="DICEMBRE 2025"/>
    <x v="9"/>
    <x v="10"/>
    <s v="COSTO SFIZI"/>
    <n v="21"/>
    <m/>
    <m/>
    <s v="Viaggio Siviglia 2025 Regali Natale 2025"/>
  </r>
  <r>
    <x v="120"/>
    <s v="DICEMBRE"/>
    <x v="1"/>
    <n v="12"/>
    <s v="DICEMBRE 2025"/>
    <x v="9"/>
    <x v="10"/>
    <s v="COSTO SFIZI"/>
    <n v="34.47"/>
    <m/>
    <m/>
    <s v="Viaggio Siviglia 2025 Regali Natale 2025"/>
  </r>
  <r>
    <x v="7"/>
    <s v="DICEMBRE"/>
    <x v="1"/>
    <n v="12"/>
    <s v="DICEMBRE 2025"/>
    <x v="9"/>
    <x v="5"/>
    <s v="COSTO VACANZE"/>
    <n v="478.37"/>
    <m/>
    <m/>
    <s v="Viaggio Siviglia 2025"/>
  </r>
  <r>
    <x v="121"/>
    <s v="DICEMBRE"/>
    <x v="1"/>
    <n v="12"/>
    <s v="DICEMBRE 2025"/>
    <x v="9"/>
    <x v="0"/>
    <s v="COSTO SVAGHI"/>
    <n v="4"/>
    <m/>
    <m/>
    <s v="Viaggio Siviglia 2025"/>
  </r>
  <r>
    <x v="122"/>
    <s v="DICEMBRE"/>
    <x v="1"/>
    <n v="12"/>
    <s v="DICEMBRE 2025"/>
    <x v="9"/>
    <x v="0"/>
    <s v="COSTO SVAGHI"/>
    <n v="33"/>
    <m/>
    <m/>
    <s v="Viaggio Siviglia 2025"/>
  </r>
  <r>
    <x v="123"/>
    <s v="DICEMBRE"/>
    <x v="1"/>
    <n v="12"/>
    <s v="DICEMBRE 2025"/>
    <x v="9"/>
    <x v="12"/>
    <s v="COSTO SVAGHI"/>
    <n v="36.799999999999997"/>
    <m/>
    <m/>
    <s v="Viaggio Siviglia 2025"/>
  </r>
  <r>
    <x v="124"/>
    <s v="DICEMBRE"/>
    <x v="1"/>
    <n v="12"/>
    <s v="DICEMBRE 2025"/>
    <x v="9"/>
    <x v="0"/>
    <s v="COSTO SVAGHI"/>
    <n v="27.5"/>
    <m/>
    <m/>
    <s v="Viaggio Siviglia 2025"/>
  </r>
  <r>
    <x v="118"/>
    <s v="DICEMBRE"/>
    <x v="1"/>
    <n v="12"/>
    <s v="DICEMBRE 2025"/>
    <x v="9"/>
    <x v="16"/>
    <s v="COSTO VACANZE"/>
    <n v="8.9600000000000009"/>
    <m/>
    <m/>
    <s v="Viaggio Siviglia 2025"/>
  </r>
  <r>
    <x v="125"/>
    <s v="DICEMBRE"/>
    <x v="1"/>
    <n v="12"/>
    <s v="DICEMBRE 2025"/>
    <x v="9"/>
    <x v="16"/>
    <s v="COSTO VACANZE"/>
    <n v="2.8"/>
    <m/>
    <m/>
    <s v="Viaggio Siviglia 2025"/>
  </r>
  <r>
    <x v="126"/>
    <s v="DICEMBRE"/>
    <x v="1"/>
    <n v="12"/>
    <s v="DICEMBRE 2025"/>
    <x v="9"/>
    <x v="16"/>
    <s v="COSTO VACANZE"/>
    <n v="98.82"/>
    <m/>
    <m/>
    <s v="Viaggio Siviglia 2025"/>
  </r>
  <r>
    <x v="127"/>
    <s v="DICEMBRE"/>
    <x v="1"/>
    <n v="12"/>
    <s v="DICEMBRE 2025"/>
    <x v="9"/>
    <x v="0"/>
    <s v="COSTO SVAGHI"/>
    <n v="2.2000000000000002"/>
    <m/>
    <m/>
    <s v="Viaggio Siviglia 2025"/>
  </r>
  <r>
    <x v="127"/>
    <s v="DICEMBRE"/>
    <x v="1"/>
    <n v="12"/>
    <s v="DICEMBRE 2025"/>
    <x v="9"/>
    <x v="0"/>
    <s v="COSTO SVAGHI"/>
    <n v="2.2000000000000002"/>
    <m/>
    <m/>
    <s v="Viaggio Siviglia 2025"/>
  </r>
  <r>
    <x v="118"/>
    <s v="DICEMBRE"/>
    <x v="1"/>
    <n v="12"/>
    <s v="DICEMBRE 2025"/>
    <x v="9"/>
    <x v="16"/>
    <s v="COSTO VACANZE"/>
    <n v="31.83"/>
    <m/>
    <m/>
    <s v="Viaggio Siviglia 2025"/>
  </r>
  <r>
    <x v="128"/>
    <s v="DICEMBRE"/>
    <x v="1"/>
    <n v="12"/>
    <s v="DICEMBRE 2025"/>
    <x v="9"/>
    <x v="0"/>
    <s v="COSTO SVAGHI"/>
    <n v="15"/>
    <m/>
    <m/>
    <s v="Viaggio Siviglia 2025"/>
  </r>
  <r>
    <x v="6"/>
    <s v="DICEMBRE"/>
    <x v="1"/>
    <n v="12"/>
    <s v="DICEMBRE 2025"/>
    <x v="9"/>
    <x v="0"/>
    <s v="COSTO SVAGHI"/>
    <n v="43.5"/>
    <m/>
    <m/>
    <s v="Compleanno 2025"/>
  </r>
  <r>
    <x v="6"/>
    <s v="DICEMBRE"/>
    <x v="1"/>
    <n v="12"/>
    <s v="DICEMBRE 2025"/>
    <x v="9"/>
    <x v="14"/>
    <s v="COSTO SOPRAVVIVENZA"/>
    <n v="7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5"/>
    <s v="DICEMBRE"/>
    <x v="1"/>
    <n v="12"/>
    <s v="DICEMBRE 2025"/>
    <x v="9"/>
    <x v="4"/>
    <s v="MOVIMENTI CONTO"/>
    <n v="50"/>
    <m/>
    <s v="REVOLUT"/>
    <s v="Prelievo"/>
  </r>
  <r>
    <x v="2"/>
    <s v="DICEMBRE"/>
    <x v="1"/>
    <n v="12"/>
    <s v="DICEMBRE 2025"/>
    <x v="9"/>
    <x v="11"/>
    <s v="COSTO SFIZI"/>
    <n v="78"/>
    <m/>
    <m/>
    <m/>
  </r>
  <r>
    <x v="2"/>
    <s v="DICEMBRE"/>
    <x v="1"/>
    <n v="12"/>
    <s v="DICEMBRE 2025"/>
    <x v="9"/>
    <x v="8"/>
    <s v="COSTO SFIZI"/>
    <n v="10.08"/>
    <m/>
    <m/>
    <m/>
  </r>
  <r>
    <x v="2"/>
    <s v="DICEMBRE"/>
    <x v="1"/>
    <n v="12"/>
    <s v="DICEMBRE 2025"/>
    <x v="9"/>
    <x v="8"/>
    <s v="COSTO SFIZI"/>
    <n v="49"/>
    <m/>
    <m/>
    <s v="Regali Natale 2025"/>
  </r>
  <r>
    <x v="6"/>
    <s v="DICEMBRE"/>
    <x v="1"/>
    <n v="12"/>
    <s v="DICEMBRE 2025"/>
    <x v="9"/>
    <x v="0"/>
    <s v="COSTO SVAGHI"/>
    <n v="2.8"/>
    <m/>
    <m/>
    <m/>
  </r>
  <r>
    <x v="17"/>
    <s v="DICEMBRE"/>
    <x v="1"/>
    <n v="12"/>
    <s v="DICEMBRE 2025"/>
    <x v="9"/>
    <x v="7"/>
    <s v="COSTO SOPRAVVIVENZA"/>
    <n v="5.95"/>
    <m/>
    <m/>
    <m/>
  </r>
  <r>
    <x v="12"/>
    <s v="DICEMBRE"/>
    <x v="1"/>
    <n v="12"/>
    <s v="DICEMBRE 2025"/>
    <x v="9"/>
    <x v="7"/>
    <s v="COSTO SOPRAVVIVENZA"/>
    <n v="20.91"/>
    <m/>
    <m/>
    <m/>
  </r>
  <r>
    <x v="6"/>
    <s v="DICEMBRE"/>
    <x v="1"/>
    <n v="12"/>
    <s v="DICEMBRE 2025"/>
    <x v="9"/>
    <x v="14"/>
    <s v="COSTO SOPRAVVIVENZA"/>
    <n v="7"/>
    <m/>
    <m/>
    <m/>
  </r>
  <r>
    <x v="2"/>
    <s v="DICEMBRE"/>
    <x v="1"/>
    <n v="12"/>
    <s v="DICEMBRE 2025"/>
    <x v="9"/>
    <x v="8"/>
    <s v="COSTO SFIZI"/>
    <n v="94.8"/>
    <s v="3/5"/>
    <s v="AMAZON"/>
    <s v="Samsung Galaxy Watch 2025"/>
  </r>
  <r>
    <x v="2"/>
    <s v="DICEMBRE"/>
    <x v="1"/>
    <n v="12"/>
    <s v="DICEMBRE 2025"/>
    <x v="9"/>
    <x v="8"/>
    <s v="COSTO SFIZI"/>
    <n v="10.95"/>
    <s v="4/5"/>
    <s v="AMAZON"/>
    <s v="NANO LEAF"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91"/>
    <s v="DICEMBRE"/>
    <x v="1"/>
    <n v="12"/>
    <s v="DICEMBRE 2025"/>
    <x v="9"/>
    <x v="2"/>
    <s v="COSTO SOPRAVVIVENZA"/>
    <n v="0.4"/>
    <m/>
    <m/>
    <m/>
  </r>
  <r>
    <x v="129"/>
    <s v="DICEMBRE"/>
    <x v="1"/>
    <n v="12"/>
    <s v="DICEMBRE 2025"/>
    <x v="9"/>
    <x v="11"/>
    <s v="COSTO SFIZI"/>
    <n v="48.1"/>
    <m/>
    <m/>
    <m/>
  </r>
  <r>
    <x v="16"/>
    <s v="DICEMBRE"/>
    <x v="1"/>
    <n v="12"/>
    <s v="DICEMBRE 2025"/>
    <x v="9"/>
    <x v="0"/>
    <s v="COSTO SVAGHI"/>
    <n v="51"/>
    <m/>
    <m/>
    <m/>
  </r>
  <r>
    <x v="11"/>
    <s v="DICEMBRE"/>
    <x v="1"/>
    <n v="12"/>
    <s v="DICEMBRE 2025"/>
    <x v="9"/>
    <x v="0"/>
    <s v="COSTO SVAGHI"/>
    <n v="33.5"/>
    <m/>
    <m/>
    <m/>
  </r>
  <r>
    <x v="6"/>
    <s v="DICEMBRE"/>
    <x v="1"/>
    <n v="12"/>
    <s v="DICEMBRE 2025"/>
    <x v="9"/>
    <x v="14"/>
    <s v="COSTO SOPRAVVIVENZA"/>
    <n v="7"/>
    <m/>
    <m/>
    <m/>
  </r>
  <r>
    <x v="130"/>
    <s v="DICEMBRE"/>
    <x v="1"/>
    <n v="12"/>
    <s v="DICEMBRE 2025"/>
    <x v="9"/>
    <x v="16"/>
    <s v="COSTO VACANZE"/>
    <n v="79.2"/>
    <m/>
    <m/>
    <s v="Viaggio Siviglia 2025"/>
  </r>
  <r>
    <x v="5"/>
    <s v="NOVEMBRE"/>
    <x v="1"/>
    <n v="11"/>
    <s v="NOVEMBRE 2025"/>
    <x v="10"/>
    <x v="17"/>
    <s v="MOVIMENTI CONTO"/>
    <n v="250"/>
    <m/>
    <s v="REVOLUT"/>
    <s v="Consolidamento conto"/>
  </r>
  <r>
    <x v="2"/>
    <s v="NOVEMBRE"/>
    <x v="1"/>
    <n v="11"/>
    <s v="NOVEMBRE 2025"/>
    <x v="10"/>
    <x v="8"/>
    <s v="COSTO SFIZI"/>
    <n v="15.59"/>
    <m/>
    <m/>
    <m/>
  </r>
  <r>
    <x v="2"/>
    <s v="NOVEMBRE"/>
    <x v="1"/>
    <n v="11"/>
    <s v="NOVEMBRE 2025"/>
    <x v="10"/>
    <x v="8"/>
    <s v="COSTO SFIZI"/>
    <n v="35.99"/>
    <m/>
    <m/>
    <m/>
  </r>
  <r>
    <x v="6"/>
    <s v="NOVEMBRE"/>
    <x v="1"/>
    <n v="11"/>
    <s v="NOVEMBRE 2025"/>
    <x v="10"/>
    <x v="14"/>
    <s v="COSTO SOPRAVVIVENZA"/>
    <n v="7"/>
    <m/>
    <m/>
    <m/>
  </r>
  <r>
    <x v="12"/>
    <s v="NOVEMBRE"/>
    <x v="1"/>
    <n v="11"/>
    <s v="NOVEMBRE 2025"/>
    <x v="10"/>
    <x v="7"/>
    <s v="COSTO SOPRAVVIVENZA"/>
    <n v="9.43"/>
    <m/>
    <m/>
    <m/>
  </r>
  <r>
    <x v="12"/>
    <s v="NOVEMBRE"/>
    <x v="1"/>
    <n v="11"/>
    <s v="NOVEMBRE 2025"/>
    <x v="10"/>
    <x v="7"/>
    <s v="COSTO SOPRAVVIVENZA"/>
    <n v="23.56"/>
    <m/>
    <m/>
    <m/>
  </r>
  <r>
    <x v="6"/>
    <s v="NOVEMBRE"/>
    <x v="1"/>
    <n v="11"/>
    <s v="NOVEMBRE 2025"/>
    <x v="10"/>
    <x v="14"/>
    <s v="COSTO SOPRAVVIVENZA"/>
    <n v="7"/>
    <m/>
    <m/>
    <m/>
  </r>
  <r>
    <x v="6"/>
    <s v="NOVEMBRE"/>
    <x v="1"/>
    <n v="11"/>
    <s v="NOVEMBRE 2025"/>
    <x v="10"/>
    <x v="0"/>
    <s v="COSTO SVAGHI"/>
    <n v="2.8"/>
    <m/>
    <m/>
    <m/>
  </r>
  <r>
    <x v="2"/>
    <s v="NOVEMBRE"/>
    <x v="1"/>
    <n v="11"/>
    <s v="NOVEMBRE 2025"/>
    <x v="10"/>
    <x v="8"/>
    <s v="COSTO SFIZI"/>
    <n v="14.9"/>
    <m/>
    <m/>
    <m/>
  </r>
  <r>
    <x v="11"/>
    <s v="NOVEMBRE"/>
    <x v="1"/>
    <n v="11"/>
    <s v="NOVEMBRE 2025"/>
    <x v="10"/>
    <x v="0"/>
    <s v="COSTO SVAGHI"/>
    <n v="20"/>
    <m/>
    <m/>
    <m/>
  </r>
  <r>
    <x v="2"/>
    <s v="NOVEMBRE"/>
    <x v="1"/>
    <n v="11"/>
    <s v="NOVEMBRE 2025"/>
    <x v="10"/>
    <x v="8"/>
    <s v="COSTO SFIZI"/>
    <n v="8.99"/>
    <m/>
    <m/>
    <m/>
  </r>
  <r>
    <x v="21"/>
    <s v="NOVEMBRE"/>
    <x v="1"/>
    <n v="11"/>
    <s v="NOVEMBRE 2025"/>
    <x v="10"/>
    <x v="9"/>
    <s v="COSTO MOBILITA'"/>
    <n v="15"/>
    <m/>
    <m/>
    <m/>
  </r>
  <r>
    <x v="82"/>
    <s v="NOVEMBRE"/>
    <x v="1"/>
    <n v="11"/>
    <s v="NOVEMBRE 2025"/>
    <x v="10"/>
    <x v="7"/>
    <s v="COSTO SOPRAVVIVENZA"/>
    <n v="2.99"/>
    <m/>
    <m/>
    <m/>
  </r>
  <r>
    <x v="82"/>
    <s v="NOVEMBRE"/>
    <x v="1"/>
    <n v="11"/>
    <s v="NOVEMBRE 2025"/>
    <x v="10"/>
    <x v="7"/>
    <s v="COSTO SOPRAVVIVENZA"/>
    <n v="15.83"/>
    <m/>
    <m/>
    <m/>
  </r>
  <r>
    <x v="6"/>
    <s v="NOVEMBRE"/>
    <x v="1"/>
    <n v="11"/>
    <s v="NOVEMBRE 2025"/>
    <x v="10"/>
    <x v="14"/>
    <s v="COSTO SOPRAVVIVENZA"/>
    <n v="7"/>
    <m/>
    <m/>
    <m/>
  </r>
  <r>
    <x v="17"/>
    <s v="NOVEMBRE"/>
    <x v="1"/>
    <n v="11"/>
    <s v="NOVEMBRE 2025"/>
    <x v="10"/>
    <x v="7"/>
    <s v="COSTO SOPRAVVIVENZA"/>
    <n v="4.8600000000000003"/>
    <m/>
    <m/>
    <m/>
  </r>
  <r>
    <x v="6"/>
    <s v="NOVEMBRE"/>
    <x v="1"/>
    <n v="11"/>
    <s v="NOVEMBRE 2025"/>
    <x v="10"/>
    <x v="0"/>
    <s v="COSTO SVAGHI"/>
    <n v="2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131"/>
    <s v="NOVEMBRE"/>
    <x v="1"/>
    <n v="11"/>
    <s v="NOVEMBRE 2025"/>
    <x v="10"/>
    <x v="0"/>
    <s v="COSTO SVAGHI"/>
    <n v="17.5"/>
    <m/>
    <m/>
    <s v="San Martino 2025"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132"/>
    <s v="NOVEMBRE"/>
    <x v="1"/>
    <n v="11"/>
    <s v="NOVEMBRE 2025"/>
    <x v="10"/>
    <x v="0"/>
    <s v="COSTO SVAGHI"/>
    <n v="32.5"/>
    <m/>
    <m/>
    <s v="San Martino 2025"/>
  </r>
  <r>
    <x v="133"/>
    <s v="NOVEMBRE"/>
    <x v="1"/>
    <n v="11"/>
    <s v="NOVEMBRE 2025"/>
    <x v="10"/>
    <x v="0"/>
    <s v="COSTO SVAGHI"/>
    <n v="36"/>
    <m/>
    <m/>
    <s v="San Martino 2025"/>
  </r>
  <r>
    <x v="131"/>
    <s v="NOVEMBRE"/>
    <x v="1"/>
    <n v="11"/>
    <s v="NOVEMBRE 2025"/>
    <x v="10"/>
    <x v="0"/>
    <s v="COSTO SVAGHI"/>
    <n v="22.5"/>
    <m/>
    <m/>
    <s v="San Martino 2025"/>
  </r>
  <r>
    <x v="134"/>
    <s v="NOVEMBRE"/>
    <x v="1"/>
    <n v="11"/>
    <s v="NOVEMBRE 2025"/>
    <x v="10"/>
    <x v="0"/>
    <s v="COSTO SVAGHI"/>
    <n v="12.5"/>
    <m/>
    <m/>
    <s v="San Martino 2025"/>
  </r>
  <r>
    <x v="11"/>
    <s v="NOVEMBRE"/>
    <x v="1"/>
    <n v="11"/>
    <s v="NOVEMBRE 2025"/>
    <x v="10"/>
    <x v="0"/>
    <s v="COSTO SVAGHI"/>
    <n v="27.5"/>
    <m/>
    <m/>
    <s v="San Martino 2025"/>
  </r>
  <r>
    <x v="6"/>
    <s v="NOVEMBRE"/>
    <x v="1"/>
    <n v="11"/>
    <s v="NOVEMBRE 2025"/>
    <x v="10"/>
    <x v="14"/>
    <s v="COSTO SOPRAVVIVENZA"/>
    <n v="7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8"/>
    <s v="NOVEMBRE"/>
    <x v="1"/>
    <n v="11"/>
    <s v="NOVEMBRE 2025"/>
    <x v="10"/>
    <x v="6"/>
    <s v="COSTO SOPRAVVIVENZA"/>
    <n v="33"/>
    <m/>
    <m/>
    <m/>
  </r>
  <r>
    <x v="2"/>
    <s v="NOVEMBRE"/>
    <x v="1"/>
    <n v="11"/>
    <s v="NOVEMBRE 2025"/>
    <x v="10"/>
    <x v="8"/>
    <s v="COSTO SFIZI"/>
    <n v="7.31"/>
    <m/>
    <m/>
    <m/>
  </r>
  <r>
    <x v="5"/>
    <s v="NOVEMBRE"/>
    <x v="1"/>
    <n v="11"/>
    <s v="NOVEMBRE 2025"/>
    <x v="10"/>
    <x v="18"/>
    <s v="COSTO SVAGHI"/>
    <n v="180"/>
    <m/>
    <s v="REVOLUT"/>
    <s v="Tesseramenti Basket 2025-2026"/>
  </r>
  <r>
    <x v="35"/>
    <s v="NOVEMBRE"/>
    <x v="1"/>
    <n v="11"/>
    <s v="NOVEMBRE 2025"/>
    <x v="10"/>
    <x v="1"/>
    <s v="COSTO CASA"/>
    <n v="8"/>
    <m/>
    <m/>
    <m/>
  </r>
  <r>
    <x v="17"/>
    <s v="NOVEMBRE"/>
    <x v="1"/>
    <n v="11"/>
    <s v="NOVEMBRE 2025"/>
    <x v="10"/>
    <x v="7"/>
    <s v="COSTO SOPRAVVIVENZA"/>
    <n v="13.64"/>
    <m/>
    <m/>
    <m/>
  </r>
  <r>
    <x v="91"/>
    <s v="NOVEMBRE"/>
    <x v="1"/>
    <n v="11"/>
    <s v="NOVEMBRE 2025"/>
    <x v="10"/>
    <x v="2"/>
    <s v="COSTO SOPRAVVIVENZA"/>
    <n v="0.4"/>
    <m/>
    <m/>
    <m/>
  </r>
  <r>
    <x v="135"/>
    <s v="NOVEMBRE"/>
    <x v="1"/>
    <n v="11"/>
    <s v="NOVEMBRE 2025"/>
    <x v="10"/>
    <x v="0"/>
    <s v="COSTO SVAGHI"/>
    <n v="30"/>
    <m/>
    <m/>
    <m/>
  </r>
  <r>
    <x v="136"/>
    <s v="NOVEMBRE"/>
    <x v="1"/>
    <n v="11"/>
    <s v="NOVEMBRE 2025"/>
    <x v="10"/>
    <x v="0"/>
    <s v="COSTO SVAGHI"/>
    <n v="18"/>
    <m/>
    <m/>
    <m/>
  </r>
  <r>
    <x v="6"/>
    <s v="NOVEMBRE"/>
    <x v="1"/>
    <n v="11"/>
    <s v="NOVEMBRE 2025"/>
    <x v="10"/>
    <x v="14"/>
    <s v="COSTO SOPRAVVIVENZA"/>
    <n v="8.5"/>
    <m/>
    <m/>
    <m/>
  </r>
  <r>
    <x v="91"/>
    <s v="NOVEMBRE"/>
    <x v="1"/>
    <n v="11"/>
    <s v="NOVEMBRE 2025"/>
    <x v="10"/>
    <x v="2"/>
    <s v="COSTO SOPRAVVIVENZA"/>
    <n v="0.4"/>
    <m/>
    <m/>
    <m/>
  </r>
  <r>
    <x v="91"/>
    <s v="NOVEMBRE"/>
    <x v="1"/>
    <n v="11"/>
    <s v="NOVEMBRE 2025"/>
    <x v="10"/>
    <x v="2"/>
    <s v="COSTO SOPRAVVIVENZA"/>
    <n v="0.4"/>
    <m/>
    <m/>
    <m/>
  </r>
  <r>
    <x v="6"/>
    <s v="NOVEMBRE"/>
    <x v="1"/>
    <n v="11"/>
    <s v="NOVEMBRE 2025"/>
    <x v="10"/>
    <x v="14"/>
    <s v="COSTO SOPRAVVIVENZA"/>
    <n v="7"/>
    <m/>
    <m/>
    <m/>
  </r>
  <r>
    <x v="91"/>
    <s v="NOVEMBRE"/>
    <x v="1"/>
    <n v="11"/>
    <s v="NOVEMBRE 2025"/>
    <x v="10"/>
    <x v="2"/>
    <s v="COSTO SOPRAVVIVENZA"/>
    <n v="0.4"/>
    <m/>
    <m/>
    <m/>
  </r>
  <r>
    <x v="90"/>
    <s v="NOVEMBRE"/>
    <x v="1"/>
    <n v="11"/>
    <s v="NOVEMBRE 2025"/>
    <x v="10"/>
    <x v="0"/>
    <s v="COSTO SVAGHI"/>
    <n v="11"/>
    <m/>
    <m/>
    <m/>
  </r>
  <r>
    <x v="5"/>
    <s v="NOVEMBRE"/>
    <x v="1"/>
    <n v="11"/>
    <s v="NOVEMBRE 2025"/>
    <x v="10"/>
    <x v="4"/>
    <s v="MOVIMENTI CONTO"/>
    <n v="45"/>
    <m/>
    <s v="REVOLUT"/>
    <s v="Prelievo"/>
  </r>
  <r>
    <x v="6"/>
    <s v="NOVEMBRE"/>
    <x v="1"/>
    <n v="11"/>
    <s v="NOVEMBRE 2025"/>
    <x v="10"/>
    <x v="0"/>
    <s v="COSTO SVAGHI"/>
    <n v="4.2"/>
    <m/>
    <m/>
    <m/>
  </r>
  <r>
    <x v="2"/>
    <s v="NOVEMBRE"/>
    <x v="1"/>
    <n v="11"/>
    <s v="NOVEMBRE 2025"/>
    <x v="10"/>
    <x v="8"/>
    <s v="COSTO SFIZI"/>
    <n v="6.99"/>
    <m/>
    <m/>
    <m/>
  </r>
  <r>
    <x v="137"/>
    <s v="NOVEMBRE"/>
    <x v="1"/>
    <n v="11"/>
    <s v="NOVEMBRE 2025"/>
    <x v="10"/>
    <x v="6"/>
    <s v="COSTO SOPRAVVIVENZA"/>
    <n v="87"/>
    <m/>
    <m/>
    <m/>
  </r>
  <r>
    <x v="2"/>
    <s v="NOVEMBRE"/>
    <x v="1"/>
    <n v="11"/>
    <s v="NOVEMBRE 2025"/>
    <x v="10"/>
    <x v="8"/>
    <s v="COSTO SFIZI"/>
    <n v="13.99"/>
    <m/>
    <m/>
    <m/>
  </r>
  <r>
    <x v="76"/>
    <s v="NOVEMBRE"/>
    <x v="1"/>
    <n v="11"/>
    <s v="NOVEMBRE 2025"/>
    <x v="10"/>
    <x v="0"/>
    <s v="COSTO SVAGHI"/>
    <n v="26.7"/>
    <m/>
    <m/>
    <m/>
  </r>
  <r>
    <x v="53"/>
    <s v="NOVEMBRE"/>
    <x v="1"/>
    <n v="11"/>
    <s v="NOVEMBRE 2025"/>
    <x v="10"/>
    <x v="0"/>
    <s v="COSTO SVAGHI"/>
    <n v="2"/>
    <m/>
    <m/>
    <m/>
  </r>
  <r>
    <x v="53"/>
    <s v="NOVEMBRE"/>
    <x v="1"/>
    <n v="11"/>
    <s v="NOVEMBRE 2025"/>
    <x v="10"/>
    <x v="1"/>
    <s v="COSTO CASA"/>
    <n v="52.95"/>
    <m/>
    <m/>
    <m/>
  </r>
  <r>
    <x v="138"/>
    <s v="NOVEMBRE"/>
    <x v="1"/>
    <n v="11"/>
    <s v="NOVEMBRE 2025"/>
    <x v="10"/>
    <x v="0"/>
    <s v="COSTO SVAGHI"/>
    <n v="80"/>
    <m/>
    <m/>
    <m/>
  </r>
  <r>
    <x v="5"/>
    <s v="NOVEMBRE"/>
    <x v="1"/>
    <n v="11"/>
    <s v="NOVEMBRE 2025"/>
    <x v="10"/>
    <x v="4"/>
    <s v="MOVIMENTI CONTO"/>
    <n v="80"/>
    <m/>
    <s v="REVOLUT"/>
    <s v="Prelievo"/>
  </r>
  <r>
    <x v="17"/>
    <s v="NOVEMBRE"/>
    <x v="1"/>
    <n v="11"/>
    <s v="NOVEMBRE 2025"/>
    <x v="10"/>
    <x v="7"/>
    <s v="COSTO SOPRAVVIVENZA"/>
    <n v="5.66"/>
    <m/>
    <m/>
    <m/>
  </r>
  <r>
    <x v="35"/>
    <s v="NOVEMBRE"/>
    <x v="1"/>
    <n v="11"/>
    <s v="NOVEMBRE 2025"/>
    <x v="10"/>
    <x v="1"/>
    <s v="COSTO CASA"/>
    <n v="34.96"/>
    <m/>
    <m/>
    <m/>
  </r>
  <r>
    <x v="91"/>
    <s v="NOVEMBRE"/>
    <x v="1"/>
    <n v="11"/>
    <s v="NOVEMBRE 2025"/>
    <x v="10"/>
    <x v="2"/>
    <s v="COSTO SOPRAVVIVENZA"/>
    <n v="0.4"/>
    <m/>
    <m/>
    <m/>
  </r>
  <r>
    <x v="6"/>
    <s v="NOVEMBRE"/>
    <x v="1"/>
    <n v="11"/>
    <s v="NOVEMBRE 2025"/>
    <x v="10"/>
    <x v="0"/>
    <s v="COSTO SVAGHI"/>
    <n v="2.8"/>
    <m/>
    <m/>
    <m/>
  </r>
  <r>
    <x v="139"/>
    <s v="NOVEMBRE"/>
    <x v="1"/>
    <n v="11"/>
    <s v="NOVEMBRE 2025"/>
    <x v="10"/>
    <x v="3"/>
    <s v="COSTO MOBILITA'"/>
    <n v="2"/>
    <m/>
    <m/>
    <m/>
  </r>
  <r>
    <x v="82"/>
    <s v="NOVEMBRE"/>
    <x v="1"/>
    <n v="11"/>
    <s v="NOVEMBRE 2025"/>
    <x v="10"/>
    <x v="7"/>
    <s v="COSTO SOPRAVVIVENZA"/>
    <n v="38.770000000000003"/>
    <m/>
    <m/>
    <m/>
  </r>
  <r>
    <x v="140"/>
    <s v="NOVEMBRE"/>
    <x v="1"/>
    <n v="11"/>
    <s v="NOVEMBRE 2025"/>
    <x v="10"/>
    <x v="8"/>
    <s v="COSTO SFIZI"/>
    <n v="1.89"/>
    <m/>
    <m/>
    <m/>
  </r>
  <r>
    <x v="2"/>
    <s v="NOVEMBRE"/>
    <x v="1"/>
    <n v="11"/>
    <s v="NOVEMBRE 2025"/>
    <x v="10"/>
    <x v="8"/>
    <s v="COSTO SFIZI"/>
    <n v="94.8"/>
    <s v="2/5"/>
    <s v="AMAZON"/>
    <s v="Samsung Galaxy Watch 2025"/>
  </r>
  <r>
    <x v="2"/>
    <s v="NOVEMBRE"/>
    <x v="1"/>
    <n v="11"/>
    <s v="NOVEMBRE 2025"/>
    <x v="10"/>
    <x v="8"/>
    <s v="COSTO SFIZI"/>
    <n v="10.95"/>
    <s v="3/5"/>
    <s v="AMAZON"/>
    <s v="NANO LEAF"/>
  </r>
  <r>
    <x v="7"/>
    <s v="NOVEMBRE"/>
    <x v="1"/>
    <n v="11"/>
    <s v="NOVEMBRE 2025"/>
    <x v="10"/>
    <x v="5"/>
    <s v="COSTO VACANZE"/>
    <n v="127.58"/>
    <s v="3/3"/>
    <s v="PAYPAL"/>
    <s v="Viaggio Valencia 2025"/>
  </r>
  <r>
    <x v="53"/>
    <s v="NOVEMBRE"/>
    <x v="1"/>
    <n v="11"/>
    <s v="NOVEMBRE 2025"/>
    <x v="10"/>
    <x v="1"/>
    <s v="COSTO CASA"/>
    <n v="33.33"/>
    <s v="3/3"/>
    <s v="PAYPAL"/>
    <m/>
  </r>
  <r>
    <x v="5"/>
    <s v="OTTOBRE"/>
    <x v="1"/>
    <n v="10"/>
    <s v="OTTOBRE 2025"/>
    <x v="11"/>
    <x v="4"/>
    <s v="MOVIMENTI CONTO"/>
    <n v="40"/>
    <m/>
    <s v="REVOLUT"/>
    <s v="Viaggio di lavoro Praga 2025"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6"/>
    <s v="OTTOBRE"/>
    <x v="1"/>
    <n v="10"/>
    <s v="OTTOBRE 2025"/>
    <x v="11"/>
    <x v="14"/>
    <s v="COSTO SOPRAVVIVENZA"/>
    <n v="7"/>
    <m/>
    <m/>
    <m/>
  </r>
  <r>
    <x v="8"/>
    <s v="OTTOBRE"/>
    <x v="1"/>
    <n v="10"/>
    <s v="OTTOBRE 2025"/>
    <x v="11"/>
    <x v="6"/>
    <s v="COSTO SOPRAVVIVENZA"/>
    <n v="33"/>
    <m/>
    <m/>
    <m/>
  </r>
  <r>
    <x v="5"/>
    <s v="OTTOBRE"/>
    <x v="1"/>
    <n v="10"/>
    <s v="OTTOBRE 2025"/>
    <x v="11"/>
    <x v="6"/>
    <s v="COSTO SOPRAVVIVENZA"/>
    <n v="60"/>
    <m/>
    <s v="REVOLUT"/>
    <s v="Osteopata Gressani"/>
  </r>
  <r>
    <x v="76"/>
    <s v="OTTOBRE"/>
    <x v="1"/>
    <n v="10"/>
    <s v="OTTOBRE 2025"/>
    <x v="11"/>
    <x v="0"/>
    <s v="COSTO SVAGHI"/>
    <n v="31.5"/>
    <m/>
    <m/>
    <m/>
  </r>
  <r>
    <x v="141"/>
    <s v="OTTOBRE"/>
    <x v="1"/>
    <n v="10"/>
    <s v="OTTOBRE 2025"/>
    <x v="11"/>
    <x v="0"/>
    <s v="COSTO SVAGHI"/>
    <n v="5"/>
    <m/>
    <m/>
    <m/>
  </r>
  <r>
    <x v="141"/>
    <s v="OTTOBRE"/>
    <x v="1"/>
    <n v="10"/>
    <s v="OTTOBRE 2025"/>
    <x v="11"/>
    <x v="0"/>
    <s v="COSTO SVAGHI"/>
    <n v="15"/>
    <m/>
    <m/>
    <m/>
  </r>
  <r>
    <x v="142"/>
    <s v="OTTOBRE"/>
    <x v="1"/>
    <n v="10"/>
    <s v="OTTOBRE 2025"/>
    <x v="11"/>
    <x v="0"/>
    <s v="COSTO SVAGHI"/>
    <n v="78.400000000000006"/>
    <m/>
    <m/>
    <m/>
  </r>
  <r>
    <x v="6"/>
    <s v="OTTOBRE"/>
    <x v="1"/>
    <n v="10"/>
    <s v="OTTOBRE 2025"/>
    <x v="11"/>
    <x v="14"/>
    <s v="COSTO SOPRAVVIVENZA"/>
    <n v="7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6"/>
    <s v="OTTOBRE"/>
    <x v="1"/>
    <n v="10"/>
    <s v="OTTOBRE 2025"/>
    <x v="11"/>
    <x v="0"/>
    <s v="COSTO SVAGHI"/>
    <n v="4.2"/>
    <m/>
    <m/>
    <m/>
  </r>
  <r>
    <x v="17"/>
    <s v="OTTOBRE"/>
    <x v="1"/>
    <n v="10"/>
    <s v="OTTOBRE 2025"/>
    <x v="11"/>
    <x v="7"/>
    <s v="COSTO SOPRAVVIVENZA"/>
    <n v="17.559999999999999"/>
    <m/>
    <m/>
    <m/>
  </r>
  <r>
    <x v="91"/>
    <s v="OTTOBRE"/>
    <x v="1"/>
    <n v="10"/>
    <s v="OTTOBRE 2025"/>
    <x v="11"/>
    <x v="2"/>
    <s v="COSTO SOPRAVVIVENZA"/>
    <n v="0.4"/>
    <m/>
    <m/>
    <m/>
  </r>
  <r>
    <x v="12"/>
    <s v="OTTOBRE"/>
    <x v="1"/>
    <n v="10"/>
    <s v="OTTOBRE 2025"/>
    <x v="11"/>
    <x v="7"/>
    <s v="COSTO SOPRAVVIVENZA"/>
    <n v="1.99"/>
    <m/>
    <m/>
    <m/>
  </r>
  <r>
    <x v="12"/>
    <s v="OTTOBRE"/>
    <x v="1"/>
    <n v="10"/>
    <s v="OTTOBRE 2025"/>
    <x v="11"/>
    <x v="7"/>
    <s v="COSTO SOPRAVVIVENZA"/>
    <n v="27.08"/>
    <m/>
    <m/>
    <m/>
  </r>
  <r>
    <x v="2"/>
    <s v="OTTOBRE"/>
    <x v="1"/>
    <n v="10"/>
    <s v="OTTOBRE 2025"/>
    <x v="11"/>
    <x v="8"/>
    <s v="COSTO SFIZI"/>
    <n v="38.89"/>
    <m/>
    <m/>
    <m/>
  </r>
  <r>
    <x v="143"/>
    <s v="OTTOBRE"/>
    <x v="1"/>
    <n v="10"/>
    <s v="OTTOBRE 2025"/>
    <x v="11"/>
    <x v="0"/>
    <s v="COSTO SVAGHI"/>
    <n v="22"/>
    <m/>
    <m/>
    <m/>
  </r>
  <r>
    <x v="82"/>
    <s v="OTTOBRE"/>
    <x v="1"/>
    <n v="10"/>
    <s v="OTTOBRE 2025"/>
    <x v="11"/>
    <x v="7"/>
    <s v="COSTO SOPRAVVIVENZA"/>
    <n v="7.6"/>
    <m/>
    <m/>
    <m/>
  </r>
  <r>
    <x v="53"/>
    <s v="OTTOBRE"/>
    <x v="1"/>
    <n v="10"/>
    <s v="OTTOBRE 2025"/>
    <x v="11"/>
    <x v="10"/>
    <s v="COSTO SFIZI"/>
    <n v="22.9"/>
    <m/>
    <m/>
    <s v="Regalo mamma"/>
  </r>
  <r>
    <x v="5"/>
    <s v="OTTOBRE"/>
    <x v="1"/>
    <n v="10"/>
    <s v="OTTOBRE 2025"/>
    <x v="11"/>
    <x v="10"/>
    <s v="COSTO SFIZI"/>
    <n v="100"/>
    <m/>
    <s v="REVOLUT"/>
    <s v="Regalo mamma"/>
  </r>
  <r>
    <x v="5"/>
    <s v="OTTOBRE"/>
    <x v="1"/>
    <n v="10"/>
    <s v="OTTOBRE 2025"/>
    <x v="11"/>
    <x v="4"/>
    <s v="MOVIMENTI CONTO"/>
    <n v="50"/>
    <m/>
    <s v="REVOLUT"/>
    <s v="Prelievo"/>
  </r>
  <r>
    <x v="91"/>
    <s v="OTTOBRE"/>
    <x v="1"/>
    <n v="10"/>
    <s v="OTTOBRE 2025"/>
    <x v="11"/>
    <x v="2"/>
    <s v="COSTO SOPRAVVIVENZA"/>
    <n v="0.6"/>
    <m/>
    <m/>
    <m/>
  </r>
  <r>
    <x v="6"/>
    <s v="OTTOBRE"/>
    <x v="1"/>
    <n v="10"/>
    <s v="OTTOBRE 2025"/>
    <x v="11"/>
    <x v="14"/>
    <s v="COSTO SOPRAVVIVENZA"/>
    <n v="7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144"/>
    <s v="OTTOBRE"/>
    <x v="1"/>
    <n v="10"/>
    <s v="OTTOBRE 2025"/>
    <x v="11"/>
    <x v="10"/>
    <s v="COSTO SFIZI"/>
    <n v="4"/>
    <m/>
    <m/>
    <s v="Regalo Davide 2025"/>
  </r>
  <r>
    <x v="145"/>
    <s v="OTTOBRE"/>
    <x v="1"/>
    <n v="10"/>
    <s v="OTTOBRE 2025"/>
    <x v="11"/>
    <x v="10"/>
    <s v="COSTO SFIZI"/>
    <n v="57.99"/>
    <m/>
    <m/>
    <s v="Regalo Davide 2025"/>
  </r>
  <r>
    <x v="6"/>
    <s v="OTTOBRE"/>
    <x v="1"/>
    <n v="10"/>
    <s v="OTTOBRE 2025"/>
    <x v="11"/>
    <x v="0"/>
    <s v="COSTO SVAGHI"/>
    <n v="4.2"/>
    <m/>
    <m/>
    <m/>
  </r>
  <r>
    <x v="91"/>
    <s v="OTTOBRE"/>
    <x v="1"/>
    <n v="10"/>
    <s v="OTTOBRE 2025"/>
    <x v="11"/>
    <x v="2"/>
    <s v="COSTO SOPRAVVIVENZA"/>
    <n v="0.4"/>
    <m/>
    <m/>
    <m/>
  </r>
  <r>
    <x v="6"/>
    <s v="OTTOBRE"/>
    <x v="1"/>
    <n v="10"/>
    <s v="OTTOBRE 2025"/>
    <x v="11"/>
    <x v="14"/>
    <s v="COSTO SOPRAVVIVENZA"/>
    <n v="7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OTTOBRE"/>
    <x v="1"/>
    <n v="10"/>
    <s v="OTTOBRE 2025"/>
    <x v="11"/>
    <x v="2"/>
    <s v="COSTO SOPRAVVIVENZA"/>
    <n v="0.4"/>
    <m/>
    <m/>
    <m/>
  </r>
  <r>
    <x v="2"/>
    <s v="OTTOBRE"/>
    <x v="1"/>
    <n v="10"/>
    <s v="OTTOBRE 2025"/>
    <x v="11"/>
    <x v="8"/>
    <s v="COSTO SFIZI"/>
    <n v="94.8"/>
    <s v="1/5"/>
    <s v="AMAZON"/>
    <s v="Samsung Galaxy Watch 2025"/>
  </r>
  <r>
    <x v="146"/>
    <s v="OTTOBRE"/>
    <x v="1"/>
    <n v="10"/>
    <s v="OTTOBRE 2025"/>
    <x v="11"/>
    <x v="19"/>
    <s v="COSTO SFIZI"/>
    <n v="49"/>
    <m/>
    <m/>
    <m/>
  </r>
  <r>
    <x v="11"/>
    <s v="OTTOBRE"/>
    <x v="1"/>
    <n v="10"/>
    <s v="OTTOBRE 2025"/>
    <x v="11"/>
    <x v="0"/>
    <s v="COSTO SVAGHI"/>
    <n v="23"/>
    <m/>
    <m/>
    <m/>
  </r>
  <r>
    <x v="35"/>
    <s v="OTTOBRE"/>
    <x v="1"/>
    <n v="10"/>
    <s v="OTTOBRE 2025"/>
    <x v="11"/>
    <x v="1"/>
    <s v="COSTO CASA"/>
    <n v="27.21"/>
    <m/>
    <m/>
    <m/>
  </r>
  <r>
    <x v="5"/>
    <s v="OTTOBRE"/>
    <x v="1"/>
    <n v="10"/>
    <s v="OTTOBRE 2025"/>
    <x v="11"/>
    <x v="0"/>
    <s v="COSTO SVAGHI"/>
    <n v="50"/>
    <m/>
    <s v="REVOLUT"/>
    <s v="Rimborso Savanelli Sa di Tappo"/>
  </r>
  <r>
    <x v="6"/>
    <s v="OTTOBRE"/>
    <x v="1"/>
    <n v="10"/>
    <s v="OTTOBRE 2025"/>
    <x v="11"/>
    <x v="0"/>
    <s v="COSTO SVAGHI"/>
    <n v="14"/>
    <m/>
    <m/>
    <m/>
  </r>
  <r>
    <x v="6"/>
    <s v="OTTOBRE"/>
    <x v="1"/>
    <n v="10"/>
    <s v="OTTOBRE 2025"/>
    <x v="11"/>
    <x v="14"/>
    <s v="COSTO SOPRAVVIVENZA"/>
    <n v="7"/>
    <m/>
    <m/>
    <m/>
  </r>
  <r>
    <x v="91"/>
    <s v="OTTOBRE"/>
    <x v="1"/>
    <n v="10"/>
    <s v="OTTOBRE 2025"/>
    <x v="11"/>
    <x v="2"/>
    <s v="COSTO SOPRAVVIVENZA"/>
    <n v="0.4"/>
    <m/>
    <m/>
    <m/>
  </r>
  <r>
    <x v="5"/>
    <s v="OTTOBRE"/>
    <x v="1"/>
    <n v="10"/>
    <s v="OTTOBRE 2025"/>
    <x v="11"/>
    <x v="17"/>
    <s v="MOVIMENTI CONTO"/>
    <n v="150"/>
    <m/>
    <s v="REVOLUT"/>
    <s v="Consolidamento conto"/>
  </r>
  <r>
    <x v="17"/>
    <s v="OTTOBRE"/>
    <x v="1"/>
    <n v="10"/>
    <s v="OTTOBRE 2025"/>
    <x v="11"/>
    <x v="7"/>
    <s v="COSTO SOPRAVVIVENZA"/>
    <n v="9.67"/>
    <m/>
    <m/>
    <m/>
  </r>
  <r>
    <x v="82"/>
    <s v="OTTOBRE"/>
    <x v="1"/>
    <n v="10"/>
    <s v="OTTOBRE 2025"/>
    <x v="11"/>
    <x v="7"/>
    <s v="COSTO SOPRAVVIVENZA"/>
    <n v="31.45"/>
    <m/>
    <m/>
    <m/>
  </r>
  <r>
    <x v="2"/>
    <s v="OTTOBRE"/>
    <x v="1"/>
    <n v="10"/>
    <s v="OTTOBRE 2025"/>
    <x v="11"/>
    <x v="8"/>
    <s v="COSTO SFIZI"/>
    <n v="10.95"/>
    <s v="2/5"/>
    <s v="AMAZON"/>
    <s v="NANO LEAF"/>
  </r>
  <r>
    <x v="7"/>
    <s v="OTTOBRE"/>
    <x v="1"/>
    <n v="10"/>
    <s v="OTTOBRE 2025"/>
    <x v="11"/>
    <x v="5"/>
    <s v="COSTO VACANZE"/>
    <n v="127.58"/>
    <s v="2/3"/>
    <s v="PAYPAL"/>
    <s v="Viaggio Valencia 2025"/>
  </r>
  <r>
    <x v="53"/>
    <s v="OTTOBRE"/>
    <x v="1"/>
    <n v="10"/>
    <s v="OTTOBRE 2025"/>
    <x v="11"/>
    <x v="1"/>
    <s v="COSTO CASA"/>
    <n v="33.340000000000003"/>
    <s v="2/3"/>
    <s v="PAYPAL"/>
    <m/>
  </r>
  <r>
    <x v="63"/>
    <s v="OTTOBRE"/>
    <x v="1"/>
    <n v="10"/>
    <s v="OTTOBRE 2025"/>
    <x v="11"/>
    <x v="12"/>
    <s v="COSTO SVAGHI"/>
    <n v="12.73"/>
    <s v="3/3"/>
    <s v="PAYPAL"/>
    <s v="Deejay Time"/>
  </r>
  <r>
    <x v="147"/>
    <s v="OTTOBRE"/>
    <x v="1"/>
    <n v="10"/>
    <s v="OTTOBRE 2025"/>
    <x v="11"/>
    <x v="16"/>
    <s v="COSTO VACANZE"/>
    <n v="5.9"/>
    <m/>
    <m/>
    <s v="Viaggio Valencia 2025"/>
  </r>
  <r>
    <x v="148"/>
    <s v="OTTOBRE"/>
    <x v="1"/>
    <n v="10"/>
    <s v="OTTOBRE 2025"/>
    <x v="11"/>
    <x v="0"/>
    <s v="COSTO SVAGHI"/>
    <n v="5.0999999999999996"/>
    <m/>
    <m/>
    <s v="Viaggio Valencia 2025"/>
  </r>
  <r>
    <x v="149"/>
    <s v="OTTOBRE"/>
    <x v="1"/>
    <n v="10"/>
    <s v="OTTOBRE 2025"/>
    <x v="11"/>
    <x v="10"/>
    <s v="COSTO SFIZI"/>
    <n v="19"/>
    <m/>
    <m/>
    <s v="Viaggio Valencia 2025"/>
  </r>
  <r>
    <x v="150"/>
    <s v="OTTOBRE"/>
    <x v="1"/>
    <n v="10"/>
    <s v="OTTOBRE 2025"/>
    <x v="11"/>
    <x v="10"/>
    <s v="COSTO SFIZI"/>
    <n v="13.1"/>
    <m/>
    <m/>
    <s v="Viaggio Valencia 2025"/>
  </r>
  <r>
    <x v="151"/>
    <s v="OTTOBRE"/>
    <x v="1"/>
    <n v="10"/>
    <s v="OTTOBRE 2025"/>
    <x v="11"/>
    <x v="0"/>
    <s v="COSTO SVAGHI"/>
    <n v="7.5"/>
    <m/>
    <m/>
    <s v="Viaggio Valencia 2025"/>
  </r>
  <r>
    <x v="152"/>
    <s v="OTTOBRE"/>
    <x v="1"/>
    <n v="10"/>
    <s v="OTTOBRE 2025"/>
    <x v="11"/>
    <x v="2"/>
    <s v="COSTO SOPRAVVIVENZA"/>
    <n v="1"/>
    <m/>
    <m/>
    <s v="Viaggio Valencia 2025"/>
  </r>
  <r>
    <x v="153"/>
    <s v="OTTOBRE"/>
    <x v="1"/>
    <n v="10"/>
    <s v="OTTOBRE 2025"/>
    <x v="11"/>
    <x v="16"/>
    <s v="COSTO VACANZE"/>
    <n v="19.760000000000002"/>
    <m/>
    <m/>
    <s v="Viaggio Valencia 2025"/>
  </r>
  <r>
    <x v="153"/>
    <s v="OTTOBRE"/>
    <x v="1"/>
    <n v="10"/>
    <s v="OTTOBRE 2025"/>
    <x v="11"/>
    <x v="16"/>
    <s v="COSTO VACANZE"/>
    <n v="26"/>
    <m/>
    <m/>
    <s v="Viaggio Valencia 2025"/>
  </r>
  <r>
    <x v="153"/>
    <s v="OTTOBRE"/>
    <x v="1"/>
    <n v="10"/>
    <s v="OTTOBRE 2025"/>
    <x v="11"/>
    <x v="16"/>
    <s v="COSTO VACANZE"/>
    <n v="3.99"/>
    <m/>
    <m/>
    <s v="Viaggio Valencia 2025"/>
  </r>
  <r>
    <x v="153"/>
    <s v="OTTOBRE"/>
    <x v="1"/>
    <n v="10"/>
    <s v="OTTOBRE 2025"/>
    <x v="11"/>
    <x v="16"/>
    <s v="COSTO VACANZE"/>
    <n v="19.95"/>
    <m/>
    <m/>
    <s v="Viaggio Valencia 2025"/>
  </r>
  <r>
    <x v="154"/>
    <s v="OTTOBRE"/>
    <x v="1"/>
    <n v="10"/>
    <s v="OTTOBRE 2025"/>
    <x v="11"/>
    <x v="0"/>
    <s v="COSTO SVAGHI"/>
    <n v="161.19999999999999"/>
    <m/>
    <m/>
    <s v="Viaggio Valencia 2025"/>
  </r>
  <r>
    <x v="155"/>
    <s v="OTTOBRE"/>
    <x v="1"/>
    <n v="10"/>
    <s v="OTTOBRE 2025"/>
    <x v="11"/>
    <x v="2"/>
    <s v="COSTO SOPRAVVIVENZA"/>
    <n v="2"/>
    <m/>
    <m/>
    <s v="Viaggio Valencia 2025"/>
  </r>
  <r>
    <x v="155"/>
    <s v="OTTOBRE"/>
    <x v="1"/>
    <n v="10"/>
    <s v="OTTOBRE 2025"/>
    <x v="11"/>
    <x v="12"/>
    <s v="COSTO SVAGHI"/>
    <n v="9.4"/>
    <m/>
    <m/>
    <s v="Viaggio Valencia 2025"/>
  </r>
  <r>
    <x v="155"/>
    <s v="OTTOBRE"/>
    <x v="1"/>
    <n v="10"/>
    <s v="OTTOBRE 2025"/>
    <x v="11"/>
    <x v="12"/>
    <s v="COSTO SVAGHI"/>
    <n v="3.5"/>
    <m/>
    <m/>
    <s v="Viaggio Valencia 2025"/>
  </r>
  <r>
    <x v="128"/>
    <s v="OTTOBRE"/>
    <x v="1"/>
    <n v="10"/>
    <s v="OTTOBRE 2025"/>
    <x v="11"/>
    <x v="0"/>
    <s v="COSTO SVAGHI"/>
    <n v="2.9"/>
    <m/>
    <m/>
    <s v="Viaggio Valencia 2025"/>
  </r>
  <r>
    <x v="128"/>
    <s v="OTTOBRE"/>
    <x v="1"/>
    <n v="10"/>
    <s v="OTTOBRE 2025"/>
    <x v="11"/>
    <x v="0"/>
    <s v="COSTO SVAGHI"/>
    <n v="14.9"/>
    <m/>
    <m/>
    <s v="Viaggio Valencia 2025"/>
  </r>
  <r>
    <x v="6"/>
    <s v="OTTOBRE"/>
    <x v="1"/>
    <n v="10"/>
    <s v="OTTOBRE 2025"/>
    <x v="11"/>
    <x v="14"/>
    <s v="COSTO SOPRAVVIVENZA"/>
    <n v="7"/>
    <m/>
    <m/>
    <m/>
  </r>
  <r>
    <x v="91"/>
    <s v="OTTOBRE"/>
    <x v="1"/>
    <n v="10"/>
    <s v="OTTOBRE 2025"/>
    <x v="11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156"/>
    <s v="SETTEMBRE"/>
    <x v="1"/>
    <n v="9"/>
    <s v="SETTEMBRE 2025"/>
    <x v="12"/>
    <x v="20"/>
    <s v="COSTO ABBONAMENTI"/>
    <n v="12.49"/>
    <m/>
    <s v="PAYPAL"/>
    <m/>
  </r>
  <r>
    <x v="108"/>
    <s v="SETTEMBRE"/>
    <x v="1"/>
    <n v="9"/>
    <s v="SETTEMBRE 2025"/>
    <x v="12"/>
    <x v="0"/>
    <s v="COSTO SVAGHI"/>
    <n v="43"/>
    <m/>
    <m/>
    <m/>
  </r>
  <r>
    <x v="11"/>
    <s v="SETTEMBRE"/>
    <x v="1"/>
    <n v="9"/>
    <s v="SETTEMBRE 2025"/>
    <x v="12"/>
    <x v="0"/>
    <s v="COSTO SVAGHI"/>
    <n v="18"/>
    <m/>
    <m/>
    <m/>
  </r>
  <r>
    <x v="82"/>
    <s v="SETTEMBRE"/>
    <x v="1"/>
    <n v="9"/>
    <s v="SETTEMBRE 2025"/>
    <x v="12"/>
    <x v="7"/>
    <s v="COSTO SOPRAVVIVENZA"/>
    <n v="12.14"/>
    <m/>
    <m/>
    <m/>
  </r>
  <r>
    <x v="12"/>
    <s v="SETTEMBRE"/>
    <x v="1"/>
    <n v="9"/>
    <s v="SETTEMBRE 2025"/>
    <x v="12"/>
    <x v="7"/>
    <s v="COSTO SOPRAVVIVENZA"/>
    <n v="6.17"/>
    <m/>
    <m/>
    <m/>
  </r>
  <r>
    <x v="157"/>
    <s v="SETTEMBRE"/>
    <x v="1"/>
    <n v="9"/>
    <s v="SETTEMBRE 2025"/>
    <x v="12"/>
    <x v="0"/>
    <s v="COSTO SVAGHI"/>
    <n v="34"/>
    <m/>
    <m/>
    <m/>
  </r>
  <r>
    <x v="6"/>
    <s v="SETTEMBRE"/>
    <x v="1"/>
    <n v="9"/>
    <s v="SETTEMBRE 2025"/>
    <x v="12"/>
    <x v="14"/>
    <s v="COSTO SOPRAVVIVENZA"/>
    <n v="7"/>
    <m/>
    <m/>
    <m/>
  </r>
  <r>
    <x v="91"/>
    <s v="SETTEMBRE"/>
    <x v="1"/>
    <n v="9"/>
    <s v="SETTEMBRE 2025"/>
    <x v="12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6"/>
    <s v="SETTEMBRE"/>
    <x v="1"/>
    <n v="9"/>
    <s v="SETTEMBRE 2025"/>
    <x v="12"/>
    <x v="0"/>
    <s v="COSTO SVAGHI"/>
    <n v="2.8"/>
    <m/>
    <m/>
    <m/>
  </r>
  <r>
    <x v="158"/>
    <s v="SETTEMBRE"/>
    <x v="1"/>
    <n v="9"/>
    <s v="SETTEMBRE 2025"/>
    <x v="12"/>
    <x v="5"/>
    <s v="COSTO VACANZE"/>
    <n v="24"/>
    <m/>
    <s v="PAYPAL"/>
    <s v="Viaggio Valencia 2025"/>
  </r>
  <r>
    <x v="7"/>
    <s v="SETTEMBRE"/>
    <x v="1"/>
    <n v="9"/>
    <s v="SETTEMBRE 2025"/>
    <x v="12"/>
    <x v="5"/>
    <s v="COSTO VACANZE"/>
    <n v="127.58"/>
    <s v="1/3"/>
    <s v="PAYPAL"/>
    <s v="Viaggio Valencia 2025"/>
  </r>
  <r>
    <x v="17"/>
    <s v="SETTEMBRE"/>
    <x v="1"/>
    <n v="9"/>
    <s v="SETTEMBRE 2025"/>
    <x v="12"/>
    <x v="7"/>
    <s v="COSTO SOPRAVVIVENZA"/>
    <n v="13.41"/>
    <m/>
    <m/>
    <m/>
  </r>
  <r>
    <x v="6"/>
    <s v="SETTEMBRE"/>
    <x v="1"/>
    <n v="9"/>
    <s v="SETTEMBRE 2025"/>
    <x v="12"/>
    <x v="14"/>
    <s v="COSTO SOPRAVVIVENZA"/>
    <n v="7"/>
    <m/>
    <m/>
    <m/>
  </r>
  <r>
    <x v="53"/>
    <s v="SETTEMBRE"/>
    <x v="1"/>
    <n v="9"/>
    <s v="SETTEMBRE 2025"/>
    <x v="12"/>
    <x v="1"/>
    <s v="COSTO CASA"/>
    <n v="33.33"/>
    <s v="1/3"/>
    <s v="PAYPAL"/>
    <m/>
  </r>
  <r>
    <x v="159"/>
    <s v="SETTEMBRE"/>
    <x v="1"/>
    <n v="9"/>
    <s v="SETTEMBRE 2025"/>
    <x v="12"/>
    <x v="0"/>
    <s v="COSTO SVAGHI"/>
    <n v="13.1"/>
    <m/>
    <m/>
    <m/>
  </r>
  <r>
    <x v="6"/>
    <s v="SETTEMBRE"/>
    <x v="1"/>
    <n v="9"/>
    <s v="SETTEMBRE 2025"/>
    <x v="12"/>
    <x v="0"/>
    <s v="COSTO SVAGHI"/>
    <n v="20"/>
    <m/>
    <m/>
    <m/>
  </r>
  <r>
    <x v="160"/>
    <s v="SETTEMBRE"/>
    <x v="1"/>
    <n v="9"/>
    <s v="SETTEMBRE 2025"/>
    <x v="12"/>
    <x v="0"/>
    <s v="COSTO SVAGHI"/>
    <n v="6"/>
    <m/>
    <m/>
    <s v="Friuli Doc 2025"/>
  </r>
  <r>
    <x v="161"/>
    <s v="SETTEMBRE"/>
    <x v="1"/>
    <n v="9"/>
    <s v="SETTEMBRE 2025"/>
    <x v="12"/>
    <x v="0"/>
    <s v="COSTO SVAGHI"/>
    <n v="20"/>
    <m/>
    <m/>
    <s v="Friuli Doc 2025"/>
  </r>
  <r>
    <x v="21"/>
    <s v="SETTEMBRE"/>
    <x v="1"/>
    <n v="9"/>
    <s v="SETTEMBRE 2025"/>
    <x v="12"/>
    <x v="9"/>
    <s v="COSTO MOBILITA'"/>
    <n v="9"/>
    <m/>
    <m/>
    <m/>
  </r>
  <r>
    <x v="162"/>
    <s v="SETTEMBRE"/>
    <x v="1"/>
    <n v="9"/>
    <s v="SETTEMBRE 2025"/>
    <x v="12"/>
    <x v="0"/>
    <s v="COSTO SVAGHI"/>
    <n v="37"/>
    <m/>
    <m/>
    <s v="Friuli Doc 2025"/>
  </r>
  <r>
    <x v="2"/>
    <s v="SETTEMBRE"/>
    <x v="1"/>
    <n v="9"/>
    <s v="SETTEMBRE 2025"/>
    <x v="12"/>
    <x v="8"/>
    <s v="COSTO SFIZI"/>
    <n v="49.9"/>
    <m/>
    <m/>
    <m/>
  </r>
  <r>
    <x v="91"/>
    <s v="SETTEMBRE"/>
    <x v="1"/>
    <n v="9"/>
    <s v="SETTEMBRE 2025"/>
    <x v="12"/>
    <x v="2"/>
    <s v="COSTO SOPRAVVIVENZA"/>
    <n v="0.6"/>
    <m/>
    <m/>
    <m/>
  </r>
  <r>
    <x v="6"/>
    <s v="SETTEMBRE"/>
    <x v="1"/>
    <n v="9"/>
    <s v="SETTEMBRE 2025"/>
    <x v="12"/>
    <x v="14"/>
    <s v="COSTO SOPRAVVIVENZA"/>
    <n v="7"/>
    <m/>
    <m/>
    <m/>
  </r>
  <r>
    <x v="17"/>
    <s v="SETTEMBRE"/>
    <x v="1"/>
    <n v="9"/>
    <s v="SETTEMBRE 2025"/>
    <x v="12"/>
    <x v="7"/>
    <s v="COSTO SOPRAVVIVENZA"/>
    <n v="11.76"/>
    <m/>
    <m/>
    <m/>
  </r>
  <r>
    <x v="91"/>
    <s v="SETTEMBRE"/>
    <x v="1"/>
    <n v="9"/>
    <s v="SETTEMBRE 2025"/>
    <x v="12"/>
    <x v="2"/>
    <s v="COSTO SOPRAVVIVENZA"/>
    <n v="0.4"/>
    <m/>
    <m/>
    <m/>
  </r>
  <r>
    <x v="91"/>
    <s v="SETTEMBRE"/>
    <x v="1"/>
    <n v="9"/>
    <s v="SETTEMBRE 2025"/>
    <x v="12"/>
    <x v="2"/>
    <s v="COSTO SOPRAVVIVENZA"/>
    <n v="0.4"/>
    <m/>
    <m/>
    <m/>
  </r>
  <r>
    <x v="17"/>
    <s v="SETTEMBRE"/>
    <x v="1"/>
    <n v="9"/>
    <s v="SETTEMBRE 2025"/>
    <x v="12"/>
    <x v="7"/>
    <s v="COSTO SOPRAVVIVENZA"/>
    <n v="7.23"/>
    <m/>
    <m/>
    <m/>
  </r>
  <r>
    <x v="35"/>
    <s v="SETTEMBRE"/>
    <x v="1"/>
    <n v="9"/>
    <s v="SETTEMBRE 2025"/>
    <x v="12"/>
    <x v="1"/>
    <s v="COSTO CASA"/>
    <n v="21.07"/>
    <m/>
    <m/>
    <m/>
  </r>
  <r>
    <x v="63"/>
    <s v="SETTEMBRE"/>
    <x v="1"/>
    <n v="9"/>
    <s v="SETTEMBRE 2025"/>
    <x v="12"/>
    <x v="12"/>
    <s v="COSTO SVAGHI"/>
    <n v="12.73"/>
    <s v="2/3"/>
    <s v="PAYPAL"/>
    <s v="Deejay Time"/>
  </r>
  <r>
    <x v="2"/>
    <s v="SETTEMBRE"/>
    <x v="1"/>
    <n v="9"/>
    <s v="SETTEMBRE 2025"/>
    <x v="12"/>
    <x v="10"/>
    <s v="COSTO SFIZI"/>
    <n v="16.66"/>
    <s v="3/3"/>
    <s v="PAYPAL"/>
    <s v="VERALAB Regalo Stefania 2025"/>
  </r>
  <r>
    <x v="53"/>
    <s v="SETTEMBRE"/>
    <x v="1"/>
    <n v="9"/>
    <s v="SETTEMBRE 2025"/>
    <x v="12"/>
    <x v="0"/>
    <s v="COSTO SVAGHI"/>
    <n v="2"/>
    <m/>
    <m/>
    <m/>
  </r>
  <r>
    <x v="53"/>
    <s v="SETTEMBRE"/>
    <x v="1"/>
    <n v="9"/>
    <s v="SETTEMBRE 2025"/>
    <x v="12"/>
    <x v="1"/>
    <s v="COSTO CASA"/>
    <n v="0.8"/>
    <m/>
    <m/>
    <m/>
  </r>
  <r>
    <x v="163"/>
    <s v="SETTEMBRE"/>
    <x v="1"/>
    <n v="9"/>
    <s v="SETTEMBRE 2025"/>
    <x v="12"/>
    <x v="10"/>
    <s v="COSTO SFIZI"/>
    <n v="39.93"/>
    <m/>
    <m/>
    <s v="REGALO DAVIDE TOSO"/>
  </r>
  <r>
    <x v="2"/>
    <s v="SETTEMBRE"/>
    <x v="1"/>
    <n v="9"/>
    <s v="SETTEMBRE 2025"/>
    <x v="12"/>
    <x v="8"/>
    <s v="COSTO SFIZI"/>
    <n v="16.899999999999999"/>
    <s v="3/3"/>
    <s v="AMAZON"/>
    <s v="MELICONI"/>
  </r>
  <r>
    <x v="82"/>
    <s v="SETTEMBRE"/>
    <x v="1"/>
    <n v="9"/>
    <s v="SETTEMBRE 2025"/>
    <x v="12"/>
    <x v="7"/>
    <s v="COSTO SOPRAVVIVENZA"/>
    <n v="15.38"/>
    <m/>
    <m/>
    <m/>
  </r>
  <r>
    <x v="164"/>
    <s v="SETTEMBRE"/>
    <x v="1"/>
    <n v="9"/>
    <s v="SETTEMBRE 2025"/>
    <x v="12"/>
    <x v="0"/>
    <s v="COSTO SVAGHI"/>
    <n v="8.6"/>
    <m/>
    <m/>
    <m/>
  </r>
  <r>
    <x v="2"/>
    <s v="SETTEMBRE"/>
    <x v="1"/>
    <n v="9"/>
    <s v="SETTEMBRE 2025"/>
    <x v="12"/>
    <x v="8"/>
    <s v="COSTO SFIZI"/>
    <n v="23.54"/>
    <m/>
    <s v="AMAZON"/>
    <m/>
  </r>
  <r>
    <x v="6"/>
    <s v="SETTEMBRE"/>
    <x v="1"/>
    <n v="9"/>
    <s v="SETTEMBRE 2025"/>
    <x v="12"/>
    <x v="14"/>
    <s v="COSTO SOPRAVVIVENZA"/>
    <n v="7"/>
    <m/>
    <m/>
    <m/>
  </r>
  <r>
    <x v="6"/>
    <s v="SETTEMBRE"/>
    <x v="1"/>
    <n v="9"/>
    <s v="SETTEMBRE 2025"/>
    <x v="12"/>
    <x v="0"/>
    <s v="COSTO SVAGHI"/>
    <n v="5.6"/>
    <m/>
    <m/>
    <m/>
  </r>
  <r>
    <x v="2"/>
    <s v="SETTEMBRE"/>
    <x v="1"/>
    <n v="9"/>
    <s v="SETTEMBRE 2025"/>
    <x v="12"/>
    <x v="8"/>
    <s v="COSTO SFIZI"/>
    <n v="12.17"/>
    <m/>
    <s v="AMAZON"/>
    <m/>
  </r>
  <r>
    <x v="91"/>
    <s v="SETTEMBRE"/>
    <x v="1"/>
    <n v="9"/>
    <s v="SETTEMBRE 2025"/>
    <x v="12"/>
    <x v="2"/>
    <s v="COSTO SOPRAVVIVENZA"/>
    <n v="0.4"/>
    <m/>
    <m/>
    <m/>
  </r>
  <r>
    <x v="2"/>
    <s v="SETTEMBRE"/>
    <x v="1"/>
    <n v="9"/>
    <s v="SETTEMBRE 2025"/>
    <x v="12"/>
    <x v="8"/>
    <s v="COSTO SFIZI"/>
    <n v="10.95"/>
    <s v="1/5"/>
    <s v="AMAZON"/>
    <s v="NANO LEAF"/>
  </r>
  <r>
    <x v="35"/>
    <s v="SETTEMBRE"/>
    <x v="1"/>
    <n v="9"/>
    <s v="SETTEMBRE 2025"/>
    <x v="12"/>
    <x v="1"/>
    <s v="COSTO CASA"/>
    <n v="28.93"/>
    <m/>
    <m/>
    <m/>
  </r>
  <r>
    <x v="6"/>
    <s v="SETTEMBRE"/>
    <x v="1"/>
    <n v="9"/>
    <s v="SETTEMBRE 2025"/>
    <x v="12"/>
    <x v="14"/>
    <s v="COSTO SOPRAVVIVENZA"/>
    <n v="7"/>
    <m/>
    <m/>
    <m/>
  </r>
  <r>
    <x v="91"/>
    <s v="SETTEMBRE"/>
    <x v="1"/>
    <n v="9"/>
    <s v="SETTEMBRE 2025"/>
    <x v="12"/>
    <x v="2"/>
    <s v="COSTO SOPRAVVIVENZA"/>
    <n v="0.4"/>
    <m/>
    <m/>
    <m/>
  </r>
  <r>
    <x v="35"/>
    <s v="SETTEMBRE"/>
    <x v="1"/>
    <n v="9"/>
    <s v="SETTEMBRE 2025"/>
    <x v="12"/>
    <x v="1"/>
    <s v="COSTO CASA"/>
    <n v="26.57"/>
    <m/>
    <m/>
    <m/>
  </r>
  <r>
    <x v="112"/>
    <s v="SETTEMBRE"/>
    <x v="1"/>
    <n v="9"/>
    <s v="SETTEMBRE 2025"/>
    <x v="12"/>
    <x v="1"/>
    <s v="COSTO CASA"/>
    <n v="13.9"/>
    <m/>
    <m/>
    <m/>
  </r>
  <r>
    <x v="165"/>
    <s v="SETTEMBRE"/>
    <x v="1"/>
    <n v="9"/>
    <s v="SETTEMBRE 2025"/>
    <x v="12"/>
    <x v="3"/>
    <s v="COSTO MOBILITA'"/>
    <n v="1.5"/>
    <m/>
    <m/>
    <m/>
  </r>
  <r>
    <x v="166"/>
    <s v="SETTEMBRE"/>
    <x v="1"/>
    <n v="9"/>
    <s v="SETTEMBRE 2025"/>
    <x v="12"/>
    <x v="0"/>
    <s v="COSTO SVAGHI"/>
    <n v="85"/>
    <m/>
    <m/>
    <m/>
  </r>
  <r>
    <x v="167"/>
    <s v="SETTEMBRE"/>
    <x v="1"/>
    <n v="9"/>
    <s v="SETTEMBRE 2025"/>
    <x v="12"/>
    <x v="10"/>
    <s v="COSTO SFIZI"/>
    <n v="40"/>
    <m/>
    <s v="PAYPAL"/>
    <s v="Regalo Tom 2025"/>
  </r>
  <r>
    <x v="17"/>
    <s v="SETTEMBRE"/>
    <x v="1"/>
    <n v="9"/>
    <s v="SETTEMBRE 2025"/>
    <x v="12"/>
    <x v="7"/>
    <s v="COSTO SOPRAVVIVENZA"/>
    <n v="5.72"/>
    <m/>
    <m/>
    <m/>
  </r>
  <r>
    <x v="82"/>
    <s v="SETTEMBRE"/>
    <x v="1"/>
    <n v="9"/>
    <s v="SETTEMBRE 2025"/>
    <x v="12"/>
    <x v="7"/>
    <s v="COSTO SOPRAVVIVENZA"/>
    <n v="12.32"/>
    <m/>
    <m/>
    <m/>
  </r>
  <r>
    <x v="168"/>
    <s v="SETTEMBRE"/>
    <x v="1"/>
    <n v="9"/>
    <s v="SETTEMBRE 2025"/>
    <x v="12"/>
    <x v="16"/>
    <s v="COSTO VACANZE"/>
    <n v="37.799999999999997"/>
    <m/>
    <m/>
    <s v="Viaggio Portogallo 2025"/>
  </r>
  <r>
    <x v="91"/>
    <s v="AGOSTO"/>
    <x v="1"/>
    <n v="8"/>
    <s v="AGOSTO 2025"/>
    <x v="13"/>
    <x v="2"/>
    <s v="COSTO SOPRAVVIVENZA"/>
    <n v="0.4"/>
    <m/>
    <m/>
    <m/>
  </r>
  <r>
    <x v="91"/>
    <s v="AGOSTO"/>
    <x v="1"/>
    <n v="8"/>
    <s v="AGOSTO 2025"/>
    <x v="13"/>
    <x v="2"/>
    <s v="COSTO SOPRAVVIVENZA"/>
    <n v="0.35"/>
    <m/>
    <m/>
    <m/>
  </r>
  <r>
    <x v="91"/>
    <s v="AGOSTO"/>
    <x v="1"/>
    <n v="8"/>
    <s v="AGOSTO 2025"/>
    <x v="13"/>
    <x v="2"/>
    <s v="COSTO SOPRAVVIVENZA"/>
    <n v="0.4"/>
    <m/>
    <m/>
    <m/>
  </r>
  <r>
    <x v="12"/>
    <s v="AGOSTO"/>
    <x v="1"/>
    <n v="8"/>
    <s v="AGOSTO 2025"/>
    <x v="13"/>
    <x v="7"/>
    <s v="COSTO SOPRAVVIVENZA"/>
    <n v="6.27"/>
    <m/>
    <m/>
    <m/>
  </r>
  <r>
    <x v="12"/>
    <s v="AGOSTO"/>
    <x v="1"/>
    <n v="8"/>
    <s v="AGOSTO 2025"/>
    <x v="13"/>
    <x v="7"/>
    <s v="COSTO SOPRAVVIVENZA"/>
    <n v="24.56"/>
    <m/>
    <m/>
    <m/>
  </r>
  <r>
    <x v="82"/>
    <s v="AGOSTO"/>
    <x v="1"/>
    <n v="8"/>
    <s v="AGOSTO 2025"/>
    <x v="13"/>
    <x v="7"/>
    <s v="COSTO SOPRAVVIVENZA"/>
    <n v="8.35"/>
    <m/>
    <m/>
    <m/>
  </r>
  <r>
    <x v="108"/>
    <s v="AGOSTO"/>
    <x v="1"/>
    <n v="8"/>
    <s v="AGOSTO 2025"/>
    <x v="13"/>
    <x v="0"/>
    <s v="COSTO SVAGHI"/>
    <n v="17.5"/>
    <m/>
    <m/>
    <m/>
  </r>
  <r>
    <x v="21"/>
    <s v="AGOSTO"/>
    <x v="1"/>
    <n v="8"/>
    <s v="AGOSTO 2025"/>
    <x v="13"/>
    <x v="9"/>
    <s v="COSTO MOBILITA'"/>
    <n v="15"/>
    <m/>
    <m/>
    <m/>
  </r>
  <r>
    <x v="169"/>
    <s v="AGOSTO"/>
    <x v="1"/>
    <n v="8"/>
    <s v="AGOSTO 2025"/>
    <x v="13"/>
    <x v="0"/>
    <s v="COSTO SVAGHI"/>
    <n v="16"/>
    <m/>
    <m/>
    <m/>
  </r>
  <r>
    <x v="17"/>
    <s v="AGOSTO"/>
    <x v="1"/>
    <n v="8"/>
    <s v="AGOSTO 2025"/>
    <x v="13"/>
    <x v="7"/>
    <s v="COSTO SOPRAVVIVENZA"/>
    <n v="11.39"/>
    <m/>
    <m/>
    <m/>
  </r>
  <r>
    <x v="35"/>
    <s v="AGOSTO"/>
    <x v="1"/>
    <n v="8"/>
    <s v="AGOSTO 2025"/>
    <x v="13"/>
    <x v="1"/>
    <s v="COSTO CASA"/>
    <n v="16.39"/>
    <m/>
    <m/>
    <m/>
  </r>
  <r>
    <x v="63"/>
    <s v="AGOSTO"/>
    <x v="1"/>
    <n v="8"/>
    <s v="AGOSTO 2025"/>
    <x v="13"/>
    <x v="12"/>
    <s v="COSTO SVAGHI"/>
    <n v="12.73"/>
    <s v="1/3"/>
    <s v="PAYPAL"/>
    <s v="Deejay Time"/>
  </r>
  <r>
    <x v="168"/>
    <s v="AGOSTO"/>
    <x v="1"/>
    <n v="8"/>
    <s v="AGOSTO 2025"/>
    <x v="13"/>
    <x v="16"/>
    <s v="COSTO VACANZE"/>
    <n v="132.63999999999999"/>
    <m/>
    <m/>
    <s v="Viaggio Portogallo 2025"/>
  </r>
  <r>
    <x v="170"/>
    <s v="AGOSTO"/>
    <x v="1"/>
    <n v="8"/>
    <s v="AGOSTO 2025"/>
    <x v="13"/>
    <x v="0"/>
    <s v="COSTO SVAGHI"/>
    <n v="14.8"/>
    <m/>
    <s v="PAYPAL"/>
    <m/>
  </r>
  <r>
    <x v="171"/>
    <s v="AGOSTO"/>
    <x v="1"/>
    <n v="8"/>
    <s v="AGOSTO 2025"/>
    <x v="13"/>
    <x v="10"/>
    <s v="COSTO SFIZI"/>
    <n v="13"/>
    <m/>
    <m/>
    <s v="Viaggio Portogallo 2025"/>
  </r>
  <r>
    <x v="172"/>
    <s v="AGOSTO"/>
    <x v="1"/>
    <n v="8"/>
    <s v="AGOSTO 2025"/>
    <x v="13"/>
    <x v="3"/>
    <s v="COSTO MOBILITA'"/>
    <n v="1.5"/>
    <m/>
    <m/>
    <m/>
  </r>
  <r>
    <x v="173"/>
    <s v="AGOSTO"/>
    <x v="1"/>
    <n v="8"/>
    <s v="AGOSTO 2025"/>
    <x v="13"/>
    <x v="9"/>
    <s v="COSTO MOBILITA'"/>
    <n v="26.25"/>
    <m/>
    <m/>
    <s v="Viaggio Portogallo 2025"/>
  </r>
  <r>
    <x v="174"/>
    <s v="AGOSTO"/>
    <x v="1"/>
    <n v="8"/>
    <s v="AGOSTO 2025"/>
    <x v="13"/>
    <x v="9"/>
    <s v="COSTO MOBILITA'"/>
    <n v="80.069999999999993"/>
    <m/>
    <m/>
    <s v="Viaggio Portogallo 2025"/>
  </r>
  <r>
    <x v="175"/>
    <s v="AGOSTO"/>
    <x v="1"/>
    <n v="8"/>
    <s v="AGOSTO 2025"/>
    <x v="13"/>
    <x v="0"/>
    <s v="COSTO SVAGHI"/>
    <n v="39.200000000000003"/>
    <m/>
    <m/>
    <s v="Viaggio Portogallo 2025"/>
  </r>
  <r>
    <x v="176"/>
    <s v="AGOSTO"/>
    <x v="1"/>
    <n v="8"/>
    <s v="AGOSTO 2025"/>
    <x v="13"/>
    <x v="0"/>
    <s v="COSTO SVAGHI"/>
    <n v="17.600000000000001"/>
    <m/>
    <m/>
    <s v="Viaggio Portogallo 2025"/>
  </r>
  <r>
    <x v="79"/>
    <s v="AGOSTO"/>
    <x v="1"/>
    <n v="8"/>
    <s v="AGOSTO 2025"/>
    <x v="13"/>
    <x v="16"/>
    <s v="COSTO VACANZE"/>
    <n v="3.91"/>
    <m/>
    <s v="PAYPAL"/>
    <s v="Viaggio Portogallo 2025"/>
  </r>
  <r>
    <x v="177"/>
    <s v="AGOSTO"/>
    <x v="1"/>
    <n v="8"/>
    <s v="AGOSTO 2025"/>
    <x v="13"/>
    <x v="0"/>
    <s v="COSTO SVAGHI"/>
    <n v="42.46"/>
    <m/>
    <m/>
    <s v="Viaggio Portogallo 2025"/>
  </r>
  <r>
    <x v="178"/>
    <s v="AGOSTO"/>
    <x v="1"/>
    <n v="8"/>
    <s v="AGOSTO 2025"/>
    <x v="13"/>
    <x v="16"/>
    <s v="COSTO VACANZE"/>
    <n v="15"/>
    <m/>
    <m/>
    <s v="Viaggio Portogallo 2025"/>
  </r>
  <r>
    <x v="179"/>
    <s v="AGOSTO"/>
    <x v="1"/>
    <n v="8"/>
    <s v="AGOSTO 2025"/>
    <x v="13"/>
    <x v="0"/>
    <s v="COSTO SVAGHI"/>
    <n v="7.5"/>
    <m/>
    <m/>
    <s v="Viaggio Portogallo 2025"/>
  </r>
  <r>
    <x v="180"/>
    <s v="AGOSTO"/>
    <x v="1"/>
    <n v="8"/>
    <s v="AGOSTO 2025"/>
    <x v="13"/>
    <x v="3"/>
    <s v="COSTO MOBILITA'"/>
    <n v="5"/>
    <m/>
    <m/>
    <m/>
  </r>
  <r>
    <x v="180"/>
    <s v="AGOSTO"/>
    <x v="1"/>
    <n v="8"/>
    <s v="AGOSTO 2025"/>
    <x v="13"/>
    <x v="16"/>
    <s v="COSTO VACANZE"/>
    <n v="5"/>
    <m/>
    <m/>
    <m/>
  </r>
  <r>
    <x v="118"/>
    <s v="AGOSTO"/>
    <x v="1"/>
    <n v="8"/>
    <s v="AGOSTO 2025"/>
    <x v="13"/>
    <x v="16"/>
    <s v="COSTO VACANZE"/>
    <n v="8.42"/>
    <m/>
    <m/>
    <s v="Viaggio Portogallo 2025"/>
  </r>
  <r>
    <x v="118"/>
    <s v="AGOSTO"/>
    <x v="1"/>
    <n v="8"/>
    <s v="AGOSTO 2025"/>
    <x v="13"/>
    <x v="16"/>
    <s v="COSTO VACANZE"/>
    <n v="8.91"/>
    <m/>
    <m/>
    <s v="Viaggio Portogallo 2025"/>
  </r>
  <r>
    <x v="118"/>
    <s v="AGOSTO"/>
    <x v="1"/>
    <n v="8"/>
    <s v="AGOSTO 2025"/>
    <x v="13"/>
    <x v="3"/>
    <s v="COSTO MOBILITA'"/>
    <n v="11.04"/>
    <m/>
    <m/>
    <s v="Viaggio Portogallo 2025"/>
  </r>
  <r>
    <x v="181"/>
    <s v="AGOSTO"/>
    <x v="1"/>
    <n v="8"/>
    <s v="AGOSTO 2025"/>
    <x v="13"/>
    <x v="3"/>
    <s v="COSTO MOBILITA'"/>
    <n v="1.99"/>
    <m/>
    <s v="PAYPAL"/>
    <m/>
  </r>
  <r>
    <x v="181"/>
    <s v="AGOSTO"/>
    <x v="1"/>
    <n v="8"/>
    <s v="AGOSTO 2025"/>
    <x v="13"/>
    <x v="3"/>
    <s v="COSTO MOBILITA'"/>
    <n v="5.99"/>
    <m/>
    <s v="PAYPAL"/>
    <m/>
  </r>
  <r>
    <x v="181"/>
    <s v="AGOSTO"/>
    <x v="1"/>
    <n v="8"/>
    <s v="AGOSTO 2025"/>
    <x v="13"/>
    <x v="3"/>
    <s v="COSTO MOBILITA'"/>
    <n v="6.75"/>
    <m/>
    <s v="PAYPAL"/>
    <m/>
  </r>
  <r>
    <x v="182"/>
    <s v="AGOSTO"/>
    <x v="1"/>
    <n v="8"/>
    <s v="AGOSTO 2025"/>
    <x v="13"/>
    <x v="0"/>
    <s v="COSTO SVAGHI"/>
    <n v="3.7"/>
    <m/>
    <m/>
    <m/>
  </r>
  <r>
    <x v="183"/>
    <s v="AGOSTO"/>
    <x v="1"/>
    <n v="8"/>
    <s v="AGOSTO 2025"/>
    <x v="13"/>
    <x v="0"/>
    <s v="COSTO SVAGHI"/>
    <n v="19.95"/>
    <m/>
    <m/>
    <s v="Venezia "/>
  </r>
  <r>
    <x v="184"/>
    <s v="AGOSTO"/>
    <x v="1"/>
    <n v="8"/>
    <s v="AGOSTO 2025"/>
    <x v="13"/>
    <x v="0"/>
    <s v="COSTO SVAGHI"/>
    <n v="21.7"/>
    <m/>
    <m/>
    <s v="Viaggio Portogallo 2025"/>
  </r>
  <r>
    <x v="185"/>
    <s v="AGOSTO"/>
    <x v="1"/>
    <n v="8"/>
    <s v="AGOSTO 2025"/>
    <x v="13"/>
    <x v="16"/>
    <s v="COSTO VACANZE"/>
    <n v="20"/>
    <m/>
    <m/>
    <s v="Viaggio Portogallo 2025"/>
  </r>
  <r>
    <x v="185"/>
    <s v="AGOSTO"/>
    <x v="1"/>
    <n v="8"/>
    <s v="AGOSTO 2025"/>
    <x v="13"/>
    <x v="16"/>
    <s v="COSTO VACANZE"/>
    <n v="20"/>
    <m/>
    <m/>
    <s v="Viaggio Portogallo 2025"/>
  </r>
  <r>
    <x v="6"/>
    <s v="AGOSTO"/>
    <x v="1"/>
    <n v="8"/>
    <s v="AGOSTO 2025"/>
    <x v="13"/>
    <x v="14"/>
    <s v="COSTO SOPRAVVIVENZA"/>
    <n v="6.5"/>
    <m/>
    <m/>
    <m/>
  </r>
  <r>
    <x v="6"/>
    <s v="AGOSTO"/>
    <x v="1"/>
    <n v="8"/>
    <s v="AGOSTO 2025"/>
    <x v="13"/>
    <x v="14"/>
    <s v="COSTO SOPRAVVIVENZA"/>
    <n v="6.5"/>
    <m/>
    <m/>
    <m/>
  </r>
  <r>
    <x v="6"/>
    <s v="AGOSTO"/>
    <x v="1"/>
    <n v="8"/>
    <s v="AGOSTO 2025"/>
    <x v="13"/>
    <x v="14"/>
    <s v="COSTO SOPRAVVIVENZA"/>
    <n v="6.5"/>
    <m/>
    <m/>
    <m/>
  </r>
  <r>
    <x v="186"/>
    <s v="AGOSTO"/>
    <x v="1"/>
    <n v="8"/>
    <s v="AGOSTO 2025"/>
    <x v="13"/>
    <x v="0"/>
    <s v="COSTO SVAGHI"/>
    <n v="12.3"/>
    <m/>
    <m/>
    <m/>
  </r>
  <r>
    <x v="187"/>
    <s v="AGOSTO"/>
    <x v="1"/>
    <n v="8"/>
    <s v="AGOSTO 2025"/>
    <x v="13"/>
    <x v="0"/>
    <s v="COSTO SVAGHI"/>
    <n v="9.5"/>
    <m/>
    <m/>
    <m/>
  </r>
  <r>
    <x v="91"/>
    <s v="AGOSTO"/>
    <x v="1"/>
    <n v="8"/>
    <s v="AGOSTO 2025"/>
    <x v="13"/>
    <x v="2"/>
    <s v="COSTO SOPRAVVIVENZA"/>
    <n v="0.6"/>
    <m/>
    <m/>
    <m/>
  </r>
  <r>
    <x v="188"/>
    <s v="AGOSTO"/>
    <x v="1"/>
    <n v="8"/>
    <s v="AGOSTO 2025"/>
    <x v="13"/>
    <x v="11"/>
    <s v="COSTO SFIZI"/>
    <n v="20.18"/>
    <m/>
    <m/>
    <m/>
  </r>
  <r>
    <x v="6"/>
    <s v="AGOSTO"/>
    <x v="1"/>
    <n v="8"/>
    <s v="AGOSTO 2025"/>
    <x v="13"/>
    <x v="0"/>
    <s v="COSTO SVAGHI"/>
    <n v="4.2"/>
    <m/>
    <m/>
    <m/>
  </r>
  <r>
    <x v="7"/>
    <s v="AGOSTO"/>
    <x v="1"/>
    <n v="8"/>
    <s v="AGOSTO 2025"/>
    <x v="13"/>
    <x v="5"/>
    <s v="COSTO VACANZE"/>
    <n v="557.46"/>
    <m/>
    <m/>
    <s v="Viaggio Portogallo 2025"/>
  </r>
  <r>
    <x v="7"/>
    <s v="AGOSTO"/>
    <x v="1"/>
    <n v="8"/>
    <s v="AGOSTO 2025"/>
    <x v="13"/>
    <x v="5"/>
    <s v="COSTO VACANZE"/>
    <n v="333.52"/>
    <m/>
    <m/>
    <s v="Viaggio Portogallo 2025"/>
  </r>
  <r>
    <x v="2"/>
    <s v="AGOSTO"/>
    <x v="1"/>
    <n v="8"/>
    <s v="AGOSTO 2025"/>
    <x v="13"/>
    <x v="11"/>
    <s v="COSTO SFIZI"/>
    <n v="-9.82"/>
    <m/>
    <s v="AMAZON"/>
    <s v="Reso Magliette BOSS"/>
  </r>
  <r>
    <x v="2"/>
    <s v="AGOSTO"/>
    <x v="1"/>
    <n v="8"/>
    <s v="AGOSTO 2025"/>
    <x v="13"/>
    <x v="8"/>
    <s v="COSTO SFIZI"/>
    <n v="16.899999999999999"/>
    <s v="2/3"/>
    <s v="AMAZON"/>
    <s v="MELICONI"/>
  </r>
  <r>
    <x v="189"/>
    <s v="AGOSTO"/>
    <x v="1"/>
    <n v="8"/>
    <s v="AGOSTO 2025"/>
    <x v="13"/>
    <x v="10"/>
    <s v="COSTO SFIZI"/>
    <n v="16.66"/>
    <s v="2/3"/>
    <s v="PAYPAL"/>
    <s v="Regalo Stefania 2025"/>
  </r>
  <r>
    <x v="190"/>
    <s v="AGOSTO"/>
    <x v="1"/>
    <n v="8"/>
    <s v="AGOSTO 2025"/>
    <x v="13"/>
    <x v="16"/>
    <s v="COSTO VACANZE"/>
    <n v="215.64"/>
    <s v="3/3"/>
    <s v="PAYPAL"/>
    <s v="Viaggio Portogallo 2025"/>
  </r>
  <r>
    <x v="2"/>
    <s v="AGOSTO"/>
    <x v="1"/>
    <n v="8"/>
    <s v="AGOSTO 2025"/>
    <x v="13"/>
    <x v="1"/>
    <s v="COSTO CASA"/>
    <n v="109.8"/>
    <s v="5/5"/>
    <s v="AMAZON"/>
    <s v="DREAME"/>
  </r>
  <r>
    <x v="35"/>
    <s v="AGOSTO"/>
    <x v="1"/>
    <n v="8"/>
    <s v="AGOSTO 2025"/>
    <x v="13"/>
    <x v="1"/>
    <s v="COSTO CASA"/>
    <n v="27.74"/>
    <m/>
    <m/>
    <m/>
  </r>
  <r>
    <x v="91"/>
    <s v="AGOSTO"/>
    <x v="1"/>
    <n v="8"/>
    <s v="AGOSTO 2025"/>
    <x v="13"/>
    <x v="2"/>
    <s v="COSTO SOPRAVVIVENZA"/>
    <n v="0.4"/>
    <m/>
    <m/>
    <m/>
  </r>
  <r>
    <x v="91"/>
    <s v="AGOSTO"/>
    <x v="1"/>
    <n v="8"/>
    <s v="AGOSTO 2025"/>
    <x v="13"/>
    <x v="2"/>
    <s v="COSTO SOPRAVVIVENZA"/>
    <n v="0.4"/>
    <m/>
    <m/>
    <m/>
  </r>
  <r>
    <x v="91"/>
    <s v="AGOSTO"/>
    <x v="1"/>
    <n v="8"/>
    <s v="AGOSTO 2025"/>
    <x v="13"/>
    <x v="2"/>
    <s v="COSTO SOPRAVVIVENZA"/>
    <n v="0.4"/>
    <m/>
    <m/>
    <m/>
  </r>
  <r>
    <x v="91"/>
    <s v="AGOSTO"/>
    <x v="1"/>
    <n v="8"/>
    <s v="AGOSTO 2025"/>
    <x v="13"/>
    <x v="2"/>
    <s v="COSTO SOPRAVVIVENZA"/>
    <n v="0.4"/>
    <m/>
    <m/>
    <m/>
  </r>
  <r>
    <x v="12"/>
    <s v="LUGLIO"/>
    <x v="1"/>
    <n v="7"/>
    <s v="LUGLIO 2025"/>
    <x v="14"/>
    <x v="7"/>
    <s v="COSTO SOPRAVVIVENZA"/>
    <n v="2.68"/>
    <m/>
    <m/>
    <m/>
  </r>
  <r>
    <x v="61"/>
    <s v="LUGLIO"/>
    <x v="1"/>
    <n v="7"/>
    <s v="LUGLIO 2025"/>
    <x v="14"/>
    <x v="11"/>
    <s v="COSTO SFIZI"/>
    <n v="26.5"/>
    <m/>
    <m/>
    <m/>
  </r>
  <r>
    <x v="97"/>
    <s v="LUGLIO"/>
    <x v="1"/>
    <n v="7"/>
    <s v="LUGLIO 2025"/>
    <x v="14"/>
    <x v="11"/>
    <s v="COSTO SFIZI"/>
    <n v="102.77"/>
    <m/>
    <m/>
    <m/>
  </r>
  <r>
    <x v="191"/>
    <s v="LUGLIO"/>
    <x v="1"/>
    <n v="7"/>
    <s v="LUGLIO 2025"/>
    <x v="14"/>
    <x v="0"/>
    <s v="COSTO SVAGHI"/>
    <n v="109.5"/>
    <m/>
    <m/>
    <m/>
  </r>
  <r>
    <x v="79"/>
    <s v="LUGLIO"/>
    <x v="1"/>
    <n v="7"/>
    <s v="LUGLIO 2025"/>
    <x v="14"/>
    <x v="3"/>
    <s v="COSTO MOBILITA'"/>
    <n v="5.29"/>
    <m/>
    <s v="PAYPAL"/>
    <m/>
  </r>
  <r>
    <x v="17"/>
    <s v="LUGLIO"/>
    <x v="1"/>
    <n v="7"/>
    <s v="LUGLIO 2025"/>
    <x v="14"/>
    <x v="7"/>
    <s v="COSTO SOPRAVVIVENZA"/>
    <n v="4.33"/>
    <m/>
    <m/>
    <m/>
  </r>
  <r>
    <x v="11"/>
    <s v="LUGLIO"/>
    <x v="1"/>
    <n v="7"/>
    <s v="LUGLIO 2025"/>
    <x v="14"/>
    <x v="0"/>
    <s v="COSTO SVAGHI"/>
    <n v="9"/>
    <m/>
    <m/>
    <m/>
  </r>
  <r>
    <x v="6"/>
    <s v="LUGLIO"/>
    <x v="1"/>
    <n v="7"/>
    <s v="LUGLIO 2025"/>
    <x v="14"/>
    <x v="14"/>
    <s v="COSTO SOPRAVVIVENZA"/>
    <n v="6.5"/>
    <m/>
    <m/>
    <m/>
  </r>
  <r>
    <x v="192"/>
    <s v="LUGLIO"/>
    <x v="1"/>
    <n v="7"/>
    <s v="LUGLIO 2025"/>
    <x v="14"/>
    <x v="16"/>
    <s v="COSTO VACANZE"/>
    <n v="586.55999999999995"/>
    <m/>
    <m/>
    <s v="Viaggio Portogallo 2025"/>
  </r>
  <r>
    <x v="193"/>
    <s v="LUGLIO"/>
    <x v="1"/>
    <n v="7"/>
    <s v="LUGLIO 2025"/>
    <x v="14"/>
    <x v="0"/>
    <s v="COSTO SVAGHI"/>
    <n v="1.81"/>
    <m/>
    <m/>
    <m/>
  </r>
  <r>
    <x v="194"/>
    <s v="LUGLIO"/>
    <x v="1"/>
    <n v="7"/>
    <s v="LUGLIO 2025"/>
    <x v="14"/>
    <x v="0"/>
    <s v="COSTO SVAGHI"/>
    <n v="11.77"/>
    <m/>
    <m/>
    <m/>
  </r>
  <r>
    <x v="195"/>
    <s v="LUGLIO"/>
    <x v="1"/>
    <n v="7"/>
    <s v="LUGLIO 2025"/>
    <x v="14"/>
    <x v="0"/>
    <s v="COSTO SVAGHI"/>
    <n v="6.16"/>
    <m/>
    <m/>
    <m/>
  </r>
  <r>
    <x v="196"/>
    <s v="LUGLIO"/>
    <x v="1"/>
    <n v="7"/>
    <s v="LUGLIO 2025"/>
    <x v="14"/>
    <x v="0"/>
    <s v="COSTO SVAGHI"/>
    <n v="5.1499999999999995"/>
    <m/>
    <m/>
    <m/>
  </r>
  <r>
    <x v="35"/>
    <s v="LUGLIO"/>
    <x v="1"/>
    <n v="7"/>
    <s v="LUGLIO 2025"/>
    <x v="14"/>
    <x v="1"/>
    <s v="COSTO CASA"/>
    <n v="3.9"/>
    <m/>
    <m/>
    <m/>
  </r>
  <r>
    <x v="91"/>
    <s v="LUGLIO"/>
    <x v="1"/>
    <n v="7"/>
    <s v="LUGLIO 2025"/>
    <x v="14"/>
    <x v="2"/>
    <s v="COSTO SOPRAVVIVENZA"/>
    <n v="0.4"/>
    <m/>
    <m/>
    <m/>
  </r>
  <r>
    <x v="91"/>
    <s v="LUGLIO"/>
    <x v="1"/>
    <n v="7"/>
    <s v="LUGLIO 2025"/>
    <x v="14"/>
    <x v="2"/>
    <s v="COSTO SOPRAVVIVENZA"/>
    <n v="0.4"/>
    <m/>
    <m/>
    <m/>
  </r>
  <r>
    <x v="6"/>
    <s v="LUGLIO"/>
    <x v="1"/>
    <n v="7"/>
    <s v="LUGLIO 2025"/>
    <x v="14"/>
    <x v="14"/>
    <s v="COSTO SOPRAVVIVENZA"/>
    <n v="6.5"/>
    <m/>
    <m/>
    <m/>
  </r>
  <r>
    <x v="189"/>
    <s v="LUGLIO"/>
    <x v="1"/>
    <n v="7"/>
    <s v="LUGLIO 2025"/>
    <x v="14"/>
    <x v="10"/>
    <s v="COSTO SFIZI"/>
    <n v="16.670000000000002"/>
    <s v="1/3"/>
    <s v="PAYPAL"/>
    <s v="Regalo Stefania 2025"/>
  </r>
  <r>
    <x v="197"/>
    <s v="LUGLIO"/>
    <x v="1"/>
    <n v="7"/>
    <s v="LUGLIO 2025"/>
    <x v="14"/>
    <x v="0"/>
    <s v="COSTO SVAGHI"/>
    <n v="27"/>
    <m/>
    <m/>
    <m/>
  </r>
  <r>
    <x v="198"/>
    <s v="LUGLIO"/>
    <x v="1"/>
    <n v="7"/>
    <s v="LUGLIO 2025"/>
    <x v="14"/>
    <x v="0"/>
    <s v="COSTO SVAGHI"/>
    <n v="15.5"/>
    <m/>
    <m/>
    <m/>
  </r>
  <r>
    <x v="12"/>
    <s v="LUGLIO"/>
    <x v="1"/>
    <n v="7"/>
    <s v="LUGLIO 2025"/>
    <x v="14"/>
    <x v="7"/>
    <s v="COSTO SOPRAVVIVENZA"/>
    <n v="20.89"/>
    <m/>
    <m/>
    <m/>
  </r>
  <r>
    <x v="6"/>
    <s v="LUGLIO"/>
    <x v="1"/>
    <n v="7"/>
    <s v="LUGLIO 2025"/>
    <x v="14"/>
    <x v="14"/>
    <s v="COSTO SOPRAVVIVENZA"/>
    <n v="2.8"/>
    <m/>
    <m/>
    <m/>
  </r>
  <r>
    <x v="53"/>
    <s v="LUGLIO"/>
    <x v="1"/>
    <n v="7"/>
    <s v="LUGLIO 2025"/>
    <x v="14"/>
    <x v="1"/>
    <s v="COSTO CASA"/>
    <n v="35.9"/>
    <m/>
    <m/>
    <m/>
  </r>
  <r>
    <x v="48"/>
    <s v="LUGLIO"/>
    <x v="1"/>
    <n v="7"/>
    <s v="LUGLIO 2025"/>
    <x v="14"/>
    <x v="10"/>
    <s v="COSTO SFIZI"/>
    <n v="48.99"/>
    <m/>
    <m/>
    <s v="Regalo chicco"/>
  </r>
  <r>
    <x v="6"/>
    <s v="LUGLIO"/>
    <x v="1"/>
    <n v="7"/>
    <s v="LUGLIO 2025"/>
    <x v="14"/>
    <x v="0"/>
    <s v="COSTO SVAGHI"/>
    <n v="4.2"/>
    <m/>
    <m/>
    <m/>
  </r>
  <r>
    <x v="17"/>
    <s v="LUGLIO"/>
    <x v="1"/>
    <n v="7"/>
    <s v="LUGLIO 2025"/>
    <x v="14"/>
    <x v="7"/>
    <s v="COSTO SOPRAVVIVENZA"/>
    <n v="12.21"/>
    <m/>
    <m/>
    <m/>
  </r>
  <r>
    <x v="199"/>
    <s v="LUGLIO"/>
    <x v="1"/>
    <n v="7"/>
    <s v="LUGLIO 2025"/>
    <x v="14"/>
    <x v="0"/>
    <s v="COSTO SVAGHI"/>
    <n v="33.9"/>
    <m/>
    <m/>
    <m/>
  </r>
  <r>
    <x v="200"/>
    <s v="LUGLIO"/>
    <x v="1"/>
    <n v="7"/>
    <s v="LUGLIO 2025"/>
    <x v="14"/>
    <x v="0"/>
    <s v="COSTO SVAGHI"/>
    <n v="46"/>
    <m/>
    <m/>
    <m/>
  </r>
  <r>
    <x v="79"/>
    <s v="LUGLIO"/>
    <x v="1"/>
    <n v="7"/>
    <s v="LUGLIO 2025"/>
    <x v="14"/>
    <x v="3"/>
    <s v="COSTO MOBILITA'"/>
    <n v="7.44"/>
    <m/>
    <s v="PAYPAL"/>
    <m/>
  </r>
  <r>
    <x v="201"/>
    <s v="LUGLIO"/>
    <x v="1"/>
    <n v="7"/>
    <s v="LUGLIO 2025"/>
    <x v="14"/>
    <x v="0"/>
    <s v="COSTO SVAGHI"/>
    <n v="26"/>
    <m/>
    <m/>
    <m/>
  </r>
  <r>
    <x v="6"/>
    <s v="LUGLIO"/>
    <x v="1"/>
    <n v="7"/>
    <s v="LUGLIO 2025"/>
    <x v="14"/>
    <x v="14"/>
    <s v="COSTO SOPRAVVIVENZA"/>
    <n v="6.5"/>
    <m/>
    <m/>
    <m/>
  </r>
  <r>
    <x v="91"/>
    <s v="LUGLIO"/>
    <x v="1"/>
    <n v="7"/>
    <s v="LUGLIO 2025"/>
    <x v="14"/>
    <x v="2"/>
    <s v="COSTO SOPRAVVIVENZA"/>
    <n v="0.4"/>
    <m/>
    <m/>
    <m/>
  </r>
  <r>
    <x v="2"/>
    <s v="LUGLIO"/>
    <x v="1"/>
    <n v="7"/>
    <s v="LUGLIO 2025"/>
    <x v="14"/>
    <x v="8"/>
    <s v="COSTO SFIZI"/>
    <n v="30.678000000000001"/>
    <m/>
    <s v="AMAZON"/>
    <m/>
  </r>
  <r>
    <x v="6"/>
    <s v="LUGLIO"/>
    <x v="1"/>
    <n v="7"/>
    <s v="LUGLIO 2025"/>
    <x v="14"/>
    <x v="14"/>
    <s v="COSTO SOPRAVVIVENZA"/>
    <n v="6.5"/>
    <m/>
    <m/>
    <m/>
  </r>
  <r>
    <x v="2"/>
    <s v="LUGLIO"/>
    <x v="1"/>
    <n v="7"/>
    <s v="LUGLIO 2025"/>
    <x v="14"/>
    <x v="8"/>
    <s v="COSTO SFIZI"/>
    <n v="22.99"/>
    <m/>
    <s v="AMAZON"/>
    <m/>
  </r>
  <r>
    <x v="2"/>
    <s v="LUGLIO"/>
    <x v="1"/>
    <n v="7"/>
    <s v="LUGLIO 2025"/>
    <x v="14"/>
    <x v="8"/>
    <s v="COSTO SFIZI"/>
    <n v="16.899999999999999"/>
    <s v="1/3"/>
    <s v="AMAZON"/>
    <s v="MELICONI"/>
  </r>
  <r>
    <x v="2"/>
    <s v="LUGLIO"/>
    <x v="1"/>
    <n v="7"/>
    <s v="LUGLIO 2025"/>
    <x v="14"/>
    <x v="8"/>
    <s v="COSTO SFIZI"/>
    <n v="9.82"/>
    <m/>
    <s v="AMAZON"/>
    <s v="Magliette BOSS"/>
  </r>
  <r>
    <x v="82"/>
    <s v="LUGLIO"/>
    <x v="1"/>
    <n v="7"/>
    <s v="LUGLIO 2025"/>
    <x v="14"/>
    <x v="7"/>
    <s v="COSTO SOPRAVVIVENZA"/>
    <n v="21.2"/>
    <m/>
    <m/>
    <m/>
  </r>
  <r>
    <x v="11"/>
    <s v="LUGLIO"/>
    <x v="1"/>
    <n v="7"/>
    <s v="LUGLIO 2025"/>
    <x v="14"/>
    <x v="0"/>
    <s v="COSTO SVAGHI"/>
    <n v="39"/>
    <m/>
    <m/>
    <m/>
  </r>
  <r>
    <x v="202"/>
    <s v="LUGLIO"/>
    <x v="1"/>
    <n v="7"/>
    <s v="LUGLIO 2025"/>
    <x v="14"/>
    <x v="11"/>
    <s v="COSTO SFIZI"/>
    <n v="40"/>
    <m/>
    <m/>
    <s v="Concerto Thirty Second to Mars"/>
  </r>
  <r>
    <x v="203"/>
    <s v="LUGLIO"/>
    <x v="1"/>
    <n v="7"/>
    <s v="LUGLIO 2025"/>
    <x v="14"/>
    <x v="8"/>
    <s v="COSTO SFIZI"/>
    <n v="26.69"/>
    <m/>
    <s v="PAYPAL"/>
    <m/>
  </r>
  <r>
    <x v="91"/>
    <s v="LUGLIO"/>
    <x v="1"/>
    <n v="7"/>
    <s v="LUGLIO 2025"/>
    <x v="14"/>
    <x v="2"/>
    <s v="COSTO SOPRAVVIVENZA"/>
    <n v="0.4"/>
    <m/>
    <m/>
    <m/>
  </r>
  <r>
    <x v="91"/>
    <s v="LUGLIO"/>
    <x v="1"/>
    <n v="7"/>
    <s v="LUGLIO 2025"/>
    <x v="14"/>
    <x v="2"/>
    <s v="COSTO SOPRAVVIVENZA"/>
    <n v="0.4"/>
    <m/>
    <m/>
    <m/>
  </r>
  <r>
    <x v="6"/>
    <s v="LUGLIO"/>
    <x v="1"/>
    <n v="7"/>
    <s v="LUGLIO 2025"/>
    <x v="14"/>
    <x v="0"/>
    <s v="COSTO SVAGHI"/>
    <n v="2.8"/>
    <m/>
    <m/>
    <m/>
  </r>
  <r>
    <x v="17"/>
    <s v="LUGLIO"/>
    <x v="1"/>
    <n v="7"/>
    <s v="LUGLIO 2025"/>
    <x v="14"/>
    <x v="7"/>
    <s v="COSTO SOPRAVVIVENZA"/>
    <n v="17.14"/>
    <m/>
    <m/>
    <m/>
  </r>
  <r>
    <x v="204"/>
    <s v="LUGLIO"/>
    <x v="1"/>
    <n v="7"/>
    <s v="LUGLIO 2025"/>
    <x v="14"/>
    <x v="1"/>
    <s v="COSTO CASA"/>
    <n v="150"/>
    <m/>
    <s v="REVOLUT"/>
    <s v="Pagamento rata condominio"/>
  </r>
  <r>
    <x v="190"/>
    <s v="LUGLIO"/>
    <x v="1"/>
    <n v="7"/>
    <s v="LUGLIO 2025"/>
    <x v="14"/>
    <x v="16"/>
    <s v="COSTO VACANZE"/>
    <n v="215.64"/>
    <s v="2/3"/>
    <s v="PAYPAL"/>
    <s v="Viaggio Portogallo 2025"/>
  </r>
  <r>
    <x v="205"/>
    <s v="LUGLIO"/>
    <x v="1"/>
    <n v="7"/>
    <s v="LUGLIO 2025"/>
    <x v="14"/>
    <x v="0"/>
    <s v="COSTO SVAGHI"/>
    <n v="22.2"/>
    <m/>
    <m/>
    <m/>
  </r>
  <r>
    <x v="2"/>
    <s v="LUGLIO"/>
    <x v="1"/>
    <n v="7"/>
    <s v="LUGLIO 2025"/>
    <x v="14"/>
    <x v="1"/>
    <s v="COSTO CASA"/>
    <n v="109.8"/>
    <s v="4/5"/>
    <s v="AMAZON"/>
    <s v="DREAME"/>
  </r>
  <r>
    <x v="46"/>
    <s v="LUGLIO"/>
    <x v="1"/>
    <n v="7"/>
    <s v="LUGLIO 2025"/>
    <x v="14"/>
    <x v="0"/>
    <s v="COSTO SVAGHI"/>
    <n v="75"/>
    <m/>
    <m/>
    <m/>
  </r>
  <r>
    <x v="206"/>
    <s v="LUGLIO"/>
    <x v="1"/>
    <n v="7"/>
    <s v="LUGLIO 2025"/>
    <x v="14"/>
    <x v="10"/>
    <s v="COSTO SFIZI"/>
    <n v="16.579999999999998"/>
    <m/>
    <s v="PAYPAL"/>
    <s v="Spesa per Papà"/>
  </r>
  <r>
    <x v="35"/>
    <s v="LUGLIO"/>
    <x v="1"/>
    <n v="7"/>
    <s v="LUGLIO 2025"/>
    <x v="14"/>
    <x v="1"/>
    <s v="COSTO CASA"/>
    <n v="12.68"/>
    <m/>
    <m/>
    <m/>
  </r>
  <r>
    <x v="17"/>
    <s v="LUGLIO"/>
    <x v="1"/>
    <n v="7"/>
    <s v="LUGLIO 2025"/>
    <x v="14"/>
    <x v="7"/>
    <s v="COSTO SOPRAVVIVENZA"/>
    <n v="3.29"/>
    <m/>
    <m/>
    <m/>
  </r>
  <r>
    <x v="82"/>
    <s v="LUGLIO"/>
    <x v="1"/>
    <n v="7"/>
    <s v="LUGLIO 2025"/>
    <x v="14"/>
    <x v="7"/>
    <s v="COSTO SOPRAVVIVENZA"/>
    <n v="29.5"/>
    <m/>
    <m/>
    <m/>
  </r>
  <r>
    <x v="6"/>
    <s v="LUGLIO"/>
    <x v="1"/>
    <n v="7"/>
    <s v="LUGLIO 2025"/>
    <x v="14"/>
    <x v="0"/>
    <s v="COSTO SVAGHI"/>
    <n v="15"/>
    <m/>
    <m/>
    <m/>
  </r>
  <r>
    <x v="207"/>
    <s v="GIUGNO"/>
    <x v="1"/>
    <n v="6"/>
    <s v="GIUGNO 2025"/>
    <x v="15"/>
    <x v="13"/>
    <s v="GESTIONE CONTO"/>
    <n v="0.52"/>
    <m/>
    <m/>
    <m/>
  </r>
  <r>
    <x v="82"/>
    <s v="GIUGNO"/>
    <x v="1"/>
    <n v="6"/>
    <s v="GIUGNO 2025"/>
    <x v="15"/>
    <x v="7"/>
    <s v="COSTO SOPRAVVIVENZA"/>
    <n v="6.85"/>
    <m/>
    <m/>
    <m/>
  </r>
  <r>
    <x v="208"/>
    <s v="GIUGNO"/>
    <x v="1"/>
    <n v="6"/>
    <s v="GIUGNO 2025"/>
    <x v="15"/>
    <x v="12"/>
    <s v="COSTO SVAGHI"/>
    <n v="52"/>
    <m/>
    <m/>
    <s v="Padel"/>
  </r>
  <r>
    <x v="209"/>
    <s v="GIUGNO"/>
    <x v="1"/>
    <n v="6"/>
    <s v="GIUGNO 2025"/>
    <x v="15"/>
    <x v="11"/>
    <s v="COSTO SFIZI"/>
    <n v="35"/>
    <m/>
    <m/>
    <s v="Concerto Linkin Park"/>
  </r>
  <r>
    <x v="210"/>
    <s v="GIUGNO"/>
    <x v="1"/>
    <n v="6"/>
    <s v="GIUGNO 2025"/>
    <x v="15"/>
    <x v="0"/>
    <s v="COSTO SVAGHI"/>
    <n v="50"/>
    <m/>
    <m/>
    <s v="Concerto Linkin Park"/>
  </r>
  <r>
    <x v="211"/>
    <s v="GIUGNO"/>
    <x v="1"/>
    <n v="6"/>
    <s v="GIUGNO 2025"/>
    <x v="15"/>
    <x v="3"/>
    <s v="COSTO MOBILITA'"/>
    <n v="17.600000000000001"/>
    <m/>
    <m/>
    <m/>
  </r>
  <r>
    <x v="57"/>
    <s v="GIUGNO"/>
    <x v="1"/>
    <n v="6"/>
    <s v="GIUGNO 2025"/>
    <x v="15"/>
    <x v="0"/>
    <s v="COSTO SVAGHI"/>
    <n v="23.6"/>
    <m/>
    <m/>
    <s v="Padova"/>
  </r>
  <r>
    <x v="91"/>
    <s v="GIUGNO"/>
    <x v="1"/>
    <n v="6"/>
    <s v="GIUGNO 2025"/>
    <x v="15"/>
    <x v="2"/>
    <s v="COSTO SOPRAVVIVENZA"/>
    <n v="0.7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6"/>
    <s v="GIUGNO"/>
    <x v="1"/>
    <n v="6"/>
    <s v="GIUGNO 2025"/>
    <x v="15"/>
    <x v="0"/>
    <s v="COSTO SVAGHI"/>
    <n v="4.2"/>
    <m/>
    <m/>
    <m/>
  </r>
  <r>
    <x v="212"/>
    <s v="GIUGNO"/>
    <x v="1"/>
    <n v="6"/>
    <s v="GIUGNO 2025"/>
    <x v="15"/>
    <x v="5"/>
    <s v="COSTO VACANZE"/>
    <n v="29.49"/>
    <m/>
    <m/>
    <s v="Ombrellone"/>
  </r>
  <r>
    <x v="6"/>
    <s v="GIUGNO"/>
    <x v="1"/>
    <n v="6"/>
    <s v="GIUGNO 2025"/>
    <x v="15"/>
    <x v="14"/>
    <s v="COSTO SOPRAVVIVENZA"/>
    <n v="6.5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6"/>
    <s v="GIUGNO"/>
    <x v="1"/>
    <n v="6"/>
    <s v="GIUGNO 2025"/>
    <x v="15"/>
    <x v="0"/>
    <s v="COSTO SVAGHI"/>
    <n v="2.8"/>
    <m/>
    <m/>
    <m/>
  </r>
  <r>
    <x v="17"/>
    <s v="GIUGNO"/>
    <x v="1"/>
    <n v="6"/>
    <s v="GIUGNO 2025"/>
    <x v="15"/>
    <x v="7"/>
    <s v="COSTO SOPRAVVIVENZA"/>
    <n v="7.17"/>
    <m/>
    <m/>
    <m/>
  </r>
  <r>
    <x v="2"/>
    <s v="GIUGNO"/>
    <x v="1"/>
    <n v="6"/>
    <s v="GIUGNO 2025"/>
    <x v="15"/>
    <x v="8"/>
    <s v="COSTO SFIZI"/>
    <n v="24.96"/>
    <m/>
    <s v="AMAZON"/>
    <m/>
  </r>
  <r>
    <x v="35"/>
    <s v="GIUGNO"/>
    <x v="1"/>
    <n v="6"/>
    <s v="GIUGNO 2025"/>
    <x v="15"/>
    <x v="1"/>
    <s v="COSTO CASA"/>
    <n v="19.48"/>
    <m/>
    <m/>
    <m/>
  </r>
  <r>
    <x v="91"/>
    <s v="GIUGNO"/>
    <x v="1"/>
    <n v="6"/>
    <s v="GIUGNO 2025"/>
    <x v="15"/>
    <x v="2"/>
    <s v="COSTO SOPRAVVIVENZA"/>
    <n v="0.4"/>
    <m/>
    <m/>
    <m/>
  </r>
  <r>
    <x v="82"/>
    <s v="GIUGNO"/>
    <x v="1"/>
    <n v="6"/>
    <s v="GIUGNO 2025"/>
    <x v="15"/>
    <x v="7"/>
    <s v="COSTO SOPRAVVIVENZA"/>
    <n v="34.1"/>
    <m/>
    <m/>
    <m/>
  </r>
  <r>
    <x v="67"/>
    <s v="GIUGNO"/>
    <x v="1"/>
    <n v="6"/>
    <s v="GIUGNO 2025"/>
    <x v="15"/>
    <x v="7"/>
    <s v="COSTO SOPRAVVIVENZA"/>
    <n v="121.38"/>
    <m/>
    <m/>
    <m/>
  </r>
  <r>
    <x v="213"/>
    <s v="GIUGNO"/>
    <x v="1"/>
    <n v="6"/>
    <s v="GIUGNO 2025"/>
    <x v="15"/>
    <x v="7"/>
    <s v="COSTO SOPRAVVIVENZA"/>
    <n v="4"/>
    <m/>
    <m/>
    <m/>
  </r>
  <r>
    <x v="214"/>
    <s v="GIUGNO"/>
    <x v="1"/>
    <n v="6"/>
    <s v="GIUGNO 2025"/>
    <x v="15"/>
    <x v="15"/>
    <s v="TASSE"/>
    <n v="7.0000000000000007E-2"/>
    <m/>
    <m/>
    <m/>
  </r>
  <r>
    <x v="215"/>
    <s v="GIUGNO"/>
    <x v="1"/>
    <n v="6"/>
    <s v="GIUGNO 2025"/>
    <x v="15"/>
    <x v="7"/>
    <s v="COSTO SOPRAVVIVENZA"/>
    <n v="36.56"/>
    <m/>
    <m/>
    <m/>
  </r>
  <r>
    <x v="214"/>
    <s v="GIUGNO"/>
    <x v="1"/>
    <n v="6"/>
    <s v="GIUGNO 2025"/>
    <x v="15"/>
    <x v="15"/>
    <s v="TASSE"/>
    <n v="0.64"/>
    <m/>
    <m/>
    <m/>
  </r>
  <r>
    <x v="6"/>
    <s v="GIUGNO"/>
    <x v="1"/>
    <n v="6"/>
    <s v="GIUGNO 2025"/>
    <x v="15"/>
    <x v="14"/>
    <s v="COSTO SOPRAVVIVENZA"/>
    <n v="6.5"/>
    <m/>
    <m/>
    <m/>
  </r>
  <r>
    <x v="59"/>
    <s v="GIUGNO"/>
    <x v="1"/>
    <n v="6"/>
    <s v="GIUGNO 2025"/>
    <x v="15"/>
    <x v="0"/>
    <s v="COSTO SVAGHI"/>
    <n v="31"/>
    <m/>
    <m/>
    <s v="La Lagunare"/>
  </r>
  <r>
    <x v="13"/>
    <s v="GIUGNO"/>
    <x v="1"/>
    <n v="6"/>
    <s v="GIUGNO 2025"/>
    <x v="15"/>
    <x v="0"/>
    <s v="COSTO SVAGHI"/>
    <n v="45"/>
    <m/>
    <m/>
    <m/>
  </r>
  <r>
    <x v="6"/>
    <s v="GIUGNO"/>
    <x v="1"/>
    <n v="6"/>
    <s v="GIUGNO 2025"/>
    <x v="15"/>
    <x v="14"/>
    <s v="COSTO SOPRAVVIVENZA"/>
    <n v="6.5"/>
    <m/>
    <m/>
    <m/>
  </r>
  <r>
    <x v="79"/>
    <s v="GIUGNO"/>
    <x v="1"/>
    <n v="6"/>
    <s v="GIUGNO 2025"/>
    <x v="15"/>
    <x v="3"/>
    <s v="COSTO MOBILITA'"/>
    <n v="4.5199999999999996"/>
    <m/>
    <s v="PAYPAL"/>
    <m/>
  </r>
  <r>
    <x v="17"/>
    <s v="GIUGNO"/>
    <x v="1"/>
    <n v="6"/>
    <s v="GIUGNO 2025"/>
    <x v="15"/>
    <x v="7"/>
    <s v="COSTO SOPRAVVIVENZA"/>
    <n v="7.57"/>
    <m/>
    <m/>
    <m/>
  </r>
  <r>
    <x v="216"/>
    <s v="GIUGNO"/>
    <x v="1"/>
    <n v="6"/>
    <s v="GIUGNO 2025"/>
    <x v="15"/>
    <x v="0"/>
    <s v="COSTO SVAGHI"/>
    <n v="48.5"/>
    <m/>
    <m/>
    <m/>
  </r>
  <r>
    <x v="6"/>
    <s v="GIUGNO"/>
    <x v="1"/>
    <n v="6"/>
    <s v="GIUGNO 2025"/>
    <x v="15"/>
    <x v="0"/>
    <s v="COSTO SVAGHI"/>
    <n v="9.5"/>
    <m/>
    <m/>
    <m/>
  </r>
  <r>
    <x v="2"/>
    <s v="GIUGNO"/>
    <x v="1"/>
    <n v="6"/>
    <s v="GIUGNO 2025"/>
    <x v="15"/>
    <x v="8"/>
    <s v="COSTO SFIZI"/>
    <n v="23.2"/>
    <m/>
    <s v="AMAZON"/>
    <m/>
  </r>
  <r>
    <x v="12"/>
    <s v="GIUGNO"/>
    <x v="1"/>
    <n v="6"/>
    <s v="GIUGNO 2025"/>
    <x v="15"/>
    <x v="7"/>
    <s v="COSTO SOPRAVVIVENZA"/>
    <n v="17.73"/>
    <m/>
    <m/>
    <m/>
  </r>
  <r>
    <x v="17"/>
    <s v="GIUGNO"/>
    <x v="1"/>
    <n v="6"/>
    <s v="GIUGNO 2025"/>
    <x v="15"/>
    <x v="7"/>
    <s v="COSTO SOPRAVVIVENZA"/>
    <n v="3.74"/>
    <m/>
    <m/>
    <m/>
  </r>
  <r>
    <x v="190"/>
    <s v="GIUGNO"/>
    <x v="1"/>
    <n v="6"/>
    <s v="GIUGNO 2025"/>
    <x v="15"/>
    <x v="16"/>
    <s v="COSTO VACANZE"/>
    <n v="215.63"/>
    <s v="1/3"/>
    <s v="PAYPAL"/>
    <s v="Viaggio Portogallo 2025"/>
  </r>
  <r>
    <x v="217"/>
    <s v="GIUGNO"/>
    <x v="1"/>
    <n v="6"/>
    <s v="GIUGNO 2025"/>
    <x v="15"/>
    <x v="0"/>
    <s v="COSTO SVAGHI"/>
    <n v="38.5"/>
    <m/>
    <m/>
    <m/>
  </r>
  <r>
    <x v="2"/>
    <s v="GIUGNO"/>
    <x v="1"/>
    <n v="6"/>
    <s v="GIUGNO 2025"/>
    <x v="15"/>
    <x v="8"/>
    <s v="COSTO SFIZI"/>
    <n v="15.39"/>
    <s v="5/5"/>
    <s v="AMAZON"/>
    <s v="FRIENT"/>
  </r>
  <r>
    <x v="2"/>
    <s v="GIUGNO"/>
    <x v="1"/>
    <n v="6"/>
    <s v="GIUGNO 2025"/>
    <x v="15"/>
    <x v="1"/>
    <s v="COSTO CASA"/>
    <n v="109.8"/>
    <s v="3/5"/>
    <s v="AMAZON"/>
    <s v="DREAME"/>
  </r>
  <r>
    <x v="11"/>
    <s v="GIUGNO"/>
    <x v="1"/>
    <n v="6"/>
    <s v="GIUGNO 2025"/>
    <x v="15"/>
    <x v="0"/>
    <s v="COSTO SVAGHI"/>
    <n v="28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91"/>
    <s v="GIUGNO"/>
    <x v="1"/>
    <n v="6"/>
    <s v="GIUGNO 2025"/>
    <x v="15"/>
    <x v="2"/>
    <s v="COSTO SOPRAVVIVENZA"/>
    <n v="0.4"/>
    <m/>
    <m/>
    <m/>
  </r>
  <r>
    <x v="6"/>
    <s v="GIUGNO"/>
    <x v="1"/>
    <n v="6"/>
    <s v="GIUGNO 2025"/>
    <x v="15"/>
    <x v="0"/>
    <s v="COSTO SVAGHI"/>
    <n v="8.5"/>
    <m/>
    <m/>
    <m/>
  </r>
  <r>
    <x v="6"/>
    <s v="GIUGNO"/>
    <x v="1"/>
    <n v="6"/>
    <s v="GIUGNO 2025"/>
    <x v="15"/>
    <x v="14"/>
    <s v="COSTO SOPRAVVIVENZA"/>
    <n v="6.5"/>
    <m/>
    <m/>
    <m/>
  </r>
  <r>
    <x v="82"/>
    <s v="GIUGNO"/>
    <x v="1"/>
    <n v="6"/>
    <s v="GIUGNO 2025"/>
    <x v="15"/>
    <x v="7"/>
    <s v="COSTO SOPRAVVIVENZA"/>
    <n v="24.43"/>
    <m/>
    <m/>
    <m/>
  </r>
  <r>
    <x v="91"/>
    <s v="GIUGNO"/>
    <x v="1"/>
    <n v="6"/>
    <s v="GIUGNO 2025"/>
    <x v="15"/>
    <x v="2"/>
    <s v="COSTO SOPRAVVIVENZA"/>
    <n v="0.4"/>
    <m/>
    <m/>
    <m/>
  </r>
  <r>
    <x v="2"/>
    <s v="GIUGNO"/>
    <x v="1"/>
    <n v="6"/>
    <s v="GIUGNO 2025"/>
    <x v="15"/>
    <x v="1"/>
    <s v="COSTO CASA"/>
    <n v="109.8"/>
    <s v="2/5"/>
    <s v="AMAZON"/>
    <s v="DREAME"/>
  </r>
  <r>
    <x v="207"/>
    <s v="MAGGIO"/>
    <x v="1"/>
    <n v="5"/>
    <s v="MAGGIO 2025"/>
    <x v="16"/>
    <x v="13"/>
    <s v="GESTIONE CONTO"/>
    <n v="0.52"/>
    <m/>
    <m/>
    <m/>
  </r>
  <r>
    <x v="11"/>
    <s v="MAGGIO"/>
    <x v="1"/>
    <n v="5"/>
    <s v="MAGGIO 2025"/>
    <x v="16"/>
    <x v="0"/>
    <s v="COSTO SVAGHI"/>
    <n v="22.5"/>
    <m/>
    <m/>
    <m/>
  </r>
  <r>
    <x v="11"/>
    <s v="MAGGIO"/>
    <x v="1"/>
    <n v="5"/>
    <s v="MAGGIO 2025"/>
    <x v="16"/>
    <x v="0"/>
    <s v="COSTO SVAGHI"/>
    <n v="12.5"/>
    <m/>
    <m/>
    <m/>
  </r>
  <r>
    <x v="6"/>
    <s v="MAGGIO"/>
    <x v="1"/>
    <n v="5"/>
    <s v="MAGGIO 2025"/>
    <x v="16"/>
    <x v="14"/>
    <s v="COSTO SOPRAVVIVENZA"/>
    <n v="6.5"/>
    <m/>
    <m/>
    <m/>
  </r>
  <r>
    <x v="82"/>
    <s v="MAGGIO"/>
    <x v="1"/>
    <n v="5"/>
    <s v="MAGGIO 2025"/>
    <x v="16"/>
    <x v="7"/>
    <s v="COSTO SOPRAVVIVENZA"/>
    <n v="3.87"/>
    <m/>
    <m/>
    <m/>
  </r>
  <r>
    <x v="6"/>
    <s v="MAGGIO"/>
    <x v="1"/>
    <n v="5"/>
    <s v="MAGGIO 2025"/>
    <x v="16"/>
    <x v="0"/>
    <s v="COSTO SVAGHI"/>
    <n v="4.2"/>
    <m/>
    <m/>
    <m/>
  </r>
  <r>
    <x v="91"/>
    <s v="MAGGIO"/>
    <x v="1"/>
    <n v="5"/>
    <s v="MAGGIO 2025"/>
    <x v="16"/>
    <x v="2"/>
    <s v="COSTO SOPRAVVIVENZA"/>
    <n v="0.6"/>
    <m/>
    <m/>
    <m/>
  </r>
  <r>
    <x v="17"/>
    <s v="MAGGIO"/>
    <x v="1"/>
    <n v="5"/>
    <s v="MAGGIO 2025"/>
    <x v="16"/>
    <x v="7"/>
    <s v="COSTO SOPRAVVIVENZA"/>
    <n v="4.25"/>
    <m/>
    <m/>
    <m/>
  </r>
  <r>
    <x v="91"/>
    <s v="MAGGIO"/>
    <x v="1"/>
    <n v="5"/>
    <s v="MAGGIO 2025"/>
    <x v="16"/>
    <x v="2"/>
    <s v="COSTO SOPRAVVIVENZA"/>
    <n v="0.4"/>
    <m/>
    <m/>
    <m/>
  </r>
  <r>
    <x v="91"/>
    <s v="MAGGIO"/>
    <x v="1"/>
    <n v="5"/>
    <s v="MAGGIO 2025"/>
    <x v="16"/>
    <x v="2"/>
    <s v="COSTO SOPRAVVIVENZA"/>
    <n v="0.4"/>
    <m/>
    <m/>
    <m/>
  </r>
  <r>
    <x v="12"/>
    <s v="MAGGIO"/>
    <x v="1"/>
    <n v="5"/>
    <s v="MAGGIO 2025"/>
    <x v="16"/>
    <x v="7"/>
    <s v="COSTO SOPRAVVIVENZA"/>
    <n v="13.61"/>
    <m/>
    <m/>
    <m/>
  </r>
  <r>
    <x v="218"/>
    <s v="MAGGIO"/>
    <x v="1"/>
    <n v="5"/>
    <s v="MAGGIO 2025"/>
    <x v="16"/>
    <x v="0"/>
    <s v="COSTO SVAGHI"/>
    <n v="83"/>
    <m/>
    <m/>
    <m/>
  </r>
  <r>
    <x v="82"/>
    <s v="MAGGIO"/>
    <x v="1"/>
    <n v="5"/>
    <s v="MAGGIO 2025"/>
    <x v="16"/>
    <x v="7"/>
    <s v="COSTO SOPRAVVIVENZA"/>
    <n v="10.23"/>
    <m/>
    <m/>
    <m/>
  </r>
  <r>
    <x v="35"/>
    <s v="MAGGIO"/>
    <x v="1"/>
    <n v="5"/>
    <s v="MAGGIO 2025"/>
    <x v="16"/>
    <x v="1"/>
    <s v="COSTO CASA"/>
    <n v="16.03"/>
    <m/>
    <m/>
    <m/>
  </r>
  <r>
    <x v="219"/>
    <s v="MAGGIO"/>
    <x v="1"/>
    <n v="5"/>
    <s v="MAGGIO 2025"/>
    <x v="16"/>
    <x v="0"/>
    <s v="COSTO SVAGHI"/>
    <n v="10"/>
    <m/>
    <m/>
    <m/>
  </r>
  <r>
    <x v="220"/>
    <s v="MAGGIO"/>
    <x v="1"/>
    <n v="5"/>
    <s v="MAGGIO 2025"/>
    <x v="16"/>
    <x v="0"/>
    <s v="COSTO SVAGHI"/>
    <n v="5"/>
    <m/>
    <m/>
    <m/>
  </r>
  <r>
    <x v="11"/>
    <s v="MAGGIO"/>
    <x v="1"/>
    <n v="5"/>
    <s v="MAGGIO 2025"/>
    <x v="16"/>
    <x v="0"/>
    <s v="COSTO SVAGHI"/>
    <n v="12.5"/>
    <m/>
    <m/>
    <m/>
  </r>
  <r>
    <x v="221"/>
    <s v="MAGGIO"/>
    <x v="1"/>
    <n v="5"/>
    <s v="MAGGIO 2025"/>
    <x v="16"/>
    <x v="0"/>
    <s v="COSTO SVAGHI"/>
    <n v="7"/>
    <m/>
    <m/>
    <m/>
  </r>
  <r>
    <x v="221"/>
    <s v="MAGGIO"/>
    <x v="1"/>
    <n v="5"/>
    <s v="MAGGIO 2025"/>
    <x v="16"/>
    <x v="0"/>
    <s v="COSTO SVAGHI"/>
    <n v="33"/>
    <m/>
    <m/>
    <m/>
  </r>
  <r>
    <x v="6"/>
    <s v="MAGGIO"/>
    <x v="1"/>
    <n v="5"/>
    <s v="MAGGIO 2025"/>
    <x v="16"/>
    <x v="14"/>
    <s v="COSTO SOPRAVVIVENZA"/>
    <n v="6.5"/>
    <m/>
    <m/>
    <m/>
  </r>
  <r>
    <x v="91"/>
    <s v="MAGGIO"/>
    <x v="1"/>
    <n v="5"/>
    <s v="MAGGIO 2025"/>
    <x v="16"/>
    <x v="2"/>
    <s v="COSTO SOPRAVVIVENZA"/>
    <n v="0.4"/>
    <m/>
    <m/>
    <m/>
  </r>
  <r>
    <x v="91"/>
    <s v="MAGGIO"/>
    <x v="1"/>
    <n v="5"/>
    <s v="MAGGIO 2025"/>
    <x v="16"/>
    <x v="2"/>
    <s v="COSTO SOPRAVVIVENZA"/>
    <n v="0.4"/>
    <m/>
    <m/>
    <m/>
  </r>
  <r>
    <x v="91"/>
    <s v="MAGGIO"/>
    <x v="1"/>
    <n v="5"/>
    <s v="MAGGIO 2025"/>
    <x v="16"/>
    <x v="2"/>
    <s v="COSTO SOPRAVVIVENZA"/>
    <n v="0.4"/>
    <m/>
    <m/>
    <m/>
  </r>
  <r>
    <x v="91"/>
    <s v="MAGGIO"/>
    <x v="1"/>
    <n v="5"/>
    <s v="MAGGIO 2025"/>
    <x v="16"/>
    <x v="2"/>
    <s v="COSTO SOPRAVVIVENZA"/>
    <n v="0.4"/>
    <m/>
    <m/>
    <m/>
  </r>
  <r>
    <x v="6"/>
    <s v="MAGGIO"/>
    <x v="1"/>
    <n v="5"/>
    <s v="MAGGIO 2025"/>
    <x v="16"/>
    <x v="0"/>
    <s v="COSTO SVAGHI"/>
    <n v="4.2"/>
    <m/>
    <m/>
    <m/>
  </r>
  <r>
    <x v="12"/>
    <s v="MAGGIO"/>
    <x v="1"/>
    <n v="5"/>
    <s v="MAGGIO 2025"/>
    <x v="16"/>
    <x v="7"/>
    <s v="COSTO SOPRAVVIVENZA"/>
    <n v="17.71"/>
    <m/>
    <m/>
    <m/>
  </r>
  <r>
    <x v="11"/>
    <s v="MAGGIO"/>
    <x v="1"/>
    <n v="5"/>
    <s v="MAGGIO 2025"/>
    <x v="16"/>
    <x v="0"/>
    <s v="COSTO SVAGHI"/>
    <n v="18"/>
    <m/>
    <m/>
    <m/>
  </r>
  <r>
    <x v="18"/>
    <s v="MAGGIO"/>
    <x v="1"/>
    <n v="5"/>
    <s v="MAGGIO 2025"/>
    <x v="16"/>
    <x v="0"/>
    <s v="COSTO SVAGHI"/>
    <n v="46"/>
    <m/>
    <m/>
    <m/>
  </r>
  <r>
    <x v="59"/>
    <s v="MAGGIO"/>
    <x v="1"/>
    <n v="5"/>
    <s v="MAGGIO 2025"/>
    <x v="16"/>
    <x v="12"/>
    <s v="COSTO SVAGHI"/>
    <n v="30"/>
    <m/>
    <m/>
    <s v="La Lagunare"/>
  </r>
  <r>
    <x v="6"/>
    <s v="MAGGIO"/>
    <x v="1"/>
    <n v="5"/>
    <s v="MAGGIO 2025"/>
    <x v="16"/>
    <x v="14"/>
    <s v="COSTO SOPRAVVIVENZA"/>
    <n v="6.5"/>
    <m/>
    <m/>
    <m/>
  </r>
  <r>
    <x v="2"/>
    <s v="MAGGIO"/>
    <x v="1"/>
    <n v="5"/>
    <s v="MAGGIO 2025"/>
    <x v="16"/>
    <x v="8"/>
    <s v="COSTO SFIZI"/>
    <n v="42.49"/>
    <m/>
    <s v="AMAZON"/>
    <m/>
  </r>
  <r>
    <x v="2"/>
    <s v="MAGGIO"/>
    <x v="1"/>
    <n v="5"/>
    <s v="MAGGIO 2025"/>
    <x v="16"/>
    <x v="11"/>
    <s v="COSTO SFIZI"/>
    <n v="18.989999999999998"/>
    <m/>
    <s v="AMAZON"/>
    <m/>
  </r>
  <r>
    <x v="6"/>
    <s v="MAGGIO"/>
    <x v="1"/>
    <n v="5"/>
    <s v="MAGGIO 2025"/>
    <x v="16"/>
    <x v="0"/>
    <s v="COSTO SVAGHI"/>
    <n v="4.2"/>
    <m/>
    <m/>
    <m/>
  </r>
  <r>
    <x v="17"/>
    <s v="MAGGIO"/>
    <x v="1"/>
    <n v="5"/>
    <s v="MAGGIO 2025"/>
    <x v="16"/>
    <x v="7"/>
    <s v="COSTO SOPRAVVIVENZA"/>
    <n v="12.75"/>
    <m/>
    <m/>
    <m/>
  </r>
  <r>
    <x v="63"/>
    <s v="MAGGIO"/>
    <x v="1"/>
    <n v="5"/>
    <s v="MAGGIO 2025"/>
    <x v="16"/>
    <x v="12"/>
    <s v="COSTO SVAGHI"/>
    <n v="38.19"/>
    <s v="3/3"/>
    <s v="PAYPAL"/>
    <s v="Concerto In Flames 2025"/>
  </r>
  <r>
    <x v="222"/>
    <s v="MAGGIO"/>
    <x v="1"/>
    <n v="5"/>
    <s v="MAGGIO 2025"/>
    <x v="16"/>
    <x v="11"/>
    <s v="COSTO SFIZI"/>
    <n v="40.98"/>
    <m/>
    <s v="PAYPAL"/>
    <m/>
  </r>
  <r>
    <x v="223"/>
    <s v="MAGGIO"/>
    <x v="1"/>
    <n v="5"/>
    <s v="MAGGIO 2025"/>
    <x v="16"/>
    <x v="16"/>
    <s v="COSTO VACANZE"/>
    <n v="77.72"/>
    <s v="3/3"/>
    <s v="PAYPAL"/>
    <s v="Viaggio Napoli 2025"/>
  </r>
  <r>
    <x v="146"/>
    <s v="MAGGIO"/>
    <x v="1"/>
    <n v="5"/>
    <s v="MAGGIO 2025"/>
    <x v="16"/>
    <x v="10"/>
    <s v="COSTO SFIZI"/>
    <n v="30.66"/>
    <s v="3/3"/>
    <s v="PAYPAL"/>
    <s v="Regalo a Michela"/>
  </r>
  <r>
    <x v="146"/>
    <s v="MAGGIO"/>
    <x v="1"/>
    <n v="5"/>
    <s v="MAGGIO 2025"/>
    <x v="16"/>
    <x v="10"/>
    <s v="COSTO SFIZI"/>
    <n v="30.67"/>
    <s v="2/3"/>
    <s v="PAYPAL"/>
    <s v="Regalo a Michela"/>
  </r>
  <r>
    <x v="35"/>
    <s v="MAGGIO"/>
    <x v="1"/>
    <n v="5"/>
    <s v="MAGGIO 2025"/>
    <x v="16"/>
    <x v="1"/>
    <s v="COSTO CASA"/>
    <n v="39.97"/>
    <m/>
    <m/>
    <m/>
  </r>
  <r>
    <x v="224"/>
    <s v="MAGGIO"/>
    <x v="1"/>
    <n v="5"/>
    <s v="MAGGIO 2025"/>
    <x v="16"/>
    <x v="10"/>
    <s v="COSTO SFIZI"/>
    <n v="50.3"/>
    <m/>
    <m/>
    <s v="Regalo Stefano"/>
  </r>
  <r>
    <x v="225"/>
    <s v="MAGGIO"/>
    <x v="1"/>
    <n v="5"/>
    <s v="MAGGIO 2025"/>
    <x v="16"/>
    <x v="11"/>
    <s v="COSTO SFIZI"/>
    <n v="53.33"/>
    <m/>
    <m/>
    <m/>
  </r>
  <r>
    <x v="77"/>
    <s v="MAGGIO"/>
    <x v="1"/>
    <n v="5"/>
    <s v="MAGGIO 2025"/>
    <x v="16"/>
    <x v="13"/>
    <s v="GESTIONE CONTO"/>
    <n v="-25.82"/>
    <m/>
    <m/>
    <s v="Storno quota carta di credito"/>
  </r>
  <r>
    <x v="112"/>
    <s v="MAGGIO"/>
    <x v="1"/>
    <n v="5"/>
    <s v="MAGGIO 2025"/>
    <x v="16"/>
    <x v="1"/>
    <s v="COSTO CASA"/>
    <n v="8"/>
    <m/>
    <m/>
    <m/>
  </r>
  <r>
    <x v="12"/>
    <s v="MAGGIO"/>
    <x v="1"/>
    <n v="5"/>
    <s v="MAGGIO 2025"/>
    <x v="16"/>
    <x v="7"/>
    <s v="COSTO SOPRAVVIVENZA"/>
    <n v="53.4"/>
    <m/>
    <m/>
    <m/>
  </r>
  <r>
    <x v="226"/>
    <s v="MAGGIO"/>
    <x v="1"/>
    <n v="5"/>
    <s v="MAGGIO 2025"/>
    <x v="16"/>
    <x v="0"/>
    <s v="COSTO SVAGHI"/>
    <n v="19"/>
    <m/>
    <m/>
    <m/>
  </r>
  <r>
    <x v="5"/>
    <s v="MAGGIO"/>
    <x v="1"/>
    <n v="5"/>
    <s v="MAGGIO 2025"/>
    <x v="16"/>
    <x v="16"/>
    <s v="COSTO VACANZE"/>
    <n v="25"/>
    <m/>
    <s v="REVOLUT"/>
    <s v="Viaggio Napoli 2025"/>
  </r>
  <r>
    <x v="2"/>
    <s v="MAGGIO"/>
    <x v="1"/>
    <n v="5"/>
    <s v="MAGGIO 2025"/>
    <x v="16"/>
    <x v="8"/>
    <s v="COSTO SFIZI"/>
    <n v="15.39"/>
    <s v="4/5"/>
    <s v="AMAZON"/>
    <s v="FRIENT"/>
  </r>
  <r>
    <x v="95"/>
    <s v="MAGGIO"/>
    <x v="1"/>
    <n v="5"/>
    <s v="MAGGIO 2025"/>
    <x v="16"/>
    <x v="0"/>
    <s v="COSTO SVAGHI"/>
    <n v="18"/>
    <m/>
    <m/>
    <m/>
  </r>
  <r>
    <x v="6"/>
    <s v="MAGGIO"/>
    <x v="1"/>
    <n v="5"/>
    <s v="MAGGIO 2025"/>
    <x v="16"/>
    <x v="0"/>
    <s v="COSTO SVAGHI"/>
    <n v="15"/>
    <m/>
    <m/>
    <m/>
  </r>
  <r>
    <x v="227"/>
    <s v="APRILE"/>
    <x v="1"/>
    <n v="4"/>
    <s v="APRILE 2025"/>
    <x v="17"/>
    <x v="15"/>
    <s v="TASSE"/>
    <n v="-0.19"/>
    <m/>
    <m/>
    <s v="Differenza sulla CC"/>
  </r>
  <r>
    <x v="228"/>
    <s v="APRILE"/>
    <x v="1"/>
    <n v="4"/>
    <s v="APRILE 2025"/>
    <x v="17"/>
    <x v="0"/>
    <s v="COSTO SVAGHI"/>
    <n v="56"/>
    <m/>
    <m/>
    <s v="Viaggio Napoli 2025"/>
  </r>
  <r>
    <x v="229"/>
    <s v="APRILE"/>
    <x v="1"/>
    <n v="4"/>
    <s v="APRILE 2025"/>
    <x v="17"/>
    <x v="0"/>
    <s v="COSTO SVAGHI"/>
    <n v="63.2"/>
    <m/>
    <m/>
    <s v="Viaggio Napoli 2025"/>
  </r>
  <r>
    <x v="6"/>
    <s v="APRILE"/>
    <x v="1"/>
    <n v="4"/>
    <s v="APRILE 2025"/>
    <x v="17"/>
    <x v="0"/>
    <s v="COSTO SVAGHI"/>
    <n v="11"/>
    <m/>
    <m/>
    <m/>
  </r>
  <r>
    <x v="6"/>
    <s v="APRILE"/>
    <x v="1"/>
    <n v="4"/>
    <s v="APRILE 2025"/>
    <x v="17"/>
    <x v="14"/>
    <s v="COSTO SOPRAVVIVENZA"/>
    <n v="6.5"/>
    <m/>
    <m/>
    <m/>
  </r>
  <r>
    <x v="144"/>
    <s v="APRILE"/>
    <x v="1"/>
    <n v="4"/>
    <s v="APRILE 2025"/>
    <x v="17"/>
    <x v="10"/>
    <s v="COSTO SFIZI"/>
    <n v="4"/>
    <m/>
    <m/>
    <s v="Regalo a Francesco"/>
  </r>
  <r>
    <x v="197"/>
    <s v="APRILE"/>
    <x v="1"/>
    <n v="4"/>
    <s v="APRILE 2025"/>
    <x v="17"/>
    <x v="19"/>
    <s v="COSTO SFIZI"/>
    <n v="51"/>
    <m/>
    <m/>
    <m/>
  </r>
  <r>
    <x v="11"/>
    <s v="APRILE"/>
    <x v="1"/>
    <n v="4"/>
    <s v="APRILE 2025"/>
    <x v="17"/>
    <x v="0"/>
    <s v="COSTO SVAGHI"/>
    <n v="41"/>
    <m/>
    <m/>
    <m/>
  </r>
  <r>
    <x v="82"/>
    <s v="APRILE"/>
    <x v="1"/>
    <n v="4"/>
    <s v="APRILE 2025"/>
    <x v="17"/>
    <x v="7"/>
    <s v="COSTO SOPRAVVIVENZA"/>
    <n v="28.44"/>
    <m/>
    <m/>
    <m/>
  </r>
  <r>
    <x v="12"/>
    <s v="APRILE"/>
    <x v="1"/>
    <n v="4"/>
    <s v="APRILE 2025"/>
    <x v="17"/>
    <x v="7"/>
    <s v="COSTO SOPRAVVIVENZA"/>
    <n v="18.309999999999999"/>
    <m/>
    <m/>
    <m/>
  </r>
  <r>
    <x v="53"/>
    <s v="APRILE"/>
    <x v="1"/>
    <n v="4"/>
    <s v="APRILE 2025"/>
    <x v="17"/>
    <x v="1"/>
    <s v="COSTO CASA"/>
    <n v="58.85"/>
    <m/>
    <m/>
    <m/>
  </r>
  <r>
    <x v="6"/>
    <s v="APRILE"/>
    <x v="1"/>
    <n v="4"/>
    <s v="APRILE 2025"/>
    <x v="17"/>
    <x v="0"/>
    <s v="COSTO SVAGHI"/>
    <n v="10.7"/>
    <m/>
    <m/>
    <m/>
  </r>
  <r>
    <x v="91"/>
    <s v="APRILE"/>
    <x v="1"/>
    <n v="4"/>
    <s v="APRILE 2025"/>
    <x v="17"/>
    <x v="2"/>
    <s v="COSTO SOPRAVVIVENZA"/>
    <n v="0.4"/>
    <m/>
    <m/>
    <m/>
  </r>
  <r>
    <x v="91"/>
    <s v="APRILE"/>
    <x v="1"/>
    <n v="4"/>
    <s v="APRILE 2025"/>
    <x v="17"/>
    <x v="2"/>
    <s v="COSTO SOPRAVVIVENZA"/>
    <n v="0.4"/>
    <m/>
    <m/>
    <m/>
  </r>
  <r>
    <x v="2"/>
    <s v="APRILE"/>
    <x v="1"/>
    <n v="4"/>
    <s v="APRILE 2025"/>
    <x v="17"/>
    <x v="8"/>
    <s v="COSTO SFIZI"/>
    <n v="40.799999999999997"/>
    <m/>
    <s v="AMAZON"/>
    <m/>
  </r>
  <r>
    <x v="91"/>
    <s v="APRILE"/>
    <x v="1"/>
    <n v="4"/>
    <s v="APRILE 2025"/>
    <x v="17"/>
    <x v="2"/>
    <s v="COSTO SOPRAVVIVENZA"/>
    <n v="0.4"/>
    <m/>
    <m/>
    <m/>
  </r>
  <r>
    <x v="91"/>
    <s v="APRILE"/>
    <x v="1"/>
    <n v="4"/>
    <s v="APRILE 2025"/>
    <x v="17"/>
    <x v="2"/>
    <s v="COSTO SOPRAVVIVENZA"/>
    <n v="0.4"/>
    <m/>
    <m/>
    <m/>
  </r>
  <r>
    <x v="230"/>
    <s v="APRILE"/>
    <x v="1"/>
    <n v="4"/>
    <s v="APRILE 2025"/>
    <x v="17"/>
    <x v="7"/>
    <s v="COSTO SOPRAVVIVENZA"/>
    <n v="21.8"/>
    <m/>
    <m/>
    <m/>
  </r>
  <r>
    <x v="6"/>
    <s v="APRILE"/>
    <x v="1"/>
    <n v="4"/>
    <s v="APRILE 2025"/>
    <x v="17"/>
    <x v="0"/>
    <s v="COSTO SVAGHI"/>
    <n v="5.6"/>
    <m/>
    <m/>
    <m/>
  </r>
  <r>
    <x v="91"/>
    <s v="APRILE"/>
    <x v="1"/>
    <n v="4"/>
    <s v="APRILE 2025"/>
    <x v="17"/>
    <x v="2"/>
    <s v="COSTO SOPRAVVIVENZA"/>
    <n v="0.4"/>
    <m/>
    <m/>
    <m/>
  </r>
  <r>
    <x v="91"/>
    <s v="APRILE"/>
    <x v="1"/>
    <n v="4"/>
    <s v="APRILE 2025"/>
    <x v="17"/>
    <x v="2"/>
    <s v="COSTO SOPRAVVIVENZA"/>
    <n v="0.4"/>
    <m/>
    <m/>
    <m/>
  </r>
  <r>
    <x v="231"/>
    <s v="APRILE"/>
    <x v="1"/>
    <n v="4"/>
    <s v="APRILE 2025"/>
    <x v="17"/>
    <x v="16"/>
    <s v="COSTO VACANZE"/>
    <n v="67.5"/>
    <m/>
    <m/>
    <s v="Viaggio Napoli 2025"/>
  </r>
  <r>
    <x v="232"/>
    <s v="APRILE"/>
    <x v="1"/>
    <n v="4"/>
    <s v="APRILE 2025"/>
    <x v="17"/>
    <x v="16"/>
    <s v="COSTO VACANZE"/>
    <n v="61.68"/>
    <m/>
    <s v="REVOLUT"/>
    <s v="Viaggio Napoli 2025"/>
  </r>
  <r>
    <x v="17"/>
    <s v="APRILE"/>
    <x v="1"/>
    <n v="4"/>
    <s v="APRILE 2025"/>
    <x v="17"/>
    <x v="7"/>
    <s v="COSTO SOPRAVVIVENZA"/>
    <n v="6.04"/>
    <m/>
    <m/>
    <s v="Pagato con Revolut"/>
  </r>
  <r>
    <x v="12"/>
    <s v="APRILE"/>
    <x v="1"/>
    <n v="4"/>
    <s v="APRILE 2025"/>
    <x v="17"/>
    <x v="7"/>
    <s v="COSTO SOPRAVVIVENZA"/>
    <n v="27.53"/>
    <m/>
    <m/>
    <s v="Pagato con Revolut"/>
  </r>
  <r>
    <x v="82"/>
    <s v="APRILE"/>
    <x v="1"/>
    <n v="4"/>
    <s v="APRILE 2025"/>
    <x v="17"/>
    <x v="7"/>
    <s v="COSTO SOPRAVVIVENZA"/>
    <n v="19.95"/>
    <m/>
    <m/>
    <s v="Pagato con Revolut"/>
  </r>
  <r>
    <x v="21"/>
    <s v="APRILE"/>
    <x v="1"/>
    <n v="4"/>
    <s v="APRILE 2025"/>
    <x v="17"/>
    <x v="9"/>
    <s v="COSTO MOBILITA'"/>
    <n v="7"/>
    <m/>
    <m/>
    <m/>
  </r>
  <r>
    <x v="67"/>
    <s v="APRILE"/>
    <x v="1"/>
    <n v="4"/>
    <s v="APRILE 2025"/>
    <x v="17"/>
    <x v="10"/>
    <s v="COSTO SFIZI"/>
    <n v="34.549999999999997"/>
    <m/>
    <m/>
    <s v="Regalo a Francesco"/>
  </r>
  <r>
    <x v="233"/>
    <s v="APRILE"/>
    <x v="1"/>
    <n v="4"/>
    <s v="APRILE 2025"/>
    <x v="17"/>
    <x v="0"/>
    <s v="COSTO SVAGHI"/>
    <n v="7"/>
    <m/>
    <m/>
    <m/>
  </r>
  <r>
    <x v="146"/>
    <s v="APRILE"/>
    <x v="1"/>
    <n v="4"/>
    <s v="APRILE 2025"/>
    <x v="17"/>
    <x v="10"/>
    <s v="COSTO SFIZI"/>
    <n v="30.67"/>
    <s v="1/3"/>
    <s v="PAYPAL"/>
    <s v="Regalo a Michela"/>
  </r>
  <r>
    <x v="6"/>
    <s v="APRILE"/>
    <x v="1"/>
    <n v="4"/>
    <s v="APRILE 2025"/>
    <x v="17"/>
    <x v="14"/>
    <s v="COSTO SOPRAVVIVENZA"/>
    <n v="6.5"/>
    <m/>
    <m/>
    <m/>
  </r>
  <r>
    <x v="7"/>
    <s v="APRILE"/>
    <x v="1"/>
    <n v="4"/>
    <s v="APRILE 2025"/>
    <x v="17"/>
    <x v="5"/>
    <s v="COSTO VACANZE"/>
    <n v="181.17"/>
    <m/>
    <m/>
    <s v="Viaggio Napoli 2025"/>
  </r>
  <r>
    <x v="91"/>
    <s v="APRILE"/>
    <x v="1"/>
    <n v="4"/>
    <s v="APRILE 2025"/>
    <x v="17"/>
    <x v="2"/>
    <s v="COSTO SOPRAVVIVENZA"/>
    <n v="0.4"/>
    <m/>
    <m/>
    <m/>
  </r>
  <r>
    <x v="91"/>
    <s v="APRILE"/>
    <x v="1"/>
    <n v="4"/>
    <s v="APRILE 2025"/>
    <x v="17"/>
    <x v="2"/>
    <s v="COSTO SOPRAVVIVENZA"/>
    <n v="0.4"/>
    <m/>
    <m/>
    <m/>
  </r>
  <r>
    <x v="6"/>
    <s v="APRILE"/>
    <x v="1"/>
    <n v="4"/>
    <s v="APRILE 2025"/>
    <x v="17"/>
    <x v="0"/>
    <s v="COSTO SVAGHI"/>
    <n v="4.2"/>
    <m/>
    <m/>
    <m/>
  </r>
  <r>
    <x v="91"/>
    <s v="APRILE"/>
    <x v="1"/>
    <n v="4"/>
    <s v="APRILE 2025"/>
    <x v="17"/>
    <x v="2"/>
    <s v="COSTO SOPRAVVIVENZA"/>
    <n v="0.4"/>
    <m/>
    <m/>
    <m/>
  </r>
  <r>
    <x v="6"/>
    <s v="APRILE"/>
    <x v="1"/>
    <n v="4"/>
    <s v="APRILE 2025"/>
    <x v="17"/>
    <x v="14"/>
    <s v="COSTO SOPRAVVIVENZA"/>
    <n v="6.5"/>
    <m/>
    <m/>
    <m/>
  </r>
  <r>
    <x v="234"/>
    <s v="APRILE"/>
    <x v="1"/>
    <n v="4"/>
    <s v="APRILE 2025"/>
    <x v="17"/>
    <x v="0"/>
    <s v="COSTO SVAGHI"/>
    <n v="65"/>
    <m/>
    <m/>
    <m/>
  </r>
  <r>
    <x v="53"/>
    <s v="APRILE"/>
    <x v="1"/>
    <n v="4"/>
    <s v="APRILE 2025"/>
    <x v="17"/>
    <x v="1"/>
    <s v="COSTO CASA"/>
    <n v="141.85"/>
    <m/>
    <m/>
    <m/>
  </r>
  <r>
    <x v="235"/>
    <s v="APRILE"/>
    <x v="1"/>
    <n v="4"/>
    <s v="APRILE 2025"/>
    <x v="17"/>
    <x v="0"/>
    <s v="COSTO SVAGHI"/>
    <n v="26"/>
    <m/>
    <m/>
    <m/>
  </r>
  <r>
    <x v="11"/>
    <s v="APRILE"/>
    <x v="1"/>
    <n v="4"/>
    <s v="APRILE 2025"/>
    <x v="17"/>
    <x v="0"/>
    <s v="COSTO SVAGHI"/>
    <n v="7"/>
    <m/>
    <m/>
    <m/>
  </r>
  <r>
    <x v="82"/>
    <s v="APRILE"/>
    <x v="1"/>
    <n v="4"/>
    <s v="APRILE 2025"/>
    <x v="17"/>
    <x v="7"/>
    <s v="COSTO SOPRAVVIVENZA"/>
    <n v="2.38"/>
    <m/>
    <m/>
    <m/>
  </r>
  <r>
    <x v="6"/>
    <s v="APRILE"/>
    <x v="1"/>
    <n v="4"/>
    <s v="APRILE 2025"/>
    <x v="17"/>
    <x v="0"/>
    <s v="COSTO SVAGHI"/>
    <n v="18"/>
    <m/>
    <m/>
    <m/>
  </r>
  <r>
    <x v="6"/>
    <s v="APRILE"/>
    <x v="1"/>
    <n v="4"/>
    <s v="APRILE 2025"/>
    <x v="17"/>
    <x v="14"/>
    <s v="COSTO SOPRAVVIVENZA"/>
    <n v="6.5"/>
    <m/>
    <m/>
    <m/>
  </r>
  <r>
    <x v="17"/>
    <s v="APRILE"/>
    <x v="1"/>
    <n v="4"/>
    <s v="APRILE 2025"/>
    <x v="17"/>
    <x v="7"/>
    <s v="COSTO SOPRAVVIVENZA"/>
    <n v="5.01"/>
    <m/>
    <m/>
    <m/>
  </r>
  <r>
    <x v="6"/>
    <s v="APRILE"/>
    <x v="1"/>
    <n v="4"/>
    <s v="APRILE 2025"/>
    <x v="17"/>
    <x v="14"/>
    <s v="COSTO SOPRAVVIVENZA"/>
    <n v="6.5"/>
    <m/>
    <m/>
    <m/>
  </r>
  <r>
    <x v="91"/>
    <s v="APRILE"/>
    <x v="1"/>
    <n v="4"/>
    <s v="APRILE 2025"/>
    <x v="17"/>
    <x v="2"/>
    <s v="COSTO SOPRAVVIVENZA"/>
    <n v="0.4"/>
    <m/>
    <m/>
    <m/>
  </r>
  <r>
    <x v="2"/>
    <s v="APRILE"/>
    <x v="1"/>
    <n v="4"/>
    <s v="APRILE 2025"/>
    <x v="17"/>
    <x v="8"/>
    <s v="COSTO SFIZI"/>
    <n v="25.49"/>
    <m/>
    <s v="AMAZON"/>
    <m/>
  </r>
  <r>
    <x v="2"/>
    <s v="APRILE"/>
    <x v="1"/>
    <n v="4"/>
    <s v="APRILE 2025"/>
    <x v="17"/>
    <x v="1"/>
    <s v="COSTO CASA"/>
    <n v="109.8"/>
    <s v="1/5"/>
    <s v="AMAZON"/>
    <s v="DREAME"/>
  </r>
  <r>
    <x v="236"/>
    <s v="APRILE"/>
    <x v="1"/>
    <n v="4"/>
    <s v="APRILE 2025"/>
    <x v="17"/>
    <x v="21"/>
    <s v="COSTO SOPRAVVIVENZA"/>
    <n v="17.79"/>
    <s v="3/3"/>
    <s v="PAYPAL"/>
    <m/>
  </r>
  <r>
    <x v="223"/>
    <s v="APRILE"/>
    <x v="1"/>
    <n v="4"/>
    <s v="APRILE 2025"/>
    <x v="17"/>
    <x v="16"/>
    <s v="COSTO VACANZE"/>
    <n v="77.72"/>
    <s v="2/3"/>
    <s v="PAYPAL"/>
    <s v="Viaggio Napoli 2025"/>
  </r>
  <r>
    <x v="12"/>
    <s v="APRILE"/>
    <x v="1"/>
    <n v="4"/>
    <s v="APRILE 2025"/>
    <x v="17"/>
    <x v="7"/>
    <s v="COSTO SOPRAVVIVENZA"/>
    <n v="27.57"/>
    <m/>
    <m/>
    <m/>
  </r>
  <r>
    <x v="53"/>
    <s v="APRILE"/>
    <x v="1"/>
    <n v="4"/>
    <s v="APRILE 2025"/>
    <x v="17"/>
    <x v="1"/>
    <s v="COSTO CASA"/>
    <n v="10"/>
    <m/>
    <m/>
    <m/>
  </r>
  <r>
    <x v="237"/>
    <s v="APRILE"/>
    <x v="1"/>
    <n v="4"/>
    <s v="APRILE 2025"/>
    <x v="17"/>
    <x v="0"/>
    <s v="COSTO SVAGHI"/>
    <n v="63.4"/>
    <m/>
    <m/>
    <m/>
  </r>
  <r>
    <x v="2"/>
    <s v="APRILE"/>
    <x v="1"/>
    <n v="4"/>
    <s v="APRILE 2025"/>
    <x v="17"/>
    <x v="8"/>
    <s v="COSTO SFIZI"/>
    <n v="15.39"/>
    <s v="3/5"/>
    <s v="AMAZON"/>
    <s v="FRIENT"/>
  </r>
  <r>
    <x v="238"/>
    <s v="APRILE"/>
    <x v="1"/>
    <n v="4"/>
    <s v="APRILE 2025"/>
    <x v="17"/>
    <x v="0"/>
    <s v="COSTO SVAGHI"/>
    <n v="16"/>
    <m/>
    <m/>
    <m/>
  </r>
  <r>
    <x v="53"/>
    <s v="APRILE"/>
    <x v="1"/>
    <n v="4"/>
    <s v="APRILE 2025"/>
    <x v="17"/>
    <x v="1"/>
    <s v="COSTO CASA"/>
    <n v="26.9"/>
    <m/>
    <m/>
    <m/>
  </r>
  <r>
    <x v="91"/>
    <s v="APRILE"/>
    <x v="1"/>
    <n v="4"/>
    <s v="APRILE 2025"/>
    <x v="17"/>
    <x v="2"/>
    <s v="COSTO SOPRAVVIVENZA"/>
    <n v="0.4"/>
    <m/>
    <m/>
    <m/>
  </r>
  <r>
    <x v="6"/>
    <s v="APRILE"/>
    <x v="1"/>
    <n v="4"/>
    <s v="APRILE 2025"/>
    <x v="17"/>
    <x v="14"/>
    <s v="COSTO SOPRAVVIVENZA"/>
    <n v="6.5"/>
    <m/>
    <m/>
    <m/>
  </r>
  <r>
    <x v="2"/>
    <s v="MARZO"/>
    <x v="1"/>
    <n v="3"/>
    <s v="MARZO 2025"/>
    <x v="18"/>
    <x v="8"/>
    <s v="COSTO SFIZI"/>
    <n v="30.59"/>
    <s v="5/5"/>
    <s v="AMAZON"/>
    <s v="NANO LEAF"/>
  </r>
  <r>
    <x v="2"/>
    <s v="MARZO"/>
    <x v="1"/>
    <n v="3"/>
    <s v="MARZO 2025"/>
    <x v="18"/>
    <x v="8"/>
    <s v="COSTO SFIZI"/>
    <n v="19.71"/>
    <m/>
    <s v="AMAZON"/>
    <m/>
  </r>
  <r>
    <x v="6"/>
    <s v="MARZO"/>
    <x v="1"/>
    <n v="3"/>
    <s v="MARZO 2025"/>
    <x v="18"/>
    <x v="0"/>
    <s v="COSTO SVAGHI"/>
    <n v="2.8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7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5"/>
    <s v="MARZO"/>
    <x v="1"/>
    <n v="3"/>
    <s v="MARZO 2025"/>
    <x v="18"/>
    <x v="17"/>
    <s v="MOVIMENTI CONTO"/>
    <n v="75"/>
    <m/>
    <s v="REVOLUT"/>
    <s v="Errore"/>
  </r>
  <r>
    <x v="239"/>
    <s v="MARZO"/>
    <x v="1"/>
    <n v="3"/>
    <s v="MARZO 2025"/>
    <x v="18"/>
    <x v="0"/>
    <s v="COSTO SVAGHI"/>
    <n v="48"/>
    <m/>
    <m/>
    <m/>
  </r>
  <r>
    <x v="240"/>
    <s v="MARZO"/>
    <x v="1"/>
    <n v="3"/>
    <s v="MARZO 2025"/>
    <x v="18"/>
    <x v="1"/>
    <s v="COSTO CASA"/>
    <n v="9.99"/>
    <m/>
    <m/>
    <m/>
  </r>
  <r>
    <x v="2"/>
    <s v="MARZO"/>
    <x v="1"/>
    <n v="3"/>
    <s v="MARZO 2025"/>
    <x v="18"/>
    <x v="8"/>
    <s v="COSTO SFIZI"/>
    <n v="31.22"/>
    <m/>
    <s v="AMAZON"/>
    <m/>
  </r>
  <r>
    <x v="241"/>
    <s v="MARZO"/>
    <x v="1"/>
    <n v="3"/>
    <s v="MARZO 2025"/>
    <x v="18"/>
    <x v="0"/>
    <s v="COSTO SVAGHI"/>
    <n v="14.5"/>
    <m/>
    <m/>
    <m/>
  </r>
  <r>
    <x v="242"/>
    <s v="MARZO"/>
    <x v="1"/>
    <n v="3"/>
    <s v="MARZO 2025"/>
    <x v="18"/>
    <x v="0"/>
    <s v="COSTO SVAGHI"/>
    <n v="30"/>
    <m/>
    <s v="REVOLUT"/>
    <s v="Stefano Savanelli Sa di tappo"/>
  </r>
  <r>
    <x v="6"/>
    <s v="MARZO"/>
    <x v="1"/>
    <n v="3"/>
    <s v="MARZO 2025"/>
    <x v="18"/>
    <x v="14"/>
    <s v="COSTO SOPRAVVIVENZA"/>
    <n v="6.5"/>
    <m/>
    <m/>
    <m/>
  </r>
  <r>
    <x v="7"/>
    <s v="MARZO"/>
    <x v="1"/>
    <n v="3"/>
    <s v="MARZO 2025"/>
    <x v="18"/>
    <x v="5"/>
    <s v="COSTO VACANZE"/>
    <n v="17.850000000000001"/>
    <m/>
    <m/>
    <s v="Viaggio Napoli 2025"/>
  </r>
  <r>
    <x v="2"/>
    <s v="MARZO"/>
    <x v="1"/>
    <n v="3"/>
    <s v="MARZO 2025"/>
    <x v="18"/>
    <x v="8"/>
    <s v="COSTO SFIZI"/>
    <n v="25.08"/>
    <m/>
    <s v="AMAZON"/>
    <m/>
  </r>
  <r>
    <x v="6"/>
    <s v="MARZO"/>
    <x v="1"/>
    <n v="3"/>
    <s v="MARZO 2025"/>
    <x v="18"/>
    <x v="14"/>
    <s v="COSTO SOPRAVVIVENZA"/>
    <n v="6.5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91"/>
    <s v="MARZO"/>
    <x v="1"/>
    <n v="3"/>
    <s v="MARZO 2025"/>
    <x v="18"/>
    <x v="2"/>
    <s v="COSTO SOPRAVVIVENZA"/>
    <n v="0.4"/>
    <m/>
    <m/>
    <m/>
  </r>
  <r>
    <x v="6"/>
    <s v="MARZO"/>
    <x v="1"/>
    <n v="3"/>
    <s v="MARZO 2025"/>
    <x v="18"/>
    <x v="0"/>
    <s v="COSTO SVAGHI"/>
    <n v="4.2"/>
    <m/>
    <m/>
    <m/>
  </r>
  <r>
    <x v="243"/>
    <s v="MARZO"/>
    <x v="1"/>
    <n v="3"/>
    <s v="MARZO 2025"/>
    <x v="18"/>
    <x v="18"/>
    <s v="COSTO SVAGHI"/>
    <n v="75"/>
    <s v="2/2"/>
    <s v="REVOLUT"/>
    <s v="SECONDA RATA BASKET TERZO"/>
  </r>
  <r>
    <x v="223"/>
    <s v="MARZO"/>
    <x v="1"/>
    <n v="3"/>
    <s v="MARZO 2025"/>
    <x v="18"/>
    <x v="16"/>
    <s v="COSTO VACANZE"/>
    <n v="60.58"/>
    <m/>
    <m/>
    <s v="Viaggio Napoli 2025"/>
  </r>
  <r>
    <x v="223"/>
    <s v="MARZO"/>
    <x v="1"/>
    <n v="3"/>
    <s v="MARZO 2025"/>
    <x v="18"/>
    <x v="16"/>
    <s v="COSTO VACANZE"/>
    <n v="77.72"/>
    <s v="1/3"/>
    <s v="PAYPAL"/>
    <s v="Viaggio Napoli 2025"/>
  </r>
  <r>
    <x v="236"/>
    <s v="MARZO"/>
    <x v="1"/>
    <n v="3"/>
    <s v="MARZO 2025"/>
    <x v="18"/>
    <x v="21"/>
    <s v="COSTO SOPRAVVIVENZA"/>
    <n v="17.8"/>
    <s v="2/3"/>
    <s v="PAYPAL"/>
    <m/>
  </r>
  <r>
    <x v="12"/>
    <s v="MARZO"/>
    <x v="1"/>
    <n v="3"/>
    <s v="MARZO 2025"/>
    <x v="18"/>
    <x v="7"/>
    <s v="COSTO SOPRAVVIVENZA"/>
    <n v="28.19"/>
    <m/>
    <m/>
    <m/>
  </r>
  <r>
    <x v="11"/>
    <s v="MARZO"/>
    <x v="1"/>
    <n v="3"/>
    <s v="MARZO 2025"/>
    <x v="18"/>
    <x v="0"/>
    <s v="COSTO SVAGHI"/>
    <n v="16"/>
    <m/>
    <m/>
    <m/>
  </r>
  <r>
    <x v="244"/>
    <s v="MARZO"/>
    <x v="1"/>
    <n v="3"/>
    <s v="MARZO 2025"/>
    <x v="18"/>
    <x v="0"/>
    <s v="COSTO SVAGHI"/>
    <n v="79"/>
    <m/>
    <m/>
    <m/>
  </r>
  <r>
    <x v="82"/>
    <s v="MARZO"/>
    <x v="1"/>
    <n v="3"/>
    <s v="MARZO 2025"/>
    <x v="18"/>
    <x v="7"/>
    <s v="COSTO SOPRAVVIVENZA"/>
    <n v="14.04"/>
    <m/>
    <m/>
    <m/>
  </r>
  <r>
    <x v="17"/>
    <s v="MARZO"/>
    <x v="1"/>
    <n v="3"/>
    <s v="MARZO 2025"/>
    <x v="18"/>
    <x v="7"/>
    <s v="COSTO SOPRAVVIVENZA"/>
    <n v="13.16"/>
    <m/>
    <m/>
    <m/>
  </r>
  <r>
    <x v="6"/>
    <s v="MARZO"/>
    <x v="1"/>
    <n v="3"/>
    <s v="MARZO 2025"/>
    <x v="18"/>
    <x v="14"/>
    <s v="COSTO SOPRAVVIVENZA"/>
    <n v="6.5"/>
    <m/>
    <m/>
    <m/>
  </r>
  <r>
    <x v="2"/>
    <s v="MARZO"/>
    <x v="1"/>
    <n v="3"/>
    <s v="MARZO 2025"/>
    <x v="18"/>
    <x v="8"/>
    <s v="COSTO SFIZI"/>
    <n v="36.9"/>
    <m/>
    <s v="AMAZON"/>
    <m/>
  </r>
  <r>
    <x v="53"/>
    <s v="MARZO"/>
    <x v="1"/>
    <n v="3"/>
    <s v="MARZO 2025"/>
    <x v="18"/>
    <x v="1"/>
    <s v="COSTO CASA"/>
    <n v="59.6"/>
    <m/>
    <m/>
    <m/>
  </r>
  <r>
    <x v="6"/>
    <s v="MARZO"/>
    <x v="1"/>
    <n v="3"/>
    <s v="MARZO 2025"/>
    <x v="18"/>
    <x v="14"/>
    <s v="COSTO SOPRAVVIVENZA"/>
    <n v="6.5"/>
    <m/>
    <m/>
    <m/>
  </r>
  <r>
    <x v="2"/>
    <s v="MARZO"/>
    <x v="1"/>
    <n v="3"/>
    <s v="MARZO 2025"/>
    <x v="18"/>
    <x v="8"/>
    <s v="COSTO SFIZI"/>
    <n v="19"/>
    <m/>
    <s v="AMAZON"/>
    <m/>
  </r>
  <r>
    <x v="12"/>
    <s v="MARZO"/>
    <x v="1"/>
    <n v="3"/>
    <s v="MARZO 2025"/>
    <x v="18"/>
    <x v="7"/>
    <s v="COSTO SOPRAVVIVENZA"/>
    <n v="19.649999999999999"/>
    <m/>
    <m/>
    <m/>
  </r>
  <r>
    <x v="35"/>
    <s v="MARZO"/>
    <x v="1"/>
    <n v="3"/>
    <s v="MARZO 2025"/>
    <x v="18"/>
    <x v="1"/>
    <s v="COSTO CASA"/>
    <n v="15.38"/>
    <m/>
    <m/>
    <m/>
  </r>
  <r>
    <x v="2"/>
    <s v="FEBBRAIO"/>
    <x v="1"/>
    <n v="2"/>
    <s v="FEBBRAIO 2025"/>
    <x v="19"/>
    <x v="8"/>
    <s v="COSTO SFIZI"/>
    <n v="15.39"/>
    <s v="2/5"/>
    <s v="AMAZON"/>
    <s v="FRIENT"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2"/>
    <s v="FEBBRAIO"/>
    <x v="1"/>
    <n v="2"/>
    <s v="FEBBRAIO 2025"/>
    <x v="19"/>
    <x v="7"/>
    <s v="COSTO SOPRAVVIVENZA"/>
    <n v="16.899999999999999"/>
    <m/>
    <s v="AMAZON"/>
    <m/>
  </r>
  <r>
    <x v="245"/>
    <s v="FEBBRAIO"/>
    <x v="1"/>
    <n v="2"/>
    <s v="FEBBRAIO 2025"/>
    <x v="19"/>
    <x v="0"/>
    <s v="COSTO SVAGHI"/>
    <n v="25"/>
    <m/>
    <s v="REVOLUT"/>
    <s v="Bacaro Tour - Savanelli"/>
  </r>
  <r>
    <x v="246"/>
    <s v="FEBBRAIO"/>
    <x v="1"/>
    <n v="2"/>
    <s v="FEBBRAIO 2025"/>
    <x v="19"/>
    <x v="10"/>
    <s v="COSTO SFIZI"/>
    <n v="60"/>
    <m/>
    <s v="PAYPAL"/>
    <s v="Regalo Sorgi 2025"/>
  </r>
  <r>
    <x v="76"/>
    <s v="FEBBRAIO"/>
    <x v="1"/>
    <n v="2"/>
    <s v="FEBBRAIO 2025"/>
    <x v="19"/>
    <x v="0"/>
    <s v="COSTO SVAGHI"/>
    <n v="35.6"/>
    <m/>
    <m/>
    <m/>
  </r>
  <r>
    <x v="6"/>
    <s v="FEBBRAIO"/>
    <x v="1"/>
    <n v="2"/>
    <s v="FEBBRAIO 2025"/>
    <x v="19"/>
    <x v="0"/>
    <s v="COSTO SVAGHI"/>
    <n v="4.2"/>
    <m/>
    <m/>
    <m/>
  </r>
  <r>
    <x v="6"/>
    <s v="FEBBRAIO"/>
    <x v="1"/>
    <n v="2"/>
    <s v="FEBBRAIO 2025"/>
    <x v="19"/>
    <x v="14"/>
    <s v="COSTO SOPRAVVIVENZA"/>
    <n v="6.5"/>
    <m/>
    <m/>
    <m/>
  </r>
  <r>
    <x v="91"/>
    <s v="FEBBRAIO"/>
    <x v="1"/>
    <n v="2"/>
    <s v="FEBBRAIO 2025"/>
    <x v="19"/>
    <x v="2"/>
    <s v="COSTO SOPRAVVIVENZA"/>
    <n v="0.4"/>
    <m/>
    <m/>
    <m/>
  </r>
  <r>
    <x v="6"/>
    <s v="FEBBRAIO"/>
    <x v="1"/>
    <n v="2"/>
    <s v="FEBBRAIO 2025"/>
    <x v="19"/>
    <x v="0"/>
    <s v="COSTO SVAGHI"/>
    <n v="4.2"/>
    <m/>
    <m/>
    <m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2"/>
    <s v="FEBBRAIO"/>
    <x v="1"/>
    <n v="2"/>
    <s v="FEBBRAIO 2025"/>
    <x v="19"/>
    <x v="8"/>
    <s v="COSTO SFIZI"/>
    <n v="30.6"/>
    <s v="4/5"/>
    <s v="AMAZON"/>
    <s v="NANO LEAF"/>
  </r>
  <r>
    <x v="91"/>
    <s v="FEBBRAIO"/>
    <x v="1"/>
    <n v="2"/>
    <s v="FEBBRAIO 2025"/>
    <x v="19"/>
    <x v="2"/>
    <s v="COSTO SOPRAVVIVENZA"/>
    <n v="0.4"/>
    <m/>
    <m/>
    <m/>
  </r>
  <r>
    <x v="230"/>
    <s v="FEBBRAIO"/>
    <x v="1"/>
    <n v="2"/>
    <s v="FEBBRAIO 2025"/>
    <x v="19"/>
    <x v="7"/>
    <s v="COSTO SOPRAVVIVENZA"/>
    <n v="4.25"/>
    <m/>
    <m/>
    <m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91"/>
    <s v="FEBBRAIO"/>
    <x v="1"/>
    <n v="2"/>
    <s v="FEBBRAIO 2025"/>
    <x v="19"/>
    <x v="2"/>
    <s v="COSTO SOPRAVVIVENZA"/>
    <n v="0.4"/>
    <m/>
    <m/>
    <m/>
  </r>
  <r>
    <x v="12"/>
    <s v="FEBBRAIO"/>
    <x v="1"/>
    <n v="2"/>
    <s v="FEBBRAIO 2025"/>
    <x v="19"/>
    <x v="7"/>
    <s v="COSTO SOPRAVVIVENZA"/>
    <n v="16.52"/>
    <m/>
    <m/>
    <m/>
  </r>
  <r>
    <x v="247"/>
    <s v="FEBBRAIO"/>
    <x v="1"/>
    <n v="2"/>
    <s v="FEBBRAIO 2025"/>
    <x v="19"/>
    <x v="0"/>
    <s v="COSTO SVAGHI"/>
    <n v="74"/>
    <m/>
    <m/>
    <m/>
  </r>
  <r>
    <x v="248"/>
    <s v="FEBBRAIO"/>
    <x v="1"/>
    <n v="2"/>
    <s v="FEBBRAIO 2025"/>
    <x v="19"/>
    <x v="0"/>
    <s v="COSTO SVAGHI"/>
    <n v="28"/>
    <m/>
    <m/>
    <m/>
  </r>
  <r>
    <x v="35"/>
    <s v="FEBBRAIO"/>
    <x v="1"/>
    <n v="2"/>
    <s v="FEBBRAIO 2025"/>
    <x v="19"/>
    <x v="1"/>
    <s v="COSTO CASA"/>
    <n v="14.07"/>
    <m/>
    <m/>
    <m/>
  </r>
  <r>
    <x v="82"/>
    <s v="FEBBRAIO"/>
    <x v="1"/>
    <n v="2"/>
    <s v="FEBBRAIO 2025"/>
    <x v="19"/>
    <x v="7"/>
    <s v="COSTO SOPRAVVIVENZA"/>
    <n v="20.5"/>
    <m/>
    <m/>
    <m/>
  </r>
  <r>
    <x v="6"/>
    <s v="FEBBRAIO"/>
    <x v="1"/>
    <n v="2"/>
    <s v="FEBBRAIO 2025"/>
    <x v="19"/>
    <x v="14"/>
    <s v="COSTO SOPRAVVIVENZA"/>
    <n v="6.5"/>
    <m/>
    <m/>
    <m/>
  </r>
  <r>
    <x v="53"/>
    <s v="FEBBRAIO"/>
    <x v="1"/>
    <n v="2"/>
    <s v="FEBBRAIO 2025"/>
    <x v="19"/>
    <x v="1"/>
    <s v="COSTO CASA"/>
    <n v="40.75"/>
    <m/>
    <m/>
    <m/>
  </r>
  <r>
    <x v="94"/>
    <s v="FEBBRAIO"/>
    <x v="1"/>
    <n v="2"/>
    <s v="FEBBRAIO 2025"/>
    <x v="19"/>
    <x v="15"/>
    <s v="TASSE"/>
    <n v="20.45"/>
    <m/>
    <m/>
    <m/>
  </r>
  <r>
    <x v="2"/>
    <s v="FEBBRAIO"/>
    <x v="1"/>
    <n v="2"/>
    <s v="FEBBRAIO 2025"/>
    <x v="19"/>
    <x v="22"/>
    <s v="COSTO SFIZI"/>
    <n v="44.42"/>
    <m/>
    <s v="AMAZON"/>
    <m/>
  </r>
  <r>
    <x v="236"/>
    <s v="FEBBRAIO"/>
    <x v="1"/>
    <n v="2"/>
    <s v="FEBBRAIO 2025"/>
    <x v="19"/>
    <x v="21"/>
    <s v="COSTO SOPRAVVIVENZA"/>
    <n v="17.79"/>
    <s v="1/3"/>
    <s v="PAYPAL"/>
    <m/>
  </r>
  <r>
    <x v="12"/>
    <s v="FEBBRAIO"/>
    <x v="1"/>
    <n v="2"/>
    <s v="FEBBRAIO 2025"/>
    <x v="19"/>
    <x v="7"/>
    <s v="COSTO SOPRAVVIVENZA"/>
    <n v="20.46"/>
    <m/>
    <m/>
    <m/>
  </r>
  <r>
    <x v="17"/>
    <s v="FEBBRAIO"/>
    <x v="1"/>
    <n v="2"/>
    <s v="FEBBRAIO 2025"/>
    <x v="19"/>
    <x v="7"/>
    <s v="COSTO SOPRAVVIVENZA"/>
    <n v="22.31"/>
    <m/>
    <m/>
    <m/>
  </r>
  <r>
    <x v="76"/>
    <s v="FEBBRAIO"/>
    <x v="1"/>
    <n v="2"/>
    <s v="FEBBRAIO 2025"/>
    <x v="19"/>
    <x v="0"/>
    <s v="COSTO SVAGHI"/>
    <n v="30.8"/>
    <m/>
    <m/>
    <m/>
  </r>
  <r>
    <x v="6"/>
    <s v="FEBBRAIO"/>
    <x v="1"/>
    <n v="2"/>
    <s v="FEBBRAIO 2025"/>
    <x v="19"/>
    <x v="0"/>
    <s v="COSTO SVAGHI"/>
    <n v="15.4"/>
    <m/>
    <m/>
    <m/>
  </r>
  <r>
    <x v="6"/>
    <s v="FEBBRAIO"/>
    <x v="1"/>
    <n v="2"/>
    <s v="FEBBRAIO 2025"/>
    <x v="19"/>
    <x v="14"/>
    <s v="COSTO SOPRAVVIVENZA"/>
    <n v="6.5"/>
    <m/>
    <m/>
    <m/>
  </r>
  <r>
    <x v="91"/>
    <s v="FEBBRAIO"/>
    <x v="1"/>
    <n v="2"/>
    <s v="FEBBRAIO 2025"/>
    <x v="19"/>
    <x v="2"/>
    <s v="COSTO SOPRAVVIVENZA"/>
    <n v="0.7"/>
    <m/>
    <m/>
    <m/>
  </r>
  <r>
    <x v="6"/>
    <s v="FEBBRAIO"/>
    <x v="1"/>
    <n v="2"/>
    <s v="FEBBRAIO 2025"/>
    <x v="19"/>
    <x v="0"/>
    <s v="COSTO SVAGHI"/>
    <n v="4.2"/>
    <m/>
    <m/>
    <m/>
  </r>
  <r>
    <x v="102"/>
    <s v="FEBBRAIO"/>
    <x v="1"/>
    <n v="2"/>
    <s v="FEBBRAIO 2025"/>
    <x v="19"/>
    <x v="7"/>
    <s v="COSTO SOPRAVVIVENZA"/>
    <n v="20"/>
    <m/>
    <s v="PAYPAL"/>
    <s v="Arance Siciliane"/>
  </r>
  <r>
    <x v="41"/>
    <s v="FEBBRAIO"/>
    <x v="1"/>
    <n v="2"/>
    <s v="FEBBRAIO 2025"/>
    <x v="19"/>
    <x v="3"/>
    <s v="COSTO MOBILITA'"/>
    <n v="1.7"/>
    <m/>
    <m/>
    <m/>
  </r>
  <r>
    <x v="53"/>
    <s v="FEBBRAIO"/>
    <x v="1"/>
    <n v="2"/>
    <s v="FEBBRAIO 2025"/>
    <x v="19"/>
    <x v="1"/>
    <s v="COSTO CASA"/>
    <n v="60.45"/>
    <m/>
    <m/>
    <m/>
  </r>
  <r>
    <x v="2"/>
    <s v="FEBBRAIO"/>
    <x v="1"/>
    <n v="2"/>
    <s v="FEBBRAIO 2025"/>
    <x v="19"/>
    <x v="8"/>
    <s v="COSTO SFIZI"/>
    <n v="8.99"/>
    <m/>
    <s v="AMAZON"/>
    <m/>
  </r>
  <r>
    <x v="2"/>
    <s v="FEBBRAIO"/>
    <x v="1"/>
    <n v="2"/>
    <s v="FEBBRAIO 2025"/>
    <x v="19"/>
    <x v="10"/>
    <s v="COSTO SFIZI"/>
    <n v="15"/>
    <s v="5/5"/>
    <s v="AMAZON"/>
    <s v="DJ BOX Regalo compleanno Davide"/>
  </r>
  <r>
    <x v="12"/>
    <s v="FEBBRAIO"/>
    <x v="1"/>
    <n v="2"/>
    <s v="FEBBRAIO 2025"/>
    <x v="19"/>
    <x v="7"/>
    <s v="COSTO SOPRAVVIVENZA"/>
    <n v="18.079999999999998"/>
    <m/>
    <m/>
    <m/>
  </r>
  <r>
    <x v="6"/>
    <s v="FEBBRAIO"/>
    <x v="1"/>
    <n v="2"/>
    <s v="FEBBRAIO 2025"/>
    <x v="19"/>
    <x v="0"/>
    <s v="COSTO SVAGHI"/>
    <n v="17.8"/>
    <m/>
    <m/>
    <m/>
  </r>
  <r>
    <x v="6"/>
    <s v="FEBBRAIO"/>
    <x v="1"/>
    <n v="2"/>
    <s v="FEBBRAIO 2025"/>
    <x v="19"/>
    <x v="14"/>
    <s v="COSTO SOPRAVVIVENZA"/>
    <n v="6.5"/>
    <m/>
    <m/>
    <m/>
  </r>
  <r>
    <x v="249"/>
    <s v="FEBBRAIO"/>
    <x v="1"/>
    <n v="2"/>
    <s v="FEBBRAIO 2025"/>
    <x v="19"/>
    <x v="0"/>
    <s v="COSTO SVAGHI"/>
    <n v="25"/>
    <m/>
    <m/>
    <m/>
  </r>
  <r>
    <x v="250"/>
    <s v="FEBBRAIO"/>
    <x v="1"/>
    <n v="2"/>
    <s v="FEBBRAIO 2025"/>
    <x v="19"/>
    <x v="0"/>
    <s v="COSTO SVAGHI"/>
    <n v="85.2"/>
    <m/>
    <m/>
    <m/>
  </r>
  <r>
    <x v="53"/>
    <s v="FEBBRAIO"/>
    <x v="1"/>
    <n v="2"/>
    <s v="FEBBRAIO 2025"/>
    <x v="19"/>
    <x v="1"/>
    <s v="COSTO CASA"/>
    <n v="37.35"/>
    <m/>
    <m/>
    <m/>
  </r>
  <r>
    <x v="53"/>
    <s v="FEBBRAIO"/>
    <x v="1"/>
    <n v="2"/>
    <s v="FEBBRAIO 2025"/>
    <x v="19"/>
    <x v="1"/>
    <s v="COSTO CASA"/>
    <n v="24.9"/>
    <m/>
    <m/>
    <m/>
  </r>
  <r>
    <x v="2"/>
    <s v="FEBBRAIO"/>
    <x v="1"/>
    <n v="2"/>
    <s v="FEBBRAIO 2025"/>
    <x v="19"/>
    <x v="8"/>
    <s v="COSTO SFIZI"/>
    <n v="11.99"/>
    <m/>
    <s v="AMAZON"/>
    <m/>
  </r>
  <r>
    <x v="91"/>
    <s v="FEBBRAIO"/>
    <x v="1"/>
    <n v="2"/>
    <s v="FEBBRAIO 2025"/>
    <x v="19"/>
    <x v="2"/>
    <s v="COSTO SOPRAVVIVENZA"/>
    <n v="0.4"/>
    <m/>
    <m/>
    <m/>
  </r>
  <r>
    <x v="6"/>
    <s v="FEBBRAIO"/>
    <x v="1"/>
    <n v="2"/>
    <s v="FEBBRAIO 2025"/>
    <x v="19"/>
    <x v="14"/>
    <s v="COSTO SOPRAVVIVENZA"/>
    <n v="6.5"/>
    <m/>
    <m/>
    <m/>
  </r>
  <r>
    <x v="2"/>
    <s v="FEBBRAIO"/>
    <x v="1"/>
    <n v="2"/>
    <s v="FEBBRAIO 2025"/>
    <x v="19"/>
    <x v="8"/>
    <s v="COSTO SFIZI"/>
    <n v="15.39"/>
    <s v="1/5"/>
    <s v="AMAZON"/>
    <s v="FRIENT"/>
  </r>
  <r>
    <x v="2"/>
    <s v="FEBBRAIO"/>
    <x v="1"/>
    <n v="2"/>
    <s v="FEBBRAIO 2025"/>
    <x v="19"/>
    <x v="11"/>
    <s v="COSTO SFIZI"/>
    <n v="45.33"/>
    <m/>
    <s v="AMAZON"/>
    <m/>
  </r>
  <r>
    <x v="204"/>
    <s v="FEBBRAIO"/>
    <x v="1"/>
    <n v="2"/>
    <s v="FEBBRAIO 2025"/>
    <x v="19"/>
    <x v="1"/>
    <s v="COSTO CASA"/>
    <n v="220"/>
    <m/>
    <s v="REVOLUT"/>
    <s v="Pagamento rata condominio + tari"/>
  </r>
  <r>
    <x v="91"/>
    <s v="GENNAIO"/>
    <x v="1"/>
    <n v="1"/>
    <s v="GENNAIO 2025"/>
    <x v="20"/>
    <x v="2"/>
    <s v="COSTO SOPRAVVIVENZA"/>
    <n v="0.4"/>
    <m/>
    <m/>
    <m/>
  </r>
  <r>
    <x v="91"/>
    <s v="GENNAIO"/>
    <x v="1"/>
    <n v="1"/>
    <s v="GENNAIO 2025"/>
    <x v="20"/>
    <x v="2"/>
    <s v="COSTO SOPRAVVIVENZA"/>
    <n v="0.4"/>
    <m/>
    <m/>
    <m/>
  </r>
  <r>
    <x v="6"/>
    <s v="GENNAIO"/>
    <x v="1"/>
    <n v="1"/>
    <s v="GENNAIO 2025"/>
    <x v="20"/>
    <x v="14"/>
    <s v="COSTO SOPRAVVIVENZA"/>
    <n v="6.5"/>
    <m/>
    <m/>
    <m/>
  </r>
  <r>
    <x v="8"/>
    <s v="GENNAIO"/>
    <x v="1"/>
    <n v="1"/>
    <s v="GENNAIO 2025"/>
    <x v="20"/>
    <x v="6"/>
    <s v="COSTO SOPRAVVIVENZA"/>
    <n v="33"/>
    <m/>
    <m/>
    <m/>
  </r>
  <r>
    <x v="6"/>
    <s v="GENNAIO"/>
    <x v="1"/>
    <n v="1"/>
    <s v="GENNAIO 2025"/>
    <x v="20"/>
    <x v="14"/>
    <s v="COSTO SOPRAVVIVENZA"/>
    <n v="6.5"/>
    <m/>
    <m/>
    <m/>
  </r>
  <r>
    <x v="2"/>
    <s v="GENNAIO"/>
    <x v="1"/>
    <n v="1"/>
    <s v="GENNAIO 2025"/>
    <x v="20"/>
    <x v="8"/>
    <s v="COSTO SFIZI"/>
    <n v="16.71"/>
    <m/>
    <s v="AMAZON"/>
    <m/>
  </r>
  <r>
    <x v="91"/>
    <s v="GENNAIO"/>
    <x v="1"/>
    <n v="1"/>
    <s v="GENNAIO 2025"/>
    <x v="20"/>
    <x v="2"/>
    <s v="COSTO SOPRAVVIVENZA"/>
    <n v="0.4"/>
    <m/>
    <m/>
    <m/>
  </r>
  <r>
    <x v="91"/>
    <s v="GENNAIO"/>
    <x v="1"/>
    <n v="1"/>
    <s v="GENNAIO 2025"/>
    <x v="20"/>
    <x v="2"/>
    <s v="COSTO SOPRAVVIVENZA"/>
    <n v="0.4"/>
    <m/>
    <m/>
    <m/>
  </r>
  <r>
    <x v="2"/>
    <s v="GENNAIO"/>
    <x v="1"/>
    <n v="1"/>
    <s v="GENNAIO 2025"/>
    <x v="20"/>
    <x v="8"/>
    <s v="COSTO SFIZI"/>
    <n v="30.6"/>
    <s v="3/5"/>
    <s v="AMAZON"/>
    <s v="NANO LEAF"/>
  </r>
  <r>
    <x v="91"/>
    <s v="GENNAIO"/>
    <x v="1"/>
    <n v="1"/>
    <s v="GENNAIO 2025"/>
    <x v="20"/>
    <x v="2"/>
    <s v="COSTO SOPRAVVIVENZA"/>
    <n v="0.4"/>
    <m/>
    <m/>
    <m/>
  </r>
  <r>
    <x v="251"/>
    <s v="GENNAIO"/>
    <x v="1"/>
    <n v="1"/>
    <s v="GENNAIO 2025"/>
    <x v="20"/>
    <x v="0"/>
    <s v="COSTO SVAGHI"/>
    <n v="64.400000000000006"/>
    <m/>
    <m/>
    <m/>
  </r>
  <r>
    <x v="6"/>
    <s v="GENNAIO"/>
    <x v="1"/>
    <n v="1"/>
    <s v="GENNAIO 2025"/>
    <x v="20"/>
    <x v="14"/>
    <s v="COSTO SOPRAVVIVENZA"/>
    <n v="8.8000000000000007"/>
    <m/>
    <m/>
    <m/>
  </r>
  <r>
    <x v="6"/>
    <s v="GENNAIO"/>
    <x v="1"/>
    <n v="1"/>
    <s v="GENNAIO 2025"/>
    <x v="20"/>
    <x v="14"/>
    <s v="COSTO SOPRAVVIVENZA"/>
    <n v="6.5"/>
    <m/>
    <m/>
    <m/>
  </r>
  <r>
    <x v="252"/>
    <s v="GENNAIO"/>
    <x v="1"/>
    <n v="1"/>
    <s v="GENNAIO 2025"/>
    <x v="20"/>
    <x v="10"/>
    <s v="COSTO SFIZI"/>
    <n v="29.95"/>
    <m/>
    <m/>
    <s v="Regalo compleanno DEBBY"/>
  </r>
  <r>
    <x v="2"/>
    <s v="GENNAIO"/>
    <x v="1"/>
    <n v="1"/>
    <s v="GENNAIO 2025"/>
    <x v="20"/>
    <x v="8"/>
    <s v="COSTO SFIZI"/>
    <n v="45.87"/>
    <m/>
    <s v="AMAZON"/>
    <m/>
  </r>
  <r>
    <x v="253"/>
    <s v="GENNAIO"/>
    <x v="1"/>
    <n v="1"/>
    <s v="GENNAIO 2025"/>
    <x v="20"/>
    <x v="7"/>
    <s v="COSTO SOPRAVVIVENZA"/>
    <n v="4.33"/>
    <m/>
    <m/>
    <m/>
  </r>
  <r>
    <x v="11"/>
    <s v="GENNAIO"/>
    <x v="1"/>
    <n v="1"/>
    <s v="GENNAIO 2025"/>
    <x v="20"/>
    <x v="0"/>
    <s v="COSTO SVAGHI"/>
    <n v="11.5"/>
    <m/>
    <m/>
    <m/>
  </r>
  <r>
    <x v="254"/>
    <s v="GENNAIO"/>
    <x v="1"/>
    <n v="1"/>
    <s v="GENNAIO 2025"/>
    <x v="20"/>
    <x v="0"/>
    <s v="COSTO SVAGHI"/>
    <n v="21"/>
    <m/>
    <m/>
    <m/>
  </r>
  <r>
    <x v="35"/>
    <s v="GENNAIO"/>
    <x v="1"/>
    <n v="1"/>
    <s v="GENNAIO 2025"/>
    <x v="20"/>
    <x v="1"/>
    <s v="COSTO CASA"/>
    <n v="26.19"/>
    <m/>
    <m/>
    <m/>
  </r>
  <r>
    <x v="112"/>
    <s v="GENNAIO"/>
    <x v="1"/>
    <n v="1"/>
    <s v="GENNAIO 2025"/>
    <x v="20"/>
    <x v="10"/>
    <s v="COSTO SFIZI"/>
    <n v="20.7"/>
    <m/>
    <m/>
    <m/>
  </r>
  <r>
    <x v="82"/>
    <s v="GENNAIO"/>
    <x v="1"/>
    <n v="1"/>
    <s v="GENNAIO 2025"/>
    <x v="20"/>
    <x v="7"/>
    <s v="COSTO SOPRAVVIVENZA"/>
    <n v="7.73"/>
    <m/>
    <m/>
    <m/>
  </r>
  <r>
    <x v="17"/>
    <s v="GENNAIO"/>
    <x v="1"/>
    <n v="1"/>
    <s v="GENNAIO 2025"/>
    <x v="20"/>
    <x v="7"/>
    <s v="COSTO SOPRAVVIVENZA"/>
    <n v="41.98"/>
    <m/>
    <m/>
    <m/>
  </r>
  <r>
    <x v="112"/>
    <s v="GENNAIO"/>
    <x v="1"/>
    <n v="1"/>
    <s v="GENNAIO 2025"/>
    <x v="20"/>
    <x v="10"/>
    <s v="COSTO SFIZI"/>
    <n v="17.899999999999999"/>
    <m/>
    <m/>
    <m/>
  </r>
  <r>
    <x v="255"/>
    <s v="GENNAIO"/>
    <x v="1"/>
    <n v="1"/>
    <s v="GENNAIO 2025"/>
    <x v="20"/>
    <x v="1"/>
    <s v="COSTO CASA"/>
    <n v="6.4"/>
    <m/>
    <m/>
    <m/>
  </r>
  <r>
    <x v="53"/>
    <s v="GENNAIO"/>
    <x v="1"/>
    <n v="1"/>
    <s v="GENNAIO 2025"/>
    <x v="20"/>
    <x v="1"/>
    <s v="COSTO CASA"/>
    <n v="53.55"/>
    <m/>
    <m/>
    <m/>
  </r>
  <r>
    <x v="35"/>
    <s v="GENNAIO"/>
    <x v="1"/>
    <n v="1"/>
    <s v="GENNAIO 2025"/>
    <x v="20"/>
    <x v="1"/>
    <s v="COSTO CASA"/>
    <n v="7.4"/>
    <m/>
    <m/>
    <m/>
  </r>
  <r>
    <x v="255"/>
    <s v="GENNAIO"/>
    <x v="1"/>
    <n v="1"/>
    <s v="GENNAIO 2025"/>
    <x v="20"/>
    <x v="1"/>
    <s v="COSTO CASA"/>
    <n v="7"/>
    <m/>
    <m/>
    <m/>
  </r>
  <r>
    <x v="2"/>
    <s v="GENNAIO"/>
    <x v="1"/>
    <n v="1"/>
    <s v="GENNAIO 2025"/>
    <x v="20"/>
    <x v="8"/>
    <s v="COSTO SFIZI"/>
    <n v="11.98"/>
    <m/>
    <s v="AMAZON"/>
    <m/>
  </r>
  <r>
    <x v="53"/>
    <s v="GENNAIO"/>
    <x v="1"/>
    <n v="1"/>
    <s v="GENNAIO 2025"/>
    <x v="20"/>
    <x v="1"/>
    <s v="COSTO CASA"/>
    <n v="71.400000000000006"/>
    <m/>
    <m/>
    <m/>
  </r>
  <r>
    <x v="2"/>
    <s v="GENNAIO"/>
    <x v="1"/>
    <n v="1"/>
    <s v="GENNAIO 2025"/>
    <x v="20"/>
    <x v="8"/>
    <s v="COSTO SFIZI"/>
    <n v="63.6"/>
    <m/>
    <s v="AMAZON"/>
    <m/>
  </r>
  <r>
    <x v="2"/>
    <s v="GENNAIO"/>
    <x v="1"/>
    <n v="1"/>
    <s v="GENNAIO 2025"/>
    <x v="20"/>
    <x v="10"/>
    <s v="COSTO SFIZI"/>
    <n v="15"/>
    <s v="4/5"/>
    <s v="AMAZON"/>
    <s v="DJ BOX Regalo compleanno Davide"/>
  </r>
  <r>
    <x v="256"/>
    <s v="DICEMBRE"/>
    <x v="2"/>
    <n v="12"/>
    <s v="DICEMBRE 2024"/>
    <x v="21"/>
    <x v="0"/>
    <s v="COSTO SVAGHI"/>
    <n v="14.4"/>
    <m/>
    <m/>
    <m/>
  </r>
  <r>
    <x v="35"/>
    <s v="DICEMBRE"/>
    <x v="2"/>
    <n v="12"/>
    <s v="DICEMBRE 2024"/>
    <x v="21"/>
    <x v="1"/>
    <s v="COSTO CASA"/>
    <n v="4.9000000000000004"/>
    <m/>
    <m/>
    <m/>
  </r>
  <r>
    <x v="257"/>
    <s v="DICEMBRE"/>
    <x v="2"/>
    <n v="12"/>
    <s v="DICEMBRE 2024"/>
    <x v="21"/>
    <x v="3"/>
    <s v="COSTO MOBILITA'"/>
    <n v="1.3"/>
    <m/>
    <m/>
    <m/>
  </r>
  <r>
    <x v="6"/>
    <s v="DICEMBRE"/>
    <x v="2"/>
    <n v="12"/>
    <s v="DICEMBRE 2024"/>
    <x v="21"/>
    <x v="14"/>
    <s v="COSTO SOPRAVVIVENZA"/>
    <n v="6.5"/>
    <m/>
    <m/>
    <m/>
  </r>
  <r>
    <x v="6"/>
    <s v="DICEMBRE"/>
    <x v="2"/>
    <n v="12"/>
    <s v="DICEMBRE 2024"/>
    <x v="21"/>
    <x v="14"/>
    <s v="COSTO SOPRAVVIVENZA"/>
    <n v="6.5"/>
    <m/>
    <m/>
    <m/>
  </r>
  <r>
    <x v="230"/>
    <s v="DICEMBRE"/>
    <x v="2"/>
    <n v="12"/>
    <s v="DICEMBRE 2024"/>
    <x v="21"/>
    <x v="7"/>
    <s v="COSTO SOPRAVVIVENZA"/>
    <n v="9.99"/>
    <m/>
    <m/>
    <m/>
  </r>
  <r>
    <x v="258"/>
    <s v="DICEMBRE"/>
    <x v="2"/>
    <n v="12"/>
    <s v="DICEMBRE 2024"/>
    <x v="21"/>
    <x v="0"/>
    <s v="COSTO SVAGHI"/>
    <n v="18"/>
    <m/>
    <m/>
    <s v="Compleanno"/>
  </r>
  <r>
    <x v="230"/>
    <s v="DICEMBRE"/>
    <x v="2"/>
    <n v="12"/>
    <s v="DICEMBRE 2024"/>
    <x v="21"/>
    <x v="7"/>
    <s v="COSTO SOPRAVVIVENZA"/>
    <n v="83.13"/>
    <m/>
    <m/>
    <s v="Compleanno"/>
  </r>
  <r>
    <x v="82"/>
    <s v="DICEMBRE"/>
    <x v="2"/>
    <n v="12"/>
    <s v="DICEMBRE 2024"/>
    <x v="21"/>
    <x v="7"/>
    <s v="COSTO SOPRAVVIVENZA"/>
    <n v="18.39"/>
    <m/>
    <m/>
    <m/>
  </r>
  <r>
    <x v="102"/>
    <s v="DICEMBRE"/>
    <x v="2"/>
    <n v="12"/>
    <s v="DICEMBRE 2024"/>
    <x v="21"/>
    <x v="7"/>
    <s v="COSTO SOPRAVVIVENZA"/>
    <n v="20"/>
    <m/>
    <s v="PAYPAL"/>
    <m/>
  </r>
  <r>
    <x v="91"/>
    <s v="DICEMBRE"/>
    <x v="2"/>
    <n v="12"/>
    <s v="DICEMBRE 2024"/>
    <x v="21"/>
    <x v="2"/>
    <s v="COSTO SOPRAVVIVENZA"/>
    <n v="0.4"/>
    <m/>
    <m/>
    <m/>
  </r>
  <r>
    <x v="91"/>
    <s v="DICEMBRE"/>
    <x v="2"/>
    <n v="12"/>
    <s v="DICEMBRE 2024"/>
    <x v="21"/>
    <x v="2"/>
    <s v="COSTO SOPRAVVIVENZA"/>
    <n v="0.4"/>
    <m/>
    <m/>
    <m/>
  </r>
  <r>
    <x v="2"/>
    <s v="DICEMBRE"/>
    <x v="2"/>
    <n v="12"/>
    <s v="DICEMBRE 2024"/>
    <x v="21"/>
    <x v="10"/>
    <s v="COSTO SFIZI"/>
    <n v="55.99"/>
    <m/>
    <s v="AMAZON"/>
    <s v="Regali natale 2024"/>
  </r>
  <r>
    <x v="6"/>
    <s v="DICEMBRE"/>
    <x v="2"/>
    <n v="12"/>
    <s v="DICEMBRE 2024"/>
    <x v="21"/>
    <x v="0"/>
    <s v="COSTO SVAGHI"/>
    <n v="30.4"/>
    <m/>
    <m/>
    <m/>
  </r>
  <r>
    <x v="6"/>
    <s v="DICEMBRE"/>
    <x v="2"/>
    <n v="12"/>
    <s v="DICEMBRE 2024"/>
    <x v="21"/>
    <x v="14"/>
    <s v="COSTO SOPRAVVIVENZA"/>
    <n v="6.5"/>
    <m/>
    <m/>
    <m/>
  </r>
  <r>
    <x v="91"/>
    <s v="DICEMBRE"/>
    <x v="2"/>
    <n v="12"/>
    <s v="DICEMBRE 2024"/>
    <x v="21"/>
    <x v="2"/>
    <s v="COSTO SOPRAVVIVENZA"/>
    <n v="0.4"/>
    <m/>
    <m/>
    <m/>
  </r>
  <r>
    <x v="259"/>
    <s v="DICEMBRE"/>
    <x v="2"/>
    <n v="12"/>
    <s v="DICEMBRE 2024"/>
    <x v="21"/>
    <x v="7"/>
    <s v="COSTO SOPRAVVIVENZA"/>
    <n v="39.5"/>
    <m/>
    <m/>
    <s v="Compleanno"/>
  </r>
  <r>
    <x v="144"/>
    <s v="DICEMBRE"/>
    <x v="2"/>
    <n v="12"/>
    <s v="DICEMBRE 2024"/>
    <x v="21"/>
    <x v="23"/>
    <s v="COSTO SFIZI"/>
    <n v="25.9"/>
    <m/>
    <m/>
    <s v="Regali natale 2024"/>
  </r>
  <r>
    <x v="163"/>
    <s v="DICEMBRE"/>
    <x v="2"/>
    <n v="12"/>
    <s v="DICEMBRE 2024"/>
    <x v="21"/>
    <x v="10"/>
    <s v="COSTO SFIZI"/>
    <n v="30.18"/>
    <m/>
    <m/>
    <s v="Regali natale 2024"/>
  </r>
  <r>
    <x v="7"/>
    <s v="DICEMBRE"/>
    <x v="2"/>
    <n v="12"/>
    <s v="DICEMBRE 2024"/>
    <x v="21"/>
    <x v="5"/>
    <s v="COSTO VACANZE"/>
    <n v="154.76"/>
    <m/>
    <m/>
    <s v="Vacanza Lubiana"/>
  </r>
  <r>
    <x v="260"/>
    <s v="DICEMBRE"/>
    <x v="2"/>
    <n v="12"/>
    <s v="DICEMBRE 2024"/>
    <x v="21"/>
    <x v="0"/>
    <s v="COSTO SVAGHI"/>
    <n v="30.8"/>
    <m/>
    <m/>
    <s v="Vacanza Lubiana"/>
  </r>
  <r>
    <x v="6"/>
    <s v="DICEMBRE"/>
    <x v="2"/>
    <n v="12"/>
    <s v="DICEMBRE 2024"/>
    <x v="21"/>
    <x v="0"/>
    <s v="COSTO SVAGHI"/>
    <n v="40"/>
    <m/>
    <m/>
    <m/>
  </r>
  <r>
    <x v="6"/>
    <s v="DICEMBRE"/>
    <x v="2"/>
    <n v="12"/>
    <s v="DICEMBRE 2024"/>
    <x v="21"/>
    <x v="14"/>
    <s v="COSTO SOPRAVVIVENZA"/>
    <n v="6.5"/>
    <m/>
    <m/>
    <m/>
  </r>
  <r>
    <x v="91"/>
    <s v="DICEMBRE"/>
    <x v="2"/>
    <n v="12"/>
    <s v="DICEMBRE 2024"/>
    <x v="21"/>
    <x v="2"/>
    <s v="COSTO SOPRAVVIVENZA"/>
    <n v="0.4"/>
    <m/>
    <m/>
    <m/>
  </r>
  <r>
    <x v="6"/>
    <s v="DICEMBRE"/>
    <x v="2"/>
    <n v="12"/>
    <s v="DICEMBRE 2024"/>
    <x v="21"/>
    <x v="14"/>
    <s v="COSTO SOPRAVVIVENZA"/>
    <n v="6.5"/>
    <m/>
    <m/>
    <m/>
  </r>
  <r>
    <x v="6"/>
    <s v="DICEMBRE"/>
    <x v="2"/>
    <n v="12"/>
    <s v="DICEMBRE 2024"/>
    <x v="21"/>
    <x v="14"/>
    <s v="COSTO SOPRAVVIVENZA"/>
    <n v="6.5"/>
    <m/>
    <m/>
    <m/>
  </r>
  <r>
    <x v="2"/>
    <s v="DICEMBRE"/>
    <x v="2"/>
    <n v="12"/>
    <s v="DICEMBRE 2024"/>
    <x v="21"/>
    <x v="8"/>
    <s v="COSTO SFIZI"/>
    <n v="14.99"/>
    <m/>
    <s v="AMAZON"/>
    <m/>
  </r>
  <r>
    <x v="2"/>
    <s v="DICEMBRE"/>
    <x v="2"/>
    <n v="12"/>
    <s v="DICEMBRE 2024"/>
    <x v="21"/>
    <x v="8"/>
    <s v="COSTO SFIZI"/>
    <n v="11.69"/>
    <m/>
    <s v="AMAZON"/>
    <m/>
  </r>
  <r>
    <x v="261"/>
    <s v="DICEMBRE"/>
    <x v="2"/>
    <n v="12"/>
    <s v="DICEMBRE 2024"/>
    <x v="21"/>
    <x v="0"/>
    <s v="COSTO SVAGHI"/>
    <n v="54"/>
    <m/>
    <m/>
    <m/>
  </r>
  <r>
    <x v="12"/>
    <s v="DICEMBRE"/>
    <x v="2"/>
    <n v="12"/>
    <s v="DICEMBRE 2024"/>
    <x v="21"/>
    <x v="7"/>
    <s v="COSTO SOPRAVVIVENZA"/>
    <n v="16.3"/>
    <m/>
    <m/>
    <m/>
  </r>
  <r>
    <x v="230"/>
    <s v="DICEMBRE"/>
    <x v="2"/>
    <n v="12"/>
    <s v="DICEMBRE 2024"/>
    <x v="21"/>
    <x v="7"/>
    <s v="COSTO SOPRAVVIVENZA"/>
    <n v="13.38"/>
    <m/>
    <m/>
    <m/>
  </r>
  <r>
    <x v="35"/>
    <s v="DICEMBRE"/>
    <x v="2"/>
    <n v="12"/>
    <s v="DICEMBRE 2024"/>
    <x v="21"/>
    <x v="1"/>
    <s v="COSTO CASA"/>
    <n v="32.369999999999997"/>
    <m/>
    <m/>
    <m/>
  </r>
  <r>
    <x v="2"/>
    <s v="DICEMBRE"/>
    <x v="2"/>
    <n v="12"/>
    <s v="DICEMBRE 2024"/>
    <x v="21"/>
    <x v="8"/>
    <s v="COSTO SFIZI"/>
    <n v="6.39"/>
    <m/>
    <s v="AMAZON"/>
    <m/>
  </r>
  <r>
    <x v="262"/>
    <s v="DICEMBRE"/>
    <x v="2"/>
    <n v="12"/>
    <s v="DICEMBRE 2024"/>
    <x v="21"/>
    <x v="10"/>
    <s v="COSTO SFIZI"/>
    <n v="40"/>
    <m/>
    <s v="PAYPAL"/>
    <s v="Regalo compleanno Arturo"/>
  </r>
  <r>
    <x v="2"/>
    <s v="DICEMBRE"/>
    <x v="2"/>
    <n v="12"/>
    <s v="DICEMBRE 2024"/>
    <x v="21"/>
    <x v="8"/>
    <s v="COSTO SFIZI"/>
    <n v="30.6"/>
    <s v="2/5"/>
    <s v="AMAZON"/>
    <s v="NANO LEAF"/>
  </r>
  <r>
    <x v="63"/>
    <s v="DICEMBRE"/>
    <x v="2"/>
    <n v="12"/>
    <s v="DICEMBRE 2024"/>
    <x v="21"/>
    <x v="12"/>
    <s v="COSTO SVAGHI"/>
    <n v="52.08"/>
    <s v="3/3"/>
    <s v="PAYPAL"/>
    <s v="Biglietti per Cremonini per michela"/>
  </r>
  <r>
    <x v="2"/>
    <s v="DICEMBRE"/>
    <x v="2"/>
    <n v="12"/>
    <s v="DICEMBRE 2024"/>
    <x v="21"/>
    <x v="8"/>
    <s v="COSTO SFIZI"/>
    <n v="16.63"/>
    <s v="3/3"/>
    <s v="AMAZON"/>
    <m/>
  </r>
  <r>
    <x v="2"/>
    <s v="DICEMBRE"/>
    <x v="2"/>
    <n v="12"/>
    <s v="DICEMBRE 2024"/>
    <x v="21"/>
    <x v="10"/>
    <s v="COSTO SFIZI"/>
    <n v="15"/>
    <s v="3/5"/>
    <s v="AMAZON"/>
    <s v="DJ BOX Regalo compleanno Davide"/>
  </r>
  <r>
    <x v="222"/>
    <s v="DICEMBRE"/>
    <x v="2"/>
    <n v="12"/>
    <s v="DICEMBRE 2024"/>
    <x v="21"/>
    <x v="8"/>
    <s v="COSTO SFIZI"/>
    <n v="36.32"/>
    <s v="3/3"/>
    <s v="PAYPAL"/>
    <m/>
  </r>
  <r>
    <x v="8"/>
    <s v="NOVEMBRE"/>
    <x v="2"/>
    <n v="11"/>
    <s v="NOVEMBRE 2024"/>
    <x v="22"/>
    <x v="6"/>
    <s v="COSTO SOPRAVVIVENZA"/>
    <n v="33"/>
    <m/>
    <m/>
    <m/>
  </r>
  <r>
    <x v="41"/>
    <s v="NOVEMBRE"/>
    <x v="2"/>
    <n v="11"/>
    <s v="NOVEMBRE 2024"/>
    <x v="22"/>
    <x v="3"/>
    <s v="COSTO MOBILITA'"/>
    <n v="11.5"/>
    <m/>
    <m/>
    <m/>
  </r>
  <r>
    <x v="2"/>
    <s v="NOVEMBRE"/>
    <x v="2"/>
    <n v="11"/>
    <s v="NOVEMBRE 2024"/>
    <x v="22"/>
    <x v="8"/>
    <s v="COSTO SFIZI"/>
    <n v="30.6"/>
    <s v="1/5"/>
    <s v="AMAZON"/>
    <s v="NANO LEAF"/>
  </r>
  <r>
    <x v="263"/>
    <s v="NOVEMBRE"/>
    <x v="2"/>
    <n v="11"/>
    <s v="NOVEMBRE 2024"/>
    <x v="22"/>
    <x v="0"/>
    <s v="COSTO SVAGHI"/>
    <n v="75"/>
    <m/>
    <m/>
    <m/>
  </r>
  <r>
    <x v="2"/>
    <s v="NOVEMBRE"/>
    <x v="2"/>
    <n v="11"/>
    <s v="NOVEMBRE 2024"/>
    <x v="22"/>
    <x v="11"/>
    <s v="COSTO SFIZI"/>
    <n v="47.08"/>
    <m/>
    <s v="AMAZON"/>
    <m/>
  </r>
  <r>
    <x v="11"/>
    <s v="NOVEMBRE"/>
    <x v="2"/>
    <n v="11"/>
    <s v="NOVEMBRE 2024"/>
    <x v="22"/>
    <x v="0"/>
    <s v="COSTO SVAGHI"/>
    <n v="11.5"/>
    <m/>
    <m/>
    <m/>
  </r>
  <r>
    <x v="264"/>
    <s v="NOVEMBRE"/>
    <x v="2"/>
    <n v="11"/>
    <s v="NOVEMBRE 2024"/>
    <x v="22"/>
    <x v="10"/>
    <s v="COSTO SFIZI"/>
    <n v="60"/>
    <m/>
    <s v="PAYPAL"/>
    <s v="Regalo compleanno Toso"/>
  </r>
  <r>
    <x v="91"/>
    <s v="NOVEMBRE"/>
    <x v="2"/>
    <n v="11"/>
    <s v="NOVEMBRE 2024"/>
    <x v="22"/>
    <x v="2"/>
    <s v="COSTO SOPRAVVIVENZA"/>
    <n v="0.35"/>
    <m/>
    <m/>
    <m/>
  </r>
  <r>
    <x v="265"/>
    <s v="NOVEMBRE"/>
    <x v="2"/>
    <n v="11"/>
    <s v="NOVEMBRE 2024"/>
    <x v="22"/>
    <x v="3"/>
    <s v="COSTO MOBILITA'"/>
    <n v="72"/>
    <m/>
    <m/>
    <s v="nota spese di Novembre"/>
  </r>
  <r>
    <x v="266"/>
    <s v="NOVEMBRE"/>
    <x v="2"/>
    <n v="11"/>
    <s v="NOVEMBRE 2024"/>
    <x v="22"/>
    <x v="10"/>
    <s v="COSTO SFIZI"/>
    <n v="28.6"/>
    <m/>
    <m/>
    <m/>
  </r>
  <r>
    <x v="63"/>
    <s v="NOVEMBRE"/>
    <x v="2"/>
    <n v="11"/>
    <s v="NOVEMBRE 2024"/>
    <x v="22"/>
    <x v="12"/>
    <s v="COSTO SVAGHI"/>
    <n v="232.39"/>
    <m/>
    <m/>
    <s v="Biglietti per Robbie Williams"/>
  </r>
  <r>
    <x v="265"/>
    <s v="NOVEMBRE"/>
    <x v="2"/>
    <n v="11"/>
    <s v="NOVEMBRE 2024"/>
    <x v="22"/>
    <x v="3"/>
    <s v="COSTO MOBILITA'"/>
    <n v="72"/>
    <m/>
    <m/>
    <s v="nota spese di Novembre"/>
  </r>
  <r>
    <x v="267"/>
    <s v="NOVEMBRE"/>
    <x v="2"/>
    <n v="11"/>
    <s v="NOVEMBRE 2024"/>
    <x v="22"/>
    <x v="0"/>
    <s v="COSTO SVAGHI"/>
    <n v="11.2"/>
    <m/>
    <m/>
    <m/>
  </r>
  <r>
    <x v="6"/>
    <s v="NOVEMBRE"/>
    <x v="2"/>
    <n v="11"/>
    <s v="NOVEMBRE 2024"/>
    <x v="22"/>
    <x v="14"/>
    <s v="COSTO SOPRAVVIVENZA"/>
    <n v="6.5"/>
    <m/>
    <m/>
    <m/>
  </r>
  <r>
    <x v="2"/>
    <s v="NOVEMBRE"/>
    <x v="2"/>
    <n v="11"/>
    <s v="NOVEMBRE 2024"/>
    <x v="22"/>
    <x v="11"/>
    <s v="COSTO SFIZI"/>
    <n v="67.959999999999994"/>
    <m/>
    <s v="AMAZON"/>
    <m/>
  </r>
  <r>
    <x v="35"/>
    <s v="NOVEMBRE"/>
    <x v="2"/>
    <n v="11"/>
    <s v="NOVEMBRE 2024"/>
    <x v="22"/>
    <x v="1"/>
    <s v="COSTO CASA"/>
    <n v="8.15"/>
    <m/>
    <m/>
    <m/>
  </r>
  <r>
    <x v="82"/>
    <s v="NOVEMBRE"/>
    <x v="2"/>
    <n v="11"/>
    <s v="NOVEMBRE 2024"/>
    <x v="22"/>
    <x v="7"/>
    <s v="COSTO SOPRAVVIVENZA"/>
    <n v="8.25"/>
    <m/>
    <m/>
    <m/>
  </r>
  <r>
    <x v="21"/>
    <s v="NOVEMBRE"/>
    <x v="2"/>
    <n v="11"/>
    <s v="NOVEMBRE 2024"/>
    <x v="22"/>
    <x v="9"/>
    <s v="COSTO MOBILITA'"/>
    <n v="11"/>
    <m/>
    <m/>
    <m/>
  </r>
  <r>
    <x v="137"/>
    <s v="NOVEMBRE"/>
    <x v="2"/>
    <n v="11"/>
    <s v="NOVEMBRE 2024"/>
    <x v="22"/>
    <x v="6"/>
    <s v="COSTO SOPRAVVIVENZA"/>
    <n v="50"/>
    <m/>
    <m/>
    <m/>
  </r>
  <r>
    <x v="268"/>
    <s v="NOVEMBRE"/>
    <x v="2"/>
    <n v="11"/>
    <s v="NOVEMBRE 2024"/>
    <x v="22"/>
    <x v="24"/>
    <s v="COSTO SOPRAVVIVENZA"/>
    <n v="11.5"/>
    <m/>
    <m/>
    <m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2"/>
    <s v="NOVEMBRE"/>
    <x v="2"/>
    <n v="11"/>
    <s v="NOVEMBRE 2024"/>
    <x v="22"/>
    <x v="11"/>
    <s v="COSTO SFIZI"/>
    <n v="34.99"/>
    <m/>
    <s v="AMAZON"/>
    <m/>
  </r>
  <r>
    <x v="2"/>
    <s v="NOVEMBRE"/>
    <x v="2"/>
    <n v="11"/>
    <s v="NOVEMBRE 2024"/>
    <x v="22"/>
    <x v="11"/>
    <s v="COSTO SFIZI"/>
    <n v="50.84"/>
    <m/>
    <s v="AMAZON"/>
    <m/>
  </r>
  <r>
    <x v="2"/>
    <s v="NOVEMBRE"/>
    <x v="2"/>
    <n v="11"/>
    <s v="NOVEMBRE 2024"/>
    <x v="22"/>
    <x v="11"/>
    <s v="COSTO SFIZI"/>
    <n v="55.49"/>
    <m/>
    <s v="AMAZON"/>
    <m/>
  </r>
  <r>
    <x v="17"/>
    <s v="NOVEMBRE"/>
    <x v="2"/>
    <n v="11"/>
    <s v="NOVEMBRE 2024"/>
    <x v="22"/>
    <x v="7"/>
    <s v="COSTO SOPRAVVIVENZA"/>
    <n v="8.24"/>
    <m/>
    <m/>
    <m/>
  </r>
  <r>
    <x v="12"/>
    <s v="NOVEMBRE"/>
    <x v="2"/>
    <n v="11"/>
    <s v="NOVEMBRE 2024"/>
    <x v="22"/>
    <x v="7"/>
    <s v="COSTO SOPRAVVIVENZA"/>
    <n v="25.69"/>
    <m/>
    <m/>
    <m/>
  </r>
  <r>
    <x v="269"/>
    <s v="NOVEMBRE"/>
    <x v="2"/>
    <n v="11"/>
    <s v="NOVEMBRE 2024"/>
    <x v="22"/>
    <x v="0"/>
    <s v="COSTO SVAGHI"/>
    <n v="55"/>
    <m/>
    <m/>
    <s v="Vacanza Viterbo"/>
  </r>
  <r>
    <x v="41"/>
    <s v="NOVEMBRE"/>
    <x v="2"/>
    <n v="11"/>
    <s v="NOVEMBRE 2024"/>
    <x v="22"/>
    <x v="3"/>
    <s v="COSTO MOBILITA'"/>
    <n v="1.7"/>
    <m/>
    <m/>
    <m/>
  </r>
  <r>
    <x v="57"/>
    <s v="NOVEMBRE"/>
    <x v="2"/>
    <n v="11"/>
    <s v="NOVEMBRE 2024"/>
    <x v="22"/>
    <x v="0"/>
    <s v="COSTO SVAGHI"/>
    <n v="5.3"/>
    <m/>
    <m/>
    <m/>
  </r>
  <r>
    <x v="57"/>
    <s v="NOVEMBRE"/>
    <x v="2"/>
    <n v="11"/>
    <s v="NOVEMBRE 2024"/>
    <x v="22"/>
    <x v="0"/>
    <s v="COSTO SVAGHI"/>
    <n v="20.3"/>
    <m/>
    <m/>
    <m/>
  </r>
  <r>
    <x v="6"/>
    <s v="NOVEMBRE"/>
    <x v="2"/>
    <n v="11"/>
    <s v="NOVEMBRE 2024"/>
    <x v="22"/>
    <x v="14"/>
    <s v="COSTO SOPRAVVIVENZA"/>
    <n v="6.5"/>
    <m/>
    <m/>
    <m/>
  </r>
  <r>
    <x v="63"/>
    <s v="NOVEMBRE"/>
    <x v="2"/>
    <n v="11"/>
    <s v="NOVEMBRE 2024"/>
    <x v="22"/>
    <x v="12"/>
    <s v="COSTO SVAGHI"/>
    <n v="63.99"/>
    <m/>
    <m/>
    <s v="Biglietti per 30 Second to mars (Debby)"/>
  </r>
  <r>
    <x v="63"/>
    <s v="NOVEMBRE"/>
    <x v="2"/>
    <n v="11"/>
    <s v="NOVEMBRE 2024"/>
    <x v="22"/>
    <x v="12"/>
    <s v="COSTO SVAGHI"/>
    <n v="136.94999999999999"/>
    <m/>
    <m/>
    <s v="Biglietti per 30 Second to mars"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91"/>
    <s v="NOVEMBRE"/>
    <x v="2"/>
    <n v="11"/>
    <s v="NOVEMBRE 2024"/>
    <x v="22"/>
    <x v="2"/>
    <s v="COSTO SOPRAVVIVENZA"/>
    <n v="0.4"/>
    <m/>
    <m/>
    <m/>
  </r>
  <r>
    <x v="63"/>
    <s v="NOVEMBRE"/>
    <x v="2"/>
    <n v="11"/>
    <s v="NOVEMBRE 2024"/>
    <x v="22"/>
    <x v="12"/>
    <s v="COSTO SVAGHI"/>
    <n v="52.09"/>
    <s v="2/3"/>
    <s v="PAYPAL"/>
    <s v="Biglietti per Cremonini per michela"/>
  </r>
  <r>
    <x v="2"/>
    <s v="NOVEMBRE"/>
    <x v="2"/>
    <n v="11"/>
    <s v="NOVEMBRE 2024"/>
    <x v="22"/>
    <x v="8"/>
    <s v="COSTO SFIZI"/>
    <n v="16.63"/>
    <s v="2/3"/>
    <s v="AMAZON"/>
    <m/>
  </r>
  <r>
    <x v="2"/>
    <s v="NOVEMBRE"/>
    <x v="2"/>
    <n v="11"/>
    <s v="NOVEMBRE 2024"/>
    <x v="22"/>
    <x v="8"/>
    <s v="COSTO SFIZI"/>
    <n v="13.99"/>
    <s v="5/5"/>
    <s v="AMAZON"/>
    <s v="TAPO TELECAMERE"/>
  </r>
  <r>
    <x v="2"/>
    <s v="NOVEMBRE"/>
    <x v="2"/>
    <n v="11"/>
    <s v="NOVEMBRE 2024"/>
    <x v="22"/>
    <x v="10"/>
    <s v="COSTO SFIZI"/>
    <n v="15"/>
    <s v="2/5"/>
    <s v="AMAZON"/>
    <s v="DJ BOX Regalo compleanno Davide"/>
  </r>
  <r>
    <x v="222"/>
    <s v="NOVEMBRE"/>
    <x v="2"/>
    <n v="11"/>
    <s v="NOVEMBRE 2024"/>
    <x v="22"/>
    <x v="11"/>
    <s v="COSTO SFIZI"/>
    <n v="36.32"/>
    <s v="2/3"/>
    <s v="PAYPAL"/>
    <m/>
  </r>
  <r>
    <x v="12"/>
    <s v="NOVEMBRE"/>
    <x v="2"/>
    <n v="11"/>
    <s v="NOVEMBRE 2024"/>
    <x v="22"/>
    <x v="7"/>
    <s v="COSTO SOPRAVVIVENZA"/>
    <n v="20.239999999999998"/>
    <m/>
    <m/>
    <m/>
  </r>
  <r>
    <x v="91"/>
    <s v="NOVEMBRE"/>
    <x v="2"/>
    <n v="11"/>
    <s v="NOVEMBRE 2024"/>
    <x v="22"/>
    <x v="2"/>
    <s v="COSTO SOPRAVVIVENZA"/>
    <n v="0.4"/>
    <m/>
    <m/>
    <m/>
  </r>
  <r>
    <x v="270"/>
    <s v="OTTOBRE"/>
    <x v="2"/>
    <n v="10"/>
    <s v="OTTOBRE 2024"/>
    <x v="23"/>
    <x v="0"/>
    <s v="COSTO SVAGHI"/>
    <n v="43.6"/>
    <m/>
    <m/>
    <m/>
  </r>
  <r>
    <x v="271"/>
    <s v="OTTOBRE"/>
    <x v="2"/>
    <n v="10"/>
    <s v="OTTOBRE 2024"/>
    <x v="23"/>
    <x v="0"/>
    <s v="COSTO SVAGHI"/>
    <n v="12.5"/>
    <m/>
    <m/>
    <m/>
  </r>
  <r>
    <x v="272"/>
    <s v="OTTOBRE"/>
    <x v="2"/>
    <n v="10"/>
    <s v="OTTOBRE 2024"/>
    <x v="23"/>
    <x v="0"/>
    <s v="COSTO SVAGHI"/>
    <n v="47.3"/>
    <m/>
    <m/>
    <m/>
  </r>
  <r>
    <x v="91"/>
    <s v="OTTOBRE"/>
    <x v="2"/>
    <n v="10"/>
    <s v="OTTOBRE 2024"/>
    <x v="23"/>
    <x v="2"/>
    <s v="COSTO SOPRAVVIVENZA"/>
    <n v="0.4"/>
    <m/>
    <m/>
    <m/>
  </r>
  <r>
    <x v="6"/>
    <s v="OTTOBRE"/>
    <x v="2"/>
    <n v="10"/>
    <s v="OTTOBRE 2024"/>
    <x v="23"/>
    <x v="14"/>
    <s v="COSTO SOPRAVVIVENZA"/>
    <n v="6.5"/>
    <m/>
    <m/>
    <m/>
  </r>
  <r>
    <x v="17"/>
    <s v="OTTOBRE"/>
    <x v="2"/>
    <n v="10"/>
    <s v="OTTOBRE 2024"/>
    <x v="23"/>
    <x v="7"/>
    <s v="COSTO SOPRAVVIVENZA"/>
    <n v="5.95"/>
    <m/>
    <m/>
    <m/>
  </r>
  <r>
    <x v="12"/>
    <s v="OTTOBRE"/>
    <x v="2"/>
    <n v="10"/>
    <s v="OTTOBRE 2024"/>
    <x v="23"/>
    <x v="7"/>
    <s v="COSTO SOPRAVVIVENZA"/>
    <n v="11.93"/>
    <m/>
    <m/>
    <m/>
  </r>
  <r>
    <x v="35"/>
    <s v="OTTOBRE"/>
    <x v="2"/>
    <n v="10"/>
    <s v="OTTOBRE 2024"/>
    <x v="23"/>
    <x v="1"/>
    <s v="COSTO CASA"/>
    <n v="4.9000000000000004"/>
    <m/>
    <m/>
    <m/>
  </r>
  <r>
    <x v="82"/>
    <s v="OTTOBRE"/>
    <x v="2"/>
    <n v="10"/>
    <s v="OTTOBRE 2024"/>
    <x v="23"/>
    <x v="7"/>
    <s v="COSTO SOPRAVVIVENZA"/>
    <n v="21.82"/>
    <m/>
    <m/>
    <m/>
  </r>
  <r>
    <x v="6"/>
    <s v="OTTOBRE"/>
    <x v="2"/>
    <n v="10"/>
    <s v="OTTOBRE 2024"/>
    <x v="23"/>
    <x v="14"/>
    <s v="COSTO SOPRAVVIVENZA"/>
    <n v="6.5"/>
    <m/>
    <m/>
    <m/>
  </r>
  <r>
    <x v="98"/>
    <s v="OTTOBRE"/>
    <x v="2"/>
    <n v="10"/>
    <s v="OTTOBRE 2024"/>
    <x v="23"/>
    <x v="11"/>
    <s v="COSTO SFIZI"/>
    <n v="89"/>
    <m/>
    <m/>
    <m/>
  </r>
  <r>
    <x v="6"/>
    <s v="OTTOBRE"/>
    <x v="2"/>
    <n v="10"/>
    <s v="OTTOBRE 2024"/>
    <x v="23"/>
    <x v="0"/>
    <s v="COSTO SVAGHI"/>
    <n v="2.8"/>
    <m/>
    <m/>
    <m/>
  </r>
  <r>
    <x v="2"/>
    <s v="OTTOBRE"/>
    <x v="2"/>
    <n v="10"/>
    <s v="OTTOBRE 2024"/>
    <x v="23"/>
    <x v="8"/>
    <s v="COSTO SFIZI"/>
    <n v="3.58"/>
    <m/>
    <s v="AMAZON"/>
    <m/>
  </r>
  <r>
    <x v="63"/>
    <s v="OTTOBRE"/>
    <x v="2"/>
    <n v="10"/>
    <s v="OTTOBRE 2024"/>
    <x v="23"/>
    <x v="12"/>
    <s v="COSTO SVAGHI"/>
    <n v="52.09"/>
    <s v="1/3"/>
    <s v="PAYPAL"/>
    <s v="Biglietti per Cremonini per michela"/>
  </r>
  <r>
    <x v="6"/>
    <s v="OTTOBRE"/>
    <x v="2"/>
    <n v="10"/>
    <s v="OTTOBRE 2024"/>
    <x v="23"/>
    <x v="14"/>
    <s v="COSTO SOPRAVVIVENZA"/>
    <n v="6.5"/>
    <m/>
    <m/>
    <m/>
  </r>
  <r>
    <x v="2"/>
    <s v="OTTOBRE"/>
    <x v="2"/>
    <n v="10"/>
    <s v="OTTOBRE 2024"/>
    <x v="23"/>
    <x v="8"/>
    <s v="COSTO SFIZI"/>
    <n v="16.64"/>
    <s v="1/3"/>
    <s v="AMAZON"/>
    <m/>
  </r>
  <r>
    <x v="12"/>
    <s v="OTTOBRE"/>
    <x v="2"/>
    <n v="10"/>
    <s v="OTTOBRE 2024"/>
    <x v="23"/>
    <x v="7"/>
    <s v="COSTO SOPRAVVIVENZA"/>
    <n v="12.35"/>
    <m/>
    <m/>
    <m/>
  </r>
  <r>
    <x v="273"/>
    <s v="OTTOBRE"/>
    <x v="2"/>
    <n v="10"/>
    <s v="OTTOBRE 2024"/>
    <x v="23"/>
    <x v="0"/>
    <s v="COSTO SVAGHI"/>
    <n v="26.8"/>
    <m/>
    <m/>
    <m/>
  </r>
  <r>
    <x v="225"/>
    <s v="OTTOBRE"/>
    <x v="2"/>
    <n v="10"/>
    <s v="OTTOBRE 2024"/>
    <x v="23"/>
    <x v="11"/>
    <s v="COSTO SFIZI"/>
    <n v="103.99"/>
    <m/>
    <s v="PAYPAL"/>
    <m/>
  </r>
  <r>
    <x v="274"/>
    <s v="OTTOBRE"/>
    <x v="2"/>
    <n v="10"/>
    <s v="OTTOBRE 2024"/>
    <x v="23"/>
    <x v="8"/>
    <s v="COSTO SFIZI"/>
    <n v="16.16"/>
    <m/>
    <s v="PAYPAL"/>
    <m/>
  </r>
  <r>
    <x v="230"/>
    <s v="OTTOBRE"/>
    <x v="2"/>
    <n v="10"/>
    <s v="OTTOBRE 2024"/>
    <x v="23"/>
    <x v="7"/>
    <s v="COSTO SOPRAVVIVENZA"/>
    <n v="11.3"/>
    <m/>
    <m/>
    <m/>
  </r>
  <r>
    <x v="6"/>
    <s v="OTTOBRE"/>
    <x v="2"/>
    <n v="10"/>
    <s v="OTTOBRE 2024"/>
    <x v="23"/>
    <x v="14"/>
    <s v="COSTO SOPRAVVIVENZA"/>
    <n v="6.5"/>
    <m/>
    <m/>
    <m/>
  </r>
  <r>
    <x v="243"/>
    <s v="OTTOBRE"/>
    <x v="2"/>
    <n v="10"/>
    <s v="OTTOBRE 2024"/>
    <x v="23"/>
    <x v="18"/>
    <s v="COSTO SVAGHI"/>
    <n v="75"/>
    <s v="1/2"/>
    <s v="REVOLUT"/>
    <s v="Prima Rata Basket Terzo"/>
  </r>
  <r>
    <x v="2"/>
    <s v="OTTOBRE"/>
    <x v="2"/>
    <n v="10"/>
    <s v="OTTOBRE 2024"/>
    <x v="23"/>
    <x v="8"/>
    <s v="COSTO SFIZI"/>
    <n v="14"/>
    <s v="4/5"/>
    <s v="AMAZON"/>
    <s v="TAPO TELECAMERE"/>
  </r>
  <r>
    <x v="2"/>
    <s v="OTTOBRE"/>
    <x v="2"/>
    <n v="10"/>
    <s v="OTTOBRE 2024"/>
    <x v="23"/>
    <x v="8"/>
    <s v="COSTO SFIZI"/>
    <n v="44.19"/>
    <m/>
    <s v="AMAZON"/>
    <m/>
  </r>
  <r>
    <x v="53"/>
    <s v="OTTOBRE"/>
    <x v="2"/>
    <n v="10"/>
    <s v="OTTOBRE 2024"/>
    <x v="23"/>
    <x v="1"/>
    <s v="COSTO CASA"/>
    <n v="5.95"/>
    <m/>
    <m/>
    <m/>
  </r>
  <r>
    <x v="53"/>
    <s v="OTTOBRE"/>
    <x v="2"/>
    <n v="10"/>
    <s v="OTTOBRE 2024"/>
    <x v="23"/>
    <x v="1"/>
    <s v="COSTO CASA"/>
    <n v="52.75"/>
    <m/>
    <m/>
    <m/>
  </r>
  <r>
    <x v="41"/>
    <s v="OTTOBRE"/>
    <x v="2"/>
    <n v="10"/>
    <s v="OTTOBRE 2024"/>
    <x v="23"/>
    <x v="3"/>
    <s v="COSTO MOBILITA'"/>
    <n v="3.3"/>
    <m/>
    <m/>
    <m/>
  </r>
  <r>
    <x v="2"/>
    <s v="OTTOBRE"/>
    <x v="2"/>
    <n v="10"/>
    <s v="OTTOBRE 2024"/>
    <x v="23"/>
    <x v="8"/>
    <s v="COSTO SFIZI"/>
    <n v="29.99"/>
    <m/>
    <s v="AMAZON"/>
    <m/>
  </r>
  <r>
    <x v="6"/>
    <s v="OTTOBRE"/>
    <x v="2"/>
    <n v="10"/>
    <s v="OTTOBRE 2024"/>
    <x v="23"/>
    <x v="14"/>
    <s v="COSTO SOPRAVVIVENZA"/>
    <n v="6.5"/>
    <m/>
    <m/>
    <m/>
  </r>
  <r>
    <x v="41"/>
    <s v="OTTOBRE"/>
    <x v="2"/>
    <n v="10"/>
    <s v="OTTOBRE 2024"/>
    <x v="23"/>
    <x v="3"/>
    <s v="COSTO MOBILITA'"/>
    <n v="1.7"/>
    <m/>
    <m/>
    <m/>
  </r>
  <r>
    <x v="2"/>
    <s v="OTTOBRE"/>
    <x v="2"/>
    <n v="10"/>
    <s v="OTTOBRE 2024"/>
    <x v="23"/>
    <x v="10"/>
    <s v="COSTO SFIZI"/>
    <n v="15"/>
    <s v="1/5"/>
    <s v="AMAZON"/>
    <s v="DJ BOX Regalo compleanno Davide"/>
  </r>
  <r>
    <x v="8"/>
    <s v="OTTOBRE"/>
    <x v="2"/>
    <n v="10"/>
    <s v="OTTOBRE 2024"/>
    <x v="23"/>
    <x v="6"/>
    <s v="COSTO SOPRAVVIVENZA"/>
    <n v="33"/>
    <m/>
    <m/>
    <m/>
  </r>
  <r>
    <x v="12"/>
    <s v="OTTOBRE"/>
    <x v="2"/>
    <n v="10"/>
    <s v="OTTOBRE 2024"/>
    <x v="23"/>
    <x v="7"/>
    <s v="COSTO SOPRAVVIVENZA"/>
    <n v="14.22"/>
    <m/>
    <m/>
    <m/>
  </r>
  <r>
    <x v="91"/>
    <s v="OTTOBRE"/>
    <x v="2"/>
    <n v="10"/>
    <s v="OTTOBRE 2024"/>
    <x v="23"/>
    <x v="2"/>
    <s v="COSTO SOPRAVVIVENZA"/>
    <n v="0.4"/>
    <m/>
    <m/>
    <m/>
  </r>
  <r>
    <x v="91"/>
    <s v="OTTOBRE"/>
    <x v="2"/>
    <n v="10"/>
    <s v="OTTOBRE 2024"/>
    <x v="23"/>
    <x v="2"/>
    <s v="COSTO SOPRAVVIVENZA"/>
    <n v="0.4"/>
    <m/>
    <m/>
    <m/>
  </r>
  <r>
    <x v="91"/>
    <s v="OTTOBRE"/>
    <x v="2"/>
    <n v="10"/>
    <s v="OTTOBRE 2024"/>
    <x v="23"/>
    <x v="2"/>
    <s v="COSTO SOPRAVVIVENZA"/>
    <n v="0.4"/>
    <m/>
    <m/>
    <m/>
  </r>
  <r>
    <x v="222"/>
    <s v="OTTOBRE"/>
    <x v="2"/>
    <n v="10"/>
    <s v="OTTOBRE 2024"/>
    <x v="23"/>
    <x v="8"/>
    <s v="COSTO SFIZI"/>
    <n v="36.32"/>
    <s v="1/3"/>
    <s v="PAYPAL"/>
    <m/>
  </r>
  <r>
    <x v="21"/>
    <s v="OTTOBRE"/>
    <x v="2"/>
    <n v="10"/>
    <s v="OTTOBRE 2024"/>
    <x v="23"/>
    <x v="9"/>
    <s v="COSTO MOBILITA'"/>
    <n v="11"/>
    <m/>
    <m/>
    <m/>
  </r>
  <r>
    <x v="82"/>
    <s v="OTTOBRE"/>
    <x v="2"/>
    <n v="10"/>
    <s v="OTTOBRE 2024"/>
    <x v="23"/>
    <x v="7"/>
    <s v="COSTO SOPRAVVIVENZA"/>
    <n v="11.93"/>
    <m/>
    <m/>
    <m/>
  </r>
  <r>
    <x v="6"/>
    <s v="OTTOBRE"/>
    <x v="2"/>
    <n v="10"/>
    <s v="OTTOBRE 2024"/>
    <x v="23"/>
    <x v="0"/>
    <s v="COSTO SVAGHI"/>
    <n v="11.6"/>
    <m/>
    <m/>
    <m/>
  </r>
  <r>
    <x v="6"/>
    <s v="OTTOBRE"/>
    <x v="2"/>
    <n v="10"/>
    <s v="OTTOBRE 2024"/>
    <x v="23"/>
    <x v="14"/>
    <s v="COSTO SOPRAVVIVENZA"/>
    <n v="6.5"/>
    <m/>
    <m/>
    <m/>
  </r>
  <r>
    <x v="91"/>
    <s v="SETTEMBRE"/>
    <x v="2"/>
    <n v="9"/>
    <s v="SETTEMBRE 2024"/>
    <x v="24"/>
    <x v="2"/>
    <s v="COSTO SOPRAVVIVENZA"/>
    <n v="0.7"/>
    <m/>
    <m/>
    <m/>
  </r>
  <r>
    <x v="91"/>
    <s v="SETTEMBRE"/>
    <x v="2"/>
    <n v="9"/>
    <s v="SETTEMBRE 2024"/>
    <x v="24"/>
    <x v="2"/>
    <s v="COSTO SOPRAVVIVENZA"/>
    <n v="0.7"/>
    <m/>
    <m/>
    <m/>
  </r>
  <r>
    <x v="17"/>
    <s v="SETTEMBRE"/>
    <x v="2"/>
    <n v="9"/>
    <s v="SETTEMBRE 2024"/>
    <x v="24"/>
    <x v="7"/>
    <s v="COSTO SOPRAVVIVENZA"/>
    <n v="6.11"/>
    <m/>
    <m/>
    <m/>
  </r>
  <r>
    <x v="35"/>
    <s v="SETTEMBRE"/>
    <x v="2"/>
    <n v="9"/>
    <s v="SETTEMBRE 2024"/>
    <x v="24"/>
    <x v="1"/>
    <s v="COSTO CASA"/>
    <n v="8.7899999999999991"/>
    <m/>
    <m/>
    <m/>
  </r>
  <r>
    <x v="275"/>
    <s v="SETTEMBRE"/>
    <x v="2"/>
    <n v="9"/>
    <s v="SETTEMBRE 2024"/>
    <x v="24"/>
    <x v="15"/>
    <s v="TASSE"/>
    <n v="19.850000000000001"/>
    <m/>
    <m/>
    <m/>
  </r>
  <r>
    <x v="91"/>
    <s v="SETTEMBRE"/>
    <x v="2"/>
    <n v="9"/>
    <s v="SETTEMBRE 2024"/>
    <x v="24"/>
    <x v="2"/>
    <s v="COSTO SOPRAVVIVENZA"/>
    <n v="0.4"/>
    <m/>
    <m/>
    <m/>
  </r>
  <r>
    <x v="91"/>
    <s v="SETTEMBRE"/>
    <x v="2"/>
    <n v="9"/>
    <s v="SETTEMBRE 2024"/>
    <x v="24"/>
    <x v="2"/>
    <s v="COSTO SOPRAVVIVENZA"/>
    <n v="0.4"/>
    <m/>
    <m/>
    <m/>
  </r>
  <r>
    <x v="91"/>
    <s v="SETTEMBRE"/>
    <x v="2"/>
    <n v="9"/>
    <s v="SETTEMBRE 2024"/>
    <x v="24"/>
    <x v="2"/>
    <s v="COSTO SOPRAVVIVENZA"/>
    <n v="0.4"/>
    <m/>
    <m/>
    <m/>
  </r>
  <r>
    <x v="230"/>
    <s v="SETTEMBRE"/>
    <x v="2"/>
    <n v="9"/>
    <s v="SETTEMBRE 2024"/>
    <x v="24"/>
    <x v="7"/>
    <s v="COSTO SOPRAVVIVENZA"/>
    <n v="8.83"/>
    <m/>
    <m/>
    <m/>
  </r>
  <r>
    <x v="6"/>
    <s v="SETTEMBRE"/>
    <x v="2"/>
    <n v="9"/>
    <s v="SETTEMBRE 2024"/>
    <x v="24"/>
    <x v="14"/>
    <s v="COSTO SOPRAVVIVENZA"/>
    <n v="6.5"/>
    <m/>
    <m/>
    <m/>
  </r>
  <r>
    <x v="53"/>
    <s v="SETTEMBRE"/>
    <x v="2"/>
    <n v="9"/>
    <s v="SETTEMBRE 2024"/>
    <x v="24"/>
    <x v="1"/>
    <s v="COSTO CASA"/>
    <n v="41.7"/>
    <m/>
    <m/>
    <m/>
  </r>
  <r>
    <x v="6"/>
    <s v="SETTEMBRE"/>
    <x v="2"/>
    <n v="9"/>
    <s v="SETTEMBRE 2024"/>
    <x v="24"/>
    <x v="14"/>
    <s v="COSTO SOPRAVVIVENZA"/>
    <n v="6.5"/>
    <m/>
    <m/>
    <m/>
  </r>
  <r>
    <x v="156"/>
    <s v="SETTEMBRE"/>
    <x v="2"/>
    <n v="9"/>
    <s v="SETTEMBRE 2024"/>
    <x v="24"/>
    <x v="20"/>
    <s v="COSTO ABBONAMENTI"/>
    <n v="8.49"/>
    <m/>
    <s v="PAYPAL"/>
    <m/>
  </r>
  <r>
    <x v="6"/>
    <s v="SETTEMBRE"/>
    <x v="2"/>
    <n v="9"/>
    <s v="SETTEMBRE 2024"/>
    <x v="24"/>
    <x v="0"/>
    <s v="COSTO SVAGHI"/>
    <n v="4.2"/>
    <m/>
    <m/>
    <m/>
  </r>
  <r>
    <x v="91"/>
    <s v="SETTEMBRE"/>
    <x v="2"/>
    <n v="9"/>
    <s v="SETTEMBRE 2024"/>
    <x v="24"/>
    <x v="2"/>
    <s v="COSTO SOPRAVVIVENZA"/>
    <n v="0.4"/>
    <m/>
    <m/>
    <m/>
  </r>
  <r>
    <x v="82"/>
    <s v="SETTEMBRE"/>
    <x v="2"/>
    <n v="9"/>
    <s v="SETTEMBRE 2024"/>
    <x v="24"/>
    <x v="7"/>
    <s v="COSTO SOPRAVVIVENZA"/>
    <n v="14.03"/>
    <m/>
    <m/>
    <m/>
  </r>
  <r>
    <x v="35"/>
    <s v="SETTEMBRE"/>
    <x v="2"/>
    <n v="9"/>
    <s v="SETTEMBRE 2024"/>
    <x v="24"/>
    <x v="1"/>
    <s v="COSTO CASA"/>
    <n v="4.9800000000000004"/>
    <m/>
    <m/>
    <m/>
  </r>
  <r>
    <x v="91"/>
    <s v="SETTEMBRE"/>
    <x v="2"/>
    <n v="9"/>
    <s v="SETTEMBRE 2024"/>
    <x v="24"/>
    <x v="2"/>
    <s v="COSTO SOPRAVVIVENZA"/>
    <n v="0.4"/>
    <m/>
    <m/>
    <m/>
  </r>
  <r>
    <x v="91"/>
    <s v="SETTEMBRE"/>
    <x v="2"/>
    <n v="9"/>
    <s v="SETTEMBRE 2024"/>
    <x v="24"/>
    <x v="2"/>
    <s v="COSTO SOPRAVVIVENZA"/>
    <n v="0.4"/>
    <m/>
    <m/>
    <m/>
  </r>
  <r>
    <x v="91"/>
    <s v="SETTEMBRE"/>
    <x v="2"/>
    <n v="9"/>
    <s v="SETTEMBRE 2024"/>
    <x v="24"/>
    <x v="2"/>
    <s v="COSTO SOPRAVVIVENZA"/>
    <n v="0.4"/>
    <m/>
    <m/>
    <m/>
  </r>
  <r>
    <x v="12"/>
    <s v="SETTEMBRE"/>
    <x v="2"/>
    <n v="9"/>
    <s v="SETTEMBRE 2024"/>
    <x v="24"/>
    <x v="7"/>
    <s v="COSTO SOPRAVVIVENZA"/>
    <n v="16.07"/>
    <m/>
    <m/>
    <m/>
  </r>
  <r>
    <x v="276"/>
    <s v="SETTEMBRE"/>
    <x v="2"/>
    <n v="9"/>
    <s v="SETTEMBRE 2024"/>
    <x v="24"/>
    <x v="0"/>
    <s v="COSTO SVAGHI"/>
    <n v="32"/>
    <m/>
    <m/>
    <m/>
  </r>
  <r>
    <x v="276"/>
    <s v="SETTEMBRE"/>
    <x v="2"/>
    <n v="9"/>
    <s v="SETTEMBRE 2024"/>
    <x v="24"/>
    <x v="0"/>
    <s v="COSTO SVAGHI"/>
    <n v="35"/>
    <m/>
    <m/>
    <m/>
  </r>
  <r>
    <x v="276"/>
    <s v="SETTEMBRE"/>
    <x v="2"/>
    <n v="9"/>
    <s v="SETTEMBRE 2024"/>
    <x v="24"/>
    <x v="0"/>
    <s v="COSTO SVAGHI"/>
    <n v="25"/>
    <m/>
    <m/>
    <m/>
  </r>
  <r>
    <x v="41"/>
    <s v="SETTEMBRE"/>
    <x v="2"/>
    <n v="9"/>
    <s v="SETTEMBRE 2024"/>
    <x v="24"/>
    <x v="3"/>
    <s v="COSTO MOBILITA'"/>
    <n v="1.7"/>
    <m/>
    <m/>
    <m/>
  </r>
  <r>
    <x v="2"/>
    <s v="SETTEMBRE"/>
    <x v="2"/>
    <n v="9"/>
    <s v="SETTEMBRE 2024"/>
    <x v="24"/>
    <x v="8"/>
    <s v="COSTO SFIZI"/>
    <n v="22.9"/>
    <m/>
    <s v="AMAZON"/>
    <m/>
  </r>
  <r>
    <x v="230"/>
    <s v="SETTEMBRE"/>
    <x v="2"/>
    <n v="9"/>
    <s v="SETTEMBRE 2024"/>
    <x v="24"/>
    <x v="7"/>
    <s v="COSTO SOPRAVVIVENZA"/>
    <n v="12.84"/>
    <m/>
    <m/>
    <m/>
  </r>
  <r>
    <x v="277"/>
    <s v="SETTEMBRE"/>
    <x v="2"/>
    <n v="9"/>
    <s v="SETTEMBRE 2024"/>
    <x v="24"/>
    <x v="22"/>
    <s v="COSTO SFIZI"/>
    <n v="10.98"/>
    <m/>
    <m/>
    <m/>
  </r>
  <r>
    <x v="6"/>
    <s v="SETTEMBRE"/>
    <x v="2"/>
    <n v="9"/>
    <s v="SETTEMBRE 2024"/>
    <x v="24"/>
    <x v="14"/>
    <s v="COSTO SOPRAVVIVENZA"/>
    <n v="6.5"/>
    <m/>
    <m/>
    <m/>
  </r>
  <r>
    <x v="12"/>
    <s v="SETTEMBRE"/>
    <x v="2"/>
    <n v="9"/>
    <s v="SETTEMBRE 2024"/>
    <x v="24"/>
    <x v="7"/>
    <s v="COSTO SOPRAVVIVENZA"/>
    <n v="6.43"/>
    <m/>
    <m/>
    <m/>
  </r>
  <r>
    <x v="91"/>
    <s v="SETTEMBRE"/>
    <x v="2"/>
    <n v="9"/>
    <s v="SETTEMBRE 2024"/>
    <x v="24"/>
    <x v="2"/>
    <s v="COSTO SOPRAVVIVENZA"/>
    <n v="0.7"/>
    <m/>
    <m/>
    <m/>
  </r>
  <r>
    <x v="35"/>
    <s v="SETTEMBRE"/>
    <x v="2"/>
    <n v="9"/>
    <s v="SETTEMBRE 2024"/>
    <x v="24"/>
    <x v="1"/>
    <s v="COSTO CASA"/>
    <n v="14.4"/>
    <m/>
    <m/>
    <m/>
  </r>
  <r>
    <x v="278"/>
    <s v="SETTEMBRE"/>
    <x v="2"/>
    <n v="9"/>
    <s v="SETTEMBRE 2024"/>
    <x v="24"/>
    <x v="15"/>
    <s v="TASSE"/>
    <n v="165"/>
    <m/>
    <s v="REVOLUT"/>
    <s v="Multa 160€ Austria"/>
  </r>
  <r>
    <x v="12"/>
    <s v="SETTEMBRE"/>
    <x v="2"/>
    <n v="9"/>
    <s v="SETTEMBRE 2024"/>
    <x v="24"/>
    <x v="7"/>
    <s v="COSTO SOPRAVVIVENZA"/>
    <n v="8.82"/>
    <m/>
    <m/>
    <m/>
  </r>
  <r>
    <x v="2"/>
    <s v="SETTEMBRE"/>
    <x v="2"/>
    <n v="9"/>
    <s v="SETTEMBRE 2024"/>
    <x v="24"/>
    <x v="8"/>
    <s v="COSTO SFIZI"/>
    <n v="26.29"/>
    <m/>
    <s v="AMAZON"/>
    <m/>
  </r>
  <r>
    <x v="6"/>
    <s v="SETTEMBRE"/>
    <x v="2"/>
    <n v="9"/>
    <s v="SETTEMBRE 2024"/>
    <x v="24"/>
    <x v="14"/>
    <s v="COSTO SOPRAVVIVENZA"/>
    <n v="5"/>
    <m/>
    <m/>
    <m/>
  </r>
  <r>
    <x v="212"/>
    <s v="SETTEMBRE"/>
    <x v="2"/>
    <n v="9"/>
    <s v="SETTEMBRE 2024"/>
    <x v="24"/>
    <x v="5"/>
    <s v="COSTO VACANZE"/>
    <n v="29.49"/>
    <m/>
    <m/>
    <s v="Ombrellone"/>
  </r>
  <r>
    <x v="279"/>
    <s v="SETTEMBRE"/>
    <x v="2"/>
    <n v="9"/>
    <s v="SETTEMBRE 2024"/>
    <x v="24"/>
    <x v="9"/>
    <s v="COSTO MOBILITA'"/>
    <n v="260"/>
    <m/>
    <m/>
    <m/>
  </r>
  <r>
    <x v="21"/>
    <s v="SETTEMBRE"/>
    <x v="2"/>
    <n v="9"/>
    <s v="SETTEMBRE 2024"/>
    <x v="24"/>
    <x v="9"/>
    <s v="COSTO MOBILITA'"/>
    <n v="9"/>
    <m/>
    <m/>
    <m/>
  </r>
  <r>
    <x v="2"/>
    <s v="SETTEMBRE"/>
    <x v="2"/>
    <n v="9"/>
    <s v="SETTEMBRE 2024"/>
    <x v="24"/>
    <x v="8"/>
    <s v="COSTO SFIZI"/>
    <n v="14.82"/>
    <s v="3/3"/>
    <s v="AMAZON"/>
    <s v="VANS"/>
  </r>
  <r>
    <x v="2"/>
    <s v="SETTEMBRE"/>
    <x v="2"/>
    <n v="9"/>
    <s v="SETTEMBRE 2024"/>
    <x v="24"/>
    <x v="8"/>
    <s v="COSTO SFIZI"/>
    <n v="14"/>
    <s v="3/5"/>
    <s v="AMAZON"/>
    <s v="TAPO TELECAMERE"/>
  </r>
  <r>
    <x v="2"/>
    <s v="SETTEMBRE"/>
    <x v="2"/>
    <n v="9"/>
    <s v="SETTEMBRE 2024"/>
    <x v="24"/>
    <x v="8"/>
    <s v="COSTO SFIZI"/>
    <n v="9.0500000000000007"/>
    <s v="3/3"/>
    <s v="AMAZON"/>
    <s v="REGALO DAVIDE 2024"/>
  </r>
  <r>
    <x v="82"/>
    <s v="SETTEMBRE"/>
    <x v="2"/>
    <n v="9"/>
    <s v="SETTEMBRE 2024"/>
    <x v="24"/>
    <x v="7"/>
    <s v="COSTO SOPRAVVIVENZA"/>
    <n v="8.84"/>
    <m/>
    <m/>
    <m/>
  </r>
  <r>
    <x v="230"/>
    <s v="SETTEMBRE"/>
    <x v="2"/>
    <n v="9"/>
    <s v="SETTEMBRE 2024"/>
    <x v="24"/>
    <x v="7"/>
    <s v="COSTO SOPRAVVIVENZA"/>
    <n v="20.2"/>
    <m/>
    <m/>
    <m/>
  </r>
  <r>
    <x v="35"/>
    <s v="AGOSTO"/>
    <x v="2"/>
    <n v="8"/>
    <s v="AGOSTO 2024"/>
    <x v="25"/>
    <x v="1"/>
    <s v="COSTO CASA"/>
    <n v="3.97"/>
    <m/>
    <m/>
    <m/>
  </r>
  <r>
    <x v="280"/>
    <s v="AGOSTO"/>
    <x v="2"/>
    <n v="8"/>
    <s v="AGOSTO 2024"/>
    <x v="25"/>
    <x v="0"/>
    <s v="COSTO SVAGHI"/>
    <n v="14"/>
    <m/>
    <m/>
    <m/>
  </r>
  <r>
    <x v="12"/>
    <s v="AGOSTO"/>
    <x v="2"/>
    <n v="8"/>
    <s v="AGOSTO 2024"/>
    <x v="25"/>
    <x v="7"/>
    <s v="COSTO SOPRAVVIVENZA"/>
    <n v="8.3000000000000007"/>
    <m/>
    <m/>
    <m/>
  </r>
  <r>
    <x v="246"/>
    <s v="AGOSTO"/>
    <x v="2"/>
    <n v="8"/>
    <s v="AGOSTO 2024"/>
    <x v="25"/>
    <x v="10"/>
    <s v="COSTO SFIZI"/>
    <n v="20"/>
    <m/>
    <s v="PAYPAL"/>
    <s v="Regalo Farfa 2024"/>
  </r>
  <r>
    <x v="12"/>
    <s v="AGOSTO"/>
    <x v="2"/>
    <n v="8"/>
    <s v="AGOSTO 2024"/>
    <x v="25"/>
    <x v="7"/>
    <s v="COSTO SOPRAVVIVENZA"/>
    <n v="26.61"/>
    <m/>
    <m/>
    <m/>
  </r>
  <r>
    <x v="268"/>
    <s v="AGOSTO"/>
    <x v="2"/>
    <n v="8"/>
    <s v="AGOSTO 2024"/>
    <x v="25"/>
    <x v="24"/>
    <s v="COSTO SOPRAVVIVENZA"/>
    <n v="12.9"/>
    <m/>
    <m/>
    <m/>
  </r>
  <r>
    <x v="35"/>
    <s v="AGOSTO"/>
    <x v="2"/>
    <n v="8"/>
    <s v="AGOSTO 2024"/>
    <x v="25"/>
    <x v="1"/>
    <s v="COSTO CASA"/>
    <n v="21.38"/>
    <m/>
    <m/>
    <m/>
  </r>
  <r>
    <x v="268"/>
    <s v="AGOSTO"/>
    <x v="2"/>
    <n v="8"/>
    <s v="AGOSTO 2024"/>
    <x v="25"/>
    <x v="24"/>
    <s v="COSTO SOPRAVVIVENZA"/>
    <n v="12.8"/>
    <m/>
    <m/>
    <m/>
  </r>
  <r>
    <x v="13"/>
    <s v="AGOSTO"/>
    <x v="2"/>
    <n v="8"/>
    <s v="AGOSTO 2024"/>
    <x v="25"/>
    <x v="0"/>
    <s v="COSTO SVAGHI"/>
    <n v="20"/>
    <m/>
    <m/>
    <m/>
  </r>
  <r>
    <x v="281"/>
    <s v="AGOSTO"/>
    <x v="2"/>
    <n v="8"/>
    <s v="AGOSTO 2024"/>
    <x v="25"/>
    <x v="0"/>
    <s v="COSTO SVAGHI"/>
    <n v="36"/>
    <m/>
    <m/>
    <m/>
  </r>
  <r>
    <x v="282"/>
    <s v="AGOSTO"/>
    <x v="2"/>
    <n v="8"/>
    <s v="AGOSTO 2024"/>
    <x v="25"/>
    <x v="0"/>
    <s v="COSTO SVAGHI"/>
    <n v="2"/>
    <m/>
    <m/>
    <s v="Spese Creta"/>
  </r>
  <r>
    <x v="283"/>
    <s v="AGOSTO"/>
    <x v="2"/>
    <n v="8"/>
    <s v="AGOSTO 2024"/>
    <x v="25"/>
    <x v="16"/>
    <s v="COSTO VACANZE"/>
    <n v="31.51"/>
    <m/>
    <m/>
    <s v="Spese Creta"/>
  </r>
  <r>
    <x v="284"/>
    <s v="AGOSTO"/>
    <x v="2"/>
    <n v="8"/>
    <s v="AGOSTO 2024"/>
    <x v="25"/>
    <x v="10"/>
    <s v="COSTO SFIZI"/>
    <n v="12"/>
    <m/>
    <m/>
    <s v="Spese Creta"/>
  </r>
  <r>
    <x v="285"/>
    <s v="AGOSTO"/>
    <x v="2"/>
    <n v="8"/>
    <s v="AGOSTO 2024"/>
    <x v="25"/>
    <x v="10"/>
    <s v="COSTO SFIZI"/>
    <n v="12"/>
    <m/>
    <m/>
    <s v="Spese Creta"/>
  </r>
  <r>
    <x v="286"/>
    <s v="AGOSTO"/>
    <x v="2"/>
    <n v="8"/>
    <s v="AGOSTO 2024"/>
    <x v="25"/>
    <x v="10"/>
    <s v="COSTO SFIZI"/>
    <n v="31.2"/>
    <m/>
    <m/>
    <s v="Spese Creta"/>
  </r>
  <r>
    <x v="287"/>
    <s v="AGOSTO"/>
    <x v="2"/>
    <n v="8"/>
    <s v="AGOSTO 2024"/>
    <x v="25"/>
    <x v="0"/>
    <s v="COSTO SVAGHI"/>
    <n v="12.1"/>
    <m/>
    <m/>
    <s v="Spese Creta"/>
  </r>
  <r>
    <x v="288"/>
    <s v="AGOSTO"/>
    <x v="2"/>
    <n v="8"/>
    <s v="AGOSTO 2024"/>
    <x v="25"/>
    <x v="16"/>
    <s v="COSTO VACANZE"/>
    <n v="63.04"/>
    <m/>
    <m/>
    <s v="Spese Creta"/>
  </r>
  <r>
    <x v="289"/>
    <s v="AGOSTO"/>
    <x v="2"/>
    <n v="8"/>
    <s v="AGOSTO 2024"/>
    <x v="25"/>
    <x v="0"/>
    <s v="COSTO SVAGHI"/>
    <n v="4.5"/>
    <m/>
    <m/>
    <s v="Spese Creta"/>
  </r>
  <r>
    <x v="289"/>
    <s v="AGOSTO"/>
    <x v="2"/>
    <n v="8"/>
    <s v="AGOSTO 2024"/>
    <x v="25"/>
    <x v="0"/>
    <s v="COSTO SVAGHI"/>
    <n v="24.5"/>
    <m/>
    <m/>
    <s v="Spese Creta"/>
  </r>
  <r>
    <x v="290"/>
    <s v="AGOSTO"/>
    <x v="2"/>
    <n v="8"/>
    <s v="AGOSTO 2024"/>
    <x v="25"/>
    <x v="0"/>
    <s v="COSTO SVAGHI"/>
    <n v="10.5"/>
    <m/>
    <m/>
    <s v="Spese Creta"/>
  </r>
  <r>
    <x v="291"/>
    <s v="AGOSTO"/>
    <x v="2"/>
    <n v="8"/>
    <s v="AGOSTO 2024"/>
    <x v="25"/>
    <x v="0"/>
    <s v="COSTO SVAGHI"/>
    <n v="7.5"/>
    <m/>
    <m/>
    <s v="Spese Creta"/>
  </r>
  <r>
    <x v="292"/>
    <s v="AGOSTO"/>
    <x v="2"/>
    <n v="8"/>
    <s v="AGOSTO 2024"/>
    <x v="25"/>
    <x v="0"/>
    <s v="COSTO SVAGHI"/>
    <n v="7.4"/>
    <m/>
    <m/>
    <s v="Spese Creta"/>
  </r>
  <r>
    <x v="293"/>
    <s v="AGOSTO"/>
    <x v="2"/>
    <n v="8"/>
    <s v="AGOSTO 2024"/>
    <x v="25"/>
    <x v="0"/>
    <s v="COSTO SVAGHI"/>
    <n v="6.5"/>
    <m/>
    <m/>
    <s v="Spese Creta"/>
  </r>
  <r>
    <x v="294"/>
    <s v="AGOSTO"/>
    <x v="2"/>
    <n v="8"/>
    <s v="AGOSTO 2024"/>
    <x v="25"/>
    <x v="0"/>
    <s v="COSTO SVAGHI"/>
    <n v="6"/>
    <m/>
    <m/>
    <s v="Spese Creta"/>
  </r>
  <r>
    <x v="295"/>
    <s v="AGOSTO"/>
    <x v="2"/>
    <n v="8"/>
    <s v="AGOSTO 2024"/>
    <x v="25"/>
    <x v="0"/>
    <s v="COSTO SVAGHI"/>
    <n v="6"/>
    <m/>
    <m/>
    <s v="Spese Creta"/>
  </r>
  <r>
    <x v="2"/>
    <s v="AGOSTO"/>
    <x v="2"/>
    <n v="8"/>
    <s v="AGOSTO 2024"/>
    <x v="25"/>
    <x v="8"/>
    <s v="COSTO SFIZI"/>
    <n v="9.06"/>
    <s v="2/3"/>
    <s v="AMAZON"/>
    <s v="Regalo Davide 2024"/>
  </r>
  <r>
    <x v="296"/>
    <s v="AGOSTO"/>
    <x v="2"/>
    <n v="8"/>
    <s v="AGOSTO 2024"/>
    <x v="25"/>
    <x v="0"/>
    <s v="COSTO SVAGHI"/>
    <n v="13.7"/>
    <m/>
    <m/>
    <s v="Spese Creta"/>
  </r>
  <r>
    <x v="297"/>
    <s v="AGOSTO"/>
    <x v="2"/>
    <n v="8"/>
    <s v="AGOSTO 2024"/>
    <x v="25"/>
    <x v="0"/>
    <s v="COSTO SVAGHI"/>
    <n v="5.0999999999999996"/>
    <m/>
    <m/>
    <s v="Spese Creta"/>
  </r>
  <r>
    <x v="298"/>
    <s v="AGOSTO"/>
    <x v="2"/>
    <n v="8"/>
    <s v="AGOSTO 2024"/>
    <x v="25"/>
    <x v="0"/>
    <s v="COSTO SVAGHI"/>
    <n v="6.9"/>
    <m/>
    <m/>
    <s v="Spese Creta"/>
  </r>
  <r>
    <x v="35"/>
    <s v="AGOSTO"/>
    <x v="2"/>
    <n v="8"/>
    <s v="AGOSTO 2024"/>
    <x v="25"/>
    <x v="1"/>
    <s v="COSTO CASA"/>
    <n v="14.89"/>
    <m/>
    <m/>
    <m/>
  </r>
  <r>
    <x v="2"/>
    <s v="AGOSTO"/>
    <x v="2"/>
    <n v="8"/>
    <s v="AGOSTO 2024"/>
    <x v="25"/>
    <x v="8"/>
    <s v="COSTO SFIZI"/>
    <n v="19.899999999999999"/>
    <m/>
    <s v="AMAZON"/>
    <m/>
  </r>
  <r>
    <x v="226"/>
    <s v="AGOSTO"/>
    <x v="2"/>
    <n v="8"/>
    <s v="AGOSTO 2024"/>
    <x v="25"/>
    <x v="0"/>
    <s v="COSTO SVAGHI"/>
    <n v="29"/>
    <m/>
    <m/>
    <m/>
  </r>
  <r>
    <x v="7"/>
    <s v="AGOSTO"/>
    <x v="2"/>
    <n v="8"/>
    <s v="AGOSTO 2024"/>
    <x v="25"/>
    <x v="5"/>
    <s v="COSTO VACANZE"/>
    <n v="149.56"/>
    <m/>
    <m/>
    <s v="Hotel Creta"/>
  </r>
  <r>
    <x v="2"/>
    <s v="AGOSTO"/>
    <x v="2"/>
    <n v="8"/>
    <s v="AGOSTO 2024"/>
    <x v="25"/>
    <x v="8"/>
    <s v="COSTO SFIZI"/>
    <n v="30.9"/>
    <m/>
    <s v="AMAZON"/>
    <m/>
  </r>
  <r>
    <x v="7"/>
    <s v="AGOSTO"/>
    <x v="2"/>
    <n v="8"/>
    <s v="AGOSTO 2024"/>
    <x v="25"/>
    <x v="5"/>
    <s v="COSTO VACANZE"/>
    <n v="307.2"/>
    <m/>
    <m/>
    <s v="Hotel Creta"/>
  </r>
  <r>
    <x v="7"/>
    <s v="AGOSTO"/>
    <x v="2"/>
    <n v="8"/>
    <s v="AGOSTO 2024"/>
    <x v="25"/>
    <x v="5"/>
    <s v="COSTO VACANZE"/>
    <n v="270"/>
    <m/>
    <m/>
    <s v="Hotel Creta"/>
  </r>
  <r>
    <x v="2"/>
    <s v="AGOSTO"/>
    <x v="2"/>
    <n v="8"/>
    <s v="AGOSTO 2024"/>
    <x v="25"/>
    <x v="8"/>
    <s v="COSTO SFIZI"/>
    <n v="11.95"/>
    <m/>
    <s v="AMAZON"/>
    <m/>
  </r>
  <r>
    <x v="2"/>
    <s v="AGOSTO"/>
    <x v="2"/>
    <n v="8"/>
    <s v="AGOSTO 2024"/>
    <x v="25"/>
    <x v="8"/>
    <s v="COSTO SFIZI"/>
    <n v="21.66"/>
    <m/>
    <s v="AMAZON"/>
    <m/>
  </r>
  <r>
    <x v="7"/>
    <s v="AGOSTO"/>
    <x v="2"/>
    <n v="8"/>
    <s v="AGOSTO 2024"/>
    <x v="25"/>
    <x v="5"/>
    <s v="COSTO VACANZE"/>
    <n v="318"/>
    <m/>
    <m/>
    <s v="Hotel Creta"/>
  </r>
  <r>
    <x v="8"/>
    <s v="AGOSTO"/>
    <x v="2"/>
    <n v="8"/>
    <s v="AGOSTO 2024"/>
    <x v="25"/>
    <x v="6"/>
    <s v="COSTO SOPRAVVIVENZA"/>
    <n v="33"/>
    <m/>
    <m/>
    <m/>
  </r>
  <r>
    <x v="57"/>
    <s v="AGOSTO"/>
    <x v="2"/>
    <n v="8"/>
    <s v="AGOSTO 2024"/>
    <x v="25"/>
    <x v="0"/>
    <s v="COSTO SVAGHI"/>
    <n v="0.52"/>
    <m/>
    <m/>
    <m/>
  </r>
  <r>
    <x v="299"/>
    <s v="AGOSTO"/>
    <x v="2"/>
    <n v="8"/>
    <s v="AGOSTO 2024"/>
    <x v="25"/>
    <x v="0"/>
    <s v="COSTO SVAGHI"/>
    <n v="5.33"/>
    <m/>
    <m/>
    <m/>
  </r>
  <r>
    <x v="57"/>
    <s v="AGOSTO"/>
    <x v="2"/>
    <n v="8"/>
    <s v="AGOSTO 2024"/>
    <x v="25"/>
    <x v="0"/>
    <s v="COSTO SVAGHI"/>
    <n v="3.95"/>
    <m/>
    <m/>
    <m/>
  </r>
  <r>
    <x v="300"/>
    <s v="AGOSTO"/>
    <x v="2"/>
    <n v="8"/>
    <s v="AGOSTO 2024"/>
    <x v="25"/>
    <x v="24"/>
    <s v="COSTO SOPRAVVIVENZA"/>
    <n v="12.85"/>
    <m/>
    <m/>
    <m/>
  </r>
  <r>
    <x v="45"/>
    <s v="AGOSTO"/>
    <x v="2"/>
    <n v="8"/>
    <s v="AGOSTO 2024"/>
    <x v="25"/>
    <x v="0"/>
    <s v="COSTO SVAGHI"/>
    <n v="27.5"/>
    <m/>
    <m/>
    <m/>
  </r>
  <r>
    <x v="45"/>
    <s v="AGOSTO"/>
    <x v="2"/>
    <n v="8"/>
    <s v="AGOSTO 2024"/>
    <x v="25"/>
    <x v="0"/>
    <s v="COSTO SVAGHI"/>
    <n v="16.5"/>
    <m/>
    <m/>
    <m/>
  </r>
  <r>
    <x v="82"/>
    <s v="AGOSTO"/>
    <x v="2"/>
    <n v="8"/>
    <s v="AGOSTO 2024"/>
    <x v="25"/>
    <x v="7"/>
    <s v="COSTO SOPRAVVIVENZA"/>
    <n v="20.16"/>
    <m/>
    <m/>
    <m/>
  </r>
  <r>
    <x v="2"/>
    <s v="AGOSTO"/>
    <x v="2"/>
    <n v="8"/>
    <s v="AGOSTO 2024"/>
    <x v="25"/>
    <x v="8"/>
    <s v="COSTO SFIZI"/>
    <n v="14.82"/>
    <s v="2/3"/>
    <s v="AMAZON"/>
    <s v="VANS"/>
  </r>
  <r>
    <x v="2"/>
    <s v="AGOSTO"/>
    <x v="2"/>
    <n v="8"/>
    <s v="AGOSTO 2024"/>
    <x v="25"/>
    <x v="8"/>
    <s v="COSTO SFIZI"/>
    <n v="14"/>
    <s v="2/5"/>
    <s v="AMAZON"/>
    <s v="TAPO TELECAMERE"/>
  </r>
  <r>
    <x v="35"/>
    <s v="LUGLIO"/>
    <x v="2"/>
    <n v="7"/>
    <s v="LUGLIO 2024"/>
    <x v="26"/>
    <x v="1"/>
    <s v="COSTO CASA"/>
    <n v="14.27"/>
    <m/>
    <m/>
    <m/>
  </r>
  <r>
    <x v="301"/>
    <s v="LUGLIO"/>
    <x v="2"/>
    <n v="7"/>
    <s v="LUGLIO 2024"/>
    <x v="26"/>
    <x v="7"/>
    <s v="COSTO SOPRAVVIVENZA"/>
    <n v="55.99"/>
    <m/>
    <m/>
    <m/>
  </r>
  <r>
    <x v="91"/>
    <s v="LUGLIO"/>
    <x v="2"/>
    <n v="7"/>
    <s v="LUGLIO 2024"/>
    <x v="26"/>
    <x v="2"/>
    <s v="COSTO SOPRAVVIVENZA"/>
    <n v="0.7"/>
    <m/>
    <m/>
    <m/>
  </r>
  <r>
    <x v="230"/>
    <s v="LUGLIO"/>
    <x v="2"/>
    <n v="7"/>
    <s v="LUGLIO 2024"/>
    <x v="26"/>
    <x v="7"/>
    <s v="COSTO SOPRAVVIVENZA"/>
    <n v="7.49"/>
    <m/>
    <m/>
    <m/>
  </r>
  <r>
    <x v="17"/>
    <s v="LUGLIO"/>
    <x v="2"/>
    <n v="7"/>
    <s v="LUGLIO 2024"/>
    <x v="26"/>
    <x v="7"/>
    <s v="COSTO SOPRAVVIVENZA"/>
    <n v="5.88"/>
    <m/>
    <m/>
    <m/>
  </r>
  <r>
    <x v="2"/>
    <s v="LUGLIO"/>
    <x v="2"/>
    <n v="7"/>
    <s v="LUGLIO 2024"/>
    <x v="26"/>
    <x v="8"/>
    <s v="COSTO SFIZI"/>
    <n v="14"/>
    <s v="1/5"/>
    <s v="AMAZON"/>
    <s v="TAPO TELECAMERE"/>
  </r>
  <r>
    <x v="91"/>
    <s v="LUGLIO"/>
    <x v="2"/>
    <n v="7"/>
    <s v="LUGLIO 2024"/>
    <x v="26"/>
    <x v="2"/>
    <s v="COSTO SOPRAVVIVENZA"/>
    <n v="0.7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6"/>
    <s v="LUGLIO"/>
    <x v="2"/>
    <n v="7"/>
    <s v="LUGLIO 2024"/>
    <x v="26"/>
    <x v="14"/>
    <s v="COSTO SOPRAVVIVENZA"/>
    <n v="5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6"/>
    <s v="LUGLIO"/>
    <x v="2"/>
    <n v="7"/>
    <s v="LUGLIO 2024"/>
    <x v="26"/>
    <x v="14"/>
    <s v="COSTO SOPRAVVIVENZA"/>
    <n v="5"/>
    <m/>
    <m/>
    <m/>
  </r>
  <r>
    <x v="302"/>
    <s v="LUGLIO"/>
    <x v="2"/>
    <n v="7"/>
    <s v="LUGLIO 2024"/>
    <x v="26"/>
    <x v="0"/>
    <s v="COSTO SVAGHI"/>
    <n v="28.7"/>
    <m/>
    <m/>
    <m/>
  </r>
  <r>
    <x v="2"/>
    <s v="LUGLIO"/>
    <x v="2"/>
    <n v="7"/>
    <s v="LUGLIO 2024"/>
    <x v="26"/>
    <x v="8"/>
    <s v="COSTO SFIZI"/>
    <n v="14.82"/>
    <s v="1/3"/>
    <s v="AMAZON"/>
    <s v="VANS"/>
  </r>
  <r>
    <x v="12"/>
    <s v="LUGLIO"/>
    <x v="2"/>
    <n v="7"/>
    <s v="LUGLIO 2024"/>
    <x v="26"/>
    <x v="7"/>
    <s v="COSTO SOPRAVVIVENZA"/>
    <n v="14.65"/>
    <m/>
    <m/>
    <m/>
  </r>
  <r>
    <x v="303"/>
    <s v="LUGLIO"/>
    <x v="2"/>
    <n v="7"/>
    <s v="LUGLIO 2024"/>
    <x v="26"/>
    <x v="0"/>
    <s v="COSTO SVAGHI"/>
    <n v="12"/>
    <m/>
    <m/>
    <m/>
  </r>
  <r>
    <x v="82"/>
    <s v="LUGLIO"/>
    <x v="2"/>
    <n v="7"/>
    <s v="LUGLIO 2024"/>
    <x v="26"/>
    <x v="7"/>
    <s v="COSTO SOPRAVVIVENZA"/>
    <n v="13.23"/>
    <m/>
    <m/>
    <m/>
  </r>
  <r>
    <x v="21"/>
    <s v="LUGLIO"/>
    <x v="2"/>
    <n v="7"/>
    <s v="LUGLIO 2024"/>
    <x v="26"/>
    <x v="9"/>
    <s v="COSTO MOBILITA'"/>
    <n v="9"/>
    <m/>
    <m/>
    <m/>
  </r>
  <r>
    <x v="91"/>
    <s v="LUGLIO"/>
    <x v="2"/>
    <n v="7"/>
    <s v="LUGLIO 2024"/>
    <x v="26"/>
    <x v="2"/>
    <s v="COSTO SOPRAVVIVENZA"/>
    <n v="0.4"/>
    <m/>
    <m/>
    <m/>
  </r>
  <r>
    <x v="304"/>
    <s v="LUGLIO"/>
    <x v="2"/>
    <n v="7"/>
    <s v="LUGLIO 2024"/>
    <x v="26"/>
    <x v="1"/>
    <s v="COSTO CASA"/>
    <n v="20"/>
    <m/>
    <m/>
    <m/>
  </r>
  <r>
    <x v="2"/>
    <s v="LUGLIO"/>
    <x v="2"/>
    <n v="7"/>
    <s v="LUGLIO 2024"/>
    <x v="26"/>
    <x v="8"/>
    <s v="COSTO SFIZI"/>
    <n v="9.06"/>
    <m/>
    <s v="AMAZON"/>
    <m/>
  </r>
  <r>
    <x v="6"/>
    <s v="LUGLIO"/>
    <x v="2"/>
    <n v="7"/>
    <s v="LUGLIO 2024"/>
    <x v="26"/>
    <x v="14"/>
    <s v="COSTO SOPRAVVIVENZA"/>
    <n v="5"/>
    <m/>
    <m/>
    <m/>
  </r>
  <r>
    <x v="230"/>
    <s v="LUGLIO"/>
    <x v="2"/>
    <n v="7"/>
    <s v="LUGLIO 2024"/>
    <x v="26"/>
    <x v="7"/>
    <s v="COSTO SOPRAVVIVENZA"/>
    <n v="10.86"/>
    <m/>
    <m/>
    <m/>
  </r>
  <r>
    <x v="35"/>
    <s v="LUGLIO"/>
    <x v="2"/>
    <n v="7"/>
    <s v="LUGLIO 2024"/>
    <x v="26"/>
    <x v="1"/>
    <s v="COSTO CASA"/>
    <n v="9.59"/>
    <m/>
    <m/>
    <m/>
  </r>
  <r>
    <x v="91"/>
    <s v="LUGLIO"/>
    <x v="2"/>
    <n v="7"/>
    <s v="LUGLIO 2024"/>
    <x v="26"/>
    <x v="2"/>
    <s v="COSTO SOPRAVVIVENZA"/>
    <n v="0.4"/>
    <m/>
    <m/>
    <m/>
  </r>
  <r>
    <x v="305"/>
    <s v="LUGLIO"/>
    <x v="2"/>
    <n v="7"/>
    <s v="LUGLIO 2024"/>
    <x v="26"/>
    <x v="16"/>
    <s v="COSTO VACANZE"/>
    <n v="20"/>
    <m/>
    <m/>
    <s v="I-DAYS 2024"/>
  </r>
  <r>
    <x v="306"/>
    <s v="LUGLIO"/>
    <x v="2"/>
    <n v="7"/>
    <s v="LUGLIO 2024"/>
    <x v="26"/>
    <x v="0"/>
    <s v="COSTO SVAGHI"/>
    <n v="8"/>
    <m/>
    <m/>
    <s v="I-DAYS 2024"/>
  </r>
  <r>
    <x v="57"/>
    <s v="LUGLIO"/>
    <x v="2"/>
    <n v="7"/>
    <s v="LUGLIO 2024"/>
    <x v="26"/>
    <x v="0"/>
    <s v="COSTO SVAGHI"/>
    <n v="2.39"/>
    <m/>
    <m/>
    <s v="I-DAYS 2024"/>
  </r>
  <r>
    <x v="57"/>
    <s v="LUGLIO"/>
    <x v="2"/>
    <n v="7"/>
    <s v="LUGLIO 2024"/>
    <x v="26"/>
    <x v="0"/>
    <s v="COSTO SVAGHI"/>
    <n v="7.1"/>
    <m/>
    <m/>
    <s v="I-DAYS 2024"/>
  </r>
  <r>
    <x v="306"/>
    <s v="LUGLIO"/>
    <x v="2"/>
    <n v="7"/>
    <s v="LUGLIO 2024"/>
    <x v="26"/>
    <x v="0"/>
    <s v="COSTO SVAGHI"/>
    <n v="10"/>
    <m/>
    <m/>
    <s v="I-DAYS 2024"/>
  </r>
  <r>
    <x v="306"/>
    <s v="LUGLIO"/>
    <x v="2"/>
    <n v="7"/>
    <s v="LUGLIO 2024"/>
    <x v="26"/>
    <x v="0"/>
    <s v="COSTO SVAGHI"/>
    <n v="20"/>
    <m/>
    <m/>
    <s v="I-DAYS 2024"/>
  </r>
  <r>
    <x v="226"/>
    <s v="LUGLIO"/>
    <x v="2"/>
    <n v="7"/>
    <s v="LUGLIO 2024"/>
    <x v="26"/>
    <x v="0"/>
    <s v="COSTO SVAGHI"/>
    <n v="20"/>
    <m/>
    <m/>
    <m/>
  </r>
  <r>
    <x v="212"/>
    <s v="LUGLIO"/>
    <x v="2"/>
    <n v="7"/>
    <s v="LUGLIO 2024"/>
    <x v="26"/>
    <x v="5"/>
    <s v="COSTO VACANZE"/>
    <n v="37.99"/>
    <m/>
    <m/>
    <s v="Ombrellone"/>
  </r>
  <r>
    <x v="82"/>
    <s v="LUGLIO"/>
    <x v="2"/>
    <n v="7"/>
    <s v="LUGLIO 2024"/>
    <x v="26"/>
    <x v="7"/>
    <s v="COSTO SOPRAVVIVENZA"/>
    <n v="1.99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7"/>
    <m/>
    <m/>
    <m/>
  </r>
  <r>
    <x v="91"/>
    <s v="LUGLIO"/>
    <x v="2"/>
    <n v="7"/>
    <s v="LUGLIO 2024"/>
    <x v="26"/>
    <x v="2"/>
    <s v="COSTO SOPRAVVIVENZA"/>
    <n v="0.4"/>
    <m/>
    <m/>
    <m/>
  </r>
  <r>
    <x v="91"/>
    <s v="LUGLIO"/>
    <x v="2"/>
    <n v="7"/>
    <s v="LUGLIO 2024"/>
    <x v="26"/>
    <x v="2"/>
    <s v="COSTO SOPRAVVIVENZA"/>
    <n v="0.4"/>
    <m/>
    <m/>
    <m/>
  </r>
  <r>
    <x v="192"/>
    <s v="LUGLIO"/>
    <x v="2"/>
    <n v="7"/>
    <s v="LUGLIO 2024"/>
    <x v="26"/>
    <x v="16"/>
    <s v="COSTO VACANZE"/>
    <n v="470.43"/>
    <m/>
    <m/>
    <s v="Vacanza 2024"/>
  </r>
  <r>
    <x v="21"/>
    <s v="LUGLIO"/>
    <x v="2"/>
    <n v="7"/>
    <s v="LUGLIO 2024"/>
    <x v="26"/>
    <x v="9"/>
    <s v="COSTO MOBILITA'"/>
    <n v="9"/>
    <m/>
    <m/>
    <m/>
  </r>
  <r>
    <x v="35"/>
    <s v="LUGLIO"/>
    <x v="2"/>
    <n v="7"/>
    <s v="LUGLIO 2024"/>
    <x v="26"/>
    <x v="1"/>
    <s v="COSTO CASA"/>
    <n v="12.59"/>
    <m/>
    <m/>
    <m/>
  </r>
  <r>
    <x v="17"/>
    <s v="LUGLIO"/>
    <x v="2"/>
    <n v="7"/>
    <s v="LUGLIO 2024"/>
    <x v="26"/>
    <x v="7"/>
    <s v="COSTO SOPRAVVIVENZA"/>
    <n v="8.16"/>
    <m/>
    <m/>
    <m/>
  </r>
  <r>
    <x v="82"/>
    <s v="LUGLIO"/>
    <x v="2"/>
    <n v="7"/>
    <s v="LUGLIO 2024"/>
    <x v="26"/>
    <x v="7"/>
    <s v="COSTO SOPRAVVIVENZA"/>
    <n v="14.18"/>
    <m/>
    <m/>
    <m/>
  </r>
  <r>
    <x v="91"/>
    <s v="LUGLIO"/>
    <x v="2"/>
    <n v="7"/>
    <s v="LUGLIO 2024"/>
    <x v="26"/>
    <x v="2"/>
    <s v="COSTO SOPRAVVIVENZA"/>
    <n v="0.7"/>
    <m/>
    <m/>
    <m/>
  </r>
  <r>
    <x v="6"/>
    <s v="LUGLIO"/>
    <x v="2"/>
    <n v="7"/>
    <s v="LUGLIO 2024"/>
    <x v="26"/>
    <x v="14"/>
    <s v="COSTO SOPRAVVIVENZA"/>
    <n v="7"/>
    <m/>
    <m/>
    <m/>
  </r>
  <r>
    <x v="2"/>
    <s v="LUGLIO"/>
    <x v="2"/>
    <n v="7"/>
    <s v="LUGLIO 2024"/>
    <x v="26"/>
    <x v="8"/>
    <s v="COSTO SFIZI"/>
    <n v="40.01"/>
    <m/>
    <s v="AMAZON"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1.2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12"/>
    <s v="GIUGNO"/>
    <x v="2"/>
    <n v="6"/>
    <s v="GIUGNO 2024"/>
    <x v="27"/>
    <x v="7"/>
    <s v="COSTO SOPRAVVIVENZA"/>
    <n v="12.66"/>
    <m/>
    <m/>
    <m/>
  </r>
  <r>
    <x v="307"/>
    <s v="GIUGNO"/>
    <x v="2"/>
    <n v="6"/>
    <s v="GIUGNO 2024"/>
    <x v="27"/>
    <x v="0"/>
    <s v="COSTO SVAGHI"/>
    <n v="37.5"/>
    <m/>
    <m/>
    <m/>
  </r>
  <r>
    <x v="308"/>
    <s v="GIUGNO"/>
    <x v="2"/>
    <n v="6"/>
    <s v="GIUGNO 2024"/>
    <x v="27"/>
    <x v="0"/>
    <s v="COSTO SVAGHI"/>
    <n v="25.5"/>
    <m/>
    <m/>
    <m/>
  </r>
  <r>
    <x v="309"/>
    <s v="GIUGNO"/>
    <x v="2"/>
    <n v="6"/>
    <s v="GIUGNO 2024"/>
    <x v="27"/>
    <x v="5"/>
    <s v="COSTO VACANZE"/>
    <n v="70"/>
    <m/>
    <m/>
    <s v="Hotel Matrimonio Dave"/>
  </r>
  <r>
    <x v="97"/>
    <s v="GIUGNO"/>
    <x v="2"/>
    <n v="6"/>
    <s v="GIUGNO 2024"/>
    <x v="27"/>
    <x v="11"/>
    <s v="COSTO SFIZI"/>
    <n v="59.95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6"/>
    <s v="GIUGNO"/>
    <x v="2"/>
    <n v="6"/>
    <s v="GIUGNO 2024"/>
    <x v="27"/>
    <x v="14"/>
    <s v="COSTO SOPRAVVIVENZA"/>
    <n v="5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4"/>
    <m/>
    <m/>
    <m/>
  </r>
  <r>
    <x v="2"/>
    <s v="GIUGNO"/>
    <x v="2"/>
    <n v="6"/>
    <s v="GIUGNO 2024"/>
    <x v="27"/>
    <x v="8"/>
    <s v="COSTO SFIZI"/>
    <n v="14.99"/>
    <m/>
    <s v="AMAZON"/>
    <m/>
  </r>
  <r>
    <x v="97"/>
    <s v="GIUGNO"/>
    <x v="2"/>
    <n v="6"/>
    <s v="GIUGNO 2024"/>
    <x v="27"/>
    <x v="11"/>
    <s v="COSTO SFIZI"/>
    <n v="89.8"/>
    <m/>
    <m/>
    <m/>
  </r>
  <r>
    <x v="12"/>
    <s v="GIUGNO"/>
    <x v="2"/>
    <n v="6"/>
    <s v="GIUGNO 2024"/>
    <x v="27"/>
    <x v="7"/>
    <s v="COSTO SOPRAVVIVENZA"/>
    <n v="5.18"/>
    <m/>
    <m/>
    <m/>
  </r>
  <r>
    <x v="82"/>
    <s v="GIUGNO"/>
    <x v="2"/>
    <n v="6"/>
    <s v="GIUGNO 2024"/>
    <x v="27"/>
    <x v="7"/>
    <s v="COSTO SOPRAVVIVENZA"/>
    <n v="1.19"/>
    <m/>
    <m/>
    <m/>
  </r>
  <r>
    <x v="13"/>
    <s v="GIUGNO"/>
    <x v="2"/>
    <n v="6"/>
    <s v="GIUGNO 2024"/>
    <x v="27"/>
    <x v="0"/>
    <s v="COSTO SVAGHI"/>
    <n v="28"/>
    <m/>
    <m/>
    <m/>
  </r>
  <r>
    <x v="21"/>
    <s v="GIUGNO"/>
    <x v="2"/>
    <n v="6"/>
    <s v="GIUGNO 2024"/>
    <x v="27"/>
    <x v="9"/>
    <s v="COSTO MOBILITA'"/>
    <n v="9"/>
    <m/>
    <m/>
    <m/>
  </r>
  <r>
    <x v="8"/>
    <s v="GIUGNO"/>
    <x v="2"/>
    <n v="6"/>
    <s v="GIUGNO 2024"/>
    <x v="27"/>
    <x v="6"/>
    <s v="COSTO SOPRAVVIVENZA"/>
    <n v="33"/>
    <m/>
    <m/>
    <m/>
  </r>
  <r>
    <x v="91"/>
    <s v="GIUGNO"/>
    <x v="2"/>
    <n v="6"/>
    <s v="GIUGNO 2024"/>
    <x v="27"/>
    <x v="2"/>
    <s v="COSTO SOPRAVVIVENZA"/>
    <n v="0.4"/>
    <m/>
    <m/>
    <m/>
  </r>
  <r>
    <x v="6"/>
    <s v="GIUGNO"/>
    <x v="2"/>
    <n v="6"/>
    <s v="GIUGNO 2024"/>
    <x v="27"/>
    <x v="14"/>
    <s v="COSTO SOPRAVVIVENZA"/>
    <n v="5"/>
    <m/>
    <m/>
    <m/>
  </r>
  <r>
    <x v="230"/>
    <s v="GIUGNO"/>
    <x v="2"/>
    <n v="6"/>
    <s v="GIUGNO 2024"/>
    <x v="27"/>
    <x v="7"/>
    <s v="COSTO SOPRAVVIVENZA"/>
    <n v="8.3000000000000007"/>
    <m/>
    <m/>
    <m/>
  </r>
  <r>
    <x v="91"/>
    <s v="GIUGNO"/>
    <x v="2"/>
    <n v="6"/>
    <s v="GIUGNO 2024"/>
    <x v="27"/>
    <x v="2"/>
    <s v="COSTO SOPRAVVIVENZA"/>
    <n v="0.4"/>
    <m/>
    <m/>
    <m/>
  </r>
  <r>
    <x v="91"/>
    <s v="GIUGNO"/>
    <x v="2"/>
    <n v="6"/>
    <s v="GIUGNO 2024"/>
    <x v="27"/>
    <x v="2"/>
    <s v="COSTO SOPRAVVIVENZA"/>
    <n v="0.7"/>
    <m/>
    <m/>
    <m/>
  </r>
  <r>
    <x v="12"/>
    <s v="GIUGNO"/>
    <x v="2"/>
    <n v="6"/>
    <s v="GIUGNO 2024"/>
    <x v="27"/>
    <x v="7"/>
    <s v="COSTO SOPRAVVIVENZA"/>
    <n v="14.83"/>
    <m/>
    <m/>
    <m/>
  </r>
  <r>
    <x v="11"/>
    <s v="GIUGNO"/>
    <x v="2"/>
    <n v="6"/>
    <s v="GIUGNO 2024"/>
    <x v="27"/>
    <x v="0"/>
    <s v="COSTO SVAGHI"/>
    <n v="35.5"/>
    <m/>
    <m/>
    <m/>
  </r>
  <r>
    <x v="82"/>
    <s v="GIUGNO"/>
    <x v="2"/>
    <n v="6"/>
    <s v="GIUGNO 2024"/>
    <x v="27"/>
    <x v="7"/>
    <s v="COSTO SOPRAVVIVENZA"/>
    <n v="9.0299999999999994"/>
    <m/>
    <m/>
    <m/>
  </r>
  <r>
    <x v="35"/>
    <s v="GIUGNO"/>
    <x v="2"/>
    <n v="6"/>
    <s v="GIUGNO 2024"/>
    <x v="27"/>
    <x v="1"/>
    <s v="COSTO CASA"/>
    <n v="18.09"/>
    <m/>
    <m/>
    <m/>
  </r>
  <r>
    <x v="303"/>
    <s v="GIUGNO"/>
    <x v="2"/>
    <n v="6"/>
    <s v="GIUGNO 2024"/>
    <x v="27"/>
    <x v="0"/>
    <s v="COSTO SVAGHI"/>
    <n v="30"/>
    <m/>
    <m/>
    <m/>
  </r>
  <r>
    <x v="6"/>
    <s v="GIUGNO"/>
    <x v="2"/>
    <n v="6"/>
    <s v="GIUGNO 2024"/>
    <x v="27"/>
    <x v="14"/>
    <s v="COSTO SOPRAVVIVENZA"/>
    <n v="5"/>
    <m/>
    <m/>
    <m/>
  </r>
  <r>
    <x v="91"/>
    <s v="GIUGNO"/>
    <x v="2"/>
    <n v="6"/>
    <s v="GIUGNO 2024"/>
    <x v="27"/>
    <x v="2"/>
    <s v="COSTO SOPRAVVIVENZA"/>
    <n v="0.4"/>
    <m/>
    <m/>
    <m/>
  </r>
  <r>
    <x v="6"/>
    <s v="GIUGNO"/>
    <x v="2"/>
    <n v="6"/>
    <s v="GIUGNO 2024"/>
    <x v="27"/>
    <x v="14"/>
    <s v="COSTO SOPRAVVIVENZA"/>
    <n v="5"/>
    <m/>
    <m/>
    <m/>
  </r>
  <r>
    <x v="21"/>
    <s v="GIUGNO"/>
    <x v="2"/>
    <n v="6"/>
    <s v="GIUGNO 2024"/>
    <x v="27"/>
    <x v="9"/>
    <s v="COSTO MOBILITA'"/>
    <n v="7"/>
    <m/>
    <m/>
    <m/>
  </r>
  <r>
    <x v="12"/>
    <s v="GIUGNO"/>
    <x v="2"/>
    <n v="6"/>
    <s v="GIUGNO 2024"/>
    <x v="27"/>
    <x v="7"/>
    <s v="COSTO SOPRAVVIVENZA"/>
    <n v="13.98"/>
    <m/>
    <m/>
    <m/>
  </r>
  <r>
    <x v="301"/>
    <s v="GIUGNO"/>
    <x v="2"/>
    <n v="6"/>
    <s v="GIUGNO 2024"/>
    <x v="27"/>
    <x v="7"/>
    <s v="COSTO SOPRAVVIVENZA"/>
    <n v="25"/>
    <m/>
    <m/>
    <m/>
  </r>
  <r>
    <x v="199"/>
    <s v="GIUGNO"/>
    <x v="2"/>
    <n v="6"/>
    <s v="GIUGNO 2024"/>
    <x v="27"/>
    <x v="0"/>
    <s v="COSTO SVAGHI"/>
    <n v="71"/>
    <m/>
    <m/>
    <m/>
  </r>
  <r>
    <x v="91"/>
    <s v="GIUGNO"/>
    <x v="2"/>
    <n v="6"/>
    <s v="GIUGNO 2024"/>
    <x v="27"/>
    <x v="2"/>
    <s v="COSTO SOPRAVVIVENZA"/>
    <n v="0.4"/>
    <m/>
    <m/>
    <m/>
  </r>
  <r>
    <x v="6"/>
    <s v="GIUGNO"/>
    <x v="2"/>
    <n v="6"/>
    <s v="GIUGNO 2024"/>
    <x v="27"/>
    <x v="14"/>
    <s v="COSTO SOPRAVVIVENZA"/>
    <n v="5"/>
    <m/>
    <m/>
    <m/>
  </r>
  <r>
    <x v="142"/>
    <s v="GIUGNO"/>
    <x v="2"/>
    <n v="6"/>
    <s v="GIUGNO 2024"/>
    <x v="27"/>
    <x v="0"/>
    <s v="COSTO SVAGHI"/>
    <n v="61.9"/>
    <m/>
    <m/>
    <m/>
  </r>
  <r>
    <x v="302"/>
    <s v="GIUGNO"/>
    <x v="2"/>
    <n v="6"/>
    <s v="GIUGNO 2024"/>
    <x v="27"/>
    <x v="0"/>
    <s v="COSTO SVAGHI"/>
    <n v="24.7"/>
    <m/>
    <m/>
    <m/>
  </r>
  <r>
    <x v="203"/>
    <s v="GIUGNO"/>
    <x v="2"/>
    <n v="6"/>
    <s v="GIUGNO 2024"/>
    <x v="27"/>
    <x v="8"/>
    <s v="COSTO SFIZI"/>
    <n v="18.23"/>
    <m/>
    <s v="PAYPAL"/>
    <m/>
  </r>
  <r>
    <x v="82"/>
    <s v="GIUGNO"/>
    <x v="2"/>
    <n v="6"/>
    <s v="GIUGNO 2024"/>
    <x v="27"/>
    <x v="7"/>
    <s v="COSTO SOPRAVVIVENZA"/>
    <n v="28.26"/>
    <m/>
    <m/>
    <m/>
  </r>
  <r>
    <x v="91"/>
    <s v="GIUGNO"/>
    <x v="2"/>
    <n v="6"/>
    <s v="GIUGNO 2024"/>
    <x v="27"/>
    <x v="2"/>
    <s v="COSTO SOPRAVVIVENZA"/>
    <n v="0.4"/>
    <m/>
    <m/>
    <m/>
  </r>
  <r>
    <x v="6"/>
    <s v="GIUGNO"/>
    <x v="2"/>
    <n v="6"/>
    <s v="GIUGNO 2024"/>
    <x v="27"/>
    <x v="14"/>
    <s v="COSTO SOPRAVVIVENZA"/>
    <n v="5"/>
    <m/>
    <m/>
    <m/>
  </r>
  <r>
    <x v="310"/>
    <s v="MAGGIO"/>
    <x v="2"/>
    <n v="5"/>
    <s v="MAGGIO 2024"/>
    <x v="28"/>
    <x v="10"/>
    <s v="COSTO SFIZI"/>
    <n v="10"/>
    <m/>
    <m/>
    <s v="Souvenir Alicante"/>
  </r>
  <r>
    <x v="311"/>
    <s v="MAGGIO"/>
    <x v="2"/>
    <n v="5"/>
    <s v="MAGGIO 2024"/>
    <x v="28"/>
    <x v="0"/>
    <s v="COSTO SVAGHI"/>
    <n v="27.8"/>
    <m/>
    <m/>
    <m/>
  </r>
  <r>
    <x v="35"/>
    <s v="MAGGIO"/>
    <x v="2"/>
    <n v="5"/>
    <s v="MAGGIO 2024"/>
    <x v="28"/>
    <x v="1"/>
    <s v="COSTO CASA"/>
    <n v="15.8"/>
    <m/>
    <m/>
    <m/>
  </r>
  <r>
    <x v="6"/>
    <s v="MAGGIO"/>
    <x v="2"/>
    <n v="5"/>
    <s v="MAGGIO 2024"/>
    <x v="28"/>
    <x v="0"/>
    <s v="COSTO SVAGHI"/>
    <n v="2.6"/>
    <m/>
    <m/>
    <m/>
  </r>
  <r>
    <x v="91"/>
    <s v="MAGGIO"/>
    <x v="2"/>
    <n v="5"/>
    <s v="MAGGIO 2024"/>
    <x v="28"/>
    <x v="2"/>
    <s v="COSTO SOPRAVVIVENZA"/>
    <n v="0.4"/>
    <m/>
    <m/>
    <m/>
  </r>
  <r>
    <x v="91"/>
    <s v="MAGGIO"/>
    <x v="2"/>
    <n v="5"/>
    <s v="MAGGIO 2024"/>
    <x v="28"/>
    <x v="2"/>
    <s v="COSTO SOPRAVVIVENZA"/>
    <n v="0.4"/>
    <m/>
    <m/>
    <m/>
  </r>
  <r>
    <x v="312"/>
    <s v="MAGGIO"/>
    <x v="2"/>
    <n v="5"/>
    <s v="MAGGIO 2024"/>
    <x v="28"/>
    <x v="10"/>
    <s v="COSTO SFIZI"/>
    <n v="8.6300000000000008"/>
    <m/>
    <m/>
    <s v="Souvenir Polonia"/>
  </r>
  <r>
    <x v="91"/>
    <s v="MAGGIO"/>
    <x v="2"/>
    <n v="5"/>
    <s v="MAGGIO 2024"/>
    <x v="28"/>
    <x v="2"/>
    <s v="COSTO SOPRAVVIVENZA"/>
    <n v="0.4"/>
    <m/>
    <m/>
    <m/>
  </r>
  <r>
    <x v="313"/>
    <s v="MAGGIO"/>
    <x v="2"/>
    <n v="5"/>
    <s v="MAGGIO 2024"/>
    <x v="28"/>
    <x v="0"/>
    <s v="COSTO SVAGHI"/>
    <n v="6.4"/>
    <m/>
    <m/>
    <m/>
  </r>
  <r>
    <x v="2"/>
    <s v="MAGGIO"/>
    <x v="2"/>
    <n v="5"/>
    <s v="MAGGIO 2024"/>
    <x v="28"/>
    <x v="8"/>
    <s v="COSTO SFIZI"/>
    <n v="14.99"/>
    <s v="3/3"/>
    <s v="AMAZON"/>
    <s v="XBOX Controller"/>
  </r>
  <r>
    <x v="6"/>
    <s v="MAGGIO"/>
    <x v="2"/>
    <n v="5"/>
    <s v="MAGGIO 2024"/>
    <x v="28"/>
    <x v="14"/>
    <s v="COSTO SOPRAVVIVENZA"/>
    <n v="5"/>
    <m/>
    <m/>
    <m/>
  </r>
  <r>
    <x v="91"/>
    <s v="MAGGIO"/>
    <x v="2"/>
    <n v="5"/>
    <s v="MAGGIO 2024"/>
    <x v="28"/>
    <x v="2"/>
    <s v="COSTO SOPRAVVIVENZA"/>
    <n v="0.4"/>
    <m/>
    <m/>
    <m/>
  </r>
  <r>
    <x v="91"/>
    <s v="MAGGIO"/>
    <x v="2"/>
    <n v="5"/>
    <s v="MAGGIO 2024"/>
    <x v="28"/>
    <x v="2"/>
    <s v="COSTO SOPRAVVIVENZA"/>
    <n v="0.4"/>
    <m/>
    <m/>
    <m/>
  </r>
  <r>
    <x v="91"/>
    <s v="MAGGIO"/>
    <x v="2"/>
    <n v="5"/>
    <s v="MAGGIO 2024"/>
    <x v="28"/>
    <x v="2"/>
    <s v="COSTO SOPRAVVIVENZA"/>
    <n v="0.4"/>
    <m/>
    <m/>
    <m/>
  </r>
  <r>
    <x v="314"/>
    <s v="MAGGIO"/>
    <x v="2"/>
    <n v="5"/>
    <s v="MAGGIO 2024"/>
    <x v="28"/>
    <x v="0"/>
    <s v="COSTO SVAGHI"/>
    <n v="3.89"/>
    <m/>
    <m/>
    <m/>
  </r>
  <r>
    <x v="17"/>
    <s v="MAGGIO"/>
    <x v="2"/>
    <n v="5"/>
    <s v="MAGGIO 2024"/>
    <x v="28"/>
    <x v="7"/>
    <s v="COSTO SOPRAVVIVENZA"/>
    <n v="3.4"/>
    <m/>
    <m/>
    <m/>
  </r>
  <r>
    <x v="82"/>
    <s v="MAGGIO"/>
    <x v="2"/>
    <n v="5"/>
    <s v="MAGGIO 2024"/>
    <x v="28"/>
    <x v="7"/>
    <s v="COSTO SOPRAVVIVENZA"/>
    <n v="14.74"/>
    <m/>
    <m/>
    <m/>
  </r>
  <r>
    <x v="315"/>
    <s v="MAGGIO"/>
    <x v="2"/>
    <n v="5"/>
    <s v="MAGGIO 2024"/>
    <x v="28"/>
    <x v="0"/>
    <s v="COSTO SVAGHI"/>
    <n v="16.7"/>
    <m/>
    <m/>
    <m/>
  </r>
  <r>
    <x v="230"/>
    <s v="MAGGIO"/>
    <x v="2"/>
    <n v="5"/>
    <s v="MAGGIO 2024"/>
    <x v="28"/>
    <x v="7"/>
    <s v="COSTO SOPRAVVIVENZA"/>
    <n v="15.18"/>
    <m/>
    <m/>
    <m/>
  </r>
  <r>
    <x v="6"/>
    <s v="MAGGIO"/>
    <x v="2"/>
    <n v="5"/>
    <s v="MAGGIO 2024"/>
    <x v="28"/>
    <x v="14"/>
    <s v="COSTO SOPRAVVIVENZA"/>
    <n v="5"/>
    <m/>
    <m/>
    <m/>
  </r>
  <r>
    <x v="316"/>
    <s v="MAGGIO"/>
    <x v="2"/>
    <n v="5"/>
    <s v="MAGGIO 2024"/>
    <x v="28"/>
    <x v="10"/>
    <s v="COSTO SFIZI"/>
    <n v="9.99"/>
    <m/>
    <m/>
    <s v="Souvenir Austria"/>
  </r>
  <r>
    <x v="57"/>
    <s v="MAGGIO"/>
    <x v="2"/>
    <n v="5"/>
    <s v="MAGGIO 2024"/>
    <x v="28"/>
    <x v="15"/>
    <s v="TASSE"/>
    <n v="0.62"/>
    <m/>
    <m/>
    <s v="Commissione Vignetta"/>
  </r>
  <r>
    <x v="57"/>
    <s v="MAGGIO"/>
    <x v="2"/>
    <n v="5"/>
    <s v="MAGGIO 2024"/>
    <x v="28"/>
    <x v="15"/>
    <s v="TASSE"/>
    <n v="0.62"/>
    <m/>
    <m/>
    <s v="Commissione"/>
  </r>
  <r>
    <x v="57"/>
    <s v="MAGGIO"/>
    <x v="2"/>
    <n v="5"/>
    <s v="MAGGIO 2024"/>
    <x v="28"/>
    <x v="16"/>
    <s v="COSTO VACANZE"/>
    <n v="11.5"/>
    <m/>
    <m/>
    <s v="Vignetta"/>
  </r>
  <r>
    <x v="57"/>
    <s v="MAGGIO"/>
    <x v="2"/>
    <n v="5"/>
    <s v="MAGGIO 2024"/>
    <x v="28"/>
    <x v="0"/>
    <s v="COSTO SVAGHI"/>
    <n v="7.29"/>
    <m/>
    <m/>
    <m/>
  </r>
  <r>
    <x v="91"/>
    <s v="MAGGIO"/>
    <x v="2"/>
    <n v="5"/>
    <s v="MAGGIO 2024"/>
    <x v="28"/>
    <x v="2"/>
    <s v="COSTO SOPRAVVIVENZA"/>
    <n v="0.4"/>
    <m/>
    <m/>
    <m/>
  </r>
  <r>
    <x v="35"/>
    <s v="MAGGIO"/>
    <x v="2"/>
    <n v="5"/>
    <s v="MAGGIO 2024"/>
    <x v="28"/>
    <x v="1"/>
    <s v="COSTO CASA"/>
    <n v="15.44"/>
    <m/>
    <m/>
    <m/>
  </r>
  <r>
    <x v="6"/>
    <s v="MAGGIO"/>
    <x v="2"/>
    <n v="5"/>
    <s v="MAGGIO 2024"/>
    <x v="28"/>
    <x v="0"/>
    <s v="COSTO SVAGHI"/>
    <n v="3.9"/>
    <m/>
    <m/>
    <m/>
  </r>
  <r>
    <x v="317"/>
    <s v="MAGGIO"/>
    <x v="2"/>
    <n v="5"/>
    <s v="MAGGIO 2024"/>
    <x v="28"/>
    <x v="0"/>
    <s v="COSTO SVAGHI"/>
    <n v="46"/>
    <m/>
    <m/>
    <m/>
  </r>
  <r>
    <x v="6"/>
    <s v="MAGGIO"/>
    <x v="2"/>
    <n v="5"/>
    <s v="MAGGIO 2024"/>
    <x v="28"/>
    <x v="14"/>
    <s v="COSTO SOPRAVVIVENZA"/>
    <n v="5"/>
    <m/>
    <m/>
    <m/>
  </r>
  <r>
    <x v="112"/>
    <s v="MAGGIO"/>
    <x v="2"/>
    <n v="5"/>
    <s v="MAGGIO 2024"/>
    <x v="28"/>
    <x v="10"/>
    <s v="COSTO SFIZI"/>
    <n v="20"/>
    <m/>
    <m/>
    <s v="Regalo Stefano"/>
  </r>
  <r>
    <x v="35"/>
    <s v="MAGGIO"/>
    <x v="2"/>
    <n v="5"/>
    <s v="MAGGIO 2024"/>
    <x v="28"/>
    <x v="1"/>
    <s v="COSTO CASA"/>
    <n v="22.02"/>
    <m/>
    <m/>
    <m/>
  </r>
  <r>
    <x v="91"/>
    <s v="MAGGIO"/>
    <x v="2"/>
    <n v="5"/>
    <s v="MAGGIO 2024"/>
    <x v="28"/>
    <x v="2"/>
    <s v="COSTO SOPRAVVIVENZA"/>
    <n v="0.4"/>
    <m/>
    <m/>
    <m/>
  </r>
  <r>
    <x v="17"/>
    <s v="MAGGIO"/>
    <x v="2"/>
    <n v="5"/>
    <s v="MAGGIO 2024"/>
    <x v="28"/>
    <x v="7"/>
    <s v="COSTO SOPRAVVIVENZA"/>
    <n v="5.19"/>
    <m/>
    <m/>
    <m/>
  </r>
  <r>
    <x v="6"/>
    <s v="MAGGIO"/>
    <x v="2"/>
    <n v="5"/>
    <s v="MAGGIO 2024"/>
    <x v="28"/>
    <x v="0"/>
    <s v="COSTO SVAGHI"/>
    <n v="2.6"/>
    <m/>
    <m/>
    <m/>
  </r>
  <r>
    <x v="12"/>
    <s v="MAGGIO"/>
    <x v="2"/>
    <n v="5"/>
    <s v="MAGGIO 2024"/>
    <x v="28"/>
    <x v="7"/>
    <s v="COSTO SOPRAVVIVENZA"/>
    <n v="14.7"/>
    <m/>
    <m/>
    <m/>
  </r>
  <r>
    <x v="318"/>
    <s v="MAGGIO"/>
    <x v="2"/>
    <n v="5"/>
    <s v="MAGGIO 2024"/>
    <x v="28"/>
    <x v="19"/>
    <s v="COSTO SFIZI"/>
    <n v="38.9"/>
    <m/>
    <m/>
    <m/>
  </r>
  <r>
    <x v="233"/>
    <s v="MAGGIO"/>
    <x v="2"/>
    <n v="5"/>
    <s v="MAGGIO 2024"/>
    <x v="28"/>
    <x v="0"/>
    <s v="COSTO SVAGHI"/>
    <n v="7.5"/>
    <m/>
    <m/>
    <m/>
  </r>
  <r>
    <x v="91"/>
    <s v="MAGGIO"/>
    <x v="2"/>
    <n v="5"/>
    <s v="MAGGIO 2024"/>
    <x v="28"/>
    <x v="2"/>
    <s v="COSTO SOPRAVVIVENZA"/>
    <n v="0.4"/>
    <m/>
    <m/>
    <m/>
  </r>
  <r>
    <x v="6"/>
    <s v="APRILE"/>
    <x v="2"/>
    <n v="4"/>
    <s v="APRILE 2024"/>
    <x v="29"/>
    <x v="14"/>
    <s v="COSTO SOPRAVVIVENZA"/>
    <n v="5"/>
    <m/>
    <m/>
    <m/>
  </r>
  <r>
    <x v="82"/>
    <s v="APRILE"/>
    <x v="2"/>
    <n v="4"/>
    <s v="APRILE 2024"/>
    <x v="29"/>
    <x v="7"/>
    <s v="COSTO SOPRAVVIVENZA"/>
    <n v="8.44"/>
    <m/>
    <m/>
    <m/>
  </r>
  <r>
    <x v="12"/>
    <s v="APRILE"/>
    <x v="2"/>
    <n v="4"/>
    <s v="APRILE 2024"/>
    <x v="29"/>
    <x v="7"/>
    <s v="COSTO SOPRAVVIVENZA"/>
    <n v="15.36"/>
    <m/>
    <m/>
    <m/>
  </r>
  <r>
    <x v="6"/>
    <s v="APRILE"/>
    <x v="2"/>
    <n v="4"/>
    <s v="APRILE 2024"/>
    <x v="29"/>
    <x v="14"/>
    <s v="COSTO SOPRAVVIVENZA"/>
    <n v="5"/>
    <m/>
    <m/>
    <m/>
  </r>
  <r>
    <x v="35"/>
    <s v="APRILE"/>
    <x v="2"/>
    <n v="4"/>
    <s v="APRILE 2024"/>
    <x v="29"/>
    <x v="1"/>
    <s v="COSTO CASA"/>
    <n v="7.69"/>
    <m/>
    <m/>
    <m/>
  </r>
  <r>
    <x v="91"/>
    <s v="APRILE"/>
    <x v="2"/>
    <n v="4"/>
    <s v="APRILE 2024"/>
    <x v="29"/>
    <x v="2"/>
    <s v="COSTO SOPRAVVIVENZA"/>
    <n v="0.4"/>
    <m/>
    <m/>
    <m/>
  </r>
  <r>
    <x v="7"/>
    <s v="APRILE"/>
    <x v="2"/>
    <n v="4"/>
    <s v="APRILE 2024"/>
    <x v="29"/>
    <x v="5"/>
    <s v="COSTO VACANZE"/>
    <n v="254"/>
    <m/>
    <m/>
    <s v="Hotel Lazise"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17"/>
    <s v="APRILE"/>
    <x v="2"/>
    <n v="4"/>
    <s v="APRILE 2024"/>
    <x v="29"/>
    <x v="7"/>
    <s v="COSTO SOPRAVVIVENZA"/>
    <n v="5.15"/>
    <m/>
    <m/>
    <m/>
  </r>
  <r>
    <x v="12"/>
    <s v="APRILE"/>
    <x v="2"/>
    <n v="4"/>
    <s v="APRILE 2024"/>
    <x v="29"/>
    <x v="7"/>
    <s v="COSTO SOPRAVVIVENZA"/>
    <n v="6.45"/>
    <m/>
    <m/>
    <m/>
  </r>
  <r>
    <x v="319"/>
    <s v="APRILE"/>
    <x v="2"/>
    <n v="4"/>
    <s v="APRILE 2024"/>
    <x v="29"/>
    <x v="10"/>
    <s v="COSTO SFIZI"/>
    <n v="29.95"/>
    <m/>
    <m/>
    <s v="Regalo francesco"/>
  </r>
  <r>
    <x v="82"/>
    <s v="APRILE"/>
    <x v="2"/>
    <n v="4"/>
    <s v="APRILE 2024"/>
    <x v="29"/>
    <x v="7"/>
    <s v="COSTO SOPRAVVIVENZA"/>
    <n v="9.94"/>
    <m/>
    <m/>
    <m/>
  </r>
  <r>
    <x v="82"/>
    <s v="APRILE"/>
    <x v="2"/>
    <n v="4"/>
    <s v="APRILE 2024"/>
    <x v="29"/>
    <x v="7"/>
    <s v="COSTO SOPRAVVIVENZA"/>
    <n v="1.99"/>
    <m/>
    <m/>
    <m/>
  </r>
  <r>
    <x v="6"/>
    <s v="APRILE"/>
    <x v="2"/>
    <n v="4"/>
    <s v="APRILE 2024"/>
    <x v="29"/>
    <x v="14"/>
    <s v="COSTO SOPRAVVIVENZA"/>
    <n v="5"/>
    <m/>
    <m/>
    <m/>
  </r>
  <r>
    <x v="91"/>
    <s v="APRILE"/>
    <x v="2"/>
    <n v="4"/>
    <s v="APRILE 2024"/>
    <x v="29"/>
    <x v="2"/>
    <s v="COSTO SOPRAVVIVENZA"/>
    <n v="0.4"/>
    <m/>
    <m/>
    <m/>
  </r>
  <r>
    <x v="17"/>
    <s v="APRILE"/>
    <x v="2"/>
    <n v="4"/>
    <s v="APRILE 2024"/>
    <x v="29"/>
    <x v="7"/>
    <s v="COSTO SOPRAVVIVENZA"/>
    <n v="3.4"/>
    <m/>
    <m/>
    <m/>
  </r>
  <r>
    <x v="12"/>
    <s v="APRILE"/>
    <x v="2"/>
    <n v="4"/>
    <s v="APRILE 2024"/>
    <x v="29"/>
    <x v="7"/>
    <s v="COSTO SOPRAVVIVENZA"/>
    <n v="17.899999999999999"/>
    <m/>
    <m/>
    <s v="Pasquetta 2024"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91"/>
    <s v="APRILE"/>
    <x v="2"/>
    <n v="4"/>
    <s v="APRILE 2024"/>
    <x v="29"/>
    <x v="2"/>
    <s v="COSTO SOPRAVVIVENZA"/>
    <n v="0.4"/>
    <m/>
    <m/>
    <m/>
  </r>
  <r>
    <x v="12"/>
    <s v="APRILE"/>
    <x v="2"/>
    <n v="4"/>
    <s v="APRILE 2024"/>
    <x v="29"/>
    <x v="7"/>
    <s v="COSTO SOPRAVVIVENZA"/>
    <n v="10.63"/>
    <m/>
    <m/>
    <s v="Pasquetta 2024"/>
  </r>
  <r>
    <x v="112"/>
    <s v="APRILE"/>
    <x v="2"/>
    <n v="4"/>
    <s v="APRILE 2024"/>
    <x v="29"/>
    <x v="1"/>
    <s v="COSTO CASA"/>
    <n v="12"/>
    <m/>
    <m/>
    <s v="Pasquetta 2024"/>
  </r>
  <r>
    <x v="112"/>
    <s v="APRILE"/>
    <x v="2"/>
    <n v="4"/>
    <s v="APRILE 2024"/>
    <x v="29"/>
    <x v="1"/>
    <s v="COSTO CASA"/>
    <n v="14.5"/>
    <m/>
    <m/>
    <m/>
  </r>
  <r>
    <x v="35"/>
    <s v="APRILE"/>
    <x v="2"/>
    <n v="4"/>
    <s v="APRILE 2024"/>
    <x v="29"/>
    <x v="1"/>
    <s v="COSTO CASA"/>
    <n v="17.12"/>
    <m/>
    <m/>
    <m/>
  </r>
  <r>
    <x v="67"/>
    <s v="APRILE"/>
    <x v="2"/>
    <n v="4"/>
    <s v="APRILE 2024"/>
    <x v="29"/>
    <x v="7"/>
    <s v="COSTO SOPRAVVIVENZA"/>
    <n v="64.56"/>
    <m/>
    <m/>
    <s v="Pasquetta 2024"/>
  </r>
  <r>
    <x v="11"/>
    <s v="APRILE"/>
    <x v="2"/>
    <n v="4"/>
    <s v="APRILE 2024"/>
    <x v="29"/>
    <x v="0"/>
    <s v="COSTO SVAGHI"/>
    <n v="14"/>
    <m/>
    <m/>
    <m/>
  </r>
  <r>
    <x v="2"/>
    <s v="APRILE"/>
    <x v="2"/>
    <n v="4"/>
    <s v="APRILE 2024"/>
    <x v="29"/>
    <x v="8"/>
    <s v="COSTO SFIZI"/>
    <n v="17.48"/>
    <m/>
    <s v="AMAZON"/>
    <m/>
  </r>
  <r>
    <x v="320"/>
    <s v="APRILE"/>
    <x v="2"/>
    <n v="4"/>
    <s v="APRILE 2024"/>
    <x v="29"/>
    <x v="15"/>
    <s v="TASSE"/>
    <n v="20.190000000000001"/>
    <m/>
    <m/>
    <m/>
  </r>
  <r>
    <x v="17"/>
    <s v="APRILE"/>
    <x v="2"/>
    <n v="4"/>
    <s v="APRILE 2024"/>
    <x v="29"/>
    <x v="7"/>
    <s v="COSTO SOPRAVVIVENZA"/>
    <n v="32.520000000000003"/>
    <m/>
    <m/>
    <s v="29,97€ di uova di pasqua"/>
  </r>
  <r>
    <x v="2"/>
    <s v="APRILE"/>
    <x v="2"/>
    <n v="4"/>
    <s v="APRILE 2024"/>
    <x v="29"/>
    <x v="8"/>
    <s v="COSTO SFIZI"/>
    <n v="15"/>
    <s v="2/3"/>
    <s v="AMAZON"/>
    <s v="XBOX Controller"/>
  </r>
  <r>
    <x v="6"/>
    <s v="APRILE"/>
    <x v="2"/>
    <n v="4"/>
    <s v="APRILE 2024"/>
    <x v="29"/>
    <x v="14"/>
    <s v="COSTO SOPRAVVIVENZA"/>
    <n v="5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12"/>
    <s v="MARZO"/>
    <x v="2"/>
    <n v="3"/>
    <s v="MARZO 2024"/>
    <x v="30"/>
    <x v="7"/>
    <s v="COSTO SOPRAVVIVENZA"/>
    <n v="12.13"/>
    <m/>
    <m/>
    <m/>
  </r>
  <r>
    <x v="91"/>
    <s v="MARZO"/>
    <x v="2"/>
    <n v="3"/>
    <s v="MARZO 2024"/>
    <x v="30"/>
    <x v="2"/>
    <s v="COSTO SOPRAVVIVENZA"/>
    <n v="0.4"/>
    <m/>
    <m/>
    <m/>
  </r>
  <r>
    <x v="6"/>
    <s v="MARZO"/>
    <x v="2"/>
    <n v="3"/>
    <s v="MARZO 2024"/>
    <x v="30"/>
    <x v="14"/>
    <s v="COSTO SOPRAVVIVENZA"/>
    <n v="5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230"/>
    <s v="MARZO"/>
    <x v="2"/>
    <n v="3"/>
    <s v="MARZO 2024"/>
    <x v="30"/>
    <x v="7"/>
    <s v="COSTO SOPRAVVIVENZA"/>
    <n v="15.48"/>
    <m/>
    <m/>
    <m/>
  </r>
  <r>
    <x v="2"/>
    <s v="MARZO"/>
    <x v="2"/>
    <n v="3"/>
    <s v="MARZO 2024"/>
    <x v="30"/>
    <x v="8"/>
    <s v="COSTO SFIZI"/>
    <n v="24.68"/>
    <m/>
    <s v="AMAZON"/>
    <m/>
  </r>
  <r>
    <x v="17"/>
    <s v="MARZO"/>
    <x v="2"/>
    <n v="3"/>
    <s v="MARZO 2024"/>
    <x v="30"/>
    <x v="7"/>
    <s v="COSTO SOPRAVVIVENZA"/>
    <n v="5.13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321"/>
    <s v="MARZO"/>
    <x v="2"/>
    <n v="3"/>
    <s v="MARZO 2024"/>
    <x v="30"/>
    <x v="0"/>
    <s v="COSTO SVAGHI"/>
    <n v="2.39"/>
    <m/>
    <m/>
    <m/>
  </r>
  <r>
    <x v="2"/>
    <s v="MARZO"/>
    <x v="2"/>
    <n v="3"/>
    <s v="MARZO 2024"/>
    <x v="30"/>
    <x v="8"/>
    <s v="COSTO SFIZI"/>
    <n v="15"/>
    <s v="1/3"/>
    <s v="AMAZON"/>
    <s v="XBOX Controller"/>
  </r>
  <r>
    <x v="91"/>
    <s v="MARZO"/>
    <x v="2"/>
    <n v="3"/>
    <s v="MARZO 2024"/>
    <x v="30"/>
    <x v="2"/>
    <s v="COSTO SOPRAVVIVENZA"/>
    <n v="0.4"/>
    <m/>
    <m/>
    <m/>
  </r>
  <r>
    <x v="79"/>
    <s v="MARZO"/>
    <x v="2"/>
    <n v="3"/>
    <s v="MARZO 2024"/>
    <x v="30"/>
    <x v="3"/>
    <s v="COSTO MOBILITA'"/>
    <n v="6.3"/>
    <m/>
    <s v="PAYPAL"/>
    <m/>
  </r>
  <r>
    <x v="12"/>
    <s v="MARZO"/>
    <x v="2"/>
    <n v="3"/>
    <s v="MARZO 2024"/>
    <x v="30"/>
    <x v="7"/>
    <s v="COSTO SOPRAVVIVENZA"/>
    <n v="10.82"/>
    <m/>
    <m/>
    <m/>
  </r>
  <r>
    <x v="258"/>
    <s v="MARZO"/>
    <x v="2"/>
    <n v="3"/>
    <s v="MARZO 2024"/>
    <x v="30"/>
    <x v="0"/>
    <s v="COSTO SVAGHI"/>
    <n v="7.5"/>
    <m/>
    <m/>
    <m/>
  </r>
  <r>
    <x v="11"/>
    <s v="MARZO"/>
    <x v="2"/>
    <n v="3"/>
    <s v="MARZO 2024"/>
    <x v="30"/>
    <x v="0"/>
    <s v="COSTO SVAGHI"/>
    <n v="33"/>
    <m/>
    <m/>
    <m/>
  </r>
  <r>
    <x v="2"/>
    <s v="MARZO"/>
    <x v="2"/>
    <n v="3"/>
    <s v="MARZO 2024"/>
    <x v="30"/>
    <x v="8"/>
    <s v="COSTO SFIZI"/>
    <n v="50"/>
    <m/>
    <s v="AMAZON"/>
    <m/>
  </r>
  <r>
    <x v="8"/>
    <s v="MARZO"/>
    <x v="2"/>
    <n v="3"/>
    <s v="MARZO 2024"/>
    <x v="30"/>
    <x v="6"/>
    <s v="COSTO SOPRAVVIVENZA"/>
    <n v="33"/>
    <m/>
    <m/>
    <m/>
  </r>
  <r>
    <x v="6"/>
    <s v="MARZO"/>
    <x v="2"/>
    <n v="3"/>
    <s v="MARZO 2024"/>
    <x v="30"/>
    <x v="0"/>
    <s v="COSTO SVAGHI"/>
    <n v="2.6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12"/>
    <s v="MARZO"/>
    <x v="2"/>
    <n v="3"/>
    <s v="MARZO 2024"/>
    <x v="30"/>
    <x v="7"/>
    <s v="COSTO SOPRAVVIVENZA"/>
    <n v="7.67"/>
    <m/>
    <m/>
    <m/>
  </r>
  <r>
    <x v="53"/>
    <s v="MARZO"/>
    <x v="2"/>
    <n v="3"/>
    <s v="MARZO 2024"/>
    <x v="30"/>
    <x v="1"/>
    <s v="COSTO CASA"/>
    <n v="43.85"/>
    <m/>
    <m/>
    <m/>
  </r>
  <r>
    <x v="11"/>
    <s v="MARZO"/>
    <x v="2"/>
    <n v="3"/>
    <s v="MARZO 2024"/>
    <x v="30"/>
    <x v="0"/>
    <s v="COSTO SVAGHI"/>
    <n v="9"/>
    <m/>
    <m/>
    <m/>
  </r>
  <r>
    <x v="17"/>
    <s v="MARZO"/>
    <x v="2"/>
    <n v="3"/>
    <s v="MARZO 2024"/>
    <x v="30"/>
    <x v="7"/>
    <s v="COSTO SOPRAVVIVENZA"/>
    <n v="5.4"/>
    <m/>
    <m/>
    <m/>
  </r>
  <r>
    <x v="82"/>
    <s v="MARZO"/>
    <x v="2"/>
    <n v="3"/>
    <s v="MARZO 2024"/>
    <x v="30"/>
    <x v="7"/>
    <s v="COSTO SOPRAVVIVENZA"/>
    <n v="11.06"/>
    <m/>
    <m/>
    <m/>
  </r>
  <r>
    <x v="322"/>
    <s v="MARZO"/>
    <x v="2"/>
    <n v="3"/>
    <s v="MARZO 2024"/>
    <x v="30"/>
    <x v="0"/>
    <s v="COSTO SVAGHI"/>
    <n v="46"/>
    <m/>
    <m/>
    <m/>
  </r>
  <r>
    <x v="6"/>
    <s v="MARZO"/>
    <x v="2"/>
    <n v="3"/>
    <s v="MARZO 2024"/>
    <x v="30"/>
    <x v="14"/>
    <s v="COSTO SOPRAVVIVENZA"/>
    <n v="5"/>
    <m/>
    <m/>
    <m/>
  </r>
  <r>
    <x v="6"/>
    <s v="MARZO"/>
    <x v="2"/>
    <n v="3"/>
    <s v="MARZO 2024"/>
    <x v="30"/>
    <x v="0"/>
    <s v="COSTO SVAGHI"/>
    <n v="3.9"/>
    <m/>
    <m/>
    <m/>
  </r>
  <r>
    <x v="91"/>
    <s v="MARZO"/>
    <x v="2"/>
    <n v="3"/>
    <s v="MARZO 2024"/>
    <x v="30"/>
    <x v="2"/>
    <s v="COSTO SOPRAVVIVENZA"/>
    <n v="0.4"/>
    <m/>
    <m/>
    <m/>
  </r>
  <r>
    <x v="63"/>
    <s v="MARZO"/>
    <x v="2"/>
    <n v="3"/>
    <s v="MARZO 2024"/>
    <x v="30"/>
    <x v="12"/>
    <s v="COSTO SVAGHI"/>
    <n v="31.08"/>
    <s v="3/3"/>
    <s v="PAYPAL"/>
    <m/>
  </r>
  <r>
    <x v="17"/>
    <s v="MARZO"/>
    <x v="2"/>
    <n v="3"/>
    <s v="MARZO 2024"/>
    <x v="30"/>
    <x v="7"/>
    <s v="COSTO SOPRAVVIVENZA"/>
    <n v="11.69"/>
    <m/>
    <m/>
    <m/>
  </r>
  <r>
    <x v="12"/>
    <s v="MARZO"/>
    <x v="2"/>
    <n v="3"/>
    <s v="MARZO 2024"/>
    <x v="30"/>
    <x v="7"/>
    <s v="COSTO SOPRAVVIVENZA"/>
    <n v="7.66"/>
    <m/>
    <m/>
    <m/>
  </r>
  <r>
    <x v="5"/>
    <s v="MARZO"/>
    <x v="2"/>
    <n v="3"/>
    <s v="MARZO 2024"/>
    <x v="30"/>
    <x v="8"/>
    <s v="COSTO SFIZI"/>
    <n v="6.99"/>
    <m/>
    <s v="REVOLUT"/>
    <m/>
  </r>
  <r>
    <x v="82"/>
    <s v="MARZO"/>
    <x v="2"/>
    <n v="3"/>
    <s v="MARZO 2024"/>
    <x v="30"/>
    <x v="7"/>
    <s v="COSTO SOPRAVVIVENZA"/>
    <n v="14.12"/>
    <m/>
    <m/>
    <m/>
  </r>
  <r>
    <x v="2"/>
    <s v="MARZO"/>
    <x v="2"/>
    <n v="3"/>
    <s v="MARZO 2024"/>
    <x v="30"/>
    <x v="8"/>
    <s v="COSTO SFIZI"/>
    <n v="0.99"/>
    <m/>
    <s v="AMAZON"/>
    <m/>
  </r>
  <r>
    <x v="35"/>
    <s v="MARZO"/>
    <x v="2"/>
    <n v="3"/>
    <s v="MARZO 2024"/>
    <x v="30"/>
    <x v="1"/>
    <s v="COSTO CASA"/>
    <n v="15.93"/>
    <m/>
    <m/>
    <m/>
  </r>
  <r>
    <x v="17"/>
    <s v="MARZO"/>
    <x v="2"/>
    <n v="3"/>
    <s v="MARZO 2024"/>
    <x v="30"/>
    <x v="7"/>
    <s v="COSTO SOPRAVVIVENZA"/>
    <n v="8.65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91"/>
    <s v="MARZO"/>
    <x v="2"/>
    <n v="3"/>
    <s v="MARZO 2024"/>
    <x v="30"/>
    <x v="2"/>
    <s v="COSTO SOPRAVVIVENZA"/>
    <n v="0.4"/>
    <m/>
    <m/>
    <m/>
  </r>
  <r>
    <x v="323"/>
    <s v="MARZO"/>
    <x v="2"/>
    <n v="3"/>
    <s v="MARZO 2024"/>
    <x v="30"/>
    <x v="12"/>
    <s v="COSTO SVAGHI"/>
    <n v="7.9"/>
    <m/>
    <m/>
    <m/>
  </r>
  <r>
    <x v="323"/>
    <s v="MARZO"/>
    <x v="2"/>
    <n v="3"/>
    <s v="MARZO 2024"/>
    <x v="30"/>
    <x v="12"/>
    <s v="COSTO SVAGHI"/>
    <n v="18.8"/>
    <m/>
    <m/>
    <m/>
  </r>
  <r>
    <x v="2"/>
    <s v="FEBBRAIO"/>
    <x v="2"/>
    <n v="2"/>
    <s v="FEBBRAIO 2024"/>
    <x v="31"/>
    <x v="8"/>
    <s v="COSTO SFIZI"/>
    <n v="0.99"/>
    <m/>
    <s v="AMAZON"/>
    <m/>
  </r>
  <r>
    <x v="12"/>
    <s v="FEBBRAIO"/>
    <x v="2"/>
    <n v="2"/>
    <s v="FEBBRAIO 2024"/>
    <x v="31"/>
    <x v="7"/>
    <s v="COSTO SOPRAVVIVENZA"/>
    <n v="12.91"/>
    <m/>
    <m/>
    <m/>
  </r>
  <r>
    <x v="142"/>
    <s v="FEBBRAIO"/>
    <x v="2"/>
    <n v="2"/>
    <s v="FEBBRAIO 2024"/>
    <x v="31"/>
    <x v="0"/>
    <s v="COSTO SVAGHI"/>
    <n v="75.88"/>
    <m/>
    <m/>
    <m/>
  </r>
  <r>
    <x v="11"/>
    <s v="FEBBRAIO"/>
    <x v="2"/>
    <n v="2"/>
    <s v="FEBBRAIO 2024"/>
    <x v="31"/>
    <x v="0"/>
    <s v="COSTO SVAGHI"/>
    <n v="18"/>
    <m/>
    <m/>
    <m/>
  </r>
  <r>
    <x v="254"/>
    <s v="FEBBRAIO"/>
    <x v="2"/>
    <n v="2"/>
    <s v="FEBBRAIO 2024"/>
    <x v="31"/>
    <x v="0"/>
    <s v="COSTO SVAGHI"/>
    <n v="15"/>
    <m/>
    <m/>
    <m/>
  </r>
  <r>
    <x v="324"/>
    <s v="FEBBRAIO"/>
    <x v="2"/>
    <n v="2"/>
    <s v="FEBBRAIO 2024"/>
    <x v="31"/>
    <x v="0"/>
    <s v="COSTO SVAGHI"/>
    <n v="82.6"/>
    <m/>
    <m/>
    <m/>
  </r>
  <r>
    <x v="11"/>
    <s v="FEBBRAIO"/>
    <x v="2"/>
    <n v="2"/>
    <s v="FEBBRAIO 2024"/>
    <x v="31"/>
    <x v="0"/>
    <s v="COSTO SVAGHI"/>
    <n v="15.5"/>
    <m/>
    <m/>
    <m/>
  </r>
  <r>
    <x v="17"/>
    <s v="FEBBRAIO"/>
    <x v="2"/>
    <n v="2"/>
    <s v="FEBBRAIO 2024"/>
    <x v="31"/>
    <x v="7"/>
    <s v="COSTO SOPRAVVIVENZA"/>
    <n v="6.46"/>
    <m/>
    <m/>
    <m/>
  </r>
  <r>
    <x v="82"/>
    <s v="FEBBRAIO"/>
    <x v="2"/>
    <n v="2"/>
    <s v="FEBBRAIO 2024"/>
    <x v="31"/>
    <x v="7"/>
    <s v="COSTO SOPRAVVIVENZA"/>
    <n v="5.86"/>
    <m/>
    <m/>
    <m/>
  </r>
  <r>
    <x v="6"/>
    <s v="FEBBRAIO"/>
    <x v="2"/>
    <n v="2"/>
    <s v="FEBBRAIO 2024"/>
    <x v="31"/>
    <x v="14"/>
    <s v="COSTO SOPRAVVIVENZA"/>
    <n v="5"/>
    <m/>
    <m/>
    <m/>
  </r>
  <r>
    <x v="311"/>
    <s v="FEBBRAIO"/>
    <x v="2"/>
    <n v="2"/>
    <s v="FEBBRAIO 2024"/>
    <x v="31"/>
    <x v="0"/>
    <s v="COSTO SVAGHI"/>
    <n v="18"/>
    <m/>
    <m/>
    <m/>
  </r>
  <r>
    <x v="325"/>
    <s v="FEBBRAIO"/>
    <x v="2"/>
    <n v="2"/>
    <s v="FEBBRAIO 2024"/>
    <x v="31"/>
    <x v="8"/>
    <s v="COSTO SFIZI"/>
    <n v="1"/>
    <m/>
    <m/>
    <m/>
  </r>
  <r>
    <x v="12"/>
    <s v="FEBBRAIO"/>
    <x v="2"/>
    <n v="2"/>
    <s v="FEBBRAIO 2024"/>
    <x v="31"/>
    <x v="7"/>
    <s v="COSTO SOPRAVVIVENZA"/>
    <n v="8.06"/>
    <m/>
    <m/>
    <m/>
  </r>
  <r>
    <x v="2"/>
    <s v="FEBBRAIO"/>
    <x v="2"/>
    <n v="2"/>
    <s v="FEBBRAIO 2024"/>
    <x v="31"/>
    <x v="8"/>
    <s v="COSTO SFIZI"/>
    <n v="29.99"/>
    <m/>
    <s v="AMAZON"/>
    <m/>
  </r>
  <r>
    <x v="326"/>
    <s v="FEBBRAIO"/>
    <x v="2"/>
    <n v="2"/>
    <s v="FEBBRAIO 2024"/>
    <x v="31"/>
    <x v="0"/>
    <s v="COSTO SVAGHI"/>
    <n v="35"/>
    <m/>
    <m/>
    <m/>
  </r>
  <r>
    <x v="17"/>
    <s v="FEBBRAIO"/>
    <x v="2"/>
    <n v="2"/>
    <s v="FEBBRAIO 2024"/>
    <x v="31"/>
    <x v="7"/>
    <s v="COSTO SOPRAVVIVENZA"/>
    <n v="3.4"/>
    <m/>
    <m/>
    <m/>
  </r>
  <r>
    <x v="6"/>
    <s v="FEBBRAIO"/>
    <x v="2"/>
    <n v="2"/>
    <s v="FEBBRAIO 2024"/>
    <x v="31"/>
    <x v="0"/>
    <s v="COSTO SVAGHI"/>
    <n v="3.9"/>
    <m/>
    <m/>
    <m/>
  </r>
  <r>
    <x v="327"/>
    <s v="FEBBRAIO"/>
    <x v="2"/>
    <n v="2"/>
    <s v="FEBBRAIO 2024"/>
    <x v="31"/>
    <x v="0"/>
    <s v="COSTO SVAGHI"/>
    <n v="16"/>
    <m/>
    <m/>
    <m/>
  </r>
  <r>
    <x v="12"/>
    <s v="FEBBRAIO"/>
    <x v="2"/>
    <n v="2"/>
    <s v="FEBBRAIO 2024"/>
    <x v="31"/>
    <x v="7"/>
    <s v="COSTO SOPRAVVIVENZA"/>
    <n v="13.78"/>
    <m/>
    <m/>
    <m/>
  </r>
  <r>
    <x v="328"/>
    <s v="FEBBRAIO"/>
    <x v="2"/>
    <n v="2"/>
    <s v="FEBBRAIO 2024"/>
    <x v="31"/>
    <x v="0"/>
    <s v="COSTO SVAGHI"/>
    <n v="20"/>
    <m/>
    <m/>
    <m/>
  </r>
  <r>
    <x v="18"/>
    <s v="FEBBRAIO"/>
    <x v="2"/>
    <n v="2"/>
    <s v="FEBBRAIO 2024"/>
    <x v="31"/>
    <x v="0"/>
    <s v="COSTO SVAGHI"/>
    <n v="22"/>
    <m/>
    <m/>
    <m/>
  </r>
  <r>
    <x v="35"/>
    <s v="FEBBRAIO"/>
    <x v="2"/>
    <n v="2"/>
    <s v="FEBBRAIO 2024"/>
    <x v="31"/>
    <x v="1"/>
    <s v="COSTO CASA"/>
    <n v="4.99"/>
    <m/>
    <m/>
    <m/>
  </r>
  <r>
    <x v="91"/>
    <s v="FEBBRAIO"/>
    <x v="2"/>
    <n v="2"/>
    <s v="FEBBRAIO 2024"/>
    <x v="31"/>
    <x v="2"/>
    <s v="COSTO SOPRAVVIVENZA"/>
    <n v="0.4"/>
    <m/>
    <m/>
    <m/>
  </r>
  <r>
    <x v="91"/>
    <s v="FEBBRAIO"/>
    <x v="2"/>
    <n v="2"/>
    <s v="FEBBRAIO 2024"/>
    <x v="31"/>
    <x v="2"/>
    <s v="COSTO SOPRAVVIVENZA"/>
    <n v="0.4"/>
    <m/>
    <m/>
    <m/>
  </r>
  <r>
    <x v="91"/>
    <s v="FEBBRAIO"/>
    <x v="2"/>
    <n v="2"/>
    <s v="FEBBRAIO 2024"/>
    <x v="31"/>
    <x v="2"/>
    <s v="COSTO SOPRAVVIVENZA"/>
    <n v="0.4"/>
    <m/>
    <m/>
    <m/>
  </r>
  <r>
    <x v="91"/>
    <s v="FEBBRAIO"/>
    <x v="2"/>
    <n v="2"/>
    <s v="FEBBRAIO 2024"/>
    <x v="31"/>
    <x v="2"/>
    <s v="COSTO SOPRAVVIVENZA"/>
    <n v="0.4"/>
    <m/>
    <m/>
    <m/>
  </r>
  <r>
    <x v="8"/>
    <s v="FEBBRAIO"/>
    <x v="2"/>
    <n v="2"/>
    <s v="FEBBRAIO 2024"/>
    <x v="31"/>
    <x v="6"/>
    <s v="COSTO SOPRAVVIVENZA"/>
    <n v="33"/>
    <m/>
    <m/>
    <m/>
  </r>
  <r>
    <x v="63"/>
    <s v="FEBBRAIO"/>
    <x v="2"/>
    <n v="2"/>
    <s v="FEBBRAIO 2024"/>
    <x v="31"/>
    <x v="12"/>
    <s v="COSTO SVAGHI"/>
    <n v="31.09"/>
    <s v="2/3"/>
    <s v="PAYPAL"/>
    <m/>
  </r>
  <r>
    <x v="53"/>
    <s v="FEBBRAIO"/>
    <x v="2"/>
    <n v="2"/>
    <s v="FEBBRAIO 2024"/>
    <x v="31"/>
    <x v="1"/>
    <s v="COSTO CASA"/>
    <n v="22.16"/>
    <m/>
    <m/>
    <m/>
  </r>
  <r>
    <x v="35"/>
    <s v="FEBBRAIO"/>
    <x v="2"/>
    <n v="2"/>
    <s v="FEBBRAIO 2024"/>
    <x v="31"/>
    <x v="1"/>
    <s v="COSTO CASA"/>
    <n v="19.690000000000001"/>
    <m/>
    <m/>
    <m/>
  </r>
  <r>
    <x v="82"/>
    <s v="FEBBRAIO"/>
    <x v="2"/>
    <n v="2"/>
    <s v="FEBBRAIO 2024"/>
    <x v="31"/>
    <x v="7"/>
    <s v="COSTO SOPRAVVIVENZA"/>
    <n v="20.73"/>
    <m/>
    <m/>
    <m/>
  </r>
  <r>
    <x v="12"/>
    <s v="FEBBRAIO"/>
    <x v="2"/>
    <n v="2"/>
    <s v="FEBBRAIO 2024"/>
    <x v="31"/>
    <x v="7"/>
    <s v="COSTO SOPRAVVIVENZA"/>
    <n v="8.76"/>
    <m/>
    <m/>
    <m/>
  </r>
  <r>
    <x v="17"/>
    <s v="FEBBRAIO"/>
    <x v="2"/>
    <n v="2"/>
    <s v="FEBBRAIO 2024"/>
    <x v="31"/>
    <x v="7"/>
    <s v="COSTO SOPRAVVIVENZA"/>
    <n v="11.15"/>
    <m/>
    <m/>
    <m/>
  </r>
  <r>
    <x v="91"/>
    <s v="FEBBRAIO"/>
    <x v="2"/>
    <n v="2"/>
    <s v="FEBBRAIO 2024"/>
    <x v="31"/>
    <x v="2"/>
    <s v="COSTO SOPRAVVIVENZA"/>
    <n v="1.5"/>
    <m/>
    <m/>
    <m/>
  </r>
  <r>
    <x v="91"/>
    <s v="FEBBRAIO"/>
    <x v="2"/>
    <n v="2"/>
    <s v="FEBBRAIO 2024"/>
    <x v="31"/>
    <x v="2"/>
    <s v="COSTO SOPRAVVIVENZA"/>
    <n v="1.3"/>
    <m/>
    <m/>
    <m/>
  </r>
  <r>
    <x v="91"/>
    <s v="FEBBRAIO"/>
    <x v="2"/>
    <n v="2"/>
    <s v="FEBBRAIO 2024"/>
    <x v="31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12"/>
    <s v="GENNAIO"/>
    <x v="2"/>
    <n v="1"/>
    <s v="GENNAIO 2024"/>
    <x v="32"/>
    <x v="7"/>
    <s v="COSTO SOPRAVVIVENZA"/>
    <n v="11.69"/>
    <m/>
    <m/>
    <m/>
  </r>
  <r>
    <x v="6"/>
    <s v="GENNAIO"/>
    <x v="2"/>
    <n v="1"/>
    <s v="GENNAIO 2024"/>
    <x v="32"/>
    <x v="14"/>
    <s v="COSTO SOPRAVVIVENZA"/>
    <n v="5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91"/>
    <s v="GENNAIO"/>
    <x v="2"/>
    <n v="1"/>
    <s v="GENNAIO 2024"/>
    <x v="32"/>
    <x v="2"/>
    <s v="COSTO SOPRAVVIVENZA"/>
    <n v="0.4"/>
    <m/>
    <m/>
    <m/>
  </r>
  <r>
    <x v="82"/>
    <s v="GENNAIO"/>
    <x v="2"/>
    <n v="1"/>
    <s v="GENNAIO 2024"/>
    <x v="32"/>
    <x v="7"/>
    <s v="COSTO SOPRAVVIVENZA"/>
    <n v="8.33"/>
    <m/>
    <m/>
    <m/>
  </r>
  <r>
    <x v="6"/>
    <s v="GENNAIO"/>
    <x v="2"/>
    <n v="1"/>
    <s v="GENNAIO 2024"/>
    <x v="32"/>
    <x v="0"/>
    <s v="COSTO SVAGHI"/>
    <n v="3.9"/>
    <m/>
    <m/>
    <m/>
  </r>
  <r>
    <x v="254"/>
    <s v="GENNAIO"/>
    <x v="2"/>
    <n v="1"/>
    <s v="GENNAIO 2024"/>
    <x v="32"/>
    <x v="0"/>
    <s v="COSTO SVAGHI"/>
    <n v="16"/>
    <m/>
    <m/>
    <m/>
  </r>
  <r>
    <x v="69"/>
    <s v="GENNAIO"/>
    <x v="2"/>
    <n v="1"/>
    <s v="GENNAIO 2024"/>
    <x v="32"/>
    <x v="0"/>
    <s v="COSTO SVAGHI"/>
    <n v="56"/>
    <m/>
    <m/>
    <m/>
  </r>
  <r>
    <x v="2"/>
    <s v="GENNAIO"/>
    <x v="2"/>
    <n v="1"/>
    <s v="GENNAIO 2024"/>
    <x v="32"/>
    <x v="8"/>
    <s v="COSTO SFIZI"/>
    <n v="30.1"/>
    <m/>
    <s v="AMAZON"/>
    <m/>
  </r>
  <r>
    <x v="53"/>
    <s v="GENNAIO"/>
    <x v="2"/>
    <n v="1"/>
    <s v="GENNAIO 2024"/>
    <x v="32"/>
    <x v="1"/>
    <s v="COSTO CASA"/>
    <n v="13.7"/>
    <m/>
    <m/>
    <m/>
  </r>
  <r>
    <x v="17"/>
    <s v="GENNAIO"/>
    <x v="2"/>
    <n v="1"/>
    <s v="GENNAIO 2024"/>
    <x v="32"/>
    <x v="7"/>
    <s v="COSTO SOPRAVVIVENZA"/>
    <n v="21.23"/>
    <m/>
    <m/>
    <m/>
  </r>
  <r>
    <x v="311"/>
    <s v="GENNAIO"/>
    <x v="2"/>
    <n v="1"/>
    <s v="GENNAIO 2024"/>
    <x v="32"/>
    <x v="0"/>
    <s v="COSTO SVAGHI"/>
    <n v="19"/>
    <m/>
    <m/>
    <m/>
  </r>
  <r>
    <x v="35"/>
    <s v="GENNAIO"/>
    <x v="2"/>
    <n v="1"/>
    <s v="GENNAIO 2024"/>
    <x v="32"/>
    <x v="1"/>
    <s v="COSTO CASA"/>
    <n v="12.69"/>
    <m/>
    <m/>
    <m/>
  </r>
  <r>
    <x v="63"/>
    <s v="GENNAIO"/>
    <x v="2"/>
    <n v="1"/>
    <s v="GENNAIO 2024"/>
    <x v="32"/>
    <x v="12"/>
    <s v="COSTO SVAGHI"/>
    <n v="31.09"/>
    <s v="1/3"/>
    <s v="PAYPAL"/>
    <m/>
  </r>
  <r>
    <x v="277"/>
    <s v="GENNAIO"/>
    <x v="2"/>
    <n v="1"/>
    <s v="GENNAIO 2024"/>
    <x v="32"/>
    <x v="22"/>
    <s v="COSTO SFIZI"/>
    <n v="23.32"/>
    <s v="3/3"/>
    <s v="PAYPAL"/>
    <m/>
  </r>
  <r>
    <x v="142"/>
    <s v="GENNAIO"/>
    <x v="2"/>
    <n v="1"/>
    <s v="GENNAIO 2024"/>
    <x v="32"/>
    <x v="0"/>
    <s v="COSTO SVAGHI"/>
    <n v="59"/>
    <m/>
    <m/>
    <m/>
  </r>
  <r>
    <x v="21"/>
    <s v="GENNAIO"/>
    <x v="2"/>
    <n v="1"/>
    <s v="GENNAIO 2024"/>
    <x v="32"/>
    <x v="9"/>
    <s v="COSTO MOBILITA'"/>
    <n v="27"/>
    <m/>
    <m/>
    <m/>
  </r>
  <r>
    <x v="329"/>
    <s v="GENNAIO"/>
    <x v="2"/>
    <n v="1"/>
    <s v="GENNAIO 2024"/>
    <x v="32"/>
    <x v="0"/>
    <s v="COSTO SVAGHI"/>
    <n v="24.2"/>
    <m/>
    <m/>
    <m/>
  </r>
  <r>
    <x v="76"/>
    <s v="GENNAIO"/>
    <x v="2"/>
    <n v="1"/>
    <s v="GENNAIO 2024"/>
    <x v="32"/>
    <x v="0"/>
    <s v="COSTO SVAGHI"/>
    <n v="25.2"/>
    <m/>
    <m/>
    <m/>
  </r>
  <r>
    <x v="82"/>
    <s v="GENNAIO"/>
    <x v="2"/>
    <n v="1"/>
    <s v="GENNAIO 2024"/>
    <x v="32"/>
    <x v="7"/>
    <s v="COSTO SOPRAVVIVENZA"/>
    <n v="26.56"/>
    <m/>
    <m/>
    <m/>
  </r>
  <r>
    <x v="330"/>
    <s v="GENNAIO"/>
    <x v="2"/>
    <n v="1"/>
    <s v="GENNAIO 2024"/>
    <x v="32"/>
    <x v="1"/>
    <s v="COSTO CASA"/>
    <n v="43.27"/>
    <s v="3/3"/>
    <s v="PAYPAL"/>
    <m/>
  </r>
  <r>
    <x v="17"/>
    <s v="GENNAIO"/>
    <x v="2"/>
    <n v="1"/>
    <s v="GENNAIO 2024"/>
    <x v="32"/>
    <x v="7"/>
    <s v="COSTO SOPRAVVIVENZA"/>
    <n v="4.4000000000000004"/>
    <m/>
    <m/>
    <m/>
  </r>
  <r>
    <x v="331"/>
    <s v="DICEMBRE"/>
    <x v="3"/>
    <n v="12"/>
    <s v="DICEMBRE 2023"/>
    <x v="33"/>
    <x v="10"/>
    <s v="COSTO SFIZI"/>
    <n v="11"/>
    <m/>
    <m/>
    <s v="Regali natale 2023"/>
  </r>
  <r>
    <x v="145"/>
    <s v="DICEMBRE"/>
    <x v="3"/>
    <n v="12"/>
    <s v="DICEMBRE 2023"/>
    <x v="33"/>
    <x v="10"/>
    <s v="COSTO SFIZI"/>
    <n v="44.99"/>
    <m/>
    <m/>
    <s v="Regali natale 2023"/>
  </r>
  <r>
    <x v="144"/>
    <s v="DICEMBRE"/>
    <x v="3"/>
    <n v="12"/>
    <s v="DICEMBRE 2023"/>
    <x v="33"/>
    <x v="23"/>
    <s v="COSTO SFIZI"/>
    <n v="15.9"/>
    <m/>
    <m/>
    <s v="Regali natale 2023"/>
  </r>
  <r>
    <x v="332"/>
    <s v="DICEMBRE"/>
    <x v="3"/>
    <n v="12"/>
    <s v="DICEMBRE 2023"/>
    <x v="33"/>
    <x v="10"/>
    <s v="COSTO SFIZI"/>
    <n v="67"/>
    <m/>
    <m/>
    <s v="Regali natale 2023"/>
  </r>
  <r>
    <x v="224"/>
    <s v="DICEMBRE"/>
    <x v="3"/>
    <n v="12"/>
    <s v="DICEMBRE 2023"/>
    <x v="33"/>
    <x v="10"/>
    <s v="COSTO SFIZI"/>
    <n v="37.9"/>
    <m/>
    <m/>
    <s v="Regali natale 2023"/>
  </r>
  <r>
    <x v="6"/>
    <s v="DICEMBRE"/>
    <x v="3"/>
    <n v="12"/>
    <s v="DICEMBRE 2023"/>
    <x v="33"/>
    <x v="0"/>
    <s v="COSTO SVAGHI"/>
    <n v="23"/>
    <m/>
    <m/>
    <m/>
  </r>
  <r>
    <x v="82"/>
    <s v="DICEMBRE"/>
    <x v="3"/>
    <n v="12"/>
    <s v="DICEMBRE 2023"/>
    <x v="33"/>
    <x v="7"/>
    <s v="COSTO SOPRAVVIVENZA"/>
    <n v="9.0399999999999991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2"/>
    <s v="DICEMBRE"/>
    <x v="3"/>
    <n v="12"/>
    <s v="DICEMBRE 2023"/>
    <x v="33"/>
    <x v="10"/>
    <s v="COSTO SFIZI"/>
    <n v="22.49"/>
    <m/>
    <s v="AMAZON"/>
    <s v="Regali natale 2023"/>
  </r>
  <r>
    <x v="76"/>
    <s v="DICEMBRE"/>
    <x v="3"/>
    <n v="12"/>
    <s v="DICEMBRE 2023"/>
    <x v="33"/>
    <x v="0"/>
    <s v="COSTO SVAGHI"/>
    <n v="26.2"/>
    <m/>
    <m/>
    <m/>
  </r>
  <r>
    <x v="333"/>
    <s v="DICEMBRE"/>
    <x v="3"/>
    <n v="12"/>
    <s v="DICEMBRE 2023"/>
    <x v="33"/>
    <x v="7"/>
    <s v="COSTO SOPRAVVIVENZA"/>
    <n v="6.78"/>
    <m/>
    <m/>
    <s v="compleanno"/>
  </r>
  <r>
    <x v="6"/>
    <s v="DICEMBRE"/>
    <x v="3"/>
    <n v="12"/>
    <s v="DICEMBRE 2023"/>
    <x v="33"/>
    <x v="14"/>
    <s v="COSTO SOPRAVVIVENZA"/>
    <n v="5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91"/>
    <s v="DICEMBRE"/>
    <x v="3"/>
    <n v="12"/>
    <s v="DICEMBRE 2023"/>
    <x v="33"/>
    <x v="2"/>
    <s v="COSTO SOPRAVVIVENZA"/>
    <n v="0.4"/>
    <m/>
    <m/>
    <m/>
  </r>
  <r>
    <x v="259"/>
    <s v="DICEMBRE"/>
    <x v="3"/>
    <n v="12"/>
    <s v="DICEMBRE 2023"/>
    <x v="33"/>
    <x v="7"/>
    <s v="COSTO SOPRAVVIVENZA"/>
    <n v="34"/>
    <m/>
    <m/>
    <s v="compleanno"/>
  </r>
  <r>
    <x v="35"/>
    <s v="DICEMBRE"/>
    <x v="3"/>
    <n v="12"/>
    <s v="DICEMBRE 2023"/>
    <x v="33"/>
    <x v="1"/>
    <s v="COSTO CASA"/>
    <n v="5.98"/>
    <m/>
    <m/>
    <m/>
  </r>
  <r>
    <x v="55"/>
    <s v="DICEMBRE"/>
    <x v="3"/>
    <n v="12"/>
    <s v="DICEMBRE 2023"/>
    <x v="33"/>
    <x v="7"/>
    <s v="COSTO SOPRAVVIVENZA"/>
    <n v="22.36"/>
    <m/>
    <m/>
    <s v="compleanno"/>
  </r>
  <r>
    <x v="82"/>
    <s v="DICEMBRE"/>
    <x v="3"/>
    <n v="12"/>
    <s v="DICEMBRE 2023"/>
    <x v="33"/>
    <x v="7"/>
    <s v="COSTO SOPRAVVIVENZA"/>
    <n v="24.35"/>
    <m/>
    <m/>
    <s v="compleanno"/>
  </r>
  <r>
    <x v="2"/>
    <s v="DICEMBRE"/>
    <x v="3"/>
    <n v="12"/>
    <s v="DICEMBRE 2023"/>
    <x v="33"/>
    <x v="10"/>
    <s v="COSTO SFIZI"/>
    <n v="56.91"/>
    <m/>
    <s v="AMAZON"/>
    <s v="Regali natale 2023"/>
  </r>
  <r>
    <x v="334"/>
    <s v="DICEMBRE"/>
    <x v="3"/>
    <n v="12"/>
    <s v="DICEMBRE 2023"/>
    <x v="33"/>
    <x v="0"/>
    <s v="COSTO SVAGHI"/>
    <n v="6"/>
    <m/>
    <m/>
    <m/>
  </r>
  <r>
    <x v="335"/>
    <s v="DICEMBRE"/>
    <x v="3"/>
    <n v="12"/>
    <s v="DICEMBRE 2023"/>
    <x v="33"/>
    <x v="0"/>
    <s v="COSTO SVAGHI"/>
    <n v="69"/>
    <m/>
    <m/>
    <m/>
  </r>
  <r>
    <x v="336"/>
    <s v="DICEMBRE"/>
    <x v="3"/>
    <n v="12"/>
    <s v="DICEMBRE 2023"/>
    <x v="33"/>
    <x v="0"/>
    <s v="COSTO SVAGHI"/>
    <n v="12"/>
    <m/>
    <m/>
    <m/>
  </r>
  <r>
    <x v="8"/>
    <s v="DICEMBRE"/>
    <x v="3"/>
    <n v="12"/>
    <s v="DICEMBRE 2023"/>
    <x v="33"/>
    <x v="6"/>
    <s v="COSTO SOPRAVVIVENZA"/>
    <n v="33"/>
    <m/>
    <m/>
    <m/>
  </r>
  <r>
    <x v="2"/>
    <s v="DICEMBRE"/>
    <x v="3"/>
    <n v="12"/>
    <s v="DICEMBRE 2023"/>
    <x v="33"/>
    <x v="8"/>
    <s v="COSTO SFIZI"/>
    <n v="18.989999999999998"/>
    <m/>
    <s v="AMAZON"/>
    <m/>
  </r>
  <r>
    <x v="7"/>
    <s v="DICEMBRE"/>
    <x v="3"/>
    <n v="12"/>
    <s v="DICEMBRE 2023"/>
    <x v="33"/>
    <x v="5"/>
    <s v="COSTO VACANZE"/>
    <n v="350.78"/>
    <m/>
    <m/>
    <m/>
  </r>
  <r>
    <x v="2"/>
    <s v="DICEMBRE"/>
    <x v="3"/>
    <n v="12"/>
    <s v="DICEMBRE 2023"/>
    <x v="33"/>
    <x v="8"/>
    <s v="COSTO SFIZI"/>
    <n v="20.99"/>
    <m/>
    <s v="AMAZON"/>
    <m/>
  </r>
  <r>
    <x v="12"/>
    <s v="DICEMBRE"/>
    <x v="3"/>
    <n v="12"/>
    <s v="DICEMBRE 2023"/>
    <x v="33"/>
    <x v="7"/>
    <s v="COSTO SOPRAVVIVENZA"/>
    <n v="16.84"/>
    <m/>
    <m/>
    <m/>
  </r>
  <r>
    <x v="337"/>
    <s v="DICEMBRE"/>
    <x v="3"/>
    <n v="12"/>
    <s v="DICEMBRE 2023"/>
    <x v="33"/>
    <x v="11"/>
    <s v="COSTO SFIZI"/>
    <n v="27.19"/>
    <m/>
    <m/>
    <m/>
  </r>
  <r>
    <x v="61"/>
    <s v="DICEMBRE"/>
    <x v="3"/>
    <n v="12"/>
    <s v="DICEMBRE 2023"/>
    <x v="33"/>
    <x v="11"/>
    <s v="COSTO SFIZI"/>
    <n v="21.63"/>
    <m/>
    <m/>
    <m/>
  </r>
  <r>
    <x v="35"/>
    <s v="DICEMBRE"/>
    <x v="3"/>
    <n v="12"/>
    <s v="DICEMBRE 2023"/>
    <x v="33"/>
    <x v="1"/>
    <s v="COSTO CASA"/>
    <n v="15.57"/>
    <m/>
    <m/>
    <m/>
  </r>
  <r>
    <x v="82"/>
    <s v="DICEMBRE"/>
    <x v="3"/>
    <n v="12"/>
    <s v="DICEMBRE 2023"/>
    <x v="33"/>
    <x v="7"/>
    <s v="COSTO SOPRAVVIVENZA"/>
    <n v="26.62"/>
    <m/>
    <m/>
    <m/>
  </r>
  <r>
    <x v="338"/>
    <s v="DICEMBRE"/>
    <x v="3"/>
    <n v="12"/>
    <s v="DICEMBRE 2023"/>
    <x v="33"/>
    <x v="5"/>
    <s v="COSTO VACANZE"/>
    <n v="2"/>
    <m/>
    <m/>
    <m/>
  </r>
  <r>
    <x v="277"/>
    <s v="DICEMBRE"/>
    <x v="3"/>
    <n v="12"/>
    <s v="DICEMBRE 2023"/>
    <x v="33"/>
    <x v="22"/>
    <s v="COSTO SFIZI"/>
    <n v="23.33"/>
    <s v="2/3"/>
    <s v="PAYPAL"/>
    <m/>
  </r>
  <r>
    <x v="330"/>
    <s v="DICEMBRE"/>
    <x v="3"/>
    <n v="12"/>
    <s v="DICEMBRE 2023"/>
    <x v="33"/>
    <x v="1"/>
    <s v="COSTO CASA"/>
    <n v="43.27"/>
    <s v="2/3"/>
    <s v="PAYPAL"/>
    <m/>
  </r>
  <r>
    <x v="339"/>
    <s v="DICEMBRE"/>
    <x v="3"/>
    <n v="12"/>
    <s v="DICEMBRE 2023"/>
    <x v="33"/>
    <x v="0"/>
    <s v="COSTO SVAGHI"/>
    <n v="1.7"/>
    <m/>
    <m/>
    <m/>
  </r>
  <r>
    <x v="340"/>
    <s v="DICEMBRE"/>
    <x v="3"/>
    <n v="12"/>
    <s v="DICEMBRE 2023"/>
    <x v="33"/>
    <x v="23"/>
    <s v="COSTO SFIZI"/>
    <n v="30.45"/>
    <m/>
    <m/>
    <m/>
  </r>
  <r>
    <x v="341"/>
    <s v="DICEMBRE"/>
    <x v="3"/>
    <n v="12"/>
    <s v="DICEMBRE 2023"/>
    <x v="33"/>
    <x v="23"/>
    <s v="COSTO SFIZI"/>
    <n v="20.399999999999999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6"/>
    <s v="NOVEMBRE"/>
    <x v="3"/>
    <n v="11"/>
    <s v="NOVEMBRE 2023"/>
    <x v="34"/>
    <x v="14"/>
    <s v="COSTO SOPRAVVIVENZA"/>
    <n v="5"/>
    <m/>
    <m/>
    <m/>
  </r>
  <r>
    <x v="76"/>
    <s v="NOVEMBRE"/>
    <x v="3"/>
    <n v="11"/>
    <s v="NOVEMBRE 2023"/>
    <x v="34"/>
    <x v="0"/>
    <s v="COSTO SVAGHI"/>
    <n v="28.3"/>
    <m/>
    <m/>
    <m/>
  </r>
  <r>
    <x v="6"/>
    <s v="NOVEMBRE"/>
    <x v="3"/>
    <n v="11"/>
    <s v="NOVEMBRE 2023"/>
    <x v="34"/>
    <x v="14"/>
    <s v="COSTO SOPRAVVIVENZA"/>
    <n v="5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2"/>
    <s v="NOVEMBRE"/>
    <x v="3"/>
    <n v="11"/>
    <s v="NOVEMBRE 2023"/>
    <x v="34"/>
    <x v="8"/>
    <s v="COSTO SFIZI"/>
    <n v="1.26"/>
    <m/>
    <s v="AMAZON"/>
    <m/>
  </r>
  <r>
    <x v="53"/>
    <s v="NOVEMBRE"/>
    <x v="3"/>
    <n v="11"/>
    <s v="NOVEMBRE 2023"/>
    <x v="34"/>
    <x v="1"/>
    <s v="COSTO CASA"/>
    <n v="9.9"/>
    <m/>
    <m/>
    <m/>
  </r>
  <r>
    <x v="2"/>
    <s v="NOVEMBRE"/>
    <x v="3"/>
    <n v="11"/>
    <s v="NOVEMBRE 2023"/>
    <x v="34"/>
    <x v="11"/>
    <s v="COSTO SFIZI"/>
    <n v="23"/>
    <m/>
    <s v="AMAZON"/>
    <m/>
  </r>
  <r>
    <x v="82"/>
    <s v="NOVEMBRE"/>
    <x v="3"/>
    <n v="11"/>
    <s v="NOVEMBRE 2023"/>
    <x v="34"/>
    <x v="7"/>
    <s v="COSTO SOPRAVVIVENZA"/>
    <n v="9.0399999999999991"/>
    <m/>
    <m/>
    <m/>
  </r>
  <r>
    <x v="277"/>
    <s v="NOVEMBRE"/>
    <x v="3"/>
    <n v="11"/>
    <s v="NOVEMBRE 2023"/>
    <x v="34"/>
    <x v="22"/>
    <s v="COSTO SFIZI"/>
    <n v="23.32"/>
    <s v="1/3"/>
    <s v="PAYPAL"/>
    <m/>
  </r>
  <r>
    <x v="325"/>
    <s v="NOVEMBRE"/>
    <x v="3"/>
    <n v="11"/>
    <s v="NOVEMBRE 2023"/>
    <x v="34"/>
    <x v="22"/>
    <s v="COSTO SFIZI"/>
    <n v="9.99"/>
    <m/>
    <s v="PAYPAL"/>
    <m/>
  </r>
  <r>
    <x v="53"/>
    <s v="NOVEMBRE"/>
    <x v="3"/>
    <n v="11"/>
    <s v="NOVEMBRE 2023"/>
    <x v="34"/>
    <x v="1"/>
    <s v="COSTO CASA"/>
    <n v="27.25"/>
    <m/>
    <m/>
    <m/>
  </r>
  <r>
    <x v="342"/>
    <s v="NOVEMBRE"/>
    <x v="3"/>
    <n v="11"/>
    <s v="NOVEMBRE 2023"/>
    <x v="34"/>
    <x v="0"/>
    <s v="COSTO SVAGHI"/>
    <n v="36.1"/>
    <m/>
    <m/>
    <m/>
  </r>
  <r>
    <x v="332"/>
    <s v="NOVEMBRE"/>
    <x v="3"/>
    <n v="11"/>
    <s v="NOVEMBRE 2023"/>
    <x v="34"/>
    <x v="24"/>
    <s v="COSTO SOPRAVVIVENZA"/>
    <n v="30"/>
    <m/>
    <m/>
    <m/>
  </r>
  <r>
    <x v="332"/>
    <s v="NOVEMBRE"/>
    <x v="3"/>
    <n v="11"/>
    <s v="NOVEMBRE 2023"/>
    <x v="34"/>
    <x v="24"/>
    <s v="COSTO SOPRAVVIVENZA"/>
    <n v="10"/>
    <m/>
    <m/>
    <m/>
  </r>
  <r>
    <x v="82"/>
    <s v="NOVEMBRE"/>
    <x v="3"/>
    <n v="11"/>
    <s v="NOVEMBRE 2023"/>
    <x v="34"/>
    <x v="7"/>
    <s v="COSTO SOPRAVVIVENZA"/>
    <n v="2.48"/>
    <m/>
    <m/>
    <m/>
  </r>
  <r>
    <x v="82"/>
    <s v="NOVEMBRE"/>
    <x v="3"/>
    <n v="11"/>
    <s v="NOVEMBRE 2023"/>
    <x v="34"/>
    <x v="7"/>
    <s v="COSTO SOPRAVVIVENZA"/>
    <n v="0.99"/>
    <m/>
    <m/>
    <m/>
  </r>
  <r>
    <x v="35"/>
    <s v="NOVEMBRE"/>
    <x v="3"/>
    <n v="11"/>
    <s v="NOVEMBRE 2023"/>
    <x v="34"/>
    <x v="1"/>
    <s v="COSTO CASA"/>
    <n v="8.3000000000000007"/>
    <m/>
    <m/>
    <m/>
  </r>
  <r>
    <x v="6"/>
    <s v="NOVEMBRE"/>
    <x v="3"/>
    <n v="11"/>
    <s v="NOVEMBRE 2023"/>
    <x v="34"/>
    <x v="0"/>
    <s v="COSTO SVAGHI"/>
    <n v="3.9"/>
    <m/>
    <m/>
    <m/>
  </r>
  <r>
    <x v="6"/>
    <s v="NOVEMBRE"/>
    <x v="3"/>
    <n v="11"/>
    <s v="NOVEMBRE 2023"/>
    <x v="34"/>
    <x v="14"/>
    <s v="COSTO SOPRAVVIVENZA"/>
    <n v="5"/>
    <m/>
    <m/>
    <m/>
  </r>
  <r>
    <x v="82"/>
    <s v="NOVEMBRE"/>
    <x v="3"/>
    <n v="11"/>
    <s v="NOVEMBRE 2023"/>
    <x v="34"/>
    <x v="7"/>
    <s v="COSTO SOPRAVVIVENZA"/>
    <n v="16.72"/>
    <m/>
    <m/>
    <m/>
  </r>
  <r>
    <x v="52"/>
    <s v="NOVEMBRE"/>
    <x v="3"/>
    <n v="11"/>
    <s v="NOVEMBRE 2023"/>
    <x v="34"/>
    <x v="0"/>
    <s v="COSTO SVAGHI"/>
    <n v="18.5"/>
    <m/>
    <m/>
    <m/>
  </r>
  <r>
    <x v="91"/>
    <s v="NOVEMBRE"/>
    <x v="3"/>
    <n v="11"/>
    <s v="NOVEMBRE 2023"/>
    <x v="34"/>
    <x v="2"/>
    <s v="COSTO SOPRAVVIVENZA"/>
    <n v="1.5"/>
    <m/>
    <m/>
    <m/>
  </r>
  <r>
    <x v="343"/>
    <s v="NOVEMBRE"/>
    <x v="3"/>
    <n v="11"/>
    <s v="NOVEMBRE 2023"/>
    <x v="34"/>
    <x v="0"/>
    <s v="COSTO SVAGHI"/>
    <n v="10"/>
    <m/>
    <m/>
    <m/>
  </r>
  <r>
    <x v="343"/>
    <s v="NOVEMBRE"/>
    <x v="3"/>
    <n v="11"/>
    <s v="NOVEMBRE 2023"/>
    <x v="34"/>
    <x v="0"/>
    <s v="COSTO SVAGHI"/>
    <n v="48"/>
    <m/>
    <m/>
    <m/>
  </r>
  <r>
    <x v="137"/>
    <s v="NOVEMBRE"/>
    <x v="3"/>
    <n v="11"/>
    <s v="NOVEMBRE 2023"/>
    <x v="34"/>
    <x v="6"/>
    <s v="COSTO SOPRAVVIVENZA"/>
    <n v="50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35"/>
    <s v="NOVEMBRE"/>
    <x v="3"/>
    <n v="11"/>
    <s v="NOVEMBRE 2023"/>
    <x v="34"/>
    <x v="1"/>
    <s v="COSTO CASA"/>
    <n v="4.3899999999999997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82"/>
    <s v="NOVEMBRE"/>
    <x v="3"/>
    <n v="11"/>
    <s v="NOVEMBRE 2023"/>
    <x v="34"/>
    <x v="7"/>
    <s v="COSTO SOPRAVVIVENZA"/>
    <n v="9.82"/>
    <m/>
    <m/>
    <m/>
  </r>
  <r>
    <x v="12"/>
    <s v="NOVEMBRE"/>
    <x v="3"/>
    <n v="11"/>
    <s v="NOVEMBRE 2023"/>
    <x v="34"/>
    <x v="7"/>
    <s v="COSTO SOPRAVVIVENZA"/>
    <n v="12.75"/>
    <m/>
    <m/>
    <m/>
  </r>
  <r>
    <x v="331"/>
    <s v="NOVEMBRE"/>
    <x v="3"/>
    <n v="11"/>
    <s v="NOVEMBRE 2023"/>
    <x v="34"/>
    <x v="1"/>
    <s v="COSTO CASA"/>
    <n v="16"/>
    <m/>
    <m/>
    <m/>
  </r>
  <r>
    <x v="91"/>
    <s v="NOVEMBRE"/>
    <x v="3"/>
    <n v="11"/>
    <s v="NOVEMBRE 2023"/>
    <x v="34"/>
    <x v="2"/>
    <s v="COSTO SOPRAVVIVENZA"/>
    <n v="0.4"/>
    <m/>
    <m/>
    <m/>
  </r>
  <r>
    <x v="325"/>
    <s v="NOVEMBRE"/>
    <x v="3"/>
    <n v="11"/>
    <s v="NOVEMBRE 2023"/>
    <x v="34"/>
    <x v="22"/>
    <s v="COSTO SFIZI"/>
    <n v="1"/>
    <m/>
    <s v="PAYPAL"/>
    <m/>
  </r>
  <r>
    <x v="91"/>
    <s v="NOVEMBRE"/>
    <x v="3"/>
    <n v="11"/>
    <s v="NOVEMBRE 2023"/>
    <x v="34"/>
    <x v="2"/>
    <s v="COSTO SOPRAVVIVENZA"/>
    <n v="0.4"/>
    <m/>
    <m/>
    <m/>
  </r>
  <r>
    <x v="344"/>
    <s v="NOVEMBRE"/>
    <x v="3"/>
    <n v="11"/>
    <s v="NOVEMBRE 2023"/>
    <x v="34"/>
    <x v="0"/>
    <s v="COSTO SVAGHI"/>
    <n v="25"/>
    <m/>
    <m/>
    <m/>
  </r>
  <r>
    <x v="345"/>
    <s v="NOVEMBRE"/>
    <x v="3"/>
    <n v="11"/>
    <s v="NOVEMBRE 2023"/>
    <x v="34"/>
    <x v="1"/>
    <s v="COSTO CASA"/>
    <n v="30.19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91"/>
    <s v="NOVEMBRE"/>
    <x v="3"/>
    <n v="11"/>
    <s v="NOVEMBRE 2023"/>
    <x v="34"/>
    <x v="2"/>
    <s v="COSTO SOPRAVVIVENZA"/>
    <n v="0.4"/>
    <m/>
    <m/>
    <m/>
  </r>
  <r>
    <x v="82"/>
    <s v="NOVEMBRE"/>
    <x v="3"/>
    <n v="11"/>
    <s v="NOVEMBRE 2023"/>
    <x v="34"/>
    <x v="7"/>
    <s v="COSTO SOPRAVVIVENZA"/>
    <n v="39.770000000000003"/>
    <m/>
    <m/>
    <m/>
  </r>
  <r>
    <x v="330"/>
    <s v="NOVEMBRE"/>
    <x v="3"/>
    <n v="11"/>
    <s v="NOVEMBRE 2023"/>
    <x v="34"/>
    <x v="1"/>
    <s v="COSTO CASA"/>
    <n v="43.27"/>
    <s v="1/3"/>
    <s v="PAYPAL"/>
    <m/>
  </r>
  <r>
    <x v="91"/>
    <s v="NOVEMBRE"/>
    <x v="3"/>
    <n v="11"/>
    <s v="NOVEMBRE 2023"/>
    <x v="34"/>
    <x v="2"/>
    <s v="COSTO SOPRAVVIVENZA"/>
    <n v="0.4"/>
    <m/>
    <m/>
    <m/>
  </r>
  <r>
    <x v="35"/>
    <s v="NOVEMBRE"/>
    <x v="3"/>
    <n v="11"/>
    <s v="NOVEMBRE 2023"/>
    <x v="34"/>
    <x v="1"/>
    <s v="COSTO CASA"/>
    <n v="17.29"/>
    <m/>
    <m/>
    <m/>
  </r>
  <r>
    <x v="225"/>
    <s v="NOVEMBRE"/>
    <x v="3"/>
    <n v="11"/>
    <s v="NOVEMBRE 2023"/>
    <x v="34"/>
    <x v="11"/>
    <s v="COSTO SFIZI"/>
    <n v="30.32"/>
    <s v="3/3"/>
    <s v="PAYPAL"/>
    <m/>
  </r>
  <r>
    <x v="63"/>
    <s v="NOVEMBRE"/>
    <x v="3"/>
    <n v="11"/>
    <s v="NOVEMBRE 2023"/>
    <x v="34"/>
    <x v="12"/>
    <s v="COSTO SVAGHI"/>
    <n v="34.78"/>
    <s v="3/3"/>
    <s v="PAYPAL"/>
    <m/>
  </r>
  <r>
    <x v="50"/>
    <s v="NOVEMBRE"/>
    <x v="3"/>
    <n v="11"/>
    <s v="NOVEMBRE 2023"/>
    <x v="34"/>
    <x v="0"/>
    <s v="COSTO SVAGHI"/>
    <n v="29"/>
    <m/>
    <m/>
    <m/>
  </r>
  <r>
    <x v="11"/>
    <s v="NOVEMBRE"/>
    <x v="3"/>
    <n v="11"/>
    <s v="NOVEMBRE 2023"/>
    <x v="34"/>
    <x v="0"/>
    <s v="COSTO SVAGHI"/>
    <n v="22"/>
    <m/>
    <m/>
    <m/>
  </r>
  <r>
    <x v="82"/>
    <s v="NOVEMBRE"/>
    <x v="3"/>
    <n v="11"/>
    <s v="NOVEMBRE 2023"/>
    <x v="34"/>
    <x v="7"/>
    <s v="COSTO SOPRAVVIVENZA"/>
    <n v="8.14"/>
    <m/>
    <m/>
    <m/>
  </r>
  <r>
    <x v="6"/>
    <s v="NOVEMBRE"/>
    <x v="3"/>
    <n v="11"/>
    <s v="NOVEMBRE 2023"/>
    <x v="34"/>
    <x v="14"/>
    <s v="COSTO SOPRAVVIVENZA"/>
    <n v="5"/>
    <m/>
    <m/>
    <m/>
  </r>
  <r>
    <x v="6"/>
    <s v="OTTOBRE"/>
    <x v="3"/>
    <n v="10"/>
    <s v="OTTOBRE 2023"/>
    <x v="35"/>
    <x v="0"/>
    <s v="COSTO SVAGHI"/>
    <n v="2.6"/>
    <m/>
    <m/>
    <m/>
  </r>
  <r>
    <x v="91"/>
    <s v="OTTOBRE"/>
    <x v="3"/>
    <n v="10"/>
    <s v="OTTOBRE 2023"/>
    <x v="35"/>
    <x v="2"/>
    <s v="COSTO SOPRAVVIVENZA"/>
    <n v="0.4"/>
    <m/>
    <m/>
    <m/>
  </r>
  <r>
    <x v="91"/>
    <s v="OTTOBRE"/>
    <x v="3"/>
    <n v="10"/>
    <s v="OTTOBRE 2023"/>
    <x v="35"/>
    <x v="2"/>
    <s v="COSTO SOPRAVVIVENZA"/>
    <n v="0.4"/>
    <m/>
    <m/>
    <m/>
  </r>
  <r>
    <x v="91"/>
    <s v="OTTOBRE"/>
    <x v="3"/>
    <n v="10"/>
    <s v="OTTOBRE 2023"/>
    <x v="35"/>
    <x v="2"/>
    <s v="COSTO SOPRAVVIVENZA"/>
    <n v="0.4"/>
    <m/>
    <m/>
    <m/>
  </r>
  <r>
    <x v="142"/>
    <s v="OTTOBRE"/>
    <x v="3"/>
    <n v="10"/>
    <s v="OTTOBRE 2023"/>
    <x v="35"/>
    <x v="0"/>
    <s v="COSTO SVAGHI"/>
    <n v="54.3"/>
    <m/>
    <m/>
    <m/>
  </r>
  <r>
    <x v="12"/>
    <s v="OTTOBRE"/>
    <x v="3"/>
    <n v="10"/>
    <s v="OTTOBRE 2023"/>
    <x v="35"/>
    <x v="7"/>
    <s v="COSTO SOPRAVVIVENZA"/>
    <n v="9"/>
    <m/>
    <m/>
    <m/>
  </r>
  <r>
    <x v="91"/>
    <s v="OTTOBRE"/>
    <x v="3"/>
    <n v="10"/>
    <s v="OTTOBRE 2023"/>
    <x v="35"/>
    <x v="2"/>
    <s v="COSTO SOPRAVVIVENZA"/>
    <n v="0.4"/>
    <m/>
    <m/>
    <m/>
  </r>
  <r>
    <x v="91"/>
    <s v="OTTOBRE"/>
    <x v="3"/>
    <n v="10"/>
    <s v="OTTOBRE 2023"/>
    <x v="35"/>
    <x v="2"/>
    <s v="COSTO SOPRAVVIVENZA"/>
    <n v="0.4"/>
    <m/>
    <m/>
    <m/>
  </r>
  <r>
    <x v="12"/>
    <s v="OTTOBRE"/>
    <x v="3"/>
    <n v="10"/>
    <s v="OTTOBRE 2023"/>
    <x v="35"/>
    <x v="7"/>
    <s v="COSTO SOPRAVVIVENZA"/>
    <n v="26.12"/>
    <m/>
    <m/>
    <m/>
  </r>
  <r>
    <x v="53"/>
    <s v="OTTOBRE"/>
    <x v="3"/>
    <n v="10"/>
    <s v="OTTOBRE 2023"/>
    <x v="35"/>
    <x v="1"/>
    <s v="COSTO CASA"/>
    <n v="5.5"/>
    <m/>
    <m/>
    <m/>
  </r>
  <r>
    <x v="82"/>
    <s v="OTTOBRE"/>
    <x v="3"/>
    <n v="10"/>
    <s v="OTTOBRE 2023"/>
    <x v="35"/>
    <x v="7"/>
    <s v="COSTO SOPRAVVIVENZA"/>
    <n v="17.989999999999998"/>
    <m/>
    <m/>
    <m/>
  </r>
  <r>
    <x v="325"/>
    <s v="OTTOBRE"/>
    <x v="3"/>
    <n v="10"/>
    <s v="OTTOBRE 2023"/>
    <x v="35"/>
    <x v="22"/>
    <s v="COSTO SFIZI"/>
    <n v="9.99"/>
    <m/>
    <s v="PAYPAL"/>
    <m/>
  </r>
  <r>
    <x v="91"/>
    <s v="OTTOBRE"/>
    <x v="3"/>
    <n v="10"/>
    <s v="OTTOBRE 2023"/>
    <x v="35"/>
    <x v="2"/>
    <s v="COSTO SOPRAVVIVENZA"/>
    <n v="0.4"/>
    <m/>
    <m/>
    <m/>
  </r>
  <r>
    <x v="80"/>
    <s v="OTTOBRE"/>
    <x v="3"/>
    <n v="10"/>
    <s v="OTTOBRE 2023"/>
    <x v="35"/>
    <x v="0"/>
    <s v="COSTO SVAGHI"/>
    <n v="34"/>
    <m/>
    <m/>
    <m/>
  </r>
  <r>
    <x v="53"/>
    <s v="OTTOBRE"/>
    <x v="3"/>
    <n v="10"/>
    <s v="OTTOBRE 2023"/>
    <x v="35"/>
    <x v="1"/>
    <s v="COSTO CASA"/>
    <n v="51.25"/>
    <m/>
    <m/>
    <m/>
  </r>
  <r>
    <x v="346"/>
    <s v="OTTOBRE"/>
    <x v="3"/>
    <n v="10"/>
    <s v="OTTOBRE 2023"/>
    <x v="35"/>
    <x v="11"/>
    <s v="COSTO SFIZI"/>
    <n v="34"/>
    <m/>
    <m/>
    <m/>
  </r>
  <r>
    <x v="347"/>
    <s v="OTTOBRE"/>
    <x v="3"/>
    <n v="10"/>
    <s v="OTTOBRE 2023"/>
    <x v="35"/>
    <x v="11"/>
    <s v="COSTO SFIZI"/>
    <n v="48.3"/>
    <m/>
    <m/>
    <m/>
  </r>
  <r>
    <x v="53"/>
    <s v="OTTOBRE"/>
    <x v="3"/>
    <n v="10"/>
    <s v="OTTOBRE 2023"/>
    <x v="35"/>
    <x v="1"/>
    <s v="COSTO CASA"/>
    <n v="25.85"/>
    <m/>
    <m/>
    <m/>
  </r>
  <r>
    <x v="6"/>
    <s v="OTTOBRE"/>
    <x v="3"/>
    <n v="10"/>
    <s v="OTTOBRE 2023"/>
    <x v="35"/>
    <x v="14"/>
    <s v="COSTO SOPRAVVIVENZA"/>
    <n v="7"/>
    <m/>
    <m/>
    <m/>
  </r>
  <r>
    <x v="348"/>
    <s v="OTTOBRE"/>
    <x v="3"/>
    <n v="10"/>
    <s v="OTTOBRE 2023"/>
    <x v="35"/>
    <x v="7"/>
    <s v="COSTO SOPRAVVIVENZA"/>
    <n v="9.81"/>
    <m/>
    <m/>
    <m/>
  </r>
  <r>
    <x v="2"/>
    <s v="OTTOBRE"/>
    <x v="3"/>
    <n v="10"/>
    <s v="OTTOBRE 2023"/>
    <x v="35"/>
    <x v="8"/>
    <s v="COSTO SFIZI"/>
    <n v="34.799999999999997"/>
    <m/>
    <s v="AMAZON"/>
    <m/>
  </r>
  <r>
    <x v="225"/>
    <s v="OTTOBRE"/>
    <x v="3"/>
    <n v="10"/>
    <s v="OTTOBRE 2023"/>
    <x v="35"/>
    <x v="11"/>
    <s v="COSTO SFIZI"/>
    <n v="19.989999999999998"/>
    <m/>
    <s v="PAYPAL"/>
    <m/>
  </r>
  <r>
    <x v="8"/>
    <s v="OTTOBRE"/>
    <x v="3"/>
    <n v="10"/>
    <s v="OTTOBRE 2023"/>
    <x v="35"/>
    <x v="6"/>
    <s v="COSTO SOPRAVVIVENZA"/>
    <n v="33"/>
    <m/>
    <m/>
    <m/>
  </r>
  <r>
    <x v="225"/>
    <s v="OTTOBRE"/>
    <x v="3"/>
    <n v="10"/>
    <s v="OTTOBRE 2023"/>
    <x v="35"/>
    <x v="11"/>
    <s v="COSTO SFIZI"/>
    <n v="30.33"/>
    <s v="2/3"/>
    <s v="PAYPAL"/>
    <m/>
  </r>
  <r>
    <x v="12"/>
    <s v="OTTOBRE"/>
    <x v="3"/>
    <n v="10"/>
    <s v="OTTOBRE 2023"/>
    <x v="35"/>
    <x v="7"/>
    <s v="COSTO SOPRAVVIVENZA"/>
    <n v="16.79"/>
    <m/>
    <m/>
    <m/>
  </r>
  <r>
    <x v="35"/>
    <s v="OTTOBRE"/>
    <x v="3"/>
    <n v="10"/>
    <s v="OTTOBRE 2023"/>
    <x v="35"/>
    <x v="1"/>
    <s v="COSTO CASA"/>
    <n v="26.51"/>
    <m/>
    <m/>
    <m/>
  </r>
  <r>
    <x v="51"/>
    <s v="OTTOBRE"/>
    <x v="3"/>
    <n v="10"/>
    <s v="OTTOBRE 2023"/>
    <x v="35"/>
    <x v="0"/>
    <s v="COSTO SVAGHI"/>
    <n v="5"/>
    <m/>
    <m/>
    <m/>
  </r>
  <r>
    <x v="82"/>
    <s v="OTTOBRE"/>
    <x v="3"/>
    <n v="10"/>
    <s v="OTTOBRE 2023"/>
    <x v="35"/>
    <x v="7"/>
    <s v="COSTO SOPRAVVIVENZA"/>
    <n v="20.059999999999999"/>
    <m/>
    <m/>
    <m/>
  </r>
  <r>
    <x v="6"/>
    <s v="OTTOBRE"/>
    <x v="3"/>
    <n v="10"/>
    <s v="OTTOBRE 2023"/>
    <x v="35"/>
    <x v="14"/>
    <s v="COSTO SOPRAVVIVENZA"/>
    <n v="7"/>
    <m/>
    <m/>
    <m/>
  </r>
  <r>
    <x v="2"/>
    <s v="OTTOBRE"/>
    <x v="3"/>
    <n v="10"/>
    <s v="OTTOBRE 2023"/>
    <x v="35"/>
    <x v="8"/>
    <s v="COSTO SFIZI"/>
    <n v="39.9"/>
    <m/>
    <s v="AMAZON"/>
    <m/>
  </r>
  <r>
    <x v="63"/>
    <s v="OTTOBRE"/>
    <x v="3"/>
    <n v="10"/>
    <s v="OTTOBRE 2023"/>
    <x v="35"/>
    <x v="12"/>
    <s v="COSTO SVAGHI"/>
    <n v="34.78"/>
    <s v="2/3"/>
    <s v="PAYPAL"/>
    <m/>
  </r>
  <r>
    <x v="323"/>
    <s v="SETTEMBRE"/>
    <x v="3"/>
    <n v="9"/>
    <s v="SETTEMBRE 2023"/>
    <x v="36"/>
    <x v="12"/>
    <s v="COSTO SVAGHI"/>
    <n v="9"/>
    <m/>
    <m/>
    <m/>
  </r>
  <r>
    <x v="91"/>
    <s v="SETTEMBRE"/>
    <x v="3"/>
    <n v="9"/>
    <s v="SETTEMBRE 2023"/>
    <x v="36"/>
    <x v="2"/>
    <s v="COSTO SOPRAVVIVENZA"/>
    <n v="0.7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6"/>
    <s v="SETTEMBRE"/>
    <x v="3"/>
    <n v="9"/>
    <s v="SETTEMBRE 2023"/>
    <x v="36"/>
    <x v="0"/>
    <s v="COSTO SVAGHI"/>
    <n v="5.2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7"/>
    <m/>
    <m/>
    <m/>
  </r>
  <r>
    <x v="156"/>
    <s v="SETTEMBRE"/>
    <x v="3"/>
    <n v="9"/>
    <s v="SETTEMBRE 2023"/>
    <x v="36"/>
    <x v="20"/>
    <s v="COSTO ABBONAMENTI"/>
    <n v="8.49"/>
    <m/>
    <s v="PAYPAL"/>
    <m/>
  </r>
  <r>
    <x v="82"/>
    <s v="SETTEMBRE"/>
    <x v="3"/>
    <n v="9"/>
    <s v="SETTEMBRE 2023"/>
    <x v="36"/>
    <x v="7"/>
    <s v="COSTO SOPRAVVIVENZA"/>
    <n v="17.68"/>
    <m/>
    <m/>
    <m/>
  </r>
  <r>
    <x v="91"/>
    <s v="SETTEMBRE"/>
    <x v="3"/>
    <n v="9"/>
    <s v="SETTEMBRE 2023"/>
    <x v="36"/>
    <x v="2"/>
    <s v="COSTO SOPRAVVIVENZA"/>
    <n v="0.4"/>
    <m/>
    <m/>
    <m/>
  </r>
  <r>
    <x v="6"/>
    <s v="SETTEMBRE"/>
    <x v="3"/>
    <n v="9"/>
    <s v="SETTEMBRE 2023"/>
    <x v="36"/>
    <x v="14"/>
    <s v="COSTO SOPRAVVIVENZA"/>
    <n v="5"/>
    <m/>
    <m/>
    <m/>
  </r>
  <r>
    <x v="82"/>
    <s v="SETTEMBRE"/>
    <x v="3"/>
    <n v="9"/>
    <s v="SETTEMBRE 2023"/>
    <x v="36"/>
    <x v="7"/>
    <s v="COSTO SOPRAVVIVENZA"/>
    <n v="11.03"/>
    <m/>
    <m/>
    <m/>
  </r>
  <r>
    <x v="12"/>
    <s v="SETTEMBRE"/>
    <x v="3"/>
    <n v="9"/>
    <s v="SETTEMBRE 2023"/>
    <x v="36"/>
    <x v="7"/>
    <s v="COSTO SOPRAVVIVENZA"/>
    <n v="10.76"/>
    <m/>
    <m/>
    <m/>
  </r>
  <r>
    <x v="6"/>
    <s v="SETTEMBRE"/>
    <x v="3"/>
    <n v="9"/>
    <s v="SETTEMBRE 2023"/>
    <x v="36"/>
    <x v="0"/>
    <s v="COSTO SVAGHI"/>
    <n v="3.9"/>
    <m/>
    <m/>
    <m/>
  </r>
  <r>
    <x v="13"/>
    <s v="SETTEMBRE"/>
    <x v="3"/>
    <n v="9"/>
    <s v="SETTEMBRE 2023"/>
    <x v="36"/>
    <x v="0"/>
    <s v="COSTO SVAGHI"/>
    <n v="48"/>
    <m/>
    <m/>
    <m/>
  </r>
  <r>
    <x v="225"/>
    <s v="SETTEMBRE"/>
    <x v="3"/>
    <n v="9"/>
    <s v="SETTEMBRE 2023"/>
    <x v="36"/>
    <x v="11"/>
    <s v="COSTO SFIZI"/>
    <n v="30.32"/>
    <s v="1/3"/>
    <s v="PAYPAL"/>
    <m/>
  </r>
  <r>
    <x v="6"/>
    <s v="SETTEMBRE"/>
    <x v="3"/>
    <n v="9"/>
    <s v="SETTEMBRE 2023"/>
    <x v="36"/>
    <x v="14"/>
    <s v="COSTO SOPRAVVIVENZA"/>
    <n v="5"/>
    <m/>
    <m/>
    <m/>
  </r>
  <r>
    <x v="98"/>
    <s v="SETTEMBRE"/>
    <x v="3"/>
    <n v="9"/>
    <s v="SETTEMBRE 2023"/>
    <x v="36"/>
    <x v="11"/>
    <s v="COSTO SFIZI"/>
    <n v="70"/>
    <m/>
    <m/>
    <m/>
  </r>
  <r>
    <x v="91"/>
    <s v="SETTEMBRE"/>
    <x v="3"/>
    <n v="9"/>
    <s v="SETTEMBRE 2023"/>
    <x v="36"/>
    <x v="2"/>
    <s v="COSTO SOPRAVVIVENZA"/>
    <n v="1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82"/>
    <s v="SETTEMBRE"/>
    <x v="3"/>
    <n v="9"/>
    <s v="SETTEMBRE 2023"/>
    <x v="36"/>
    <x v="7"/>
    <s v="COSTO SOPRAVVIVENZA"/>
    <n v="21.26"/>
    <m/>
    <m/>
    <m/>
  </r>
  <r>
    <x v="35"/>
    <s v="SETTEMBRE"/>
    <x v="3"/>
    <n v="9"/>
    <s v="SETTEMBRE 2023"/>
    <x v="36"/>
    <x v="1"/>
    <s v="COSTO CASA"/>
    <n v="25.52"/>
    <m/>
    <m/>
    <m/>
  </r>
  <r>
    <x v="12"/>
    <s v="SETTEMBRE"/>
    <x v="3"/>
    <n v="9"/>
    <s v="SETTEMBRE 2023"/>
    <x v="36"/>
    <x v="7"/>
    <s v="COSTO SOPRAVVIVENZA"/>
    <n v="13.52"/>
    <m/>
    <m/>
    <m/>
  </r>
  <r>
    <x v="6"/>
    <s v="SETTEMBRE"/>
    <x v="3"/>
    <n v="9"/>
    <s v="SETTEMBRE 2023"/>
    <x v="36"/>
    <x v="0"/>
    <s v="COSTO SVAGHI"/>
    <n v="3.9"/>
    <m/>
    <m/>
    <m/>
  </r>
  <r>
    <x v="82"/>
    <s v="SETTEMBRE"/>
    <x v="3"/>
    <n v="9"/>
    <s v="SETTEMBRE 2023"/>
    <x v="36"/>
    <x v="7"/>
    <s v="COSTO SOPRAVVIVENZA"/>
    <n v="7.9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91"/>
    <s v="SETTEMBRE"/>
    <x v="3"/>
    <n v="9"/>
    <s v="SETTEMBRE 2023"/>
    <x v="36"/>
    <x v="2"/>
    <s v="COSTO SOPRAVVIVENZA"/>
    <n v="0.4"/>
    <m/>
    <m/>
    <m/>
  </r>
  <r>
    <x v="63"/>
    <s v="SETTEMBRE"/>
    <x v="3"/>
    <n v="9"/>
    <s v="SETTEMBRE 2023"/>
    <x v="36"/>
    <x v="12"/>
    <s v="COSTO SVAGHI"/>
    <n v="34.78"/>
    <s v="1/3"/>
    <s v="PAYPAL"/>
    <m/>
  </r>
  <r>
    <x v="82"/>
    <s v="SETTEMBRE"/>
    <x v="3"/>
    <n v="9"/>
    <s v="SETTEMBRE 2023"/>
    <x v="36"/>
    <x v="7"/>
    <s v="COSTO SOPRAVVIVENZA"/>
    <n v="17.98"/>
    <m/>
    <m/>
    <m/>
  </r>
  <r>
    <x v="12"/>
    <s v="SETTEMBRE"/>
    <x v="3"/>
    <n v="9"/>
    <s v="SETTEMBRE 2023"/>
    <x v="36"/>
    <x v="7"/>
    <s v="COSTO SOPRAVVIVENZA"/>
    <n v="20.12"/>
    <m/>
    <m/>
    <m/>
  </r>
  <r>
    <x v="63"/>
    <s v="SETTEMBRE"/>
    <x v="3"/>
    <n v="9"/>
    <s v="SETTEMBRE 2023"/>
    <x v="36"/>
    <x v="12"/>
    <s v="COSTO SVAGHI"/>
    <n v="40.9"/>
    <s v="3/3"/>
    <s v="PAYPAL"/>
    <m/>
  </r>
  <r>
    <x v="82"/>
    <s v="AGOSTO"/>
    <x v="3"/>
    <n v="8"/>
    <s v="AGOSTO 2023"/>
    <x v="37"/>
    <x v="7"/>
    <s v="COSTO SOPRAVVIVENZA"/>
    <n v="16.899999999999999"/>
    <m/>
    <m/>
    <m/>
  </r>
  <r>
    <x v="57"/>
    <s v="AGOSTO"/>
    <x v="3"/>
    <n v="8"/>
    <s v="AGOSTO 2023"/>
    <x v="37"/>
    <x v="0"/>
    <s v="COSTO SVAGHI"/>
    <n v="3.2"/>
    <m/>
    <m/>
    <m/>
  </r>
  <r>
    <x v="57"/>
    <s v="AGOSTO"/>
    <x v="3"/>
    <n v="8"/>
    <s v="AGOSTO 2023"/>
    <x v="37"/>
    <x v="0"/>
    <s v="COSTO SVAGHI"/>
    <n v="6.9"/>
    <m/>
    <m/>
    <m/>
  </r>
  <r>
    <x v="349"/>
    <s v="AGOSTO"/>
    <x v="3"/>
    <n v="8"/>
    <s v="AGOSTO 2023"/>
    <x v="37"/>
    <x v="5"/>
    <s v="COSTO VACANZE"/>
    <n v="238.9"/>
    <m/>
    <m/>
    <m/>
  </r>
  <r>
    <x v="350"/>
    <s v="AGOSTO"/>
    <x v="3"/>
    <n v="8"/>
    <s v="AGOSTO 2023"/>
    <x v="37"/>
    <x v="3"/>
    <s v="COSTO MOBILITA'"/>
    <n v="5.85"/>
    <m/>
    <m/>
    <m/>
  </r>
  <r>
    <x v="351"/>
    <s v="AGOSTO"/>
    <x v="3"/>
    <n v="8"/>
    <s v="AGOSTO 2023"/>
    <x v="37"/>
    <x v="5"/>
    <s v="COSTO VACANZE"/>
    <n v="322"/>
    <m/>
    <m/>
    <m/>
  </r>
  <r>
    <x v="352"/>
    <s v="AGOSTO"/>
    <x v="3"/>
    <n v="8"/>
    <s v="AGOSTO 2023"/>
    <x v="37"/>
    <x v="0"/>
    <s v="COSTO SVAGHI"/>
    <n v="63.4"/>
    <m/>
    <m/>
    <m/>
  </r>
  <r>
    <x v="353"/>
    <s v="AGOSTO"/>
    <x v="3"/>
    <n v="8"/>
    <s v="AGOSTO 2023"/>
    <x v="37"/>
    <x v="0"/>
    <s v="COSTO SVAGHI"/>
    <n v="49.5"/>
    <m/>
    <m/>
    <m/>
  </r>
  <r>
    <x v="82"/>
    <s v="AGOSTO"/>
    <x v="3"/>
    <n v="8"/>
    <s v="AGOSTO 2023"/>
    <x v="37"/>
    <x v="7"/>
    <s v="COSTO SOPRAVVIVENZA"/>
    <n v="8.93"/>
    <m/>
    <m/>
    <m/>
  </r>
  <r>
    <x v="35"/>
    <s v="AGOSTO"/>
    <x v="3"/>
    <n v="8"/>
    <s v="AGOSTO 2023"/>
    <x v="37"/>
    <x v="1"/>
    <s v="COSTO CASA"/>
    <n v="8.39"/>
    <m/>
    <m/>
    <m/>
  </r>
  <r>
    <x v="354"/>
    <s v="AGOSTO"/>
    <x v="3"/>
    <n v="8"/>
    <s v="AGOSTO 2023"/>
    <x v="37"/>
    <x v="1"/>
    <s v="COSTO CASA"/>
    <n v="2.9"/>
    <m/>
    <m/>
    <m/>
  </r>
  <r>
    <x v="112"/>
    <s v="AGOSTO"/>
    <x v="3"/>
    <n v="8"/>
    <s v="AGOSTO 2023"/>
    <x v="37"/>
    <x v="1"/>
    <s v="COSTO CASA"/>
    <n v="10.9"/>
    <m/>
    <m/>
    <m/>
  </r>
  <r>
    <x v="92"/>
    <s v="AGOSTO"/>
    <x v="3"/>
    <n v="8"/>
    <s v="AGOSTO 2023"/>
    <x v="37"/>
    <x v="0"/>
    <s v="COSTO SVAGHI"/>
    <n v="29"/>
    <m/>
    <m/>
    <m/>
  </r>
  <r>
    <x v="82"/>
    <s v="AGOSTO"/>
    <x v="3"/>
    <n v="8"/>
    <s v="AGOSTO 2023"/>
    <x v="37"/>
    <x v="7"/>
    <s v="COSTO SOPRAVVIVENZA"/>
    <n v="4.26"/>
    <m/>
    <m/>
    <m/>
  </r>
  <r>
    <x v="355"/>
    <s v="AGOSTO"/>
    <x v="3"/>
    <n v="8"/>
    <s v="AGOSTO 2023"/>
    <x v="37"/>
    <x v="0"/>
    <s v="COSTO SVAGHI"/>
    <n v="79.7"/>
    <m/>
    <m/>
    <m/>
  </r>
  <r>
    <x v="6"/>
    <s v="AGOSTO"/>
    <x v="3"/>
    <n v="8"/>
    <s v="AGOSTO 2023"/>
    <x v="37"/>
    <x v="0"/>
    <s v="COSTO SVAGHI"/>
    <n v="16"/>
    <m/>
    <m/>
    <m/>
  </r>
  <r>
    <x v="6"/>
    <s v="AGOSTO"/>
    <x v="3"/>
    <n v="8"/>
    <s v="AGOSTO 2023"/>
    <x v="37"/>
    <x v="14"/>
    <s v="COSTO SOPRAVVIVENZA"/>
    <n v="5"/>
    <m/>
    <m/>
    <m/>
  </r>
  <r>
    <x v="8"/>
    <s v="AGOSTO"/>
    <x v="3"/>
    <n v="8"/>
    <s v="AGOSTO 2023"/>
    <x v="37"/>
    <x v="6"/>
    <s v="COSTO SOPRAVVIVENZA"/>
    <n v="33"/>
    <m/>
    <m/>
    <m/>
  </r>
  <r>
    <x v="2"/>
    <s v="AGOSTO"/>
    <x v="3"/>
    <n v="8"/>
    <s v="AGOSTO 2023"/>
    <x v="37"/>
    <x v="8"/>
    <s v="COSTO SFIZI"/>
    <n v="8.07"/>
    <m/>
    <s v="AMAZON"/>
    <m/>
  </r>
  <r>
    <x v="82"/>
    <s v="AGOSTO"/>
    <x v="3"/>
    <n v="8"/>
    <s v="AGOSTO 2023"/>
    <x v="37"/>
    <x v="7"/>
    <s v="COSTO SOPRAVVIVENZA"/>
    <n v="24.11"/>
    <m/>
    <m/>
    <m/>
  </r>
  <r>
    <x v="12"/>
    <s v="AGOSTO"/>
    <x v="3"/>
    <n v="8"/>
    <s v="AGOSTO 2023"/>
    <x v="37"/>
    <x v="7"/>
    <s v="COSTO SOPRAVVIVENZA"/>
    <n v="13.49"/>
    <m/>
    <m/>
    <m/>
  </r>
  <r>
    <x v="18"/>
    <s v="AGOSTO"/>
    <x v="3"/>
    <n v="8"/>
    <s v="AGOSTO 2023"/>
    <x v="37"/>
    <x v="0"/>
    <s v="COSTO SVAGHI"/>
    <n v="11.5"/>
    <m/>
    <m/>
    <m/>
  </r>
  <r>
    <x v="356"/>
    <s v="AGOSTO"/>
    <x v="3"/>
    <n v="8"/>
    <s v="AGOSTO 2023"/>
    <x v="37"/>
    <x v="9"/>
    <s v="COSTO MOBILITA'"/>
    <n v="380"/>
    <m/>
    <m/>
    <m/>
  </r>
  <r>
    <x v="357"/>
    <s v="AGOSTO"/>
    <x v="3"/>
    <n v="8"/>
    <s v="AGOSTO 2023"/>
    <x v="37"/>
    <x v="21"/>
    <s v="COSTO SOPRAVVIVENZA"/>
    <n v="15.11"/>
    <s v="3/3"/>
    <s v="PAYPAL"/>
    <m/>
  </r>
  <r>
    <x v="63"/>
    <s v="AGOSTO"/>
    <x v="3"/>
    <n v="8"/>
    <s v="AGOSTO 2023"/>
    <x v="37"/>
    <x v="12"/>
    <s v="COSTO SVAGHI"/>
    <n v="40.909999999999997"/>
    <s v="2/3"/>
    <s v="PAYPAL"/>
    <m/>
  </r>
  <r>
    <x v="199"/>
    <s v="LUGLIO"/>
    <x v="3"/>
    <n v="7"/>
    <s v="LUGLIO 2023"/>
    <x v="38"/>
    <x v="0"/>
    <s v="COSTO SVAGHI"/>
    <n v="66.8"/>
    <m/>
    <m/>
    <m/>
  </r>
  <r>
    <x v="41"/>
    <s v="LUGLIO"/>
    <x v="3"/>
    <n v="7"/>
    <s v="LUGLIO 2023"/>
    <x v="38"/>
    <x v="3"/>
    <s v="COSTO MOBILITA'"/>
    <n v="1.7"/>
    <m/>
    <m/>
    <m/>
  </r>
  <r>
    <x v="41"/>
    <s v="LUGLIO"/>
    <x v="3"/>
    <n v="7"/>
    <s v="LUGLIO 2023"/>
    <x v="38"/>
    <x v="3"/>
    <s v="COSTO MOBILITA'"/>
    <n v="7.8"/>
    <m/>
    <m/>
    <m/>
  </r>
  <r>
    <x v="41"/>
    <s v="LUGLIO"/>
    <x v="3"/>
    <n v="7"/>
    <s v="LUGLIO 2023"/>
    <x v="38"/>
    <x v="3"/>
    <s v="COSTO MOBILITA'"/>
    <n v="1.7"/>
    <m/>
    <m/>
    <m/>
  </r>
  <r>
    <x v="35"/>
    <s v="LUGLIO"/>
    <x v="3"/>
    <n v="7"/>
    <s v="LUGLIO 2023"/>
    <x v="38"/>
    <x v="1"/>
    <s v="COSTO CASA"/>
    <n v="4.49"/>
    <m/>
    <m/>
    <m/>
  </r>
  <r>
    <x v="12"/>
    <s v="LUGLIO"/>
    <x v="3"/>
    <n v="7"/>
    <s v="LUGLIO 2023"/>
    <x v="38"/>
    <x v="7"/>
    <s v="COSTO SOPRAVVIVENZA"/>
    <n v="6.4"/>
    <m/>
    <m/>
    <m/>
  </r>
  <r>
    <x v="82"/>
    <s v="LUGLIO"/>
    <x v="3"/>
    <n v="7"/>
    <s v="LUGLIO 2023"/>
    <x v="38"/>
    <x v="7"/>
    <s v="COSTO SOPRAVVIVENZA"/>
    <n v="18.27"/>
    <m/>
    <m/>
    <m/>
  </r>
  <r>
    <x v="6"/>
    <s v="LUGLIO"/>
    <x v="3"/>
    <n v="7"/>
    <s v="LUGLIO 2023"/>
    <x v="38"/>
    <x v="14"/>
    <s v="COSTO SOPRAVVIVENZA"/>
    <n v="5"/>
    <m/>
    <m/>
    <m/>
  </r>
  <r>
    <x v="358"/>
    <s v="LUGLIO"/>
    <x v="3"/>
    <n v="7"/>
    <s v="LUGLIO 2023"/>
    <x v="38"/>
    <x v="21"/>
    <s v="COSTO SOPRAVVIVENZA"/>
    <n v="20.9"/>
    <m/>
    <m/>
    <m/>
  </r>
  <r>
    <x v="2"/>
    <s v="LUGLIO"/>
    <x v="3"/>
    <n v="7"/>
    <s v="LUGLIO 2023"/>
    <x v="38"/>
    <x v="8"/>
    <s v="COSTO SFIZI"/>
    <n v="20.47"/>
    <m/>
    <s v="AMAZON"/>
    <m/>
  </r>
  <r>
    <x v="48"/>
    <s v="LUGLIO"/>
    <x v="3"/>
    <n v="7"/>
    <s v="LUGLIO 2023"/>
    <x v="38"/>
    <x v="11"/>
    <s v="COSTO SFIZI"/>
    <n v="30.88"/>
    <m/>
    <m/>
    <m/>
  </r>
  <r>
    <x v="35"/>
    <s v="LUGLIO"/>
    <x v="3"/>
    <n v="7"/>
    <s v="LUGLIO 2023"/>
    <x v="38"/>
    <x v="1"/>
    <s v="COSTO CASA"/>
    <n v="12.86"/>
    <m/>
    <m/>
    <m/>
  </r>
  <r>
    <x v="82"/>
    <s v="LUGLIO"/>
    <x v="3"/>
    <n v="7"/>
    <s v="LUGLIO 2023"/>
    <x v="38"/>
    <x v="7"/>
    <s v="COSTO SOPRAVVIVENZA"/>
    <n v="18.899999999999999"/>
    <m/>
    <m/>
    <m/>
  </r>
  <r>
    <x v="12"/>
    <s v="LUGLIO"/>
    <x v="3"/>
    <n v="7"/>
    <s v="LUGLIO 2023"/>
    <x v="38"/>
    <x v="7"/>
    <s v="COSTO SOPRAVVIVENZA"/>
    <n v="8.41"/>
    <m/>
    <m/>
    <m/>
  </r>
  <r>
    <x v="13"/>
    <s v="LUGLIO"/>
    <x v="3"/>
    <n v="7"/>
    <s v="LUGLIO 2023"/>
    <x v="38"/>
    <x v="0"/>
    <s v="COSTO SVAGHI"/>
    <n v="12"/>
    <m/>
    <m/>
    <m/>
  </r>
  <r>
    <x v="82"/>
    <s v="LUGLIO"/>
    <x v="3"/>
    <n v="7"/>
    <s v="LUGLIO 2023"/>
    <x v="38"/>
    <x v="7"/>
    <s v="COSTO SOPRAVVIVENZA"/>
    <n v="16.38"/>
    <m/>
    <m/>
    <m/>
  </r>
  <r>
    <x v="2"/>
    <s v="LUGLIO"/>
    <x v="3"/>
    <n v="7"/>
    <s v="LUGLIO 2023"/>
    <x v="38"/>
    <x v="8"/>
    <s v="COSTO SFIZI"/>
    <n v="20.99"/>
    <m/>
    <s v="AMAZON"/>
    <m/>
  </r>
  <r>
    <x v="320"/>
    <s v="LUGLIO"/>
    <x v="3"/>
    <n v="7"/>
    <s v="LUGLIO 2023"/>
    <x v="38"/>
    <x v="15"/>
    <s v="TASSE"/>
    <n v="21.77"/>
    <m/>
    <m/>
    <m/>
  </r>
  <r>
    <x v="12"/>
    <s v="LUGLIO"/>
    <x v="3"/>
    <n v="7"/>
    <s v="LUGLIO 2023"/>
    <x v="38"/>
    <x v="7"/>
    <s v="COSTO SOPRAVVIVENZA"/>
    <n v="11.77"/>
    <m/>
    <m/>
    <m/>
  </r>
  <r>
    <x v="2"/>
    <s v="LUGLIO"/>
    <x v="3"/>
    <n v="7"/>
    <s v="LUGLIO 2023"/>
    <x v="38"/>
    <x v="8"/>
    <s v="COSTO SFIZI"/>
    <n v="24"/>
    <m/>
    <s v="AMAZON"/>
    <m/>
  </r>
  <r>
    <x v="2"/>
    <s v="LUGLIO"/>
    <x v="3"/>
    <n v="7"/>
    <s v="LUGLIO 2023"/>
    <x v="38"/>
    <x v="8"/>
    <s v="COSTO SFIZI"/>
    <n v="13.6"/>
    <m/>
    <s v="AMAZON"/>
    <m/>
  </r>
  <r>
    <x v="226"/>
    <s v="LUGLIO"/>
    <x v="3"/>
    <n v="7"/>
    <s v="LUGLIO 2023"/>
    <x v="38"/>
    <x v="0"/>
    <s v="COSTO SVAGHI"/>
    <n v="10"/>
    <m/>
    <m/>
    <m/>
  </r>
  <r>
    <x v="35"/>
    <s v="LUGLIO"/>
    <x v="3"/>
    <n v="7"/>
    <s v="LUGLIO 2023"/>
    <x v="38"/>
    <x v="1"/>
    <s v="COSTO CASA"/>
    <n v="7.79"/>
    <m/>
    <m/>
    <m/>
  </r>
  <r>
    <x v="82"/>
    <s v="LUGLIO"/>
    <x v="3"/>
    <n v="7"/>
    <s v="LUGLIO 2023"/>
    <x v="38"/>
    <x v="7"/>
    <s v="COSTO SOPRAVVIVENZA"/>
    <n v="13.06"/>
    <m/>
    <m/>
    <m/>
  </r>
  <r>
    <x v="6"/>
    <s v="LUGLIO"/>
    <x v="3"/>
    <n v="7"/>
    <s v="LUGLIO 2023"/>
    <x v="38"/>
    <x v="14"/>
    <s v="COSTO SOPRAVVIVENZA"/>
    <n v="5"/>
    <m/>
    <m/>
    <m/>
  </r>
  <r>
    <x v="91"/>
    <s v="LUGLIO"/>
    <x v="3"/>
    <n v="7"/>
    <s v="LUGLIO 2023"/>
    <x v="38"/>
    <x v="2"/>
    <s v="COSTO SOPRAVVIVENZA"/>
    <n v="0.4"/>
    <m/>
    <m/>
    <m/>
  </r>
  <r>
    <x v="359"/>
    <s v="LUGLIO"/>
    <x v="3"/>
    <n v="7"/>
    <s v="LUGLIO 2023"/>
    <x v="38"/>
    <x v="0"/>
    <s v="COSTO SVAGHI"/>
    <n v="59"/>
    <m/>
    <m/>
    <m/>
  </r>
  <r>
    <x v="91"/>
    <s v="LUGLIO"/>
    <x v="3"/>
    <n v="7"/>
    <s v="LUGLIO 2023"/>
    <x v="38"/>
    <x v="2"/>
    <s v="COSTO SOPRAVVIVENZA"/>
    <n v="0.7"/>
    <m/>
    <m/>
    <m/>
  </r>
  <r>
    <x v="91"/>
    <s v="LUGLIO"/>
    <x v="3"/>
    <n v="7"/>
    <s v="LUGLIO 2023"/>
    <x v="38"/>
    <x v="2"/>
    <s v="COSTO SOPRAVVIVENZA"/>
    <n v="0.4"/>
    <m/>
    <m/>
    <m/>
  </r>
  <r>
    <x v="360"/>
    <s v="LUGLIO"/>
    <x v="3"/>
    <n v="7"/>
    <s v="LUGLIO 2023"/>
    <x v="38"/>
    <x v="8"/>
    <s v="COSTO SFIZI"/>
    <n v="15.54"/>
    <m/>
    <s v="PAYPAL"/>
    <m/>
  </r>
  <r>
    <x v="63"/>
    <s v="LUGLIO"/>
    <x v="3"/>
    <n v="7"/>
    <s v="LUGLIO 2023"/>
    <x v="38"/>
    <x v="12"/>
    <s v="COSTO SVAGHI"/>
    <n v="40.909999999999997"/>
    <s v="1/3"/>
    <s v="PAYPAL"/>
    <m/>
  </r>
  <r>
    <x v="357"/>
    <s v="LUGLIO"/>
    <x v="3"/>
    <n v="7"/>
    <s v="LUGLIO 2023"/>
    <x v="38"/>
    <x v="21"/>
    <s v="COSTO SOPRAVVIVENZA"/>
    <n v="15.12"/>
    <s v="2/3"/>
    <s v="PAYPAL"/>
    <m/>
  </r>
  <r>
    <x v="63"/>
    <s v="LUGLIO"/>
    <x v="3"/>
    <n v="7"/>
    <s v="LUGLIO 2023"/>
    <x v="38"/>
    <x v="12"/>
    <s v="COSTO SVAGHI"/>
    <n v="37.700000000000003"/>
    <s v="3/3"/>
    <s v="PAYPAL"/>
    <m/>
  </r>
  <r>
    <x v="2"/>
    <s v="LUGLIO"/>
    <x v="3"/>
    <n v="7"/>
    <s v="LUGLIO 2023"/>
    <x v="38"/>
    <x v="22"/>
    <s v="COSTO SFIZI"/>
    <n v="55.84"/>
    <s v="5/5"/>
    <s v="AMAZON"/>
    <s v="TABLET"/>
  </r>
  <r>
    <x v="82"/>
    <s v="GIUGNO"/>
    <x v="3"/>
    <n v="6"/>
    <s v="GIUGNO 2023"/>
    <x v="39"/>
    <x v="7"/>
    <s v="COSTO SOPRAVVIVENZA"/>
    <n v="4.84"/>
    <m/>
    <m/>
    <m/>
  </r>
  <r>
    <x v="6"/>
    <s v="GIUGNO"/>
    <x v="3"/>
    <n v="6"/>
    <s v="GIUGNO 2023"/>
    <x v="39"/>
    <x v="14"/>
    <s v="COSTO SOPRAVVIVENZA"/>
    <n v="5"/>
    <m/>
    <m/>
    <m/>
  </r>
  <r>
    <x v="91"/>
    <s v="GIUGNO"/>
    <x v="3"/>
    <n v="6"/>
    <s v="GIUGNO 2023"/>
    <x v="39"/>
    <x v="2"/>
    <s v="COSTO SOPRAVVIVENZA"/>
    <n v="0.4"/>
    <m/>
    <m/>
    <m/>
  </r>
  <r>
    <x v="302"/>
    <s v="GIUGNO"/>
    <x v="3"/>
    <n v="6"/>
    <s v="GIUGNO 2023"/>
    <x v="39"/>
    <x v="0"/>
    <s v="COSTO SVAGHI"/>
    <n v="17"/>
    <m/>
    <m/>
    <m/>
  </r>
  <r>
    <x v="6"/>
    <s v="GIUGNO"/>
    <x v="3"/>
    <n v="6"/>
    <s v="GIUGNO 2023"/>
    <x v="39"/>
    <x v="0"/>
    <s v="COSTO SVAGHI"/>
    <n v="3.6"/>
    <m/>
    <m/>
    <m/>
  </r>
  <r>
    <x v="91"/>
    <s v="GIUGNO"/>
    <x v="3"/>
    <n v="6"/>
    <s v="GIUGNO 2023"/>
    <x v="39"/>
    <x v="2"/>
    <s v="COSTO SOPRAVVIVENZA"/>
    <n v="0.4"/>
    <m/>
    <m/>
    <m/>
  </r>
  <r>
    <x v="91"/>
    <s v="GIUGNO"/>
    <x v="3"/>
    <n v="6"/>
    <s v="GIUGNO 2023"/>
    <x v="39"/>
    <x v="2"/>
    <s v="COSTO SOPRAVVIVENZA"/>
    <n v="0.4"/>
    <m/>
    <m/>
    <m/>
  </r>
  <r>
    <x v="361"/>
    <s v="GIUGNO"/>
    <x v="3"/>
    <n v="6"/>
    <s v="GIUGNO 2023"/>
    <x v="39"/>
    <x v="20"/>
    <s v="COSTO ABBONAMENTI"/>
    <n v="9.99"/>
    <m/>
    <m/>
    <m/>
  </r>
  <r>
    <x v="362"/>
    <s v="GIUGNO"/>
    <x v="3"/>
    <n v="6"/>
    <s v="GIUGNO 2023"/>
    <x v="39"/>
    <x v="0"/>
    <s v="COSTO SVAGHI"/>
    <n v="7.5"/>
    <m/>
    <m/>
    <m/>
  </r>
  <r>
    <x v="13"/>
    <s v="GIUGNO"/>
    <x v="3"/>
    <n v="6"/>
    <s v="GIUGNO 2023"/>
    <x v="39"/>
    <x v="0"/>
    <s v="COSTO SVAGHI"/>
    <n v="20"/>
    <m/>
    <m/>
    <m/>
  </r>
  <r>
    <x v="82"/>
    <s v="GIUGNO"/>
    <x v="3"/>
    <n v="6"/>
    <s v="GIUGNO 2023"/>
    <x v="39"/>
    <x v="7"/>
    <s v="COSTO SOPRAVVIVENZA"/>
    <n v="23.23"/>
    <m/>
    <m/>
    <m/>
  </r>
  <r>
    <x v="6"/>
    <s v="GIUGNO"/>
    <x v="3"/>
    <n v="6"/>
    <s v="GIUGNO 2023"/>
    <x v="39"/>
    <x v="0"/>
    <s v="COSTO SVAGHI"/>
    <n v="15.5"/>
    <m/>
    <m/>
    <m/>
  </r>
  <r>
    <x v="363"/>
    <s v="GIUGNO"/>
    <x v="3"/>
    <n v="6"/>
    <s v="GIUGNO 2023"/>
    <x v="39"/>
    <x v="0"/>
    <s v="COSTO SVAGHI"/>
    <n v="29.6"/>
    <m/>
    <m/>
    <m/>
  </r>
  <r>
    <x v="82"/>
    <s v="GIUGNO"/>
    <x v="3"/>
    <n v="6"/>
    <s v="GIUGNO 2023"/>
    <x v="39"/>
    <x v="7"/>
    <s v="COSTO SOPRAVVIVENZA"/>
    <n v="15.48"/>
    <m/>
    <m/>
    <m/>
  </r>
  <r>
    <x v="301"/>
    <s v="GIUGNO"/>
    <x v="3"/>
    <n v="6"/>
    <s v="GIUGNO 2023"/>
    <x v="39"/>
    <x v="7"/>
    <s v="COSTO SOPRAVVIVENZA"/>
    <n v="81.16"/>
    <m/>
    <m/>
    <m/>
  </r>
  <r>
    <x v="91"/>
    <s v="GIUGNO"/>
    <x v="3"/>
    <n v="6"/>
    <s v="GIUGNO 2023"/>
    <x v="39"/>
    <x v="2"/>
    <s v="COSTO SOPRAVVIVENZA"/>
    <n v="0.4"/>
    <m/>
    <m/>
    <m/>
  </r>
  <r>
    <x v="357"/>
    <s v="GIUGNO"/>
    <x v="3"/>
    <n v="6"/>
    <s v="GIUGNO 2023"/>
    <x v="39"/>
    <x v="8"/>
    <s v="COSTO SFIZI"/>
    <n v="15.12"/>
    <s v="1/3"/>
    <s v="PAYPAL"/>
    <m/>
  </r>
  <r>
    <x v="183"/>
    <s v="GIUGNO"/>
    <x v="3"/>
    <n v="6"/>
    <s v="GIUGNO 2023"/>
    <x v="39"/>
    <x v="22"/>
    <s v="COSTO SFIZI"/>
    <n v="39.950000000000003"/>
    <m/>
    <m/>
    <s v="Trieste"/>
  </r>
  <r>
    <x v="364"/>
    <s v="GIUGNO"/>
    <x v="3"/>
    <n v="6"/>
    <s v="GIUGNO 2023"/>
    <x v="39"/>
    <x v="0"/>
    <s v="COSTO SVAGHI"/>
    <n v="18"/>
    <m/>
    <m/>
    <m/>
  </r>
  <r>
    <x v="365"/>
    <s v="GIUGNO"/>
    <x v="3"/>
    <n v="6"/>
    <s v="GIUGNO 2023"/>
    <x v="39"/>
    <x v="24"/>
    <s v="COSTO SOPRAVVIVENZA"/>
    <n v="12.6"/>
    <m/>
    <m/>
    <m/>
  </r>
  <r>
    <x v="2"/>
    <s v="GIUGNO"/>
    <x v="3"/>
    <n v="6"/>
    <s v="GIUGNO 2023"/>
    <x v="39"/>
    <x v="8"/>
    <s v="COSTO SFIZI"/>
    <n v="23"/>
    <m/>
    <s v="AMAZON"/>
    <m/>
  </r>
  <r>
    <x v="366"/>
    <s v="GIUGNO"/>
    <x v="3"/>
    <n v="6"/>
    <s v="GIUGNO 2023"/>
    <x v="39"/>
    <x v="0"/>
    <s v="COSTO SVAGHI"/>
    <n v="20"/>
    <m/>
    <m/>
    <m/>
  </r>
  <r>
    <x v="91"/>
    <s v="GIUGNO"/>
    <x v="3"/>
    <n v="6"/>
    <s v="GIUGNO 2023"/>
    <x v="39"/>
    <x v="2"/>
    <s v="COSTO SOPRAVVIVENZA"/>
    <n v="0.4"/>
    <m/>
    <m/>
    <m/>
  </r>
  <r>
    <x v="35"/>
    <s v="GIUGNO"/>
    <x v="3"/>
    <n v="6"/>
    <s v="GIUGNO 2023"/>
    <x v="39"/>
    <x v="1"/>
    <s v="COSTO CASA"/>
    <n v="20.51"/>
    <m/>
    <m/>
    <m/>
  </r>
  <r>
    <x v="91"/>
    <s v="GIUGNO"/>
    <x v="3"/>
    <n v="6"/>
    <s v="GIUGNO 2023"/>
    <x v="39"/>
    <x v="2"/>
    <s v="COSTO SOPRAVVIVENZA"/>
    <n v="0.4"/>
    <m/>
    <m/>
    <m/>
  </r>
  <r>
    <x v="91"/>
    <s v="GIUGNO"/>
    <x v="3"/>
    <n v="6"/>
    <s v="GIUGNO 2023"/>
    <x v="39"/>
    <x v="2"/>
    <s v="COSTO SOPRAVVIVENZA"/>
    <n v="0.4"/>
    <m/>
    <m/>
    <m/>
  </r>
  <r>
    <x v="91"/>
    <s v="GIUGNO"/>
    <x v="3"/>
    <n v="6"/>
    <s v="GIUGNO 2023"/>
    <x v="39"/>
    <x v="2"/>
    <s v="COSTO SOPRAVVIVENZA"/>
    <n v="0.4"/>
    <m/>
    <m/>
    <m/>
  </r>
  <r>
    <x v="8"/>
    <s v="GIUGNO"/>
    <x v="3"/>
    <n v="6"/>
    <s v="GIUGNO 2023"/>
    <x v="39"/>
    <x v="6"/>
    <s v="COSTO SOPRAVVIVENZA"/>
    <n v="33"/>
    <m/>
    <m/>
    <m/>
  </r>
  <r>
    <x v="91"/>
    <s v="GIUGNO"/>
    <x v="3"/>
    <n v="6"/>
    <s v="GIUGNO 2023"/>
    <x v="39"/>
    <x v="2"/>
    <s v="COSTO SOPRAVVIVENZA"/>
    <n v="0.4"/>
    <m/>
    <m/>
    <m/>
  </r>
  <r>
    <x v="91"/>
    <s v="GIUGNO"/>
    <x v="3"/>
    <n v="6"/>
    <s v="GIUGNO 2023"/>
    <x v="39"/>
    <x v="2"/>
    <s v="COSTO SOPRAVVIVENZA"/>
    <n v="0.4"/>
    <m/>
    <m/>
    <m/>
  </r>
  <r>
    <x v="91"/>
    <s v="GIUGNO"/>
    <x v="3"/>
    <n v="6"/>
    <s v="GIUGNO 2023"/>
    <x v="39"/>
    <x v="2"/>
    <s v="COSTO SOPRAVVIVENZA"/>
    <n v="0.4"/>
    <m/>
    <m/>
    <m/>
  </r>
  <r>
    <x v="12"/>
    <s v="GIUGNO"/>
    <x v="3"/>
    <n v="6"/>
    <s v="GIUGNO 2023"/>
    <x v="39"/>
    <x v="7"/>
    <s v="COSTO SOPRAVVIVENZA"/>
    <n v="29.68"/>
    <m/>
    <m/>
    <m/>
  </r>
  <r>
    <x v="82"/>
    <s v="GIUGNO"/>
    <x v="3"/>
    <n v="6"/>
    <s v="GIUGNO 2023"/>
    <x v="39"/>
    <x v="7"/>
    <s v="COSTO SOPRAVVIVENZA"/>
    <n v="15.7"/>
    <m/>
    <m/>
    <m/>
  </r>
  <r>
    <x v="63"/>
    <s v="GIUGNO"/>
    <x v="3"/>
    <n v="6"/>
    <s v="GIUGNO 2023"/>
    <x v="39"/>
    <x v="12"/>
    <s v="COSTO SVAGHI"/>
    <n v="37.71"/>
    <s v="2/3"/>
    <s v="PAYPAL"/>
    <m/>
  </r>
  <r>
    <x v="225"/>
    <s v="GIUGNO"/>
    <x v="3"/>
    <n v="6"/>
    <s v="GIUGNO 2023"/>
    <x v="39"/>
    <x v="11"/>
    <s v="COSTO SFIZI"/>
    <n v="10.49"/>
    <s v="3/3"/>
    <s v="PAYPAL"/>
    <m/>
  </r>
  <r>
    <x v="2"/>
    <s v="GIUGNO"/>
    <x v="3"/>
    <n v="6"/>
    <s v="GIUGNO 2023"/>
    <x v="39"/>
    <x v="22"/>
    <s v="COSTO SFIZI"/>
    <n v="55.86"/>
    <s v="4/5"/>
    <s v="AMAZON"/>
    <s v="TABLET"/>
  </r>
  <r>
    <x v="6"/>
    <s v="GIUGNO"/>
    <x v="3"/>
    <n v="6"/>
    <s v="GIUGNO 2023"/>
    <x v="39"/>
    <x v="0"/>
    <s v="COSTO SVAGHI"/>
    <n v="3.6"/>
    <m/>
    <m/>
    <m/>
  </r>
  <r>
    <x v="13"/>
    <s v="GIUGNO"/>
    <x v="3"/>
    <n v="6"/>
    <s v="GIUGNO 2023"/>
    <x v="39"/>
    <x v="0"/>
    <s v="COSTO SVAGHI"/>
    <n v="30"/>
    <m/>
    <m/>
    <m/>
  </r>
  <r>
    <x v="91"/>
    <s v="MAGGIO"/>
    <x v="3"/>
    <n v="5"/>
    <s v="MAGGIO 2023"/>
    <x v="40"/>
    <x v="2"/>
    <s v="COSTO SOPRAVVIVENZA"/>
    <n v="0.8"/>
    <m/>
    <m/>
    <m/>
  </r>
  <r>
    <x v="91"/>
    <s v="MAGGIO"/>
    <x v="3"/>
    <n v="5"/>
    <s v="MAGGIO 2023"/>
    <x v="40"/>
    <x v="2"/>
    <s v="COSTO SOPRAVVIVENZA"/>
    <n v="0.4"/>
    <m/>
    <m/>
    <m/>
  </r>
  <r>
    <x v="82"/>
    <s v="MAGGIO"/>
    <x v="3"/>
    <n v="5"/>
    <s v="MAGGIO 2023"/>
    <x v="40"/>
    <x v="7"/>
    <s v="COSTO SOPRAVVIVENZA"/>
    <n v="12.94"/>
    <m/>
    <m/>
    <m/>
  </r>
  <r>
    <x v="91"/>
    <s v="MAGGIO"/>
    <x v="3"/>
    <n v="5"/>
    <s v="MAGGIO 2023"/>
    <x v="40"/>
    <x v="2"/>
    <s v="COSTO SOPRAVVIVENZA"/>
    <n v="0.4"/>
    <m/>
    <m/>
    <m/>
  </r>
  <r>
    <x v="63"/>
    <s v="MAGGIO"/>
    <x v="3"/>
    <n v="5"/>
    <s v="MAGGIO 2023"/>
    <x v="40"/>
    <x v="12"/>
    <s v="COSTO SVAGHI"/>
    <n v="37.71"/>
    <s v="1/3"/>
    <s v="PAYPAL"/>
    <m/>
  </r>
  <r>
    <x v="6"/>
    <s v="MAGGIO"/>
    <x v="3"/>
    <n v="5"/>
    <s v="MAGGIO 2023"/>
    <x v="40"/>
    <x v="14"/>
    <s v="COSTO SOPRAVVIVENZA"/>
    <n v="5"/>
    <m/>
    <m/>
    <m/>
  </r>
  <r>
    <x v="91"/>
    <s v="MAGGIO"/>
    <x v="3"/>
    <n v="5"/>
    <s v="MAGGIO 2023"/>
    <x v="40"/>
    <x v="2"/>
    <s v="COSTO SOPRAVVIVENZA"/>
    <n v="0.4"/>
    <m/>
    <m/>
    <m/>
  </r>
  <r>
    <x v="91"/>
    <s v="MAGGIO"/>
    <x v="3"/>
    <n v="5"/>
    <s v="MAGGIO 2023"/>
    <x v="40"/>
    <x v="2"/>
    <s v="COSTO SOPRAVVIVENZA"/>
    <n v="0.4"/>
    <m/>
    <m/>
    <m/>
  </r>
  <r>
    <x v="91"/>
    <s v="MAGGIO"/>
    <x v="3"/>
    <n v="5"/>
    <s v="MAGGIO 2023"/>
    <x v="40"/>
    <x v="2"/>
    <s v="COSTO SOPRAVVIVENZA"/>
    <n v="0.4"/>
    <m/>
    <m/>
    <m/>
  </r>
  <r>
    <x v="82"/>
    <s v="MAGGIO"/>
    <x v="3"/>
    <n v="5"/>
    <s v="MAGGIO 2023"/>
    <x v="40"/>
    <x v="7"/>
    <s v="COSTO SOPRAVVIVENZA"/>
    <n v="16.41"/>
    <m/>
    <m/>
    <m/>
  </r>
  <r>
    <x v="6"/>
    <s v="MAGGIO"/>
    <x v="3"/>
    <n v="5"/>
    <s v="MAGGIO 2023"/>
    <x v="40"/>
    <x v="0"/>
    <s v="COSTO SVAGHI"/>
    <n v="3.6"/>
    <m/>
    <m/>
    <m/>
  </r>
  <r>
    <x v="12"/>
    <s v="MAGGIO"/>
    <x v="3"/>
    <n v="5"/>
    <s v="MAGGIO 2023"/>
    <x v="40"/>
    <x v="7"/>
    <s v="COSTO SOPRAVVIVENZA"/>
    <n v="16.14"/>
    <m/>
    <m/>
    <m/>
  </r>
  <r>
    <x v="35"/>
    <s v="MAGGIO"/>
    <x v="3"/>
    <n v="5"/>
    <s v="MAGGIO 2023"/>
    <x v="40"/>
    <x v="1"/>
    <s v="COSTO CASA"/>
    <n v="12.3"/>
    <m/>
    <m/>
    <m/>
  </r>
  <r>
    <x v="367"/>
    <s v="MAGGIO"/>
    <x v="3"/>
    <n v="5"/>
    <s v="MAGGIO 2023"/>
    <x v="40"/>
    <x v="9"/>
    <s v="COSTO MOBILITA'"/>
    <n v="25"/>
    <m/>
    <m/>
    <m/>
  </r>
  <r>
    <x v="2"/>
    <s v="MAGGIO"/>
    <x v="3"/>
    <n v="5"/>
    <s v="MAGGIO 2023"/>
    <x v="40"/>
    <x v="8"/>
    <s v="COSTO SFIZI"/>
    <n v="27.2"/>
    <m/>
    <s v="AMAZON"/>
    <m/>
  </r>
  <r>
    <x v="368"/>
    <s v="MAGGIO"/>
    <x v="3"/>
    <n v="5"/>
    <s v="MAGGIO 2023"/>
    <x v="40"/>
    <x v="8"/>
    <s v="COSTO SFIZI"/>
    <n v="19.18"/>
    <m/>
    <s v="PAYPAL"/>
    <m/>
  </r>
  <r>
    <x v="369"/>
    <s v="MAGGIO"/>
    <x v="3"/>
    <n v="5"/>
    <s v="MAGGIO 2023"/>
    <x v="40"/>
    <x v="0"/>
    <s v="COSTO SVAGHI"/>
    <n v="52.5"/>
    <m/>
    <m/>
    <m/>
  </r>
  <r>
    <x v="82"/>
    <s v="MAGGIO"/>
    <x v="3"/>
    <n v="5"/>
    <s v="MAGGIO 2023"/>
    <x v="40"/>
    <x v="7"/>
    <s v="COSTO SOPRAVVIVENZA"/>
    <n v="18.77"/>
    <m/>
    <m/>
    <m/>
  </r>
  <r>
    <x v="6"/>
    <s v="MAGGIO"/>
    <x v="3"/>
    <n v="5"/>
    <s v="MAGGIO 2023"/>
    <x v="40"/>
    <x v="14"/>
    <s v="COSTO SOPRAVVIVENZA"/>
    <n v="5"/>
    <m/>
    <m/>
    <m/>
  </r>
  <r>
    <x v="225"/>
    <s v="MAGGIO"/>
    <x v="3"/>
    <n v="5"/>
    <s v="MAGGIO 2023"/>
    <x v="40"/>
    <x v="11"/>
    <s v="COSTO SFIZI"/>
    <n v="10.49"/>
    <s v="2/3"/>
    <s v="PAYPAL"/>
    <m/>
  </r>
  <r>
    <x v="2"/>
    <s v="MAGGIO"/>
    <x v="3"/>
    <n v="5"/>
    <s v="MAGGIO 2023"/>
    <x v="40"/>
    <x v="22"/>
    <s v="COSTO SFIZI"/>
    <n v="55.86"/>
    <s v="3/5"/>
    <s v="AMAZON"/>
    <s v="TABLET"/>
  </r>
  <r>
    <x v="2"/>
    <s v="MAGGIO"/>
    <x v="3"/>
    <n v="5"/>
    <s v="MAGGIO 2023"/>
    <x v="40"/>
    <x v="8"/>
    <s v="COSTO SFIZI"/>
    <n v="40.98"/>
    <m/>
    <s v="AMAZON"/>
    <m/>
  </r>
  <r>
    <x v="370"/>
    <s v="APRILE"/>
    <x v="3"/>
    <n v="4"/>
    <s v="APRILE 2023"/>
    <x v="41"/>
    <x v="0"/>
    <s v="COSTO SVAGHI"/>
    <n v="10"/>
    <m/>
    <m/>
    <m/>
  </r>
  <r>
    <x v="371"/>
    <s v="APRILE"/>
    <x v="3"/>
    <n v="4"/>
    <s v="APRILE 2023"/>
    <x v="41"/>
    <x v="0"/>
    <s v="COSTO SVAGHI"/>
    <n v="12"/>
    <m/>
    <m/>
    <m/>
  </r>
  <r>
    <x v="91"/>
    <s v="APRILE"/>
    <x v="3"/>
    <n v="4"/>
    <s v="APRILE 2023"/>
    <x v="41"/>
    <x v="2"/>
    <s v="COSTO SOPRAVVIVENZA"/>
    <n v="0.4"/>
    <m/>
    <m/>
    <m/>
  </r>
  <r>
    <x v="6"/>
    <s v="APRILE"/>
    <x v="3"/>
    <n v="4"/>
    <s v="APRILE 2023"/>
    <x v="41"/>
    <x v="14"/>
    <s v="COSTO SOPRAVVIVENZA"/>
    <n v="5"/>
    <m/>
    <m/>
    <m/>
  </r>
  <r>
    <x v="108"/>
    <s v="APRILE"/>
    <x v="3"/>
    <n v="4"/>
    <s v="APRILE 2023"/>
    <x v="41"/>
    <x v="0"/>
    <s v="COSTO SVAGHI"/>
    <n v="22"/>
    <m/>
    <m/>
    <m/>
  </r>
  <r>
    <x v="91"/>
    <s v="APRILE"/>
    <x v="3"/>
    <n v="4"/>
    <s v="APRILE 2023"/>
    <x v="41"/>
    <x v="2"/>
    <s v="COSTO SOPRAVVIVENZA"/>
    <n v="0.4"/>
    <m/>
    <m/>
    <m/>
  </r>
  <r>
    <x v="82"/>
    <s v="APRILE"/>
    <x v="3"/>
    <n v="4"/>
    <s v="APRILE 2023"/>
    <x v="41"/>
    <x v="7"/>
    <s v="COSTO SOPRAVVIVENZA"/>
    <n v="10.63"/>
    <m/>
    <m/>
    <m/>
  </r>
  <r>
    <x v="372"/>
    <s v="APRILE"/>
    <x v="3"/>
    <n v="4"/>
    <s v="APRILE 2023"/>
    <x v="41"/>
    <x v="7"/>
    <s v="COSTO SOPRAVVIVENZA"/>
    <n v="3.4"/>
    <m/>
    <m/>
    <m/>
  </r>
  <r>
    <x v="82"/>
    <s v="APRILE"/>
    <x v="3"/>
    <n v="4"/>
    <s v="APRILE 2023"/>
    <x v="41"/>
    <x v="7"/>
    <s v="COSTO SOPRAVVIVENZA"/>
    <n v="9.93"/>
    <m/>
    <m/>
    <m/>
  </r>
  <r>
    <x v="91"/>
    <s v="APRILE"/>
    <x v="3"/>
    <n v="4"/>
    <s v="APRILE 2023"/>
    <x v="41"/>
    <x v="2"/>
    <s v="COSTO SOPRAVVIVENZA"/>
    <n v="0.4"/>
    <m/>
    <m/>
    <m/>
  </r>
  <r>
    <x v="280"/>
    <s v="APRILE"/>
    <x v="3"/>
    <n v="4"/>
    <s v="APRILE 2023"/>
    <x v="41"/>
    <x v="0"/>
    <s v="COSTO SVAGHI"/>
    <n v="31.6"/>
    <m/>
    <m/>
    <m/>
  </r>
  <r>
    <x v="8"/>
    <s v="APRILE"/>
    <x v="3"/>
    <n v="4"/>
    <s v="APRILE 2023"/>
    <x v="41"/>
    <x v="6"/>
    <s v="COSTO SOPRAVVIVENZA"/>
    <n v="33"/>
    <m/>
    <m/>
    <m/>
  </r>
  <r>
    <x v="373"/>
    <s v="APRILE"/>
    <x v="3"/>
    <n v="4"/>
    <s v="APRILE 2023"/>
    <x v="41"/>
    <x v="7"/>
    <s v="COSTO SOPRAVVIVENZA"/>
    <n v="16.43"/>
    <m/>
    <m/>
    <m/>
  </r>
  <r>
    <x v="225"/>
    <s v="APRILE"/>
    <x v="3"/>
    <n v="4"/>
    <s v="APRILE 2023"/>
    <x v="41"/>
    <x v="11"/>
    <s v="COSTO SFIZI"/>
    <n v="10.49"/>
    <s v="1/3"/>
    <s v="PAYPAL"/>
    <m/>
  </r>
  <r>
    <x v="374"/>
    <s v="APRILE"/>
    <x v="3"/>
    <n v="4"/>
    <s v="APRILE 2023"/>
    <x v="41"/>
    <x v="7"/>
    <s v="COSTO SOPRAVVIVENZA"/>
    <n v="3.69"/>
    <m/>
    <m/>
    <m/>
  </r>
  <r>
    <x v="299"/>
    <s v="APRILE"/>
    <x v="3"/>
    <n v="4"/>
    <s v="APRILE 2023"/>
    <x v="41"/>
    <x v="0"/>
    <s v="COSTO SVAGHI"/>
    <n v="5.16"/>
    <m/>
    <m/>
    <m/>
  </r>
  <r>
    <x v="299"/>
    <s v="APRILE"/>
    <x v="3"/>
    <n v="4"/>
    <s v="APRILE 2023"/>
    <x v="41"/>
    <x v="0"/>
    <s v="COSTO SVAGHI"/>
    <n v="5.16"/>
    <m/>
    <m/>
    <m/>
  </r>
  <r>
    <x v="35"/>
    <s v="APRILE"/>
    <x v="3"/>
    <n v="4"/>
    <s v="APRILE 2023"/>
    <x v="41"/>
    <x v="1"/>
    <s v="COSTO CASA"/>
    <n v="17.600000000000001"/>
    <m/>
    <m/>
    <m/>
  </r>
  <r>
    <x v="6"/>
    <s v="APRILE"/>
    <x v="3"/>
    <n v="4"/>
    <s v="APRILE 2023"/>
    <x v="41"/>
    <x v="14"/>
    <s v="COSTO SOPRAVVIVENZA"/>
    <n v="5"/>
    <m/>
    <m/>
    <m/>
  </r>
  <r>
    <x v="91"/>
    <s v="APRILE"/>
    <x v="3"/>
    <n v="4"/>
    <s v="APRILE 2023"/>
    <x v="41"/>
    <x v="2"/>
    <s v="COSTO SOPRAVVIVENZA"/>
    <n v="0.4"/>
    <m/>
    <m/>
    <m/>
  </r>
  <r>
    <x v="82"/>
    <s v="APRILE"/>
    <x v="3"/>
    <n v="4"/>
    <s v="APRILE 2023"/>
    <x v="41"/>
    <x v="7"/>
    <s v="COSTO SOPRAVVIVENZA"/>
    <n v="31.84"/>
    <m/>
    <m/>
    <m/>
  </r>
  <r>
    <x v="91"/>
    <s v="APRILE"/>
    <x v="3"/>
    <n v="4"/>
    <s v="APRILE 2023"/>
    <x v="41"/>
    <x v="2"/>
    <s v="COSTO SOPRAVVIVENZA"/>
    <n v="0.4"/>
    <m/>
    <m/>
    <m/>
  </r>
  <r>
    <x v="91"/>
    <s v="APRILE"/>
    <x v="3"/>
    <n v="4"/>
    <s v="APRILE 2023"/>
    <x v="41"/>
    <x v="2"/>
    <s v="COSTO SOPRAVVIVENZA"/>
    <n v="0.4"/>
    <m/>
    <m/>
    <m/>
  </r>
  <r>
    <x v="91"/>
    <s v="APRILE"/>
    <x v="3"/>
    <n v="4"/>
    <s v="APRILE 2023"/>
    <x v="41"/>
    <x v="2"/>
    <s v="COSTO SOPRAVVIVENZA"/>
    <n v="0.4"/>
    <m/>
    <m/>
    <m/>
  </r>
  <r>
    <x v="91"/>
    <s v="APRILE"/>
    <x v="3"/>
    <n v="4"/>
    <s v="APRILE 2023"/>
    <x v="41"/>
    <x v="2"/>
    <s v="COSTO SOPRAVVIVENZA"/>
    <n v="0.4"/>
    <m/>
    <m/>
    <m/>
  </r>
  <r>
    <x v="2"/>
    <s v="APRILE"/>
    <x v="3"/>
    <n v="4"/>
    <s v="APRILE 2023"/>
    <x v="41"/>
    <x v="8"/>
    <s v="COSTO SFIZI"/>
    <n v="16.48"/>
    <m/>
    <s v="AMAZON"/>
    <m/>
  </r>
  <r>
    <x v="2"/>
    <s v="APRILE"/>
    <x v="3"/>
    <n v="4"/>
    <s v="APRILE 2023"/>
    <x v="41"/>
    <x v="22"/>
    <s v="COSTO SFIZI"/>
    <n v="55.86"/>
    <s v="2/5"/>
    <s v="AMAZON"/>
    <s v="TABLET"/>
  </r>
  <r>
    <x v="53"/>
    <s v="APRILE"/>
    <x v="3"/>
    <n v="4"/>
    <s v="APRILE 2023"/>
    <x v="41"/>
    <x v="1"/>
    <s v="COSTO CASA"/>
    <n v="28.31"/>
    <s v="3/3"/>
    <s v="PAYPAL"/>
    <m/>
  </r>
  <r>
    <x v="63"/>
    <s v="APRILE"/>
    <x v="3"/>
    <n v="4"/>
    <s v="APRILE 2023"/>
    <x v="41"/>
    <x v="12"/>
    <s v="COSTO SVAGHI"/>
    <n v="28.63"/>
    <s v="3/3"/>
    <s v="PAYPAL"/>
    <m/>
  </r>
  <r>
    <x v="6"/>
    <s v="APRILE"/>
    <x v="3"/>
    <n v="4"/>
    <s v="APRILE 2023"/>
    <x v="41"/>
    <x v="14"/>
    <s v="COSTO SOPRAVVIVENZA"/>
    <n v="5"/>
    <m/>
    <m/>
    <m/>
  </r>
  <r>
    <x v="254"/>
    <s v="MARZO"/>
    <x v="3"/>
    <n v="3"/>
    <s v="MARZO 2023"/>
    <x v="42"/>
    <x v="0"/>
    <s v="COSTO SVAGHI"/>
    <n v="23"/>
    <m/>
    <m/>
    <m/>
  </r>
  <r>
    <x v="41"/>
    <s v="MARZO"/>
    <x v="3"/>
    <n v="3"/>
    <s v="MARZO 2023"/>
    <x v="42"/>
    <x v="3"/>
    <s v="COSTO MOBILITA'"/>
    <n v="1.7"/>
    <m/>
    <m/>
    <m/>
  </r>
  <r>
    <x v="257"/>
    <s v="MARZO"/>
    <x v="3"/>
    <n v="3"/>
    <s v="MARZO 2023"/>
    <x v="42"/>
    <x v="3"/>
    <s v="COSTO MOBILITA'"/>
    <n v="2.1"/>
    <m/>
    <m/>
    <m/>
  </r>
  <r>
    <x v="6"/>
    <s v="MARZO"/>
    <x v="3"/>
    <n v="3"/>
    <s v="MARZO 2023"/>
    <x v="42"/>
    <x v="14"/>
    <s v="COSTO SOPRAVVIVENZA"/>
    <n v="5"/>
    <m/>
    <m/>
    <m/>
  </r>
  <r>
    <x v="91"/>
    <s v="MARZO"/>
    <x v="3"/>
    <n v="3"/>
    <s v="MARZO 2023"/>
    <x v="42"/>
    <x v="2"/>
    <s v="COSTO SOPRAVVIVENZA"/>
    <n v="0.4"/>
    <m/>
    <m/>
    <m/>
  </r>
  <r>
    <x v="6"/>
    <s v="MARZO"/>
    <x v="3"/>
    <n v="3"/>
    <s v="MARZO 2023"/>
    <x v="42"/>
    <x v="0"/>
    <s v="COSTO SVAGHI"/>
    <n v="2.4"/>
    <m/>
    <m/>
    <m/>
  </r>
  <r>
    <x v="2"/>
    <s v="MARZO"/>
    <x v="3"/>
    <n v="3"/>
    <s v="MARZO 2023"/>
    <x v="42"/>
    <x v="11"/>
    <s v="COSTO SFIZI"/>
    <n v="9.98"/>
    <s v="5/5"/>
    <s v="AMAZON"/>
    <m/>
  </r>
  <r>
    <x v="91"/>
    <s v="MARZO"/>
    <x v="3"/>
    <n v="3"/>
    <s v="MARZO 2023"/>
    <x v="42"/>
    <x v="2"/>
    <s v="COSTO SOPRAVVIVENZA"/>
    <n v="0.4"/>
    <m/>
    <m/>
    <m/>
  </r>
  <r>
    <x v="91"/>
    <s v="MARZO"/>
    <x v="3"/>
    <n v="3"/>
    <s v="MARZO 2023"/>
    <x v="42"/>
    <x v="2"/>
    <s v="COSTO SOPRAVVIVENZA"/>
    <n v="0.4"/>
    <m/>
    <m/>
    <m/>
  </r>
  <r>
    <x v="82"/>
    <s v="MARZO"/>
    <x v="3"/>
    <n v="3"/>
    <s v="MARZO 2023"/>
    <x v="42"/>
    <x v="7"/>
    <s v="COSTO SOPRAVVIVENZA"/>
    <n v="9.92"/>
    <m/>
    <m/>
    <m/>
  </r>
  <r>
    <x v="91"/>
    <s v="MARZO"/>
    <x v="3"/>
    <n v="3"/>
    <s v="MARZO 2023"/>
    <x v="42"/>
    <x v="2"/>
    <s v="COSTO SOPRAVVIVENZA"/>
    <n v="0.4"/>
    <m/>
    <m/>
    <m/>
  </r>
  <r>
    <x v="91"/>
    <s v="MARZO"/>
    <x v="3"/>
    <n v="3"/>
    <s v="MARZO 2023"/>
    <x v="42"/>
    <x v="2"/>
    <s v="COSTO SOPRAVVIVENZA"/>
    <n v="0.4"/>
    <m/>
    <m/>
    <m/>
  </r>
  <r>
    <x v="2"/>
    <s v="MARZO"/>
    <x v="3"/>
    <n v="3"/>
    <s v="MARZO 2023"/>
    <x v="42"/>
    <x v="8"/>
    <s v="COSTO SFIZI"/>
    <n v="20.99"/>
    <m/>
    <s v="AMAZON"/>
    <m/>
  </r>
  <r>
    <x v="82"/>
    <s v="MARZO"/>
    <x v="3"/>
    <n v="3"/>
    <s v="MARZO 2023"/>
    <x v="42"/>
    <x v="7"/>
    <s v="COSTO SOPRAVVIVENZA"/>
    <n v="8.6199999999999992"/>
    <m/>
    <m/>
    <m/>
  </r>
  <r>
    <x v="91"/>
    <s v="MARZO"/>
    <x v="3"/>
    <n v="3"/>
    <s v="MARZO 2023"/>
    <x v="42"/>
    <x v="2"/>
    <s v="COSTO SOPRAVVIVENZA"/>
    <n v="0.4"/>
    <m/>
    <m/>
    <m/>
  </r>
  <r>
    <x v="375"/>
    <s v="MARZO"/>
    <x v="3"/>
    <n v="3"/>
    <s v="MARZO 2023"/>
    <x v="42"/>
    <x v="0"/>
    <s v="COSTO SVAGHI"/>
    <n v="14"/>
    <m/>
    <m/>
    <m/>
  </r>
  <r>
    <x v="2"/>
    <s v="MARZO"/>
    <x v="3"/>
    <n v="3"/>
    <s v="MARZO 2023"/>
    <x v="42"/>
    <x v="22"/>
    <s v="COSTO SFIZI"/>
    <n v="55.86"/>
    <s v="1/5"/>
    <s v="AMAZON"/>
    <s v="TABLET"/>
  </r>
  <r>
    <x v="372"/>
    <s v="MARZO"/>
    <x v="3"/>
    <n v="3"/>
    <s v="MARZO 2023"/>
    <x v="42"/>
    <x v="7"/>
    <s v="COSTO SOPRAVVIVENZA"/>
    <n v="3.89"/>
    <m/>
    <m/>
    <m/>
  </r>
  <r>
    <x v="91"/>
    <s v="MARZO"/>
    <x v="3"/>
    <n v="3"/>
    <s v="MARZO 2023"/>
    <x v="42"/>
    <x v="2"/>
    <s v="COSTO SOPRAVVIVENZA"/>
    <n v="0.4"/>
    <m/>
    <m/>
    <m/>
  </r>
  <r>
    <x v="35"/>
    <s v="MARZO"/>
    <x v="3"/>
    <n v="3"/>
    <s v="MARZO 2023"/>
    <x v="42"/>
    <x v="1"/>
    <s v="COSTO CASA"/>
    <n v="6.5"/>
    <m/>
    <m/>
    <m/>
  </r>
  <r>
    <x v="12"/>
    <s v="MARZO"/>
    <x v="3"/>
    <n v="3"/>
    <s v="MARZO 2023"/>
    <x v="42"/>
    <x v="7"/>
    <s v="COSTO SOPRAVVIVENZA"/>
    <n v="11.09"/>
    <m/>
    <m/>
    <m/>
  </r>
  <r>
    <x v="82"/>
    <s v="MARZO"/>
    <x v="3"/>
    <n v="3"/>
    <s v="MARZO 2023"/>
    <x v="42"/>
    <x v="7"/>
    <s v="COSTO SOPRAVVIVENZA"/>
    <n v="25.05"/>
    <m/>
    <m/>
    <m/>
  </r>
  <r>
    <x v="91"/>
    <s v="MARZO"/>
    <x v="3"/>
    <n v="3"/>
    <s v="MARZO 2023"/>
    <x v="42"/>
    <x v="2"/>
    <s v="COSTO SOPRAVVIVENZA"/>
    <n v="0.4"/>
    <m/>
    <m/>
    <m/>
  </r>
  <r>
    <x v="6"/>
    <s v="MARZO"/>
    <x v="3"/>
    <n v="3"/>
    <s v="MARZO 2023"/>
    <x v="42"/>
    <x v="14"/>
    <s v="COSTO SOPRAVVIVENZA"/>
    <n v="5"/>
    <m/>
    <m/>
    <m/>
  </r>
  <r>
    <x v="91"/>
    <s v="MARZO"/>
    <x v="3"/>
    <n v="3"/>
    <s v="MARZO 2023"/>
    <x v="42"/>
    <x v="2"/>
    <s v="COSTO SOPRAVVIVENZA"/>
    <n v="0.4"/>
    <m/>
    <m/>
    <m/>
  </r>
  <r>
    <x v="91"/>
    <s v="MARZO"/>
    <x v="3"/>
    <n v="3"/>
    <s v="MARZO 2023"/>
    <x v="42"/>
    <x v="2"/>
    <s v="COSTO SOPRAVVIVENZA"/>
    <n v="0.4"/>
    <m/>
    <m/>
    <m/>
  </r>
  <r>
    <x v="2"/>
    <s v="MARZO"/>
    <x v="3"/>
    <n v="3"/>
    <s v="MARZO 2023"/>
    <x v="42"/>
    <x v="8"/>
    <s v="COSTO SFIZI"/>
    <n v="29.99"/>
    <m/>
    <s v="AMAZON"/>
    <m/>
  </r>
  <r>
    <x v="236"/>
    <s v="MARZO"/>
    <x v="3"/>
    <n v="3"/>
    <s v="MARZO 2023"/>
    <x v="42"/>
    <x v="21"/>
    <s v="COSTO SOPRAVVIVENZA"/>
    <n v="16.899999999999999"/>
    <s v="3/3"/>
    <s v="PAYPAL"/>
    <m/>
  </r>
  <r>
    <x v="203"/>
    <s v="MARZO"/>
    <x v="3"/>
    <n v="3"/>
    <s v="MARZO 2023"/>
    <x v="42"/>
    <x v="8"/>
    <s v="COSTO SFIZI"/>
    <n v="11.91"/>
    <s v="3/3"/>
    <s v="PAYPAL"/>
    <m/>
  </r>
  <r>
    <x v="53"/>
    <s v="MARZO"/>
    <x v="3"/>
    <n v="3"/>
    <s v="MARZO 2023"/>
    <x v="42"/>
    <x v="1"/>
    <s v="COSTO CASA"/>
    <n v="28.32"/>
    <s v="2/3"/>
    <s v="PAYPAL"/>
    <m/>
  </r>
  <r>
    <x v="63"/>
    <s v="MARZO"/>
    <x v="3"/>
    <n v="3"/>
    <s v="MARZO 2023"/>
    <x v="42"/>
    <x v="12"/>
    <s v="COSTO SVAGHI"/>
    <n v="28.64"/>
    <s v="2/3"/>
    <s v="PAYPAL"/>
    <m/>
  </r>
  <r>
    <x v="82"/>
    <s v="MARZO"/>
    <x v="3"/>
    <n v="3"/>
    <s v="MARZO 2023"/>
    <x v="42"/>
    <x v="7"/>
    <s v="COSTO SOPRAVVIVENZA"/>
    <n v="16.78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6"/>
    <s v="FEBBRAIO"/>
    <x v="3"/>
    <n v="2"/>
    <s v="FEBBRAIO 2023"/>
    <x v="43"/>
    <x v="14"/>
    <s v="COSTO SOPRAVVIVENZA"/>
    <n v="5"/>
    <m/>
    <m/>
    <m/>
  </r>
  <r>
    <x v="91"/>
    <s v="FEBBRAIO"/>
    <x v="3"/>
    <n v="2"/>
    <s v="FEBBRAIO 2023"/>
    <x v="43"/>
    <x v="2"/>
    <s v="COSTO SOPRAVVIVENZA"/>
    <n v="0.4"/>
    <m/>
    <m/>
    <m/>
  </r>
  <r>
    <x v="6"/>
    <s v="FEBBRAIO"/>
    <x v="3"/>
    <n v="2"/>
    <s v="FEBBRAIO 2023"/>
    <x v="43"/>
    <x v="14"/>
    <s v="COSTO SOPRAVVIVENZA"/>
    <n v="7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82"/>
    <s v="FEBBRAIO"/>
    <x v="3"/>
    <n v="2"/>
    <s v="FEBBRAIO 2023"/>
    <x v="43"/>
    <x v="7"/>
    <s v="COSTO SOPRAVVIVENZA"/>
    <n v="15.61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2"/>
    <s v="FEBBRAIO"/>
    <x v="3"/>
    <n v="2"/>
    <s v="FEBBRAIO 2023"/>
    <x v="43"/>
    <x v="11"/>
    <s v="COSTO SFIZI"/>
    <n v="9.98"/>
    <s v="4/5"/>
    <s v="AMAZON"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82"/>
    <s v="FEBBRAIO"/>
    <x v="3"/>
    <n v="2"/>
    <s v="FEBBRAIO 2023"/>
    <x v="43"/>
    <x v="7"/>
    <s v="COSTO SOPRAVVIVENZA"/>
    <n v="4.2699999999999996"/>
    <m/>
    <m/>
    <m/>
  </r>
  <r>
    <x v="35"/>
    <s v="FEBBRAIO"/>
    <x v="3"/>
    <n v="2"/>
    <s v="FEBBRAIO 2023"/>
    <x v="43"/>
    <x v="1"/>
    <s v="COSTO CASA"/>
    <n v="5.87"/>
    <m/>
    <m/>
    <m/>
  </r>
  <r>
    <x v="91"/>
    <s v="FEBBRAIO"/>
    <x v="3"/>
    <n v="2"/>
    <s v="FEBBRAIO 2023"/>
    <x v="43"/>
    <x v="2"/>
    <s v="COSTO SOPRAVVIVENZA"/>
    <n v="0.4"/>
    <m/>
    <m/>
    <m/>
  </r>
  <r>
    <x v="82"/>
    <s v="FEBBRAIO"/>
    <x v="3"/>
    <n v="2"/>
    <s v="FEBBRAIO 2023"/>
    <x v="43"/>
    <x v="7"/>
    <s v="COSTO SOPRAVVIVENZA"/>
    <n v="12.52"/>
    <m/>
    <m/>
    <m/>
  </r>
  <r>
    <x v="91"/>
    <s v="FEBBRAIO"/>
    <x v="3"/>
    <n v="2"/>
    <s v="FEBBRAIO 2023"/>
    <x v="43"/>
    <x v="2"/>
    <s v="COSTO SOPRAVVIVENZA"/>
    <n v="0.8"/>
    <m/>
    <m/>
    <m/>
  </r>
  <r>
    <x v="91"/>
    <s v="FEBBRAIO"/>
    <x v="3"/>
    <n v="2"/>
    <s v="FEBBRAIO 2023"/>
    <x v="43"/>
    <x v="2"/>
    <s v="COSTO SOPRAVVIVENZA"/>
    <n v="0.4"/>
    <m/>
    <m/>
    <m/>
  </r>
  <r>
    <x v="8"/>
    <s v="FEBBRAIO"/>
    <x v="3"/>
    <n v="2"/>
    <s v="FEBBRAIO 2023"/>
    <x v="43"/>
    <x v="6"/>
    <s v="COSTO SOPRAVVIVENZA"/>
    <n v="33"/>
    <m/>
    <m/>
    <m/>
  </r>
  <r>
    <x v="2"/>
    <s v="FEBBRAIO"/>
    <x v="3"/>
    <n v="2"/>
    <s v="FEBBRAIO 2023"/>
    <x v="43"/>
    <x v="8"/>
    <s v="COSTO SFIZI"/>
    <n v="3.49"/>
    <m/>
    <s v="AMAZON"/>
    <m/>
  </r>
  <r>
    <x v="53"/>
    <s v="FEBBRAIO"/>
    <x v="3"/>
    <n v="2"/>
    <s v="FEBBRAIO 2023"/>
    <x v="43"/>
    <x v="1"/>
    <s v="COSTO CASA"/>
    <n v="28.32"/>
    <s v="1/3"/>
    <s v="PAYPAL"/>
    <m/>
  </r>
  <r>
    <x v="82"/>
    <s v="FEBBRAIO"/>
    <x v="3"/>
    <n v="2"/>
    <s v="FEBBRAIO 2023"/>
    <x v="43"/>
    <x v="7"/>
    <s v="COSTO SOPRAVVIVENZA"/>
    <n v="11.21"/>
    <m/>
    <m/>
    <m/>
  </r>
  <r>
    <x v="91"/>
    <s v="FEBBRAIO"/>
    <x v="3"/>
    <n v="2"/>
    <s v="FEBBRAIO 2023"/>
    <x v="43"/>
    <x v="2"/>
    <s v="COSTO SOPRAVVIVENZA"/>
    <n v="0.4"/>
    <m/>
    <m/>
    <m/>
  </r>
  <r>
    <x v="91"/>
    <s v="FEBBRAIO"/>
    <x v="3"/>
    <n v="2"/>
    <s v="FEBBRAIO 2023"/>
    <x v="43"/>
    <x v="2"/>
    <s v="COSTO SOPRAVVIVENZA"/>
    <n v="0.4"/>
    <m/>
    <m/>
    <m/>
  </r>
  <r>
    <x v="376"/>
    <s v="FEBBRAIO"/>
    <x v="3"/>
    <n v="2"/>
    <s v="FEBBRAIO 2023"/>
    <x v="43"/>
    <x v="0"/>
    <s v="COSTO SVAGHI"/>
    <n v="36"/>
    <m/>
    <m/>
    <m/>
  </r>
  <r>
    <x v="91"/>
    <s v="FEBBRAIO"/>
    <x v="3"/>
    <n v="2"/>
    <s v="FEBBRAIO 2023"/>
    <x v="43"/>
    <x v="2"/>
    <s v="COSTO SOPRAVVIVENZA"/>
    <n v="0.4"/>
    <m/>
    <m/>
    <m/>
  </r>
  <r>
    <x v="203"/>
    <s v="FEBBRAIO"/>
    <x v="3"/>
    <n v="2"/>
    <s v="FEBBRAIO 2023"/>
    <x v="43"/>
    <x v="8"/>
    <s v="COSTO SFIZI"/>
    <n v="11.92"/>
    <s v="2/3"/>
    <s v="PAYPAL"/>
    <m/>
  </r>
  <r>
    <x v="236"/>
    <s v="FEBBRAIO"/>
    <x v="3"/>
    <n v="2"/>
    <s v="FEBBRAIO 2023"/>
    <x v="43"/>
    <x v="21"/>
    <s v="COSTO SOPRAVVIVENZA"/>
    <n v="16.899999999999999"/>
    <s v="2/3"/>
    <s v="PAYPAL"/>
    <m/>
  </r>
  <r>
    <x v="301"/>
    <s v="FEBBRAIO"/>
    <x v="3"/>
    <n v="2"/>
    <s v="FEBBRAIO 2023"/>
    <x v="43"/>
    <x v="7"/>
    <s v="COSTO SOPRAVVIVENZA"/>
    <n v="33.24"/>
    <m/>
    <m/>
    <m/>
  </r>
  <r>
    <x v="82"/>
    <s v="FEBBRAIO"/>
    <x v="3"/>
    <n v="2"/>
    <s v="FEBBRAIO 2023"/>
    <x v="43"/>
    <x v="7"/>
    <s v="COSTO SOPRAVVIVENZA"/>
    <n v="35.53"/>
    <m/>
    <m/>
    <m/>
  </r>
  <r>
    <x v="63"/>
    <s v="FEBBRAIO"/>
    <x v="3"/>
    <n v="2"/>
    <s v="FEBBRAIO 2023"/>
    <x v="43"/>
    <x v="12"/>
    <s v="COSTO SVAGHI"/>
    <n v="28.63"/>
    <s v="1/3"/>
    <s v="PAYPAL"/>
    <m/>
  </r>
  <r>
    <x v="35"/>
    <s v="FEBBRAIO"/>
    <x v="3"/>
    <n v="2"/>
    <s v="FEBBRAIO 2023"/>
    <x v="43"/>
    <x v="1"/>
    <s v="COSTO CASA"/>
    <n v="14.08"/>
    <m/>
    <m/>
    <m/>
  </r>
  <r>
    <x v="377"/>
    <s v="FEBBRAIO"/>
    <x v="3"/>
    <n v="2"/>
    <s v="FEBBRAIO 2023"/>
    <x v="43"/>
    <x v="0"/>
    <s v="COSTO SVAGHI"/>
    <n v="15"/>
    <m/>
    <m/>
    <m/>
  </r>
  <r>
    <x v="82"/>
    <s v="GENNAIO"/>
    <x v="3"/>
    <n v="1"/>
    <s v="GENNAIO 2023"/>
    <x v="44"/>
    <x v="7"/>
    <s v="COSTO SOPRAVVIVENZA"/>
    <n v="15.48"/>
    <m/>
    <m/>
    <m/>
  </r>
  <r>
    <x v="378"/>
    <s v="GENNAIO"/>
    <x v="3"/>
    <n v="1"/>
    <s v="GENNAIO 2023"/>
    <x v="44"/>
    <x v="0"/>
    <s v="COSTO SVAGHI"/>
    <n v="23"/>
    <m/>
    <m/>
    <m/>
  </r>
  <r>
    <x v="2"/>
    <s v="GENNAIO"/>
    <x v="3"/>
    <n v="1"/>
    <s v="GENNAIO 2023"/>
    <x v="44"/>
    <x v="11"/>
    <s v="COSTO SFIZI"/>
    <n v="9.98"/>
    <s v="3/5"/>
    <s v="AMAZON"/>
    <m/>
  </r>
  <r>
    <x v="6"/>
    <s v="GENNAIO"/>
    <x v="3"/>
    <n v="1"/>
    <s v="GENNAIO 2023"/>
    <x v="44"/>
    <x v="14"/>
    <s v="COSTO SOPRAVVIVENZA"/>
    <n v="5"/>
    <m/>
    <m/>
    <m/>
  </r>
  <r>
    <x v="35"/>
    <s v="GENNAIO"/>
    <x v="3"/>
    <n v="1"/>
    <s v="GENNAIO 2023"/>
    <x v="44"/>
    <x v="1"/>
    <s v="COSTO CASA"/>
    <n v="4.5999999999999996"/>
    <m/>
    <m/>
    <m/>
  </r>
  <r>
    <x v="91"/>
    <s v="GENNAIO"/>
    <x v="3"/>
    <n v="1"/>
    <s v="GENNAIO 2023"/>
    <x v="44"/>
    <x v="2"/>
    <s v="COSTO SOPRAVVIVENZA"/>
    <n v="0.4"/>
    <m/>
    <m/>
    <m/>
  </r>
  <r>
    <x v="91"/>
    <s v="GENNAIO"/>
    <x v="3"/>
    <n v="1"/>
    <s v="GENNAIO 2023"/>
    <x v="44"/>
    <x v="2"/>
    <s v="COSTO SOPRAVVIVENZA"/>
    <n v="0.4"/>
    <m/>
    <m/>
    <m/>
  </r>
  <r>
    <x v="6"/>
    <s v="GENNAIO"/>
    <x v="3"/>
    <n v="1"/>
    <s v="GENNAIO 2023"/>
    <x v="44"/>
    <x v="0"/>
    <s v="COSTO SVAGHI"/>
    <n v="3.6"/>
    <m/>
    <m/>
    <m/>
  </r>
  <r>
    <x v="91"/>
    <s v="GENNAIO"/>
    <x v="3"/>
    <n v="1"/>
    <s v="GENNAIO 2023"/>
    <x v="44"/>
    <x v="2"/>
    <s v="COSTO SOPRAVVIVENZA"/>
    <n v="0.4"/>
    <m/>
    <m/>
    <m/>
  </r>
  <r>
    <x v="91"/>
    <s v="GENNAIO"/>
    <x v="3"/>
    <n v="1"/>
    <s v="GENNAIO 2023"/>
    <x v="44"/>
    <x v="2"/>
    <s v="COSTO SOPRAVVIVENZA"/>
    <n v="0.4"/>
    <m/>
    <m/>
    <m/>
  </r>
  <r>
    <x v="91"/>
    <s v="GENNAIO"/>
    <x v="3"/>
    <n v="1"/>
    <s v="GENNAIO 2023"/>
    <x v="44"/>
    <x v="2"/>
    <s v="COSTO SOPRAVVIVENZA"/>
    <n v="0.4"/>
    <m/>
    <m/>
    <m/>
  </r>
  <r>
    <x v="91"/>
    <s v="GENNAIO"/>
    <x v="3"/>
    <n v="1"/>
    <s v="GENNAIO 2023"/>
    <x v="44"/>
    <x v="2"/>
    <s v="COSTO SOPRAVVIVENZA"/>
    <n v="0.4"/>
    <m/>
    <m/>
    <m/>
  </r>
  <r>
    <x v="91"/>
    <s v="GENNAIO"/>
    <x v="3"/>
    <n v="1"/>
    <s v="GENNAIO 2023"/>
    <x v="44"/>
    <x v="2"/>
    <s v="COSTO SOPRAVVIVENZA"/>
    <n v="0.4"/>
    <m/>
    <m/>
    <m/>
  </r>
  <r>
    <x v="2"/>
    <s v="GENNAIO"/>
    <x v="3"/>
    <n v="1"/>
    <s v="GENNAIO 2023"/>
    <x v="44"/>
    <x v="8"/>
    <s v="COSTO SFIZI"/>
    <n v="0.76"/>
    <m/>
    <s v="AMAZON"/>
    <m/>
  </r>
  <r>
    <x v="142"/>
    <s v="GENNAIO"/>
    <x v="3"/>
    <n v="1"/>
    <s v="GENNAIO 2023"/>
    <x v="44"/>
    <x v="0"/>
    <s v="COSTO SVAGHI"/>
    <n v="34.54"/>
    <m/>
    <m/>
    <m/>
  </r>
  <r>
    <x v="35"/>
    <s v="GENNAIO"/>
    <x v="3"/>
    <n v="1"/>
    <s v="GENNAIO 2023"/>
    <x v="44"/>
    <x v="1"/>
    <s v="COSTO CASA"/>
    <n v="7.1"/>
    <m/>
    <m/>
    <m/>
  </r>
  <r>
    <x v="35"/>
    <s v="GENNAIO"/>
    <x v="3"/>
    <n v="1"/>
    <s v="GENNAIO 2023"/>
    <x v="44"/>
    <x v="1"/>
    <s v="COSTO CASA"/>
    <n v="9.09"/>
    <m/>
    <m/>
    <m/>
  </r>
  <r>
    <x v="82"/>
    <s v="GENNAIO"/>
    <x v="3"/>
    <n v="1"/>
    <s v="GENNAIO 2023"/>
    <x v="44"/>
    <x v="7"/>
    <s v="COSTO SOPRAVVIVENZA"/>
    <n v="15.88"/>
    <m/>
    <m/>
    <m/>
  </r>
  <r>
    <x v="203"/>
    <s v="GENNAIO"/>
    <x v="3"/>
    <n v="1"/>
    <s v="GENNAIO 2023"/>
    <x v="44"/>
    <x v="8"/>
    <s v="COSTO SFIZI"/>
    <n v="11.91"/>
    <s v="1/3"/>
    <s v="PAYPAL"/>
    <m/>
  </r>
  <r>
    <x v="379"/>
    <s v="GENNAIO"/>
    <x v="3"/>
    <n v="1"/>
    <s v="GENNAIO 2023"/>
    <x v="44"/>
    <x v="0"/>
    <s v="COSTO SVAGHI"/>
    <n v="10.5"/>
    <m/>
    <m/>
    <m/>
  </r>
  <r>
    <x v="99"/>
    <s v="GENNAIO"/>
    <x v="3"/>
    <n v="1"/>
    <s v="GENNAIO 2023"/>
    <x v="44"/>
    <x v="0"/>
    <s v="COSTO SVAGHI"/>
    <n v="20"/>
    <m/>
    <m/>
    <m/>
  </r>
  <r>
    <x v="35"/>
    <s v="GENNAIO"/>
    <x v="3"/>
    <n v="1"/>
    <s v="GENNAIO 2023"/>
    <x v="44"/>
    <x v="1"/>
    <s v="COSTO CASA"/>
    <n v="6.79"/>
    <m/>
    <m/>
    <m/>
  </r>
  <r>
    <x v="375"/>
    <s v="GENNAIO"/>
    <x v="3"/>
    <n v="1"/>
    <s v="GENNAIO 2023"/>
    <x v="44"/>
    <x v="0"/>
    <s v="COSTO SVAGHI"/>
    <n v="7"/>
    <m/>
    <m/>
    <m/>
  </r>
  <r>
    <x v="380"/>
    <s v="GENNAIO"/>
    <x v="3"/>
    <n v="1"/>
    <s v="GENNAIO 2023"/>
    <x v="44"/>
    <x v="12"/>
    <s v="COSTO SVAGHI"/>
    <n v="19"/>
    <m/>
    <m/>
    <m/>
  </r>
  <r>
    <x v="41"/>
    <s v="GENNAIO"/>
    <x v="3"/>
    <n v="1"/>
    <s v="GENNAIO 2023"/>
    <x v="44"/>
    <x v="3"/>
    <s v="COSTO MOBILITA'"/>
    <n v="4.7"/>
    <m/>
    <m/>
    <m/>
  </r>
  <r>
    <x v="41"/>
    <s v="GENNAIO"/>
    <x v="3"/>
    <n v="1"/>
    <s v="GENNAIO 2023"/>
    <x v="44"/>
    <x v="3"/>
    <s v="COSTO MOBILITA'"/>
    <n v="4.7"/>
    <m/>
    <m/>
    <m/>
  </r>
  <r>
    <x v="82"/>
    <s v="GENNAIO"/>
    <x v="3"/>
    <n v="1"/>
    <s v="GENNAIO 2023"/>
    <x v="44"/>
    <x v="7"/>
    <s v="COSTO SOPRAVVIVENZA"/>
    <n v="24.16"/>
    <m/>
    <m/>
    <m/>
  </r>
  <r>
    <x v="381"/>
    <s v="GENNAIO"/>
    <x v="3"/>
    <n v="1"/>
    <s v="GENNAIO 2023"/>
    <x v="44"/>
    <x v="1"/>
    <s v="COSTO CASA"/>
    <n v="7.3"/>
    <m/>
    <m/>
    <m/>
  </r>
  <r>
    <x v="35"/>
    <s v="GENNAIO"/>
    <x v="3"/>
    <n v="1"/>
    <s v="GENNAIO 2023"/>
    <x v="44"/>
    <x v="1"/>
    <s v="COSTO CASA"/>
    <n v="6.49"/>
    <m/>
    <m/>
    <m/>
  </r>
  <r>
    <x v="236"/>
    <s v="GENNAIO"/>
    <x v="3"/>
    <n v="1"/>
    <s v="GENNAIO 2023"/>
    <x v="44"/>
    <x v="21"/>
    <s v="COSTO SOPRAVVIVENZA"/>
    <n v="16.899999999999999"/>
    <s v="1/3"/>
    <s v="PAYPAL"/>
    <m/>
  </r>
  <r>
    <x v="35"/>
    <s v="GENNAIO"/>
    <x v="3"/>
    <n v="1"/>
    <s v="GENNAIO 2023"/>
    <x v="44"/>
    <x v="1"/>
    <s v="COSTO CASA"/>
    <n v="18.11"/>
    <m/>
    <m/>
    <m/>
  </r>
  <r>
    <x v="142"/>
    <s v="GENNAIO"/>
    <x v="3"/>
    <n v="1"/>
    <s v="GENNAIO 2023"/>
    <x v="44"/>
    <x v="0"/>
    <s v="COSTO SVAGHI"/>
    <n v="38.15"/>
    <m/>
    <m/>
    <m/>
  </r>
  <r>
    <x v="82"/>
    <s v="GENNAIO"/>
    <x v="3"/>
    <n v="1"/>
    <s v="GENNAIO 2023"/>
    <x v="44"/>
    <x v="7"/>
    <s v="COSTO SOPRAVVIVENZA"/>
    <n v="22.44"/>
    <m/>
    <m/>
    <m/>
  </r>
  <r>
    <x v="112"/>
    <s v="GENNAIO"/>
    <x v="3"/>
    <n v="1"/>
    <s v="GENNAIO 2023"/>
    <x v="44"/>
    <x v="1"/>
    <s v="COSTO CASA"/>
    <n v="19.399999999999999"/>
    <m/>
    <m/>
    <m/>
  </r>
  <r>
    <x v="2"/>
    <s v="GENNAIO"/>
    <x v="3"/>
    <n v="1"/>
    <s v="GENNAIO 2023"/>
    <x v="44"/>
    <x v="8"/>
    <s v="COSTO SFIZI"/>
    <n v="79.989999999999995"/>
    <m/>
    <s v="AMAZON"/>
    <m/>
  </r>
  <r>
    <x v="2"/>
    <s v="DICEMBRE"/>
    <x v="4"/>
    <n v="12"/>
    <s v="DICEMBRE 2022"/>
    <x v="45"/>
    <x v="8"/>
    <s v="COSTO SFIZI"/>
    <n v="25.95"/>
    <m/>
    <s v="AMAZON"/>
    <m/>
  </r>
  <r>
    <x v="323"/>
    <s v="DICEMBRE"/>
    <x v="4"/>
    <n v="12"/>
    <s v="DICEMBRE 2022"/>
    <x v="45"/>
    <x v="12"/>
    <s v="COSTO SVAGHI"/>
    <n v="32.700000000000003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2"/>
    <s v="DICEMBRE"/>
    <x v="4"/>
    <n v="12"/>
    <s v="DICEMBRE 2022"/>
    <x v="45"/>
    <x v="11"/>
    <s v="COSTO SFIZI"/>
    <n v="9.98"/>
    <s v="2/5"/>
    <s v="AMAZON"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2"/>
    <s v="DICEMBRE"/>
    <x v="4"/>
    <n v="12"/>
    <s v="DICEMBRE 2022"/>
    <x v="45"/>
    <x v="10"/>
    <s v="COSTO SFIZI"/>
    <n v="26.67"/>
    <m/>
    <s v="AMAZON"/>
    <s v="Regali di natale"/>
  </r>
  <r>
    <x v="2"/>
    <s v="DICEMBRE"/>
    <x v="4"/>
    <n v="12"/>
    <s v="DICEMBRE 2022"/>
    <x v="45"/>
    <x v="10"/>
    <s v="COSTO SFIZI"/>
    <n v="35.9"/>
    <m/>
    <s v="AMAZON"/>
    <s v="Regali di natale"/>
  </r>
  <r>
    <x v="82"/>
    <s v="DICEMBRE"/>
    <x v="4"/>
    <n v="12"/>
    <s v="DICEMBRE 2022"/>
    <x v="45"/>
    <x v="7"/>
    <s v="COSTO SOPRAVVIVENZA"/>
    <n v="23.38"/>
    <m/>
    <m/>
    <m/>
  </r>
  <r>
    <x v="2"/>
    <s v="DICEMBRE"/>
    <x v="4"/>
    <n v="12"/>
    <s v="DICEMBRE 2022"/>
    <x v="45"/>
    <x v="10"/>
    <s v="COSTO SFIZI"/>
    <n v="24.29"/>
    <m/>
    <s v="AMAZON"/>
    <s v="Regali di natale"/>
  </r>
  <r>
    <x v="6"/>
    <s v="DICEMBRE"/>
    <x v="4"/>
    <n v="12"/>
    <s v="DICEMBRE 2022"/>
    <x v="45"/>
    <x v="14"/>
    <s v="COSTO SOPRAVVIVENZA"/>
    <n v="5"/>
    <m/>
    <m/>
    <m/>
  </r>
  <r>
    <x v="8"/>
    <s v="DICEMBRE"/>
    <x v="4"/>
    <n v="12"/>
    <s v="DICEMBRE 2022"/>
    <x v="45"/>
    <x v="6"/>
    <s v="COSTO SOPRAVVIVENZA"/>
    <n v="33"/>
    <m/>
    <m/>
    <m/>
  </r>
  <r>
    <x v="6"/>
    <s v="DICEMBRE"/>
    <x v="4"/>
    <n v="12"/>
    <s v="DICEMBRE 2022"/>
    <x v="45"/>
    <x v="14"/>
    <s v="COSTO SOPRAVVIVENZA"/>
    <n v="5"/>
    <m/>
    <m/>
    <m/>
  </r>
  <r>
    <x v="6"/>
    <s v="DICEMBRE"/>
    <x v="4"/>
    <n v="12"/>
    <s v="DICEMBRE 2022"/>
    <x v="45"/>
    <x v="0"/>
    <s v="COSTO SVAGHI"/>
    <n v="3.6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91"/>
    <s v="DICEMBRE"/>
    <x v="4"/>
    <n v="12"/>
    <s v="DICEMBRE 2022"/>
    <x v="45"/>
    <x v="2"/>
    <s v="COSTO SOPRAVVIVENZA"/>
    <n v="0.4"/>
    <m/>
    <m/>
    <m/>
  </r>
  <r>
    <x v="382"/>
    <s v="DICEMBRE"/>
    <x v="4"/>
    <n v="12"/>
    <s v="DICEMBRE 2022"/>
    <x v="45"/>
    <x v="0"/>
    <s v="COSTO SVAGHI"/>
    <n v="24"/>
    <m/>
    <m/>
    <s v="compleanno"/>
  </r>
  <r>
    <x v="17"/>
    <s v="DICEMBRE"/>
    <x v="4"/>
    <n v="12"/>
    <s v="DICEMBRE 2022"/>
    <x v="45"/>
    <x v="7"/>
    <s v="COSTO SOPRAVVIVENZA"/>
    <n v="18.21"/>
    <m/>
    <m/>
    <m/>
  </r>
  <r>
    <x v="67"/>
    <s v="DICEMBRE"/>
    <x v="4"/>
    <n v="12"/>
    <s v="DICEMBRE 2022"/>
    <x v="45"/>
    <x v="7"/>
    <s v="COSTO SOPRAVVIVENZA"/>
    <n v="67.12"/>
    <m/>
    <m/>
    <m/>
  </r>
  <r>
    <x v="254"/>
    <s v="DICEMBRE"/>
    <x v="4"/>
    <n v="12"/>
    <s v="DICEMBRE 2022"/>
    <x v="45"/>
    <x v="0"/>
    <s v="COSTO SVAGHI"/>
    <n v="19"/>
    <m/>
    <m/>
    <m/>
  </r>
  <r>
    <x v="35"/>
    <s v="DICEMBRE"/>
    <x v="4"/>
    <n v="12"/>
    <s v="DICEMBRE 2022"/>
    <x v="45"/>
    <x v="1"/>
    <s v="COSTO CASA"/>
    <n v="15.69"/>
    <m/>
    <m/>
    <m/>
  </r>
  <r>
    <x v="67"/>
    <s v="DICEMBRE"/>
    <x v="4"/>
    <n v="12"/>
    <s v="DICEMBRE 2022"/>
    <x v="45"/>
    <x v="7"/>
    <s v="COSTO SOPRAVVIVENZA"/>
    <n v="16.239999999999998"/>
    <m/>
    <m/>
    <s v="compleanno"/>
  </r>
  <r>
    <x v="55"/>
    <s v="DICEMBRE"/>
    <x v="4"/>
    <n v="12"/>
    <s v="DICEMBRE 2022"/>
    <x v="45"/>
    <x v="7"/>
    <s v="COSTO SOPRAVVIVENZA"/>
    <n v="56.1"/>
    <m/>
    <m/>
    <s v="compleanno"/>
  </r>
  <r>
    <x v="91"/>
    <s v="DICEMBRE"/>
    <x v="4"/>
    <n v="12"/>
    <s v="DICEMBRE 2022"/>
    <x v="45"/>
    <x v="2"/>
    <s v="COSTO SOPRAVVIVENZA"/>
    <n v="0.4"/>
    <m/>
    <m/>
    <m/>
  </r>
  <r>
    <x v="67"/>
    <s v="DICEMBRE"/>
    <x v="4"/>
    <n v="12"/>
    <s v="DICEMBRE 2022"/>
    <x v="45"/>
    <x v="7"/>
    <s v="COSTO SOPRAVVIVENZA"/>
    <n v="64.16"/>
    <m/>
    <m/>
    <s v="compleanno"/>
  </r>
  <r>
    <x v="17"/>
    <s v="DICEMBRE"/>
    <x v="4"/>
    <n v="12"/>
    <s v="DICEMBRE 2022"/>
    <x v="45"/>
    <x v="7"/>
    <s v="COSTO SOPRAVVIVENZA"/>
    <n v="33.11"/>
    <m/>
    <m/>
    <s v="compleanno"/>
  </r>
  <r>
    <x v="383"/>
    <s v="DICEMBRE"/>
    <x v="4"/>
    <n v="12"/>
    <s v="DICEMBRE 2022"/>
    <x v="45"/>
    <x v="0"/>
    <s v="COSTO SVAGHI"/>
    <n v="22"/>
    <m/>
    <m/>
    <m/>
  </r>
  <r>
    <x v="384"/>
    <s v="DICEMBRE"/>
    <x v="4"/>
    <n v="12"/>
    <s v="DICEMBRE 2022"/>
    <x v="45"/>
    <x v="5"/>
    <s v="COSTO VACANZE"/>
    <n v="27"/>
    <m/>
    <m/>
    <m/>
  </r>
  <r>
    <x v="235"/>
    <s v="DICEMBRE"/>
    <x v="4"/>
    <n v="12"/>
    <s v="DICEMBRE 2022"/>
    <x v="45"/>
    <x v="0"/>
    <s v="COSTO SVAGHI"/>
    <n v="26.5"/>
    <m/>
    <m/>
    <m/>
  </r>
  <r>
    <x v="385"/>
    <s v="DICEMBRE"/>
    <x v="4"/>
    <n v="12"/>
    <s v="DICEMBRE 2022"/>
    <x v="45"/>
    <x v="0"/>
    <s v="COSTO SVAGHI"/>
    <n v="16"/>
    <m/>
    <m/>
    <m/>
  </r>
  <r>
    <x v="386"/>
    <s v="DICEMBRE"/>
    <x v="4"/>
    <n v="12"/>
    <s v="DICEMBRE 2022"/>
    <x v="45"/>
    <x v="1"/>
    <s v="COSTO CASA"/>
    <n v="8.39"/>
    <m/>
    <m/>
    <m/>
  </r>
  <r>
    <x v="112"/>
    <s v="DICEMBRE"/>
    <x v="4"/>
    <n v="12"/>
    <s v="DICEMBRE 2022"/>
    <x v="45"/>
    <x v="1"/>
    <s v="COSTO CASA"/>
    <n v="12.9"/>
    <m/>
    <m/>
    <m/>
  </r>
  <r>
    <x v="82"/>
    <s v="DICEMBRE"/>
    <x v="4"/>
    <n v="12"/>
    <s v="DICEMBRE 2022"/>
    <x v="45"/>
    <x v="7"/>
    <s v="COSTO SOPRAVVIVENZA"/>
    <n v="17.96"/>
    <m/>
    <m/>
    <m/>
  </r>
  <r>
    <x v="6"/>
    <s v="DICEMBRE"/>
    <x v="4"/>
    <n v="12"/>
    <s v="DICEMBRE 2022"/>
    <x v="45"/>
    <x v="14"/>
    <s v="COSTO SOPRAVVIVENZA"/>
    <n v="5"/>
    <m/>
    <m/>
    <m/>
  </r>
  <r>
    <x v="2"/>
    <s v="DICEMBRE"/>
    <x v="4"/>
    <n v="12"/>
    <s v="DICEMBRE 2022"/>
    <x v="45"/>
    <x v="11"/>
    <s v="COSTO SFIZI"/>
    <n v="86.25"/>
    <m/>
    <s v="AMAZON"/>
    <m/>
  </r>
  <r>
    <x v="387"/>
    <s v="DICEMBRE"/>
    <x v="4"/>
    <n v="12"/>
    <s v="DICEMBRE 2022"/>
    <x v="45"/>
    <x v="23"/>
    <s v="COSTO SFIZI"/>
    <n v="6.88"/>
    <m/>
    <m/>
    <m/>
  </r>
  <r>
    <x v="388"/>
    <s v="DICEMBRE"/>
    <x v="4"/>
    <n v="12"/>
    <s v="DICEMBRE 2022"/>
    <x v="45"/>
    <x v="0"/>
    <s v="COSTO SVAGHI"/>
    <n v="5.18"/>
    <m/>
    <m/>
    <m/>
  </r>
  <r>
    <x v="389"/>
    <s v="DICEMBRE"/>
    <x v="4"/>
    <n v="12"/>
    <s v="DICEMBRE 2022"/>
    <x v="45"/>
    <x v="0"/>
    <s v="COSTO SVAGHI"/>
    <n v="12.89"/>
    <m/>
    <m/>
    <m/>
  </r>
  <r>
    <x v="2"/>
    <s v="DICEMBRE"/>
    <x v="4"/>
    <n v="12"/>
    <s v="DICEMBRE 2022"/>
    <x v="45"/>
    <x v="11"/>
    <s v="COSTO SFIZI"/>
    <n v="78.73"/>
    <m/>
    <s v="AMAZON"/>
    <m/>
  </r>
  <r>
    <x v="199"/>
    <s v="NOVEMBRE"/>
    <x v="4"/>
    <n v="11"/>
    <s v="NOVEMBRE 2022"/>
    <x v="46"/>
    <x v="0"/>
    <s v="COSTO SVAGHI"/>
    <n v="34.700000000000003"/>
    <m/>
    <m/>
    <m/>
  </r>
  <r>
    <x v="91"/>
    <s v="NOVEMBRE"/>
    <x v="4"/>
    <n v="11"/>
    <s v="NOVEMBRE 2022"/>
    <x v="46"/>
    <x v="2"/>
    <s v="COSTO SOPRAVVIVENZA"/>
    <n v="0.4"/>
    <m/>
    <m/>
    <m/>
  </r>
  <r>
    <x v="82"/>
    <s v="NOVEMBRE"/>
    <x v="4"/>
    <n v="11"/>
    <s v="NOVEMBRE 2022"/>
    <x v="46"/>
    <x v="7"/>
    <s v="COSTO SOPRAVVIVENZA"/>
    <n v="12.1"/>
    <m/>
    <m/>
    <m/>
  </r>
  <r>
    <x v="2"/>
    <s v="NOVEMBRE"/>
    <x v="4"/>
    <n v="11"/>
    <s v="NOVEMBRE 2022"/>
    <x v="46"/>
    <x v="11"/>
    <s v="COSTO SFIZI"/>
    <n v="9.98"/>
    <s v="1/5"/>
    <s v="AMAZON"/>
    <m/>
  </r>
  <r>
    <x v="378"/>
    <s v="NOVEMBRE"/>
    <x v="4"/>
    <n v="11"/>
    <s v="NOVEMBRE 2022"/>
    <x v="46"/>
    <x v="0"/>
    <s v="COSTO SVAGHI"/>
    <n v="8"/>
    <m/>
    <m/>
    <m/>
  </r>
  <r>
    <x v="6"/>
    <s v="NOVEMBRE"/>
    <x v="4"/>
    <n v="11"/>
    <s v="NOVEMBRE 2022"/>
    <x v="46"/>
    <x v="0"/>
    <s v="COSTO SVAGHI"/>
    <n v="16"/>
    <m/>
    <m/>
    <m/>
  </r>
  <r>
    <x v="390"/>
    <s v="NOVEMBRE"/>
    <x v="4"/>
    <n v="11"/>
    <s v="NOVEMBRE 2022"/>
    <x v="46"/>
    <x v="6"/>
    <s v="COSTO SOPRAVVIVENZA"/>
    <n v="45"/>
    <m/>
    <m/>
    <m/>
  </r>
  <r>
    <x v="391"/>
    <s v="NOVEMBRE"/>
    <x v="4"/>
    <n v="11"/>
    <s v="NOVEMBRE 2022"/>
    <x v="46"/>
    <x v="7"/>
    <s v="COSTO SOPRAVVIVENZA"/>
    <n v="19.18"/>
    <m/>
    <m/>
    <m/>
  </r>
  <r>
    <x v="392"/>
    <s v="NOVEMBRE"/>
    <x v="4"/>
    <n v="11"/>
    <s v="NOVEMBRE 2022"/>
    <x v="46"/>
    <x v="0"/>
    <s v="COSTO SVAGHI"/>
    <n v="3.14"/>
    <m/>
    <m/>
    <m/>
  </r>
  <r>
    <x v="82"/>
    <s v="NOVEMBRE"/>
    <x v="4"/>
    <n v="11"/>
    <s v="NOVEMBRE 2022"/>
    <x v="46"/>
    <x v="7"/>
    <s v="COSTO SOPRAVVIVENZA"/>
    <n v="8.14"/>
    <m/>
    <m/>
    <m/>
  </r>
  <r>
    <x v="393"/>
    <s v="NOVEMBRE"/>
    <x v="4"/>
    <n v="11"/>
    <s v="NOVEMBRE 2022"/>
    <x v="46"/>
    <x v="0"/>
    <s v="COSTO SVAGHI"/>
    <n v="27.12"/>
    <m/>
    <m/>
    <m/>
  </r>
  <r>
    <x v="394"/>
    <s v="NOVEMBRE"/>
    <x v="4"/>
    <n v="11"/>
    <s v="NOVEMBRE 2022"/>
    <x v="46"/>
    <x v="0"/>
    <s v="COSTO SVAGHI"/>
    <n v="27.99"/>
    <m/>
    <m/>
    <m/>
  </r>
  <r>
    <x v="395"/>
    <s v="NOVEMBRE"/>
    <x v="4"/>
    <n v="11"/>
    <s v="NOVEMBRE 2022"/>
    <x v="46"/>
    <x v="0"/>
    <s v="COSTO SVAGHI"/>
    <n v="9.73"/>
    <m/>
    <m/>
    <m/>
  </r>
  <r>
    <x v="183"/>
    <s v="NOVEMBRE"/>
    <x v="4"/>
    <n v="11"/>
    <s v="NOVEMBRE 2022"/>
    <x v="46"/>
    <x v="0"/>
    <s v="COSTO SVAGHI"/>
    <n v="7.9"/>
    <m/>
    <m/>
    <s v="Dubai"/>
  </r>
  <r>
    <x v="35"/>
    <s v="NOVEMBRE"/>
    <x v="4"/>
    <n v="11"/>
    <s v="NOVEMBRE 2022"/>
    <x v="46"/>
    <x v="1"/>
    <s v="COSTO CASA"/>
    <n v="6.09"/>
    <m/>
    <m/>
    <m/>
  </r>
  <r>
    <x v="2"/>
    <s v="NOVEMBRE"/>
    <x v="4"/>
    <n v="11"/>
    <s v="NOVEMBRE 2022"/>
    <x v="46"/>
    <x v="8"/>
    <s v="COSTO SFIZI"/>
    <n v="32.86"/>
    <m/>
    <s v="AMAZON"/>
    <m/>
  </r>
  <r>
    <x v="53"/>
    <s v="NOVEMBRE"/>
    <x v="4"/>
    <n v="11"/>
    <s v="NOVEMBRE 2022"/>
    <x v="46"/>
    <x v="1"/>
    <s v="COSTO CASA"/>
    <n v="36.75"/>
    <m/>
    <m/>
    <m/>
  </r>
  <r>
    <x v="396"/>
    <s v="NOVEMBRE"/>
    <x v="4"/>
    <n v="11"/>
    <s v="NOVEMBRE 2022"/>
    <x v="46"/>
    <x v="0"/>
    <s v="COSTO SVAGHI"/>
    <n v="18"/>
    <m/>
    <m/>
    <m/>
  </r>
  <r>
    <x v="397"/>
    <s v="NOVEMBRE"/>
    <x v="4"/>
    <n v="11"/>
    <s v="NOVEMBRE 2022"/>
    <x v="46"/>
    <x v="9"/>
    <s v="COSTO MOBILITA'"/>
    <n v="92"/>
    <m/>
    <m/>
    <m/>
  </r>
  <r>
    <x v="6"/>
    <s v="OTTOBRE"/>
    <x v="4"/>
    <n v="10"/>
    <s v="OTTOBRE 2022"/>
    <x v="47"/>
    <x v="0"/>
    <s v="COSTO SVAGHI"/>
    <n v="2.4"/>
    <m/>
    <m/>
    <m/>
  </r>
  <r>
    <x v="82"/>
    <s v="OTTOBRE"/>
    <x v="4"/>
    <n v="10"/>
    <s v="OTTOBRE 2022"/>
    <x v="47"/>
    <x v="7"/>
    <s v="COSTO SOPRAVVIVENZA"/>
    <n v="5.92"/>
    <m/>
    <m/>
    <m/>
  </r>
  <r>
    <x v="91"/>
    <s v="OTTOBRE"/>
    <x v="4"/>
    <n v="10"/>
    <s v="OTTOBRE 2022"/>
    <x v="47"/>
    <x v="2"/>
    <s v="COSTO SOPRAVVIVENZA"/>
    <n v="0.4"/>
    <m/>
    <m/>
    <m/>
  </r>
  <r>
    <x v="398"/>
    <s v="OTTOBRE"/>
    <x v="4"/>
    <n v="10"/>
    <s v="OTTOBRE 2022"/>
    <x v="47"/>
    <x v="0"/>
    <s v="COSTO SVAGHI"/>
    <n v="12"/>
    <m/>
    <m/>
    <m/>
  </r>
  <r>
    <x v="91"/>
    <s v="OTTOBRE"/>
    <x v="4"/>
    <n v="10"/>
    <s v="OTTOBRE 2022"/>
    <x v="47"/>
    <x v="2"/>
    <s v="COSTO SOPRAVVIVENZA"/>
    <n v="0.4"/>
    <m/>
    <m/>
    <m/>
  </r>
  <r>
    <x v="91"/>
    <s v="OTTOBRE"/>
    <x v="4"/>
    <n v="10"/>
    <s v="OTTOBRE 2022"/>
    <x v="47"/>
    <x v="2"/>
    <s v="COSTO SOPRAVVIVENZA"/>
    <n v="0.4"/>
    <m/>
    <m/>
    <m/>
  </r>
  <r>
    <x v="91"/>
    <s v="OTTOBRE"/>
    <x v="4"/>
    <n v="10"/>
    <s v="OTTOBRE 2022"/>
    <x v="47"/>
    <x v="2"/>
    <s v="COSTO SOPRAVVIVENZA"/>
    <n v="0.4"/>
    <m/>
    <m/>
    <m/>
  </r>
  <r>
    <x v="91"/>
    <s v="OTTOBRE"/>
    <x v="4"/>
    <n v="10"/>
    <s v="OTTOBRE 2022"/>
    <x v="47"/>
    <x v="2"/>
    <s v="COSTO SOPRAVVIVENZA"/>
    <n v="0.4"/>
    <m/>
    <m/>
    <m/>
  </r>
  <r>
    <x v="91"/>
    <s v="OTTOBRE"/>
    <x v="4"/>
    <n v="10"/>
    <s v="OTTOBRE 2022"/>
    <x v="47"/>
    <x v="2"/>
    <s v="COSTO SOPRAVVIVENZA"/>
    <n v="0.4"/>
    <m/>
    <m/>
    <m/>
  </r>
  <r>
    <x v="35"/>
    <s v="OTTOBRE"/>
    <x v="4"/>
    <n v="10"/>
    <s v="OTTOBRE 2022"/>
    <x v="47"/>
    <x v="1"/>
    <s v="COSTO CASA"/>
    <n v="12.18"/>
    <m/>
    <m/>
    <m/>
  </r>
  <r>
    <x v="82"/>
    <s v="OTTOBRE"/>
    <x v="4"/>
    <n v="10"/>
    <s v="OTTOBRE 2022"/>
    <x v="47"/>
    <x v="7"/>
    <s v="COSTO SOPRAVVIVENZA"/>
    <n v="6.3"/>
    <m/>
    <m/>
    <m/>
  </r>
  <r>
    <x v="2"/>
    <s v="OTTOBRE"/>
    <x v="4"/>
    <n v="10"/>
    <s v="OTTOBRE 2022"/>
    <x v="47"/>
    <x v="8"/>
    <s v="COSTO SFIZI"/>
    <n v="22.98"/>
    <m/>
    <s v="AMAZON"/>
    <m/>
  </r>
  <r>
    <x v="399"/>
    <s v="OTTOBRE"/>
    <x v="4"/>
    <n v="10"/>
    <s v="OTTOBRE 2022"/>
    <x v="47"/>
    <x v="24"/>
    <s v="COSTO SOPRAVVIVENZA"/>
    <n v="20.89"/>
    <m/>
    <m/>
    <m/>
  </r>
  <r>
    <x v="35"/>
    <s v="OTTOBRE"/>
    <x v="4"/>
    <n v="10"/>
    <s v="OTTOBRE 2022"/>
    <x v="47"/>
    <x v="1"/>
    <s v="COSTO CASA"/>
    <n v="7.3"/>
    <m/>
    <m/>
    <m/>
  </r>
  <r>
    <x v="400"/>
    <s v="OTTOBRE"/>
    <x v="4"/>
    <n v="10"/>
    <s v="OTTOBRE 2022"/>
    <x v="47"/>
    <x v="6"/>
    <s v="COSTO SOPRAVVIVENZA"/>
    <n v="33"/>
    <m/>
    <m/>
    <m/>
  </r>
  <r>
    <x v="401"/>
    <s v="OTTOBRE"/>
    <x v="4"/>
    <n v="10"/>
    <s v="OTTOBRE 2022"/>
    <x v="47"/>
    <x v="24"/>
    <s v="COSTO SOPRAVVIVENZA"/>
    <n v="23.3"/>
    <m/>
    <m/>
    <m/>
  </r>
  <r>
    <x v="53"/>
    <s v="OTTOBRE"/>
    <x v="4"/>
    <n v="10"/>
    <s v="OTTOBRE 2022"/>
    <x v="47"/>
    <x v="1"/>
    <s v="COSTO CASA"/>
    <n v="51.8"/>
    <m/>
    <m/>
    <m/>
  </r>
  <r>
    <x v="82"/>
    <s v="OTTOBRE"/>
    <x v="4"/>
    <n v="10"/>
    <s v="OTTOBRE 2022"/>
    <x v="47"/>
    <x v="7"/>
    <s v="COSTO SOPRAVVIVENZA"/>
    <n v="3.27"/>
    <m/>
    <m/>
    <m/>
  </r>
  <r>
    <x v="35"/>
    <s v="OTTOBRE"/>
    <x v="4"/>
    <n v="10"/>
    <s v="OTTOBRE 2022"/>
    <x v="47"/>
    <x v="1"/>
    <s v="COSTO CASA"/>
    <n v="19.489999999999998"/>
    <m/>
    <m/>
    <m/>
  </r>
  <r>
    <x v="402"/>
    <s v="OTTOBRE"/>
    <x v="4"/>
    <n v="10"/>
    <s v="OTTOBRE 2022"/>
    <x v="47"/>
    <x v="19"/>
    <s v="COSTO SFIZI"/>
    <n v="121.5"/>
    <m/>
    <m/>
    <m/>
  </r>
  <r>
    <x v="91"/>
    <s v="SETTEMBRE"/>
    <x v="4"/>
    <n v="9"/>
    <s v="SETTEMBRE 2022"/>
    <x v="48"/>
    <x v="2"/>
    <s v="COSTO SOPRAVVIVENZA"/>
    <n v="0.4"/>
    <m/>
    <m/>
    <m/>
  </r>
  <r>
    <x v="67"/>
    <s v="SETTEMBRE"/>
    <x v="4"/>
    <n v="9"/>
    <s v="SETTEMBRE 2022"/>
    <x v="48"/>
    <x v="7"/>
    <s v="COSTO SOPRAVVIVENZA"/>
    <n v="10.96"/>
    <m/>
    <m/>
    <m/>
  </r>
  <r>
    <x v="254"/>
    <s v="SETTEMBRE"/>
    <x v="4"/>
    <n v="9"/>
    <s v="SETTEMBRE 2022"/>
    <x v="48"/>
    <x v="0"/>
    <s v="COSTO SVAGHI"/>
    <n v="45"/>
    <m/>
    <m/>
    <m/>
  </r>
  <r>
    <x v="91"/>
    <s v="SETTEMBRE"/>
    <x v="4"/>
    <n v="9"/>
    <s v="SETTEMBRE 2022"/>
    <x v="48"/>
    <x v="2"/>
    <s v="COSTO SOPRAVVIVENZA"/>
    <n v="0.7"/>
    <m/>
    <m/>
    <m/>
  </r>
  <r>
    <x v="91"/>
    <s v="SETTEMBRE"/>
    <x v="4"/>
    <n v="9"/>
    <s v="SETTEMBRE 2022"/>
    <x v="48"/>
    <x v="2"/>
    <s v="COSTO SOPRAVVIVENZA"/>
    <n v="0.7"/>
    <m/>
    <m/>
    <m/>
  </r>
  <r>
    <x v="91"/>
    <s v="SETTEMBRE"/>
    <x v="4"/>
    <n v="9"/>
    <s v="SETTEMBRE 2022"/>
    <x v="48"/>
    <x v="2"/>
    <s v="COSTO SOPRAVVIVENZA"/>
    <n v="0.4"/>
    <m/>
    <m/>
    <m/>
  </r>
  <r>
    <x v="91"/>
    <s v="SETTEMBRE"/>
    <x v="4"/>
    <n v="9"/>
    <s v="SETTEMBRE 2022"/>
    <x v="48"/>
    <x v="2"/>
    <s v="COSTO SOPRAVVIVENZA"/>
    <n v="0.4"/>
    <m/>
    <m/>
    <m/>
  </r>
  <r>
    <x v="403"/>
    <s v="SETTEMBRE"/>
    <x v="4"/>
    <n v="9"/>
    <s v="SETTEMBRE 2022"/>
    <x v="48"/>
    <x v="0"/>
    <s v="COSTO SVAGHI"/>
    <n v="15"/>
    <m/>
    <m/>
    <m/>
  </r>
  <r>
    <x v="6"/>
    <s v="SETTEMBRE"/>
    <x v="4"/>
    <n v="9"/>
    <s v="SETTEMBRE 2022"/>
    <x v="48"/>
    <x v="0"/>
    <s v="COSTO SVAGHI"/>
    <n v="7.4"/>
    <m/>
    <m/>
    <m/>
  </r>
  <r>
    <x v="91"/>
    <s v="SETTEMBRE"/>
    <x v="4"/>
    <n v="9"/>
    <s v="SETTEMBRE 2022"/>
    <x v="48"/>
    <x v="2"/>
    <s v="COSTO SOPRAVVIVENZA"/>
    <n v="0.4"/>
    <m/>
    <m/>
    <m/>
  </r>
  <r>
    <x v="91"/>
    <s v="SETTEMBRE"/>
    <x v="4"/>
    <n v="9"/>
    <s v="SETTEMBRE 2022"/>
    <x v="48"/>
    <x v="2"/>
    <s v="COSTO SOPRAVVIVENZA"/>
    <n v="0.4"/>
    <m/>
    <m/>
    <m/>
  </r>
  <r>
    <x v="91"/>
    <s v="SETTEMBRE"/>
    <x v="4"/>
    <n v="9"/>
    <s v="SETTEMBRE 2022"/>
    <x v="48"/>
    <x v="2"/>
    <s v="COSTO SOPRAVVIVENZA"/>
    <n v="0.4"/>
    <m/>
    <m/>
    <m/>
  </r>
  <r>
    <x v="6"/>
    <s v="SETTEMBRE"/>
    <x v="4"/>
    <n v="9"/>
    <s v="SETTEMBRE 2022"/>
    <x v="48"/>
    <x v="14"/>
    <s v="COSTO SOPRAVVIVENZA"/>
    <n v="5"/>
    <m/>
    <m/>
    <m/>
  </r>
  <r>
    <x v="91"/>
    <s v="SETTEMBRE"/>
    <x v="4"/>
    <n v="9"/>
    <s v="SETTEMBRE 2022"/>
    <x v="48"/>
    <x v="2"/>
    <s v="COSTO SOPRAVVIVENZA"/>
    <n v="0.4"/>
    <m/>
    <m/>
    <m/>
  </r>
  <r>
    <x v="91"/>
    <s v="SETTEMBRE"/>
    <x v="4"/>
    <n v="9"/>
    <s v="SETTEMBRE 2022"/>
    <x v="48"/>
    <x v="2"/>
    <s v="COSTO SOPRAVVIVENZA"/>
    <n v="0.4"/>
    <m/>
    <m/>
    <m/>
  </r>
  <r>
    <x v="82"/>
    <s v="SETTEMBRE"/>
    <x v="4"/>
    <n v="9"/>
    <s v="SETTEMBRE 2022"/>
    <x v="48"/>
    <x v="7"/>
    <s v="COSTO SOPRAVVIVENZA"/>
    <n v="12.03"/>
    <m/>
    <m/>
    <m/>
  </r>
  <r>
    <x v="61"/>
    <s v="SETTEMBRE"/>
    <x v="4"/>
    <n v="9"/>
    <s v="SETTEMBRE 2022"/>
    <x v="48"/>
    <x v="11"/>
    <s v="COSTO SFIZI"/>
    <n v="34.9"/>
    <m/>
    <m/>
    <m/>
  </r>
  <r>
    <x v="82"/>
    <s v="SETTEMBRE"/>
    <x v="4"/>
    <n v="9"/>
    <s v="SETTEMBRE 2022"/>
    <x v="48"/>
    <x v="7"/>
    <s v="COSTO SOPRAVVIVENZA"/>
    <n v="28.8"/>
    <m/>
    <m/>
    <m/>
  </r>
  <r>
    <x v="6"/>
    <s v="SETTEMBRE"/>
    <x v="4"/>
    <n v="9"/>
    <s v="SETTEMBRE 2022"/>
    <x v="48"/>
    <x v="0"/>
    <s v="COSTO SVAGHI"/>
    <n v="10"/>
    <m/>
    <m/>
    <m/>
  </r>
  <r>
    <x v="6"/>
    <s v="SETTEMBRE"/>
    <x v="4"/>
    <n v="9"/>
    <s v="SETTEMBRE 2022"/>
    <x v="48"/>
    <x v="14"/>
    <s v="COSTO SOPRAVVIVENZA"/>
    <n v="5"/>
    <m/>
    <m/>
    <m/>
  </r>
  <r>
    <x v="91"/>
    <s v="SETTEMBRE"/>
    <x v="4"/>
    <n v="9"/>
    <s v="SETTEMBRE 2022"/>
    <x v="48"/>
    <x v="2"/>
    <s v="COSTO SOPRAVVIVENZA"/>
    <n v="0.4"/>
    <m/>
    <m/>
    <m/>
  </r>
  <r>
    <x v="404"/>
    <s v="SETTEMBRE"/>
    <x v="4"/>
    <n v="9"/>
    <s v="SETTEMBRE 2022"/>
    <x v="48"/>
    <x v="0"/>
    <s v="COSTO SVAGHI"/>
    <n v="8"/>
    <m/>
    <m/>
    <m/>
  </r>
  <r>
    <x v="91"/>
    <s v="SETTEMBRE"/>
    <x v="4"/>
    <n v="9"/>
    <s v="SETTEMBRE 2022"/>
    <x v="48"/>
    <x v="2"/>
    <s v="COSTO SOPRAVVIVENZA"/>
    <n v="0.4"/>
    <m/>
    <m/>
    <m/>
  </r>
  <r>
    <x v="400"/>
    <s v="SETTEMBRE"/>
    <x v="4"/>
    <n v="9"/>
    <s v="SETTEMBRE 2022"/>
    <x v="48"/>
    <x v="6"/>
    <s v="COSTO SOPRAVVIVENZA"/>
    <n v="33"/>
    <m/>
    <m/>
    <m/>
  </r>
  <r>
    <x v="226"/>
    <s v="SETTEMBRE"/>
    <x v="4"/>
    <n v="9"/>
    <s v="SETTEMBRE 2022"/>
    <x v="48"/>
    <x v="0"/>
    <s v="COSTO SVAGHI"/>
    <n v="21.5"/>
    <m/>
    <m/>
    <m/>
  </r>
  <r>
    <x v="67"/>
    <s v="SETTEMBRE"/>
    <x v="4"/>
    <n v="9"/>
    <s v="SETTEMBRE 2022"/>
    <x v="48"/>
    <x v="7"/>
    <s v="COSTO SOPRAVVIVENZA"/>
    <n v="9.4"/>
    <m/>
    <m/>
    <m/>
  </r>
  <r>
    <x v="112"/>
    <s v="AGOSTO"/>
    <x v="4"/>
    <n v="8"/>
    <s v="AGOSTO 2022"/>
    <x v="49"/>
    <x v="1"/>
    <s v="COSTO CASA"/>
    <n v="89.9"/>
    <m/>
    <m/>
    <m/>
  </r>
  <r>
    <x v="13"/>
    <s v="AGOSTO"/>
    <x v="4"/>
    <n v="8"/>
    <s v="AGOSTO 2022"/>
    <x v="49"/>
    <x v="0"/>
    <s v="COSTO SVAGHI"/>
    <n v="8"/>
    <m/>
    <m/>
    <m/>
  </r>
  <r>
    <x v="140"/>
    <s v="AGOSTO"/>
    <x v="4"/>
    <n v="8"/>
    <s v="AGOSTO 2022"/>
    <x v="49"/>
    <x v="8"/>
    <s v="COSTO SFIZI"/>
    <n v="4.8899999999999997"/>
    <m/>
    <m/>
    <m/>
  </r>
  <r>
    <x v="35"/>
    <s v="AGOSTO"/>
    <x v="4"/>
    <n v="8"/>
    <s v="AGOSTO 2022"/>
    <x v="49"/>
    <x v="1"/>
    <s v="COSTO CASA"/>
    <n v="11.99"/>
    <m/>
    <m/>
    <m/>
  </r>
  <r>
    <x v="405"/>
    <s v="AGOSTO"/>
    <x v="4"/>
    <n v="8"/>
    <s v="AGOSTO 2022"/>
    <x v="49"/>
    <x v="12"/>
    <s v="COSTO SVAGHI"/>
    <n v="45"/>
    <m/>
    <m/>
    <m/>
  </r>
  <r>
    <x v="121"/>
    <s v="AGOSTO"/>
    <x v="4"/>
    <n v="8"/>
    <s v="AGOSTO 2022"/>
    <x v="49"/>
    <x v="0"/>
    <s v="COSTO SVAGHI"/>
    <n v="7.1"/>
    <m/>
    <m/>
    <m/>
  </r>
  <r>
    <x v="226"/>
    <s v="AGOSTO"/>
    <x v="4"/>
    <n v="8"/>
    <s v="AGOSTO 2022"/>
    <x v="49"/>
    <x v="0"/>
    <s v="COSTO SVAGHI"/>
    <n v="16.5"/>
    <m/>
    <m/>
    <m/>
  </r>
  <r>
    <x v="303"/>
    <s v="AGOSTO"/>
    <x v="4"/>
    <n v="8"/>
    <s v="AGOSTO 2022"/>
    <x v="49"/>
    <x v="0"/>
    <s v="COSTO SVAGHI"/>
    <n v="27"/>
    <m/>
    <m/>
    <m/>
  </r>
  <r>
    <x v="82"/>
    <s v="AGOSTO"/>
    <x v="4"/>
    <n v="8"/>
    <s v="AGOSTO 2022"/>
    <x v="49"/>
    <x v="7"/>
    <s v="COSTO SOPRAVVIVENZA"/>
    <n v="7.02"/>
    <m/>
    <m/>
    <m/>
  </r>
  <r>
    <x v="362"/>
    <s v="AGOSTO"/>
    <x v="4"/>
    <n v="8"/>
    <s v="AGOSTO 2022"/>
    <x v="49"/>
    <x v="0"/>
    <s v="COSTO SVAGHI"/>
    <n v="6"/>
    <m/>
    <m/>
    <m/>
  </r>
  <r>
    <x v="226"/>
    <s v="AGOSTO"/>
    <x v="4"/>
    <n v="8"/>
    <s v="AGOSTO 2022"/>
    <x v="49"/>
    <x v="0"/>
    <s v="COSTO SVAGHI"/>
    <n v="8"/>
    <m/>
    <m/>
    <m/>
  </r>
  <r>
    <x v="226"/>
    <s v="AGOSTO"/>
    <x v="4"/>
    <n v="8"/>
    <s v="AGOSTO 2022"/>
    <x v="49"/>
    <x v="0"/>
    <s v="COSTO SVAGHI"/>
    <n v="15"/>
    <m/>
    <m/>
    <m/>
  </r>
  <r>
    <x v="406"/>
    <s v="AGOSTO"/>
    <x v="4"/>
    <n v="8"/>
    <s v="AGOSTO 2022"/>
    <x v="49"/>
    <x v="0"/>
    <s v="COSTO SVAGHI"/>
    <n v="31.5"/>
    <m/>
    <m/>
    <m/>
  </r>
  <r>
    <x v="6"/>
    <s v="AGOSTO"/>
    <x v="4"/>
    <n v="8"/>
    <s v="AGOSTO 2022"/>
    <x v="49"/>
    <x v="14"/>
    <s v="COSTO SOPRAVVIVENZA"/>
    <n v="5"/>
    <m/>
    <m/>
    <m/>
  </r>
  <r>
    <x v="6"/>
    <s v="AGOSTO"/>
    <x v="4"/>
    <n v="8"/>
    <s v="AGOSTO 2022"/>
    <x v="49"/>
    <x v="14"/>
    <s v="COSTO SOPRAVVIVENZA"/>
    <n v="5"/>
    <m/>
    <m/>
    <m/>
  </r>
  <r>
    <x v="82"/>
    <s v="AGOSTO"/>
    <x v="4"/>
    <n v="8"/>
    <s v="AGOSTO 2022"/>
    <x v="49"/>
    <x v="7"/>
    <s v="COSTO SOPRAVVIVENZA"/>
    <n v="6.83"/>
    <m/>
    <m/>
    <m/>
  </r>
  <r>
    <x v="67"/>
    <s v="AGOSTO"/>
    <x v="4"/>
    <n v="8"/>
    <s v="AGOSTO 2022"/>
    <x v="49"/>
    <x v="7"/>
    <s v="COSTO SOPRAVVIVENZA"/>
    <n v="60.39"/>
    <m/>
    <m/>
    <m/>
  </r>
  <r>
    <x v="35"/>
    <s v="AGOSTO"/>
    <x v="4"/>
    <n v="8"/>
    <s v="AGOSTO 2022"/>
    <x v="49"/>
    <x v="1"/>
    <s v="COSTO CASA"/>
    <n v="20.100000000000001"/>
    <m/>
    <m/>
    <m/>
  </r>
  <r>
    <x v="375"/>
    <s v="AGOSTO"/>
    <x v="4"/>
    <n v="8"/>
    <s v="AGOSTO 2022"/>
    <x v="49"/>
    <x v="0"/>
    <s v="COSTO SVAGHI"/>
    <n v="21.5"/>
    <m/>
    <m/>
    <m/>
  </r>
  <r>
    <x v="407"/>
    <s v="AGOSTO"/>
    <x v="4"/>
    <n v="8"/>
    <s v="AGOSTO 2022"/>
    <x v="49"/>
    <x v="0"/>
    <s v="COSTO SVAGHI"/>
    <n v="5"/>
    <m/>
    <m/>
    <m/>
  </r>
  <r>
    <x v="41"/>
    <s v="AGOSTO"/>
    <x v="4"/>
    <n v="8"/>
    <s v="AGOSTO 2022"/>
    <x v="49"/>
    <x v="3"/>
    <s v="COSTO MOBILITA'"/>
    <n v="1.7"/>
    <m/>
    <m/>
    <m/>
  </r>
  <r>
    <x v="303"/>
    <s v="AGOSTO"/>
    <x v="4"/>
    <n v="8"/>
    <s v="AGOSTO 2022"/>
    <x v="49"/>
    <x v="0"/>
    <s v="COSTO SVAGHI"/>
    <n v="37"/>
    <m/>
    <m/>
    <m/>
  </r>
  <r>
    <x v="82"/>
    <s v="LUGLIO"/>
    <x v="4"/>
    <n v="7"/>
    <s v="LUGLIO 2022"/>
    <x v="50"/>
    <x v="7"/>
    <s v="COSTO SOPRAVVIVENZA"/>
    <n v="1.97"/>
    <m/>
    <m/>
    <m/>
  </r>
  <r>
    <x v="6"/>
    <s v="LUGLIO"/>
    <x v="4"/>
    <n v="7"/>
    <s v="LUGLIO 2022"/>
    <x v="50"/>
    <x v="14"/>
    <s v="COSTO SOPRAVVIVENZA"/>
    <n v="5"/>
    <m/>
    <m/>
    <m/>
  </r>
  <r>
    <x v="6"/>
    <s v="LUGLIO"/>
    <x v="4"/>
    <n v="7"/>
    <s v="LUGLIO 2022"/>
    <x v="50"/>
    <x v="14"/>
    <s v="COSTO SOPRAVVIVENZA"/>
    <n v="5"/>
    <m/>
    <m/>
    <m/>
  </r>
  <r>
    <x v="82"/>
    <s v="LUGLIO"/>
    <x v="4"/>
    <n v="7"/>
    <s v="LUGLIO 2022"/>
    <x v="50"/>
    <x v="7"/>
    <s v="COSTO SOPRAVVIVENZA"/>
    <n v="31.44"/>
    <m/>
    <m/>
    <m/>
  </r>
  <r>
    <x v="303"/>
    <s v="LUGLIO"/>
    <x v="4"/>
    <n v="7"/>
    <s v="LUGLIO 2022"/>
    <x v="50"/>
    <x v="0"/>
    <s v="COSTO SVAGHI"/>
    <n v="25"/>
    <m/>
    <m/>
    <m/>
  </r>
  <r>
    <x v="226"/>
    <s v="LUGLIO"/>
    <x v="4"/>
    <n v="7"/>
    <s v="LUGLIO 2022"/>
    <x v="50"/>
    <x v="0"/>
    <s v="COSTO SVAGHI"/>
    <n v="30"/>
    <m/>
    <m/>
    <m/>
  </r>
  <r>
    <x v="67"/>
    <s v="LUGLIO"/>
    <x v="4"/>
    <n v="7"/>
    <s v="LUGLIO 2022"/>
    <x v="50"/>
    <x v="7"/>
    <s v="COSTO SOPRAVVIVENZA"/>
    <n v="10.34"/>
    <m/>
    <m/>
    <m/>
  </r>
  <r>
    <x v="2"/>
    <s v="LUGLIO"/>
    <x v="4"/>
    <n v="7"/>
    <s v="LUGLIO 2022"/>
    <x v="50"/>
    <x v="8"/>
    <s v="COSTO SFIZI"/>
    <n v="37.97"/>
    <m/>
    <s v="AMAZON"/>
    <m/>
  </r>
  <r>
    <x v="6"/>
    <s v="LUGLIO"/>
    <x v="4"/>
    <n v="7"/>
    <s v="LUGLIO 2022"/>
    <x v="50"/>
    <x v="14"/>
    <s v="COSTO SOPRAVVIVENZA"/>
    <n v="5"/>
    <m/>
    <m/>
    <m/>
  </r>
  <r>
    <x v="2"/>
    <s v="LUGLIO"/>
    <x v="4"/>
    <n v="7"/>
    <s v="LUGLIO 2022"/>
    <x v="50"/>
    <x v="8"/>
    <s v="COSTO SFIZI"/>
    <n v="2.77"/>
    <m/>
    <s v="AMAZON"/>
    <m/>
  </r>
  <r>
    <x v="35"/>
    <s v="LUGLIO"/>
    <x v="4"/>
    <n v="7"/>
    <s v="LUGLIO 2022"/>
    <x v="50"/>
    <x v="1"/>
    <s v="COSTO CASA"/>
    <n v="25.29"/>
    <m/>
    <m/>
    <m/>
  </r>
  <r>
    <x v="362"/>
    <s v="LUGLIO"/>
    <x v="4"/>
    <n v="7"/>
    <s v="LUGLIO 2022"/>
    <x v="50"/>
    <x v="0"/>
    <s v="COSTO SVAGHI"/>
    <n v="10"/>
    <m/>
    <m/>
    <m/>
  </r>
  <r>
    <x v="226"/>
    <s v="LUGLIO"/>
    <x v="4"/>
    <n v="7"/>
    <s v="LUGLIO 2022"/>
    <x v="50"/>
    <x v="0"/>
    <s v="COSTO SVAGHI"/>
    <n v="11"/>
    <m/>
    <m/>
    <m/>
  </r>
  <r>
    <x v="226"/>
    <s v="LUGLIO"/>
    <x v="4"/>
    <n v="7"/>
    <s v="LUGLIO 2022"/>
    <x v="50"/>
    <x v="0"/>
    <s v="COSTO SVAGHI"/>
    <n v="19.5"/>
    <m/>
    <m/>
    <m/>
  </r>
  <r>
    <x v="408"/>
    <s v="LUGLIO"/>
    <x v="4"/>
    <n v="7"/>
    <s v="LUGLIO 2022"/>
    <x v="50"/>
    <x v="5"/>
    <s v="COSTO VACANZE"/>
    <n v="12"/>
    <m/>
    <m/>
    <m/>
  </r>
  <r>
    <x v="2"/>
    <s v="LUGLIO"/>
    <x v="4"/>
    <n v="7"/>
    <s v="LUGLIO 2022"/>
    <x v="50"/>
    <x v="8"/>
    <s v="COSTO SFIZI"/>
    <n v="1.99"/>
    <m/>
    <s v="AMAZON"/>
    <m/>
  </r>
  <r>
    <x v="82"/>
    <s v="LUGLIO"/>
    <x v="4"/>
    <n v="7"/>
    <s v="LUGLIO 2022"/>
    <x v="50"/>
    <x v="7"/>
    <s v="COSTO SOPRAVVIVENZA"/>
    <n v="12.09"/>
    <m/>
    <m/>
    <m/>
  </r>
  <r>
    <x v="385"/>
    <s v="LUGLIO"/>
    <x v="4"/>
    <n v="7"/>
    <s v="LUGLIO 2022"/>
    <x v="50"/>
    <x v="0"/>
    <s v="COSTO SVAGHI"/>
    <n v="23.88"/>
    <m/>
    <m/>
    <m/>
  </r>
  <r>
    <x v="35"/>
    <s v="LUGLIO"/>
    <x v="4"/>
    <n v="7"/>
    <s v="LUGLIO 2022"/>
    <x v="50"/>
    <x v="1"/>
    <s v="COSTO CASA"/>
    <n v="16.63"/>
    <m/>
    <m/>
    <m/>
  </r>
  <r>
    <x v="21"/>
    <s v="LUGLIO"/>
    <x v="4"/>
    <n v="7"/>
    <s v="LUGLIO 2022"/>
    <x v="50"/>
    <x v="9"/>
    <s v="COSTO MOBILITA'"/>
    <n v="25"/>
    <m/>
    <m/>
    <m/>
  </r>
  <r>
    <x v="12"/>
    <s v="LUGLIO"/>
    <x v="4"/>
    <n v="7"/>
    <s v="LUGLIO 2022"/>
    <x v="50"/>
    <x v="7"/>
    <s v="COSTO SOPRAVVIVENZA"/>
    <n v="22.43"/>
    <m/>
    <m/>
    <m/>
  </r>
  <r>
    <x v="407"/>
    <s v="LUGLIO"/>
    <x v="4"/>
    <n v="7"/>
    <s v="LUGLIO 2022"/>
    <x v="50"/>
    <x v="0"/>
    <s v="COSTO SVAGHI"/>
    <n v="5"/>
    <m/>
    <m/>
    <m/>
  </r>
  <r>
    <x v="303"/>
    <s v="LUGLIO"/>
    <x v="4"/>
    <n v="7"/>
    <s v="LUGLIO 2022"/>
    <x v="50"/>
    <x v="0"/>
    <s v="COSTO SVAGHI"/>
    <n v="27"/>
    <m/>
    <m/>
    <m/>
  </r>
  <r>
    <x v="2"/>
    <s v="GIUGNO"/>
    <x v="4"/>
    <n v="6"/>
    <s v="GIUGNO 2022"/>
    <x v="51"/>
    <x v="8"/>
    <s v="COSTO SFIZI"/>
    <n v="16"/>
    <m/>
    <s v="AMAZON"/>
    <m/>
  </r>
  <r>
    <x v="301"/>
    <s v="GIUGNO"/>
    <x v="4"/>
    <n v="6"/>
    <s v="GIUGNO 2022"/>
    <x v="51"/>
    <x v="7"/>
    <s v="COSTO SOPRAVVIVENZA"/>
    <n v="13.96"/>
    <m/>
    <m/>
    <m/>
  </r>
  <r>
    <x v="35"/>
    <s v="GIUGNO"/>
    <x v="4"/>
    <n v="6"/>
    <s v="GIUGNO 2022"/>
    <x v="51"/>
    <x v="1"/>
    <s v="COSTO CASA"/>
    <n v="15.81"/>
    <m/>
    <m/>
    <m/>
  </r>
  <r>
    <x v="409"/>
    <s v="GIUGNO"/>
    <x v="4"/>
    <n v="6"/>
    <s v="GIUGNO 2022"/>
    <x v="51"/>
    <x v="0"/>
    <s v="COSTO SVAGHI"/>
    <n v="20"/>
    <m/>
    <m/>
    <m/>
  </r>
  <r>
    <x v="409"/>
    <s v="GIUGNO"/>
    <x v="4"/>
    <n v="6"/>
    <s v="GIUGNO 2022"/>
    <x v="51"/>
    <x v="0"/>
    <s v="COSTO SVAGHI"/>
    <n v="30"/>
    <m/>
    <m/>
    <m/>
  </r>
  <r>
    <x v="223"/>
    <s v="GIUGNO"/>
    <x v="4"/>
    <n v="6"/>
    <s v="GIUGNO 2022"/>
    <x v="51"/>
    <x v="0"/>
    <s v="COSTO SVAGHI"/>
    <n v="3"/>
    <m/>
    <m/>
    <m/>
  </r>
  <r>
    <x v="400"/>
    <s v="GIUGNO"/>
    <x v="4"/>
    <n v="6"/>
    <s v="GIUGNO 2022"/>
    <x v="51"/>
    <x v="6"/>
    <s v="COSTO SOPRAVVIVENZA"/>
    <n v="33"/>
    <m/>
    <m/>
    <m/>
  </r>
  <r>
    <x v="2"/>
    <s v="GIUGNO"/>
    <x v="4"/>
    <n v="6"/>
    <s v="GIUGNO 2022"/>
    <x v="51"/>
    <x v="11"/>
    <s v="COSTO SFIZI"/>
    <n v="48.98"/>
    <m/>
    <s v="AMAZON"/>
    <m/>
  </r>
  <r>
    <x v="63"/>
    <s v="GIUGNO"/>
    <x v="4"/>
    <n v="6"/>
    <s v="GIUGNO 2022"/>
    <x v="51"/>
    <x v="12"/>
    <s v="COSTO SVAGHI"/>
    <n v="20.86"/>
    <s v="3/3"/>
    <s v="PAYPAL"/>
    <m/>
  </r>
  <r>
    <x v="2"/>
    <s v="GIUGNO"/>
    <x v="4"/>
    <n v="6"/>
    <s v="GIUGNO 2022"/>
    <x v="51"/>
    <x v="8"/>
    <s v="COSTO SFIZI"/>
    <n v="11.58"/>
    <m/>
    <s v="AMAZON"/>
    <m/>
  </r>
  <r>
    <x v="265"/>
    <s v="GIUGNO"/>
    <x v="4"/>
    <n v="6"/>
    <s v="GIUGNO 2022"/>
    <x v="51"/>
    <x v="16"/>
    <s v="COSTO VACANZE"/>
    <n v="31"/>
    <m/>
    <s v="PAYPAL"/>
    <m/>
  </r>
  <r>
    <x v="6"/>
    <s v="GIUGNO"/>
    <x v="4"/>
    <n v="6"/>
    <s v="GIUGNO 2022"/>
    <x v="51"/>
    <x v="14"/>
    <s v="COSTO SOPRAVVIVENZA"/>
    <n v="5"/>
    <m/>
    <m/>
    <m/>
  </r>
  <r>
    <x v="41"/>
    <s v="GIUGNO"/>
    <x v="4"/>
    <n v="6"/>
    <s v="GIUGNO 2022"/>
    <x v="51"/>
    <x v="3"/>
    <s v="COSTO MOBILITA'"/>
    <n v="1.7"/>
    <m/>
    <m/>
    <m/>
  </r>
  <r>
    <x v="303"/>
    <s v="GIUGNO"/>
    <x v="4"/>
    <n v="6"/>
    <s v="GIUGNO 2022"/>
    <x v="51"/>
    <x v="0"/>
    <s v="COSTO SVAGHI"/>
    <n v="18"/>
    <m/>
    <m/>
    <m/>
  </r>
  <r>
    <x v="6"/>
    <s v="GIUGNO"/>
    <x v="4"/>
    <n v="6"/>
    <s v="GIUGNO 2022"/>
    <x v="51"/>
    <x v="14"/>
    <s v="COSTO SOPRAVVIVENZA"/>
    <n v="5"/>
    <m/>
    <m/>
    <m/>
  </r>
  <r>
    <x v="6"/>
    <s v="MAGGIO"/>
    <x v="4"/>
    <n v="5"/>
    <s v="MAGGIO 2022"/>
    <x v="52"/>
    <x v="14"/>
    <s v="COSTO SOPRAVVIVENZA"/>
    <n v="5"/>
    <m/>
    <m/>
    <m/>
  </r>
  <r>
    <x v="410"/>
    <s v="MAGGIO"/>
    <x v="4"/>
    <n v="5"/>
    <s v="MAGGIO 2022"/>
    <x v="52"/>
    <x v="12"/>
    <s v="COSTO SVAGHI"/>
    <n v="16"/>
    <m/>
    <m/>
    <m/>
  </r>
  <r>
    <x v="410"/>
    <s v="MAGGIO"/>
    <x v="4"/>
    <n v="5"/>
    <s v="MAGGIO 2022"/>
    <x v="52"/>
    <x v="12"/>
    <s v="COSTO SVAGHI"/>
    <n v="20"/>
    <m/>
    <m/>
    <m/>
  </r>
  <r>
    <x v="6"/>
    <s v="MAGGIO"/>
    <x v="4"/>
    <n v="5"/>
    <s v="MAGGIO 2022"/>
    <x v="52"/>
    <x v="14"/>
    <s v="COSTO SOPRAVVIVENZA"/>
    <n v="5"/>
    <m/>
    <m/>
    <m/>
  </r>
  <r>
    <x v="6"/>
    <s v="MAGGIO"/>
    <x v="4"/>
    <n v="5"/>
    <s v="MAGGIO 2022"/>
    <x v="52"/>
    <x v="14"/>
    <s v="COSTO SOPRAVVIVENZA"/>
    <n v="5"/>
    <m/>
    <m/>
    <m/>
  </r>
  <r>
    <x v="41"/>
    <s v="MAGGIO"/>
    <x v="4"/>
    <n v="5"/>
    <s v="MAGGIO 2022"/>
    <x v="52"/>
    <x v="3"/>
    <s v="COSTO MOBILITA'"/>
    <n v="1.7"/>
    <m/>
    <m/>
    <m/>
  </r>
  <r>
    <x v="375"/>
    <s v="MAGGIO"/>
    <x v="4"/>
    <n v="5"/>
    <s v="MAGGIO 2022"/>
    <x v="52"/>
    <x v="0"/>
    <s v="COSTO SVAGHI"/>
    <n v="9.5"/>
    <m/>
    <m/>
    <m/>
  </r>
  <r>
    <x v="6"/>
    <s v="MAGGIO"/>
    <x v="4"/>
    <n v="5"/>
    <s v="MAGGIO 2022"/>
    <x v="52"/>
    <x v="0"/>
    <s v="COSTO SVAGHI"/>
    <n v="12"/>
    <m/>
    <m/>
    <m/>
  </r>
  <r>
    <x v="199"/>
    <s v="MAGGIO"/>
    <x v="4"/>
    <n v="5"/>
    <s v="MAGGIO 2022"/>
    <x v="52"/>
    <x v="0"/>
    <s v="COSTO SVAGHI"/>
    <n v="30"/>
    <m/>
    <m/>
    <m/>
  </r>
  <r>
    <x v="303"/>
    <s v="MAGGIO"/>
    <x v="4"/>
    <n v="5"/>
    <s v="MAGGIO 2022"/>
    <x v="52"/>
    <x v="0"/>
    <s v="COSTO SVAGHI"/>
    <n v="30"/>
    <m/>
    <m/>
    <m/>
  </r>
  <r>
    <x v="12"/>
    <s v="MAGGIO"/>
    <x v="4"/>
    <n v="5"/>
    <s v="MAGGIO 2022"/>
    <x v="52"/>
    <x v="7"/>
    <s v="COSTO SOPRAVVIVENZA"/>
    <n v="8.36"/>
    <m/>
    <m/>
    <m/>
  </r>
  <r>
    <x v="2"/>
    <s v="MAGGIO"/>
    <x v="4"/>
    <n v="5"/>
    <s v="MAGGIO 2022"/>
    <x v="52"/>
    <x v="8"/>
    <s v="COSTO SFIZI"/>
    <n v="20.98"/>
    <m/>
    <s v="AMAZON"/>
    <m/>
  </r>
  <r>
    <x v="35"/>
    <s v="MAGGIO"/>
    <x v="4"/>
    <n v="5"/>
    <s v="MAGGIO 2022"/>
    <x v="52"/>
    <x v="1"/>
    <s v="COSTO CASA"/>
    <n v="7.9"/>
    <m/>
    <m/>
    <m/>
  </r>
  <r>
    <x v="301"/>
    <s v="MAGGIO"/>
    <x v="4"/>
    <n v="5"/>
    <s v="MAGGIO 2022"/>
    <x v="52"/>
    <x v="7"/>
    <s v="COSTO SOPRAVVIVENZA"/>
    <n v="22.83"/>
    <m/>
    <m/>
    <m/>
  </r>
  <r>
    <x v="12"/>
    <s v="MAGGIO"/>
    <x v="4"/>
    <n v="5"/>
    <s v="MAGGIO 2022"/>
    <x v="52"/>
    <x v="7"/>
    <s v="COSTO SOPRAVVIVENZA"/>
    <n v="36.659999999999997"/>
    <m/>
    <m/>
    <m/>
  </r>
  <r>
    <x v="82"/>
    <s v="MAGGIO"/>
    <x v="4"/>
    <n v="5"/>
    <s v="MAGGIO 2022"/>
    <x v="52"/>
    <x v="7"/>
    <s v="COSTO SOPRAVVIVENZA"/>
    <n v="17.75"/>
    <m/>
    <m/>
    <m/>
  </r>
  <r>
    <x v="63"/>
    <s v="MAGGIO"/>
    <x v="4"/>
    <n v="5"/>
    <s v="MAGGIO 2022"/>
    <x v="52"/>
    <x v="12"/>
    <s v="COSTO SVAGHI"/>
    <n v="20.87"/>
    <s v="2/3"/>
    <s v="PAYPAL"/>
    <m/>
  </r>
  <r>
    <x v="223"/>
    <s v="MAGGIO"/>
    <x v="4"/>
    <n v="5"/>
    <s v="MAGGIO 2022"/>
    <x v="52"/>
    <x v="16"/>
    <s v="COSTO VACANZE"/>
    <n v="29.16"/>
    <s v="3/3"/>
    <s v="PAYPAL"/>
    <m/>
  </r>
  <r>
    <x v="411"/>
    <s v="MAGGIO"/>
    <x v="4"/>
    <n v="5"/>
    <s v="MAGGIO 2022"/>
    <x v="52"/>
    <x v="0"/>
    <s v="COSTO SVAGHI"/>
    <n v="9.5"/>
    <m/>
    <m/>
    <m/>
  </r>
  <r>
    <x v="412"/>
    <s v="MAGGIO"/>
    <x v="4"/>
    <n v="5"/>
    <s v="MAGGIO 2022"/>
    <x v="52"/>
    <x v="0"/>
    <s v="COSTO SVAGHI"/>
    <n v="62"/>
    <m/>
    <m/>
    <m/>
  </r>
  <r>
    <x v="375"/>
    <s v="MAGGIO"/>
    <x v="4"/>
    <n v="5"/>
    <s v="MAGGIO 2022"/>
    <x v="52"/>
    <x v="0"/>
    <s v="COSTO SVAGHI"/>
    <n v="22.5"/>
    <m/>
    <m/>
    <m/>
  </r>
  <r>
    <x v="2"/>
    <s v="MAGGIO"/>
    <x v="4"/>
    <n v="5"/>
    <s v="MAGGIO 2022"/>
    <x v="52"/>
    <x v="8"/>
    <s v="COSTO SFIZI"/>
    <n v="12.99"/>
    <m/>
    <s v="AMAZON"/>
    <m/>
  </r>
  <r>
    <x v="2"/>
    <s v="MAGGIO"/>
    <x v="4"/>
    <n v="5"/>
    <s v="MAGGIO 2022"/>
    <x v="52"/>
    <x v="8"/>
    <s v="COSTO SFIZI"/>
    <n v="45"/>
    <m/>
    <s v="AMAZON"/>
    <m/>
  </r>
  <r>
    <x v="362"/>
    <s v="APRILE"/>
    <x v="4"/>
    <n v="4"/>
    <s v="APRILE 2022"/>
    <x v="53"/>
    <x v="0"/>
    <s v="COSTO SVAGHI"/>
    <n v="7.5"/>
    <m/>
    <m/>
    <m/>
  </r>
  <r>
    <x v="407"/>
    <s v="APRILE"/>
    <x v="4"/>
    <n v="4"/>
    <s v="APRILE 2022"/>
    <x v="53"/>
    <x v="0"/>
    <s v="COSTO SVAGHI"/>
    <n v="7"/>
    <m/>
    <m/>
    <m/>
  </r>
  <r>
    <x v="6"/>
    <s v="APRILE"/>
    <x v="4"/>
    <n v="4"/>
    <s v="APRILE 2022"/>
    <x v="53"/>
    <x v="0"/>
    <s v="COSTO SVAGHI"/>
    <n v="7.5"/>
    <m/>
    <m/>
    <m/>
  </r>
  <r>
    <x v="79"/>
    <s v="APRILE"/>
    <x v="4"/>
    <n v="4"/>
    <s v="APRILE 2022"/>
    <x v="53"/>
    <x v="3"/>
    <s v="COSTO MOBILITA'"/>
    <n v="1.1200000000000001"/>
    <m/>
    <s v="PAYPAL"/>
    <m/>
  </r>
  <r>
    <x v="407"/>
    <s v="APRILE"/>
    <x v="4"/>
    <n v="4"/>
    <s v="APRILE 2022"/>
    <x v="53"/>
    <x v="0"/>
    <s v="COSTO SVAGHI"/>
    <n v="5"/>
    <m/>
    <m/>
    <m/>
  </r>
  <r>
    <x v="203"/>
    <s v="APRILE"/>
    <x v="4"/>
    <n v="4"/>
    <s v="APRILE 2022"/>
    <x v="53"/>
    <x v="8"/>
    <s v="COSTO SFIZI"/>
    <n v="15.32"/>
    <m/>
    <s v="PAYPAL"/>
    <m/>
  </r>
  <r>
    <x v="2"/>
    <s v="APRILE"/>
    <x v="4"/>
    <n v="4"/>
    <s v="APRILE 2022"/>
    <x v="53"/>
    <x v="8"/>
    <s v="COSTO SFIZI"/>
    <n v="6.64"/>
    <m/>
    <s v="AMAZON"/>
    <m/>
  </r>
  <r>
    <x v="63"/>
    <s v="APRILE"/>
    <x v="4"/>
    <n v="4"/>
    <s v="APRILE 2022"/>
    <x v="53"/>
    <x v="12"/>
    <s v="COSTO SVAGHI"/>
    <n v="-125.18"/>
    <m/>
    <m/>
    <m/>
  </r>
  <r>
    <x v="347"/>
    <s v="APRILE"/>
    <x v="4"/>
    <n v="4"/>
    <s v="APRILE 2022"/>
    <x v="53"/>
    <x v="11"/>
    <s v="COSTO SFIZI"/>
    <n v="26.1"/>
    <m/>
    <m/>
    <m/>
  </r>
  <r>
    <x v="35"/>
    <s v="APRILE"/>
    <x v="4"/>
    <n v="4"/>
    <s v="APRILE 2022"/>
    <x v="53"/>
    <x v="1"/>
    <s v="COSTO CASA"/>
    <n v="12.53"/>
    <m/>
    <m/>
    <m/>
  </r>
  <r>
    <x v="21"/>
    <s v="APRILE"/>
    <x v="4"/>
    <n v="4"/>
    <s v="APRILE 2022"/>
    <x v="53"/>
    <x v="9"/>
    <s v="COSTO MOBILITA'"/>
    <n v="25"/>
    <m/>
    <m/>
    <m/>
  </r>
  <r>
    <x v="140"/>
    <s v="APRILE"/>
    <x v="4"/>
    <n v="4"/>
    <s v="APRILE 2022"/>
    <x v="53"/>
    <x v="20"/>
    <s v="COSTO ABBONAMENTI"/>
    <n v="59.99"/>
    <m/>
    <m/>
    <m/>
  </r>
  <r>
    <x v="230"/>
    <s v="APRILE"/>
    <x v="4"/>
    <n v="4"/>
    <s v="APRILE 2022"/>
    <x v="53"/>
    <x v="7"/>
    <s v="COSTO SOPRAVVIVENZA"/>
    <n v="12.49"/>
    <m/>
    <m/>
    <m/>
  </r>
  <r>
    <x v="91"/>
    <s v="APRILE"/>
    <x v="4"/>
    <n v="4"/>
    <s v="APRILE 2022"/>
    <x v="53"/>
    <x v="2"/>
    <s v="COSTO SOPRAVVIVENZA"/>
    <n v="0.4"/>
    <m/>
    <m/>
    <m/>
  </r>
  <r>
    <x v="63"/>
    <s v="APRILE"/>
    <x v="4"/>
    <n v="4"/>
    <s v="APRILE 2022"/>
    <x v="53"/>
    <x v="12"/>
    <s v="COSTO SVAGHI"/>
    <n v="20.86"/>
    <s v="1/3"/>
    <s v="PAYPAL"/>
    <m/>
  </r>
  <r>
    <x v="63"/>
    <s v="APRILE"/>
    <x v="4"/>
    <n v="4"/>
    <s v="APRILE 2022"/>
    <x v="53"/>
    <x v="12"/>
    <s v="COSTO SVAGHI"/>
    <n v="62.59"/>
    <m/>
    <m/>
    <m/>
  </r>
  <r>
    <x v="63"/>
    <s v="APRILE"/>
    <x v="4"/>
    <n v="4"/>
    <s v="APRILE 2022"/>
    <x v="53"/>
    <x v="12"/>
    <s v="COSTO SVAGHI"/>
    <n v="125.18"/>
    <m/>
    <m/>
    <m/>
  </r>
  <r>
    <x v="223"/>
    <s v="APRILE"/>
    <x v="4"/>
    <n v="4"/>
    <s v="APRILE 2022"/>
    <x v="53"/>
    <x v="16"/>
    <s v="COSTO VACANZE"/>
    <n v="29.16"/>
    <s v="2/3"/>
    <s v="PAYPAL"/>
    <m/>
  </r>
  <r>
    <x v="63"/>
    <s v="APRILE"/>
    <x v="4"/>
    <n v="4"/>
    <s v="APRILE 2022"/>
    <x v="53"/>
    <x v="12"/>
    <s v="COSTO SVAGHI"/>
    <n v="134.97999999999999"/>
    <m/>
    <m/>
    <m/>
  </r>
  <r>
    <x v="244"/>
    <s v="APRILE"/>
    <x v="4"/>
    <n v="4"/>
    <s v="APRILE 2022"/>
    <x v="53"/>
    <x v="0"/>
    <s v="COSTO SVAGHI"/>
    <n v="10"/>
    <m/>
    <m/>
    <m/>
  </r>
  <r>
    <x v="142"/>
    <s v="APRILE"/>
    <x v="4"/>
    <n v="4"/>
    <s v="APRILE 2022"/>
    <x v="53"/>
    <x v="0"/>
    <s v="COSTO SVAGHI"/>
    <n v="88.2"/>
    <m/>
    <m/>
    <m/>
  </r>
  <r>
    <x v="413"/>
    <s v="APRILE"/>
    <x v="4"/>
    <n v="4"/>
    <s v="APRILE 2022"/>
    <x v="53"/>
    <x v="11"/>
    <s v="COSTO SFIZI"/>
    <n v="20"/>
    <m/>
    <m/>
    <m/>
  </r>
  <r>
    <x v="6"/>
    <s v="APRILE"/>
    <x v="4"/>
    <n v="4"/>
    <s v="APRILE 2022"/>
    <x v="53"/>
    <x v="14"/>
    <s v="COSTO SOPRAVVIVENZA"/>
    <n v="5"/>
    <m/>
    <m/>
    <m/>
  </r>
  <r>
    <x v="82"/>
    <s v="APRILE"/>
    <x v="4"/>
    <n v="4"/>
    <s v="APRILE 2022"/>
    <x v="53"/>
    <x v="7"/>
    <s v="COSTO SOPRAVVIVENZA"/>
    <n v="27.32"/>
    <m/>
    <m/>
    <m/>
  </r>
  <r>
    <x v="414"/>
    <s v="MARZO"/>
    <x v="4"/>
    <n v="3"/>
    <s v="MARZO 2022"/>
    <x v="54"/>
    <x v="9"/>
    <s v="COSTO MOBILITA'"/>
    <n v="2.99"/>
    <m/>
    <s v="PAYPAL"/>
    <m/>
  </r>
  <r>
    <x v="94"/>
    <s v="MARZO"/>
    <x v="4"/>
    <n v="3"/>
    <s v="MARZO 2022"/>
    <x v="54"/>
    <x v="15"/>
    <s v="TASSE"/>
    <n v="23.84"/>
    <m/>
    <m/>
    <m/>
  </r>
  <r>
    <x v="41"/>
    <s v="MARZO"/>
    <x v="4"/>
    <n v="3"/>
    <s v="MARZO 2022"/>
    <x v="54"/>
    <x v="3"/>
    <s v="COSTO MOBILITA'"/>
    <n v="1.7"/>
    <m/>
    <m/>
    <m/>
  </r>
  <r>
    <x v="63"/>
    <s v="MARZO"/>
    <x v="4"/>
    <n v="3"/>
    <s v="MARZO 2022"/>
    <x v="54"/>
    <x v="12"/>
    <s v="COSTO SVAGHI"/>
    <n v="21.5"/>
    <m/>
    <m/>
    <m/>
  </r>
  <r>
    <x v="347"/>
    <s v="MARZO"/>
    <x v="4"/>
    <n v="3"/>
    <s v="MARZO 2022"/>
    <x v="54"/>
    <x v="11"/>
    <s v="COSTO SFIZI"/>
    <n v="20.99"/>
    <m/>
    <m/>
    <m/>
  </r>
  <r>
    <x v="400"/>
    <s v="MARZO"/>
    <x v="4"/>
    <n v="3"/>
    <s v="MARZO 2022"/>
    <x v="54"/>
    <x v="6"/>
    <s v="COSTO SOPRAVVIVENZA"/>
    <n v="33"/>
    <m/>
    <m/>
    <m/>
  </r>
  <r>
    <x v="223"/>
    <s v="MARZO"/>
    <x v="4"/>
    <n v="3"/>
    <s v="MARZO 2022"/>
    <x v="54"/>
    <x v="16"/>
    <s v="COSTO VACANZE"/>
    <n v="29.16"/>
    <s v="1/3"/>
    <s v="PAYPAL"/>
    <m/>
  </r>
  <r>
    <x v="12"/>
    <s v="MARZO"/>
    <x v="4"/>
    <n v="3"/>
    <s v="MARZO 2022"/>
    <x v="54"/>
    <x v="7"/>
    <s v="COSTO SOPRAVVIVENZA"/>
    <n v="11.16"/>
    <m/>
    <m/>
    <m/>
  </r>
  <r>
    <x v="2"/>
    <s v="MARZO"/>
    <x v="4"/>
    <n v="3"/>
    <s v="MARZO 2022"/>
    <x v="54"/>
    <x v="8"/>
    <s v="COSTO SFIZI"/>
    <n v="31.44"/>
    <m/>
    <s v="AMAZON"/>
    <m/>
  </r>
  <r>
    <x v="2"/>
    <s v="MARZO"/>
    <x v="4"/>
    <n v="3"/>
    <s v="MARZO 2022"/>
    <x v="54"/>
    <x v="8"/>
    <s v="COSTO SFIZI"/>
    <n v="15.49"/>
    <m/>
    <s v="AMAZON"/>
    <m/>
  </r>
  <r>
    <x v="82"/>
    <s v="MARZO"/>
    <x v="4"/>
    <n v="3"/>
    <s v="MARZO 2022"/>
    <x v="54"/>
    <x v="7"/>
    <s v="COSTO SOPRAVVIVENZA"/>
    <n v="47.26"/>
    <m/>
    <m/>
    <m/>
  </r>
  <r>
    <x v="415"/>
    <s v="MARZO"/>
    <x v="4"/>
    <n v="3"/>
    <s v="MARZO 2022"/>
    <x v="54"/>
    <x v="0"/>
    <s v="COSTO SVAGHI"/>
    <n v="3.82"/>
    <m/>
    <m/>
    <m/>
  </r>
  <r>
    <x v="415"/>
    <s v="MARZO"/>
    <x v="4"/>
    <n v="3"/>
    <s v="MARZO 2022"/>
    <x v="54"/>
    <x v="0"/>
    <s v="COSTO SVAGHI"/>
    <n v="7.43"/>
    <m/>
    <m/>
    <m/>
  </r>
  <r>
    <x v="415"/>
    <s v="MARZO"/>
    <x v="4"/>
    <n v="3"/>
    <s v="MARZO 2022"/>
    <x v="54"/>
    <x v="0"/>
    <s v="COSTO SVAGHI"/>
    <n v="2.4900000000000002"/>
    <m/>
    <m/>
    <m/>
  </r>
  <r>
    <x v="63"/>
    <s v="FEBBRAIO"/>
    <x v="4"/>
    <n v="2"/>
    <s v="FEBBRAIO 2022"/>
    <x v="55"/>
    <x v="12"/>
    <s v="COSTO SVAGHI"/>
    <n v="23"/>
    <m/>
    <m/>
    <m/>
  </r>
  <r>
    <x v="375"/>
    <s v="FEBBRAIO"/>
    <x v="4"/>
    <n v="2"/>
    <s v="FEBBRAIO 2022"/>
    <x v="55"/>
    <x v="0"/>
    <s v="COSTO SVAGHI"/>
    <n v="13"/>
    <m/>
    <m/>
    <m/>
  </r>
  <r>
    <x v="6"/>
    <s v="FEBBRAIO"/>
    <x v="4"/>
    <n v="2"/>
    <s v="FEBBRAIO 2022"/>
    <x v="55"/>
    <x v="14"/>
    <s v="COSTO SOPRAVVIVENZA"/>
    <n v="5"/>
    <m/>
    <m/>
    <m/>
  </r>
  <r>
    <x v="407"/>
    <s v="FEBBRAIO"/>
    <x v="4"/>
    <n v="2"/>
    <s v="FEBBRAIO 2022"/>
    <x v="55"/>
    <x v="0"/>
    <s v="COSTO SVAGHI"/>
    <n v="5"/>
    <m/>
    <m/>
    <m/>
  </r>
  <r>
    <x v="41"/>
    <s v="FEBBRAIO"/>
    <x v="4"/>
    <n v="2"/>
    <s v="FEBBRAIO 2022"/>
    <x v="55"/>
    <x v="3"/>
    <s v="COSTO MOBILITA'"/>
    <n v="1.7"/>
    <m/>
    <m/>
    <m/>
  </r>
  <r>
    <x v="91"/>
    <s v="FEBBRAIO"/>
    <x v="4"/>
    <n v="2"/>
    <s v="FEBBRAIO 2022"/>
    <x v="55"/>
    <x v="2"/>
    <s v="COSTO SOPRAVVIVENZA"/>
    <n v="0.4"/>
    <m/>
    <m/>
    <m/>
  </r>
  <r>
    <x v="35"/>
    <s v="FEBBRAIO"/>
    <x v="4"/>
    <n v="2"/>
    <s v="FEBBRAIO 2022"/>
    <x v="55"/>
    <x v="1"/>
    <s v="COSTO CASA"/>
    <n v="3.7"/>
    <m/>
    <m/>
    <m/>
  </r>
  <r>
    <x v="2"/>
    <s v="FEBBRAIO"/>
    <x v="4"/>
    <n v="2"/>
    <s v="FEBBRAIO 2022"/>
    <x v="55"/>
    <x v="8"/>
    <s v="COSTO SFIZI"/>
    <n v="19.25"/>
    <s v="5/5"/>
    <s v="AMAZON"/>
    <m/>
  </r>
  <r>
    <x v="67"/>
    <s v="FEBBRAIO"/>
    <x v="4"/>
    <n v="2"/>
    <s v="FEBBRAIO 2022"/>
    <x v="55"/>
    <x v="7"/>
    <s v="COSTO SOPRAVVIVENZA"/>
    <n v="37.92"/>
    <m/>
    <m/>
    <m/>
  </r>
  <r>
    <x v="91"/>
    <s v="FEBBRAIO"/>
    <x v="4"/>
    <n v="2"/>
    <s v="FEBBRAIO 2022"/>
    <x v="55"/>
    <x v="2"/>
    <s v="COSTO SOPRAVVIVENZA"/>
    <n v="0.4"/>
    <m/>
    <m/>
    <m/>
  </r>
  <r>
    <x v="91"/>
    <s v="FEBBRAIO"/>
    <x v="4"/>
    <n v="2"/>
    <s v="FEBBRAIO 2022"/>
    <x v="55"/>
    <x v="2"/>
    <s v="COSTO SOPRAVVIVENZA"/>
    <n v="0.4"/>
    <m/>
    <m/>
    <m/>
  </r>
  <r>
    <x v="91"/>
    <s v="FEBBRAIO"/>
    <x v="4"/>
    <n v="2"/>
    <s v="FEBBRAIO 2022"/>
    <x v="55"/>
    <x v="2"/>
    <s v="COSTO SOPRAVVIVENZA"/>
    <n v="0.4"/>
    <m/>
    <m/>
    <m/>
  </r>
  <r>
    <x v="91"/>
    <s v="FEBBRAIO"/>
    <x v="4"/>
    <n v="2"/>
    <s v="FEBBRAIO 2022"/>
    <x v="55"/>
    <x v="2"/>
    <s v="COSTO SOPRAVVIVENZA"/>
    <n v="0.4"/>
    <m/>
    <m/>
    <m/>
  </r>
  <r>
    <x v="240"/>
    <s v="FEBBRAIO"/>
    <x v="4"/>
    <n v="2"/>
    <s v="FEBBRAIO 2022"/>
    <x v="55"/>
    <x v="1"/>
    <s v="COSTO CASA"/>
    <n v="24.89"/>
    <m/>
    <m/>
    <s v="Pitturare Porte"/>
  </r>
  <r>
    <x v="279"/>
    <s v="FEBBRAIO"/>
    <x v="4"/>
    <n v="2"/>
    <s v="FEBBRAIO 2022"/>
    <x v="55"/>
    <x v="9"/>
    <s v="COSTO MOBILITA'"/>
    <n v="310"/>
    <m/>
    <m/>
    <m/>
  </r>
  <r>
    <x v="91"/>
    <s v="FEBBRAIO"/>
    <x v="4"/>
    <n v="2"/>
    <s v="FEBBRAIO 2022"/>
    <x v="55"/>
    <x v="2"/>
    <s v="COSTO SOPRAVVIVENZA"/>
    <n v="0.4"/>
    <m/>
    <m/>
    <m/>
  </r>
  <r>
    <x v="82"/>
    <s v="FEBBRAIO"/>
    <x v="4"/>
    <n v="2"/>
    <s v="FEBBRAIO 2022"/>
    <x v="55"/>
    <x v="7"/>
    <s v="COSTO SOPRAVVIVENZA"/>
    <n v="22.21"/>
    <m/>
    <m/>
    <m/>
  </r>
  <r>
    <x v="12"/>
    <s v="FEBBRAIO"/>
    <x v="4"/>
    <n v="2"/>
    <s v="FEBBRAIO 2022"/>
    <x v="55"/>
    <x v="7"/>
    <s v="COSTO SOPRAVVIVENZA"/>
    <n v="25.1"/>
    <m/>
    <m/>
    <m/>
  </r>
  <r>
    <x v="12"/>
    <s v="FEBBRAIO"/>
    <x v="4"/>
    <n v="2"/>
    <s v="FEBBRAIO 2022"/>
    <x v="55"/>
    <x v="7"/>
    <s v="COSTO SOPRAVVIVENZA"/>
    <n v="13.52"/>
    <m/>
    <m/>
    <m/>
  </r>
  <r>
    <x v="91"/>
    <s v="FEBBRAIO"/>
    <x v="4"/>
    <n v="2"/>
    <s v="FEBBRAIO 2022"/>
    <x v="55"/>
    <x v="2"/>
    <s v="COSTO SOPRAVVIVENZA"/>
    <n v="0.4"/>
    <m/>
    <m/>
    <m/>
  </r>
  <r>
    <x v="240"/>
    <s v="FEBBRAIO"/>
    <x v="4"/>
    <n v="2"/>
    <s v="FEBBRAIO 2022"/>
    <x v="55"/>
    <x v="1"/>
    <s v="COSTO CASA"/>
    <n v="45.89"/>
    <m/>
    <m/>
    <s v="Pitturare Porte"/>
  </r>
  <r>
    <x v="35"/>
    <s v="FEBBRAIO"/>
    <x v="4"/>
    <n v="2"/>
    <s v="FEBBRAIO 2022"/>
    <x v="55"/>
    <x v="1"/>
    <s v="COSTO CASA"/>
    <n v="10.29"/>
    <m/>
    <m/>
    <s v="Pitturare Porte"/>
  </r>
  <r>
    <x v="240"/>
    <s v="FEBBRAIO"/>
    <x v="4"/>
    <n v="2"/>
    <s v="FEBBRAIO 2022"/>
    <x v="55"/>
    <x v="1"/>
    <s v="COSTO CASA"/>
    <n v="56.62"/>
    <m/>
    <m/>
    <s v="Pitturare Porte"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416"/>
    <s v="GENNAIO"/>
    <x v="4"/>
    <n v="1"/>
    <s v="GENNAIO 2022"/>
    <x v="56"/>
    <x v="0"/>
    <s v="COSTO SVAGHI"/>
    <n v="24.5"/>
    <m/>
    <m/>
    <m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82"/>
    <s v="GENNAIO"/>
    <x v="4"/>
    <n v="1"/>
    <s v="GENNAIO 2022"/>
    <x v="56"/>
    <x v="7"/>
    <s v="COSTO SOPRAVVIVENZA"/>
    <n v="23.84"/>
    <m/>
    <m/>
    <m/>
  </r>
  <r>
    <x v="6"/>
    <s v="GENNAIO"/>
    <x v="4"/>
    <n v="1"/>
    <s v="GENNAIO 2022"/>
    <x v="56"/>
    <x v="0"/>
    <s v="COSTO SVAGHI"/>
    <n v="7.5"/>
    <m/>
    <m/>
    <m/>
  </r>
  <r>
    <x v="91"/>
    <s v="GENNAIO"/>
    <x v="4"/>
    <n v="1"/>
    <s v="GENNAIO 2022"/>
    <x v="56"/>
    <x v="2"/>
    <s v="COSTO SOPRAVVIVENZA"/>
    <n v="0.4"/>
    <m/>
    <m/>
    <m/>
  </r>
  <r>
    <x v="91"/>
    <s v="GENNAIO"/>
    <x v="4"/>
    <n v="1"/>
    <s v="GENNAIO 2022"/>
    <x v="56"/>
    <x v="2"/>
    <s v="COSTO SOPRAVVIVENZA"/>
    <n v="0.4"/>
    <m/>
    <m/>
    <m/>
  </r>
  <r>
    <x v="2"/>
    <s v="GENNAIO"/>
    <x v="4"/>
    <n v="1"/>
    <s v="GENNAIO 2022"/>
    <x v="56"/>
    <x v="8"/>
    <s v="COSTO SFIZI"/>
    <n v="19.25"/>
    <s v="4/5"/>
    <s v="AMAZON"/>
    <m/>
  </r>
  <r>
    <x v="91"/>
    <s v="GENNAIO"/>
    <x v="4"/>
    <n v="1"/>
    <s v="GENNAIO 2022"/>
    <x v="56"/>
    <x v="2"/>
    <s v="COSTO SOPRAVVIVENZA"/>
    <n v="0.4"/>
    <m/>
    <m/>
    <m/>
  </r>
  <r>
    <x v="82"/>
    <s v="GENNAIO"/>
    <x v="4"/>
    <n v="1"/>
    <s v="GENNAIO 2022"/>
    <x v="56"/>
    <x v="7"/>
    <s v="COSTO SOPRAVVIVENZA"/>
    <n v="19.170000000000002"/>
    <m/>
    <m/>
    <m/>
  </r>
  <r>
    <x v="21"/>
    <s v="GENNAIO"/>
    <x v="4"/>
    <n v="1"/>
    <s v="GENNAIO 2022"/>
    <x v="56"/>
    <x v="9"/>
    <s v="COSTO MOBILITA'"/>
    <n v="25"/>
    <m/>
    <m/>
    <m/>
  </r>
  <r>
    <x v="417"/>
    <s v="GENNAIO"/>
    <x v="4"/>
    <n v="1"/>
    <s v="GENNAIO 2022"/>
    <x v="56"/>
    <x v="24"/>
    <s v="COSTO SOPRAVVIVENZA"/>
    <n v="18"/>
    <m/>
    <m/>
    <m/>
  </r>
  <r>
    <x v="67"/>
    <s v="GENNAIO"/>
    <x v="4"/>
    <n v="1"/>
    <s v="GENNAIO 2022"/>
    <x v="56"/>
    <x v="7"/>
    <s v="COSTO SOPRAVVIVENZA"/>
    <n v="58.27"/>
    <m/>
    <m/>
    <m/>
  </r>
  <r>
    <x v="53"/>
    <s v="GENNAIO"/>
    <x v="4"/>
    <n v="1"/>
    <s v="GENNAIO 2022"/>
    <x v="56"/>
    <x v="1"/>
    <s v="COSTO CASA"/>
    <n v="34.950000000000003"/>
    <m/>
    <m/>
    <m/>
  </r>
  <r>
    <x v="63"/>
    <s v="GENNAIO"/>
    <x v="4"/>
    <n v="1"/>
    <s v="GENNAIO 2022"/>
    <x v="56"/>
    <x v="12"/>
    <s v="COSTO SVAGHI"/>
    <n v="45.45"/>
    <m/>
    <m/>
    <m/>
  </r>
  <r>
    <x v="67"/>
    <s v="GENNAIO"/>
    <x v="4"/>
    <n v="1"/>
    <s v="GENNAIO 2022"/>
    <x v="56"/>
    <x v="7"/>
    <s v="COSTO SOPRAVVIVENZA"/>
    <n v="32.86"/>
    <m/>
    <m/>
    <m/>
  </r>
  <r>
    <x v="2"/>
    <s v="DICEMBRE"/>
    <x v="5"/>
    <n v="12"/>
    <s v="DICEMBRE 2021"/>
    <x v="57"/>
    <x v="8"/>
    <s v="COSTO SFIZI"/>
    <n v="1.99"/>
    <m/>
    <s v="AMAZON"/>
    <m/>
  </r>
  <r>
    <x v="61"/>
    <s v="DICEMBRE"/>
    <x v="5"/>
    <n v="12"/>
    <s v="DICEMBRE 2021"/>
    <x v="57"/>
    <x v="11"/>
    <s v="COSTO SFIZI"/>
    <n v="25.9"/>
    <m/>
    <m/>
    <m/>
  </r>
  <r>
    <x v="2"/>
    <s v="DICEMBRE"/>
    <x v="5"/>
    <n v="12"/>
    <s v="DICEMBRE 2021"/>
    <x v="57"/>
    <x v="8"/>
    <s v="COSTO SFIZI"/>
    <n v="19.98"/>
    <m/>
    <s v="AMAZON"/>
    <m/>
  </r>
  <r>
    <x v="163"/>
    <s v="DICEMBRE"/>
    <x v="5"/>
    <n v="12"/>
    <s v="DICEMBRE 2021"/>
    <x v="57"/>
    <x v="11"/>
    <s v="COSTO SFIZI"/>
    <n v="30.14"/>
    <m/>
    <m/>
    <m/>
  </r>
  <r>
    <x v="41"/>
    <s v="DICEMBRE"/>
    <x v="5"/>
    <n v="12"/>
    <s v="DICEMBRE 2021"/>
    <x v="57"/>
    <x v="3"/>
    <s v="COSTO MOBILITA'"/>
    <n v="1.7"/>
    <m/>
    <m/>
    <m/>
  </r>
  <r>
    <x v="67"/>
    <s v="DICEMBRE"/>
    <x v="5"/>
    <n v="12"/>
    <s v="DICEMBRE 2021"/>
    <x v="57"/>
    <x v="7"/>
    <s v="COSTO SOPRAVVIVENZA"/>
    <n v="21.05"/>
    <m/>
    <m/>
    <m/>
  </r>
  <r>
    <x v="400"/>
    <s v="DICEMBRE"/>
    <x v="5"/>
    <n v="12"/>
    <s v="DICEMBRE 2021"/>
    <x v="57"/>
    <x v="6"/>
    <s v="COSTO SOPRAVVIVENZA"/>
    <n v="33"/>
    <m/>
    <m/>
    <m/>
  </r>
  <r>
    <x v="2"/>
    <s v="DICEMBRE"/>
    <x v="5"/>
    <n v="12"/>
    <s v="DICEMBRE 2021"/>
    <x v="57"/>
    <x v="8"/>
    <s v="COSTO SFIZI"/>
    <n v="19.25"/>
    <s v="3/5"/>
    <s v="AMAZON"/>
    <m/>
  </r>
  <r>
    <x v="53"/>
    <s v="DICEMBRE"/>
    <x v="5"/>
    <n v="12"/>
    <s v="DICEMBRE 2021"/>
    <x v="57"/>
    <x v="1"/>
    <s v="COSTO CASA"/>
    <n v="55.6"/>
    <m/>
    <m/>
    <m/>
  </r>
  <r>
    <x v="67"/>
    <s v="DICEMBRE"/>
    <x v="5"/>
    <n v="12"/>
    <s v="DICEMBRE 2021"/>
    <x v="57"/>
    <x v="7"/>
    <s v="COSTO SOPRAVVIVENZA"/>
    <n v="116.28"/>
    <m/>
    <m/>
    <s v="compleanno"/>
  </r>
  <r>
    <x v="254"/>
    <s v="DICEMBRE"/>
    <x v="5"/>
    <n v="12"/>
    <s v="DICEMBRE 2021"/>
    <x v="57"/>
    <x v="0"/>
    <s v="COSTO SVAGHI"/>
    <n v="40"/>
    <m/>
    <m/>
    <s v="compleanno"/>
  </r>
  <r>
    <x v="91"/>
    <s v="DICEMBRE"/>
    <x v="5"/>
    <n v="12"/>
    <s v="DICEMBRE 2021"/>
    <x v="57"/>
    <x v="2"/>
    <s v="COSTO SOPRAVVIVENZA"/>
    <n v="0.6"/>
    <m/>
    <m/>
    <m/>
  </r>
  <r>
    <x v="12"/>
    <s v="DICEMBRE"/>
    <x v="5"/>
    <n v="12"/>
    <s v="DICEMBRE 2021"/>
    <x v="57"/>
    <x v="7"/>
    <s v="COSTO SOPRAVVIVENZA"/>
    <n v="37.93"/>
    <m/>
    <m/>
    <s v="compleanno"/>
  </r>
  <r>
    <x v="91"/>
    <s v="DICEMBRE"/>
    <x v="5"/>
    <n v="12"/>
    <s v="DICEMBRE 2021"/>
    <x v="57"/>
    <x v="2"/>
    <s v="COSTO SOPRAVVIVENZA"/>
    <n v="0.4"/>
    <m/>
    <m/>
    <m/>
  </r>
  <r>
    <x v="91"/>
    <s v="DICEMBRE"/>
    <x v="5"/>
    <n v="12"/>
    <s v="DICEMBRE 2021"/>
    <x v="57"/>
    <x v="2"/>
    <s v="COSTO SOPRAVVIVENZA"/>
    <n v="0.4"/>
    <m/>
    <m/>
    <m/>
  </r>
  <r>
    <x v="2"/>
    <s v="DICEMBRE"/>
    <x v="5"/>
    <n v="12"/>
    <s v="DICEMBRE 2021"/>
    <x v="57"/>
    <x v="8"/>
    <s v="COSTO SFIZI"/>
    <n v="39.99"/>
    <m/>
    <s v="AMAZON"/>
    <m/>
  </r>
  <r>
    <x v="375"/>
    <s v="DICEMBRE"/>
    <x v="5"/>
    <n v="12"/>
    <s v="DICEMBRE 2021"/>
    <x v="57"/>
    <x v="0"/>
    <s v="COSTO SVAGHI"/>
    <n v="21.5"/>
    <m/>
    <m/>
    <m/>
  </r>
  <r>
    <x v="91"/>
    <s v="DICEMBRE"/>
    <x v="5"/>
    <n v="12"/>
    <s v="DICEMBRE 2021"/>
    <x v="57"/>
    <x v="2"/>
    <s v="COSTO SOPRAVVIVENZA"/>
    <n v="0.4"/>
    <m/>
    <m/>
    <m/>
  </r>
  <r>
    <x v="91"/>
    <s v="DICEMBRE"/>
    <x v="5"/>
    <n v="12"/>
    <s v="DICEMBRE 2021"/>
    <x v="57"/>
    <x v="2"/>
    <s v="COSTO SOPRAVVIVENZA"/>
    <n v="0.4"/>
    <m/>
    <m/>
    <m/>
  </r>
  <r>
    <x v="401"/>
    <s v="DICEMBRE"/>
    <x v="5"/>
    <n v="12"/>
    <s v="DICEMBRE 2021"/>
    <x v="57"/>
    <x v="24"/>
    <s v="COSTO SOPRAVVIVENZA"/>
    <n v="19.5"/>
    <m/>
    <m/>
    <m/>
  </r>
  <r>
    <x v="67"/>
    <s v="NOVEMBRE"/>
    <x v="5"/>
    <n v="11"/>
    <s v="NOVEMBRE 2021"/>
    <x v="58"/>
    <x v="7"/>
    <s v="COSTO SOPRAVVIVENZA"/>
    <n v="15.81"/>
    <m/>
    <m/>
    <m/>
  </r>
  <r>
    <x v="418"/>
    <s v="NOVEMBRE"/>
    <x v="5"/>
    <n v="11"/>
    <s v="NOVEMBRE 2021"/>
    <x v="58"/>
    <x v="20"/>
    <s v="COSTO ABBONAMENTI"/>
    <n v="24.99"/>
    <m/>
    <m/>
    <m/>
  </r>
  <r>
    <x v="91"/>
    <s v="NOVEMBRE"/>
    <x v="5"/>
    <n v="11"/>
    <s v="NOVEMBRE 2021"/>
    <x v="58"/>
    <x v="2"/>
    <s v="COSTO SOPRAVVIVENZA"/>
    <n v="0.4"/>
    <m/>
    <m/>
    <m/>
  </r>
  <r>
    <x v="91"/>
    <s v="NOVEMBRE"/>
    <x v="5"/>
    <n v="11"/>
    <s v="NOVEMBRE 2021"/>
    <x v="58"/>
    <x v="2"/>
    <s v="COSTO SOPRAVVIVENZA"/>
    <n v="0.4"/>
    <m/>
    <m/>
    <m/>
  </r>
  <r>
    <x v="91"/>
    <s v="NOVEMBRE"/>
    <x v="5"/>
    <n v="11"/>
    <s v="NOVEMBRE 2021"/>
    <x v="58"/>
    <x v="2"/>
    <s v="COSTO SOPRAVVIVENZA"/>
    <n v="0.4"/>
    <m/>
    <m/>
    <m/>
  </r>
  <r>
    <x v="91"/>
    <s v="NOVEMBRE"/>
    <x v="5"/>
    <n v="11"/>
    <s v="NOVEMBRE 2021"/>
    <x v="58"/>
    <x v="2"/>
    <s v="COSTO SOPRAVVIVENZA"/>
    <n v="0.4"/>
    <m/>
    <m/>
    <m/>
  </r>
  <r>
    <x v="91"/>
    <s v="NOVEMBRE"/>
    <x v="5"/>
    <n v="11"/>
    <s v="NOVEMBRE 2021"/>
    <x v="58"/>
    <x v="2"/>
    <s v="COSTO SOPRAVVIVENZA"/>
    <n v="0.4"/>
    <m/>
    <m/>
    <m/>
  </r>
  <r>
    <x v="67"/>
    <s v="NOVEMBRE"/>
    <x v="5"/>
    <n v="11"/>
    <s v="NOVEMBRE 2021"/>
    <x v="58"/>
    <x v="7"/>
    <s v="COSTO SOPRAVVIVENZA"/>
    <n v="6.69"/>
    <m/>
    <m/>
    <m/>
  </r>
  <r>
    <x v="12"/>
    <s v="NOVEMBRE"/>
    <x v="5"/>
    <n v="11"/>
    <s v="NOVEMBRE 2021"/>
    <x v="58"/>
    <x v="7"/>
    <s v="COSTO SOPRAVVIVENZA"/>
    <n v="8.35"/>
    <m/>
    <m/>
    <m/>
  </r>
  <r>
    <x v="2"/>
    <s v="NOVEMBRE"/>
    <x v="5"/>
    <n v="11"/>
    <s v="NOVEMBRE 2021"/>
    <x v="58"/>
    <x v="8"/>
    <s v="COSTO SFIZI"/>
    <n v="8.99"/>
    <m/>
    <s v="AMAZON"/>
    <m/>
  </r>
  <r>
    <x v="2"/>
    <s v="NOVEMBRE"/>
    <x v="5"/>
    <n v="11"/>
    <s v="NOVEMBRE 2021"/>
    <x v="58"/>
    <x v="8"/>
    <s v="COSTO SFIZI"/>
    <n v="19.25"/>
    <s v="2/5"/>
    <s v="AMAZON"/>
    <m/>
  </r>
  <r>
    <x v="419"/>
    <s v="NOVEMBRE"/>
    <x v="5"/>
    <n v="11"/>
    <s v="NOVEMBRE 2021"/>
    <x v="58"/>
    <x v="8"/>
    <s v="COSTO SFIZI"/>
    <n v="19.989999999999998"/>
    <m/>
    <m/>
    <m/>
  </r>
  <r>
    <x v="419"/>
    <s v="NOVEMBRE"/>
    <x v="5"/>
    <n v="11"/>
    <s v="NOVEMBRE 2021"/>
    <x v="58"/>
    <x v="8"/>
    <s v="COSTO SFIZI"/>
    <n v="49.99"/>
    <m/>
    <m/>
    <m/>
  </r>
  <r>
    <x v="2"/>
    <s v="NOVEMBRE"/>
    <x v="5"/>
    <n v="11"/>
    <s v="NOVEMBRE 2021"/>
    <x v="58"/>
    <x v="8"/>
    <s v="COSTO SFIZI"/>
    <n v="10.88"/>
    <m/>
    <s v="AMAZON"/>
    <m/>
  </r>
  <r>
    <x v="420"/>
    <s v="NOVEMBRE"/>
    <x v="5"/>
    <n v="11"/>
    <s v="NOVEMBRE 2021"/>
    <x v="58"/>
    <x v="16"/>
    <s v="COSTO VACANZE"/>
    <n v="41.6"/>
    <m/>
    <m/>
    <m/>
  </r>
  <r>
    <x v="6"/>
    <s v="NOVEMBRE"/>
    <x v="5"/>
    <n v="11"/>
    <s v="NOVEMBRE 2021"/>
    <x v="58"/>
    <x v="14"/>
    <s v="COSTO SOPRAVVIVENZA"/>
    <n v="5"/>
    <m/>
    <m/>
    <m/>
  </r>
  <r>
    <x v="421"/>
    <s v="NOVEMBRE"/>
    <x v="5"/>
    <n v="11"/>
    <s v="NOVEMBRE 2021"/>
    <x v="58"/>
    <x v="7"/>
    <s v="COSTO SOPRAVVIVENZA"/>
    <n v="7.63"/>
    <m/>
    <m/>
    <m/>
  </r>
  <r>
    <x v="422"/>
    <s v="NOVEMBRE"/>
    <x v="5"/>
    <n v="11"/>
    <s v="NOVEMBRE 2021"/>
    <x v="58"/>
    <x v="0"/>
    <s v="COSTO SVAGHI"/>
    <n v="9.9700000000000006"/>
    <m/>
    <m/>
    <m/>
  </r>
  <r>
    <x v="423"/>
    <s v="NOVEMBRE"/>
    <x v="5"/>
    <n v="11"/>
    <s v="NOVEMBRE 2021"/>
    <x v="58"/>
    <x v="7"/>
    <s v="COSTO SOPRAVVIVENZA"/>
    <n v="7.49"/>
    <m/>
    <m/>
    <m/>
  </r>
  <r>
    <x v="2"/>
    <s v="NOVEMBRE"/>
    <x v="5"/>
    <n v="11"/>
    <s v="NOVEMBRE 2021"/>
    <x v="58"/>
    <x v="8"/>
    <s v="COSTO SFIZI"/>
    <n v="31.97"/>
    <m/>
    <s v="AMAZON"/>
    <m/>
  </r>
  <r>
    <x v="2"/>
    <s v="NOVEMBRE"/>
    <x v="5"/>
    <n v="11"/>
    <s v="NOVEMBRE 2021"/>
    <x v="58"/>
    <x v="8"/>
    <s v="COSTO SFIZI"/>
    <n v="23.89"/>
    <m/>
    <s v="AMAZON"/>
    <m/>
  </r>
  <r>
    <x v="424"/>
    <s v="NOVEMBRE"/>
    <x v="5"/>
    <n v="11"/>
    <s v="NOVEMBRE 2021"/>
    <x v="58"/>
    <x v="3"/>
    <s v="COSTO MOBILITA'"/>
    <n v="12.3"/>
    <m/>
    <m/>
    <m/>
  </r>
  <r>
    <x v="6"/>
    <s v="NOVEMBRE"/>
    <x v="5"/>
    <n v="11"/>
    <s v="NOVEMBRE 2021"/>
    <x v="58"/>
    <x v="0"/>
    <s v="COSTO SVAGHI"/>
    <n v="4.0999999999999996"/>
    <m/>
    <m/>
    <m/>
  </r>
  <r>
    <x v="91"/>
    <s v="OTTOBRE"/>
    <x v="5"/>
    <n v="10"/>
    <s v="OTTOBRE 2021"/>
    <x v="59"/>
    <x v="2"/>
    <s v="COSTO SOPRAVVIVENZA"/>
    <n v="0.4"/>
    <m/>
    <m/>
    <m/>
  </r>
  <r>
    <x v="2"/>
    <s v="OTTOBRE"/>
    <x v="5"/>
    <n v="10"/>
    <s v="OTTOBRE 2021"/>
    <x v="59"/>
    <x v="8"/>
    <s v="COSTO SFIZI"/>
    <n v="-19.95"/>
    <m/>
    <s v="AMAZON"/>
    <m/>
  </r>
  <r>
    <x v="2"/>
    <s v="OTTOBRE"/>
    <x v="5"/>
    <n v="10"/>
    <s v="OTTOBRE 2021"/>
    <x v="59"/>
    <x v="8"/>
    <s v="COSTO SFIZI"/>
    <n v="19.25"/>
    <s v="1/5"/>
    <s v="AMAZON"/>
    <m/>
  </r>
  <r>
    <x v="35"/>
    <s v="OTTOBRE"/>
    <x v="5"/>
    <n v="10"/>
    <s v="OTTOBRE 2021"/>
    <x v="59"/>
    <x v="1"/>
    <s v="COSTO CASA"/>
    <n v="33.19"/>
    <m/>
    <m/>
    <m/>
  </r>
  <r>
    <x v="53"/>
    <s v="OTTOBRE"/>
    <x v="5"/>
    <n v="10"/>
    <s v="OTTOBRE 2021"/>
    <x v="59"/>
    <x v="1"/>
    <s v="COSTO CASA"/>
    <n v="19.95"/>
    <m/>
    <m/>
    <m/>
  </r>
  <r>
    <x v="140"/>
    <s v="OTTOBRE"/>
    <x v="5"/>
    <n v="10"/>
    <s v="OTTOBRE 2021"/>
    <x v="59"/>
    <x v="8"/>
    <s v="COSTO SFIZI"/>
    <n v="1.59"/>
    <m/>
    <m/>
    <m/>
  </r>
  <r>
    <x v="2"/>
    <s v="OTTOBRE"/>
    <x v="5"/>
    <n v="10"/>
    <s v="OTTOBRE 2021"/>
    <x v="59"/>
    <x v="8"/>
    <s v="COSTO SFIZI"/>
    <n v="14.99"/>
    <m/>
    <s v="AMAZON"/>
    <m/>
  </r>
  <r>
    <x v="140"/>
    <s v="SETTEMBRE"/>
    <x v="5"/>
    <n v="9"/>
    <s v="SETTEMBRE 2021"/>
    <x v="60"/>
    <x v="20"/>
    <s v="COSTO ABBONAMENTI"/>
    <n v="8.49"/>
    <m/>
    <m/>
    <m/>
  </r>
  <r>
    <x v="67"/>
    <s v="SETTEMBRE"/>
    <x v="5"/>
    <n v="9"/>
    <s v="SETTEMBRE 2021"/>
    <x v="60"/>
    <x v="7"/>
    <s v="COSTO SOPRAVVIVENZA"/>
    <n v="17.66"/>
    <m/>
    <m/>
    <m/>
  </r>
  <r>
    <x v="6"/>
    <s v="SETTEMBRE"/>
    <x v="5"/>
    <n v="9"/>
    <s v="SETTEMBRE 2021"/>
    <x v="60"/>
    <x v="0"/>
    <s v="COSTO SVAGHI"/>
    <n v="5.0999999999999996"/>
    <m/>
    <m/>
    <m/>
  </r>
  <r>
    <x v="6"/>
    <s v="SETTEMBRE"/>
    <x v="5"/>
    <n v="9"/>
    <s v="SETTEMBRE 2021"/>
    <x v="60"/>
    <x v="14"/>
    <s v="COSTO SOPRAVVIVENZA"/>
    <n v="5"/>
    <m/>
    <m/>
    <m/>
  </r>
  <r>
    <x v="67"/>
    <s v="SETTEMBRE"/>
    <x v="5"/>
    <n v="9"/>
    <s v="SETTEMBRE 2021"/>
    <x v="60"/>
    <x v="7"/>
    <s v="COSTO SOPRAVVIVENZA"/>
    <n v="14.28"/>
    <m/>
    <m/>
    <m/>
  </r>
  <r>
    <x v="35"/>
    <s v="SETTEMBRE"/>
    <x v="5"/>
    <n v="9"/>
    <s v="SETTEMBRE 2021"/>
    <x v="60"/>
    <x v="1"/>
    <s v="COSTO CASA"/>
    <n v="11.96"/>
    <m/>
    <m/>
    <m/>
  </r>
  <r>
    <x v="6"/>
    <s v="SETTEMBRE"/>
    <x v="5"/>
    <n v="9"/>
    <s v="SETTEMBRE 2021"/>
    <x v="60"/>
    <x v="14"/>
    <s v="COSTO SOPRAVVIVENZA"/>
    <n v="5"/>
    <m/>
    <m/>
    <m/>
  </r>
  <r>
    <x v="67"/>
    <s v="SETTEMBRE"/>
    <x v="5"/>
    <n v="9"/>
    <s v="SETTEMBRE 2021"/>
    <x v="60"/>
    <x v="7"/>
    <s v="COSTO SOPRAVVIVENZA"/>
    <n v="24.57"/>
    <m/>
    <m/>
    <m/>
  </r>
  <r>
    <x v="112"/>
    <s v="SETTEMBRE"/>
    <x v="5"/>
    <n v="9"/>
    <s v="SETTEMBRE 2021"/>
    <x v="60"/>
    <x v="1"/>
    <s v="COSTO CASA"/>
    <n v="19.510000000000002"/>
    <m/>
    <m/>
    <m/>
  </r>
  <r>
    <x v="67"/>
    <s v="SETTEMBRE"/>
    <x v="5"/>
    <n v="9"/>
    <s v="SETTEMBRE 2021"/>
    <x v="60"/>
    <x v="7"/>
    <s v="COSTO SOPRAVVIVENZA"/>
    <n v="42.01"/>
    <m/>
    <m/>
    <m/>
  </r>
  <r>
    <x v="63"/>
    <s v="AGOSTO"/>
    <x v="5"/>
    <n v="8"/>
    <s v="AGOSTO 2021"/>
    <x v="61"/>
    <x v="12"/>
    <s v="COSTO SVAGHI"/>
    <n v="26.59"/>
    <m/>
    <m/>
    <m/>
  </r>
  <r>
    <x v="67"/>
    <s v="AGOSTO"/>
    <x v="5"/>
    <n v="8"/>
    <s v="AGOSTO 2021"/>
    <x v="61"/>
    <x v="7"/>
    <s v="COSTO SOPRAVVIVENZA"/>
    <n v="48.52"/>
    <m/>
    <m/>
    <m/>
  </r>
  <r>
    <x v="258"/>
    <s v="AGOSTO"/>
    <x v="5"/>
    <n v="8"/>
    <s v="AGOSTO 2021"/>
    <x v="61"/>
    <x v="0"/>
    <s v="COSTO SVAGHI"/>
    <n v="12.85"/>
    <m/>
    <m/>
    <m/>
  </r>
  <r>
    <x v="140"/>
    <s v="AGOSTO"/>
    <x v="5"/>
    <n v="8"/>
    <s v="AGOSTO 2021"/>
    <x v="61"/>
    <x v="8"/>
    <s v="COSTO SFIZI"/>
    <n v="4.99"/>
    <m/>
    <m/>
    <m/>
  </r>
  <r>
    <x v="112"/>
    <s v="AGOSTO"/>
    <x v="5"/>
    <n v="8"/>
    <s v="AGOSTO 2021"/>
    <x v="61"/>
    <x v="1"/>
    <s v="COSTO CASA"/>
    <n v="23.65"/>
    <m/>
    <m/>
    <m/>
  </r>
  <r>
    <x v="112"/>
    <s v="AGOSTO"/>
    <x v="5"/>
    <n v="8"/>
    <s v="AGOSTO 2021"/>
    <x v="61"/>
    <x v="1"/>
    <s v="COSTO CASA"/>
    <n v="78.5"/>
    <m/>
    <m/>
    <m/>
  </r>
  <r>
    <x v="425"/>
    <s v="AGOSTO"/>
    <x v="5"/>
    <n v="8"/>
    <s v="AGOSTO 2021"/>
    <x v="61"/>
    <x v="8"/>
    <s v="COSTO SFIZI"/>
    <n v="51.7"/>
    <m/>
    <m/>
    <m/>
  </r>
  <r>
    <x v="2"/>
    <s v="AGOSTO"/>
    <x v="5"/>
    <n v="8"/>
    <s v="AGOSTO 2021"/>
    <x v="61"/>
    <x v="8"/>
    <s v="COSTO SFIZI"/>
    <n v="58.93"/>
    <m/>
    <s v="AMAZON"/>
    <m/>
  </r>
  <r>
    <x v="13"/>
    <s v="AGOSTO"/>
    <x v="5"/>
    <n v="8"/>
    <s v="AGOSTO 2021"/>
    <x v="61"/>
    <x v="0"/>
    <s v="COSTO SVAGHI"/>
    <n v="20"/>
    <m/>
    <m/>
    <m/>
  </r>
  <r>
    <x v="2"/>
    <s v="AGOSTO"/>
    <x v="5"/>
    <n v="8"/>
    <s v="AGOSTO 2021"/>
    <x v="61"/>
    <x v="8"/>
    <s v="COSTO SFIZI"/>
    <n v="29.9"/>
    <m/>
    <s v="AMAZON"/>
    <m/>
  </r>
  <r>
    <x v="113"/>
    <s v="AGOSTO"/>
    <x v="5"/>
    <n v="8"/>
    <s v="AGOSTO 2021"/>
    <x v="61"/>
    <x v="1"/>
    <s v="COSTO CASA"/>
    <n v="19.5"/>
    <m/>
    <m/>
    <m/>
  </r>
  <r>
    <x v="426"/>
    <s v="AGOSTO"/>
    <x v="5"/>
    <n v="8"/>
    <s v="AGOSTO 2021"/>
    <x v="61"/>
    <x v="8"/>
    <s v="COSTO SFIZI"/>
    <n v="91.7"/>
    <m/>
    <m/>
    <m/>
  </r>
  <r>
    <x v="427"/>
    <s v="AGOSTO"/>
    <x v="5"/>
    <n v="8"/>
    <s v="AGOSTO 2021"/>
    <x v="61"/>
    <x v="0"/>
    <s v="COSTO SVAGHI"/>
    <n v="5.5"/>
    <m/>
    <m/>
    <m/>
  </r>
  <r>
    <x v="6"/>
    <s v="AGOSTO"/>
    <x v="5"/>
    <n v="8"/>
    <s v="AGOSTO 2021"/>
    <x v="61"/>
    <x v="0"/>
    <s v="COSTO SVAGHI"/>
    <n v="5.0999999999999996"/>
    <m/>
    <m/>
    <m/>
  </r>
  <r>
    <x v="428"/>
    <s v="AGOSTO"/>
    <x v="5"/>
    <n v="8"/>
    <s v="AGOSTO 2021"/>
    <x v="61"/>
    <x v="20"/>
    <s v="COSTO ABBONAMENTI"/>
    <n v="7.99"/>
    <m/>
    <m/>
    <m/>
  </r>
  <r>
    <x v="2"/>
    <s v="AGOSTO"/>
    <x v="5"/>
    <n v="8"/>
    <s v="AGOSTO 2021"/>
    <x v="61"/>
    <x v="8"/>
    <s v="COSTO SFIZI"/>
    <n v="159.96"/>
    <m/>
    <s v="AMAZON"/>
    <m/>
  </r>
  <r>
    <x v="429"/>
    <s v="AGOSTO"/>
    <x v="5"/>
    <n v="8"/>
    <s v="AGOSTO 2021"/>
    <x v="61"/>
    <x v="3"/>
    <s v="COSTO MOBILITA'"/>
    <n v="0.62"/>
    <m/>
    <m/>
    <m/>
  </r>
  <r>
    <x v="430"/>
    <s v="AGOSTO"/>
    <x v="5"/>
    <n v="8"/>
    <s v="AGOSTO 2021"/>
    <x v="61"/>
    <x v="16"/>
    <s v="COSTO VACANZE"/>
    <n v="32.08"/>
    <m/>
    <m/>
    <m/>
  </r>
  <r>
    <x v="431"/>
    <s v="AGOSTO"/>
    <x v="5"/>
    <n v="8"/>
    <s v="AGOSTO 2021"/>
    <x v="61"/>
    <x v="5"/>
    <s v="COSTO VACANZE"/>
    <n v="106.5"/>
    <m/>
    <m/>
    <m/>
  </r>
  <r>
    <x v="6"/>
    <s v="AGOSTO"/>
    <x v="5"/>
    <n v="8"/>
    <s v="AGOSTO 2021"/>
    <x v="61"/>
    <x v="0"/>
    <s v="COSTO SVAGHI"/>
    <n v="4"/>
    <m/>
    <m/>
    <m/>
  </r>
  <r>
    <x v="6"/>
    <s v="LUGLIO"/>
    <x v="5"/>
    <n v="7"/>
    <s v="LUGLIO 2021"/>
    <x v="62"/>
    <x v="0"/>
    <s v="COSTO SVAGHI"/>
    <n v="4.0999999999999996"/>
    <m/>
    <m/>
    <m/>
  </r>
  <r>
    <x v="97"/>
    <s v="LUGLIO"/>
    <x v="5"/>
    <n v="7"/>
    <s v="LUGLIO 2021"/>
    <x v="62"/>
    <x v="11"/>
    <s v="COSTO SFIZI"/>
    <n v="89.9"/>
    <m/>
    <m/>
    <m/>
  </r>
  <r>
    <x v="6"/>
    <s v="LUGLIO"/>
    <x v="5"/>
    <n v="7"/>
    <s v="LUGLIO 2021"/>
    <x v="62"/>
    <x v="0"/>
    <s v="COSTO SVAGHI"/>
    <n v="5.0999999999999996"/>
    <m/>
    <m/>
    <m/>
  </r>
  <r>
    <x v="7"/>
    <s v="LUGLIO"/>
    <x v="5"/>
    <n v="7"/>
    <s v="LUGLIO 2021"/>
    <x v="62"/>
    <x v="5"/>
    <s v="COSTO VACANZE"/>
    <n v="341.27"/>
    <m/>
    <m/>
    <m/>
  </r>
  <r>
    <x v="6"/>
    <s v="LUGLIO"/>
    <x v="5"/>
    <n v="7"/>
    <s v="LUGLIO 2021"/>
    <x v="62"/>
    <x v="0"/>
    <s v="COSTO SVAGHI"/>
    <n v="5.0999999999999996"/>
    <m/>
    <m/>
    <m/>
  </r>
  <r>
    <x v="432"/>
    <s v="LUGLIO"/>
    <x v="5"/>
    <n v="7"/>
    <s v="LUGLIO 2021"/>
    <x v="62"/>
    <x v="21"/>
    <s v="COSTO SOPRAVVIVENZA"/>
    <n v="66.59"/>
    <m/>
    <m/>
    <m/>
  </r>
  <r>
    <x v="67"/>
    <s v="LUGLIO"/>
    <x v="5"/>
    <n v="7"/>
    <s v="LUGLIO 2021"/>
    <x v="62"/>
    <x v="7"/>
    <s v="COSTO SOPRAVVIVENZA"/>
    <n v="31.87"/>
    <m/>
    <m/>
    <m/>
  </r>
  <r>
    <x v="35"/>
    <s v="LUGLIO"/>
    <x v="5"/>
    <n v="7"/>
    <s v="LUGLIO 2021"/>
    <x v="62"/>
    <x v="1"/>
    <s v="COSTO CASA"/>
    <n v="55.49"/>
    <m/>
    <m/>
    <m/>
  </r>
  <r>
    <x v="421"/>
    <s v="LUGLIO"/>
    <x v="5"/>
    <n v="7"/>
    <s v="LUGLIO 2021"/>
    <x v="62"/>
    <x v="7"/>
    <s v="COSTO SOPRAVVIVENZA"/>
    <n v="68.430000000000007"/>
    <m/>
    <m/>
    <m/>
  </r>
  <r>
    <x v="433"/>
    <s v="LUGLIO"/>
    <x v="5"/>
    <n v="7"/>
    <s v="LUGLIO 2021"/>
    <x v="62"/>
    <x v="0"/>
    <s v="COSTO SVAGHI"/>
    <n v="33"/>
    <m/>
    <m/>
    <m/>
  </r>
  <r>
    <x v="2"/>
    <s v="LUGLIO"/>
    <x v="5"/>
    <n v="7"/>
    <s v="LUGLIO 2021"/>
    <x v="62"/>
    <x v="8"/>
    <s v="COSTO SFIZI"/>
    <n v="38.630000000000003"/>
    <s v="5/5"/>
    <s v="AMAZON"/>
    <s v="NEST"/>
  </r>
  <r>
    <x v="2"/>
    <s v="GIUGNO"/>
    <x v="5"/>
    <n v="6"/>
    <s v="GIUGNO 2021"/>
    <x v="63"/>
    <x v="8"/>
    <s v="COSTO SFIZI"/>
    <n v="13.3"/>
    <m/>
    <s v="AMAZON"/>
    <m/>
  </r>
  <r>
    <x v="2"/>
    <s v="GIUGNO"/>
    <x v="5"/>
    <n v="6"/>
    <s v="GIUGNO 2021"/>
    <x v="63"/>
    <x v="8"/>
    <s v="COSTO SFIZI"/>
    <n v="19.97"/>
    <m/>
    <s v="AMAZON"/>
    <m/>
  </r>
  <r>
    <x v="2"/>
    <s v="GIUGNO"/>
    <x v="5"/>
    <n v="6"/>
    <s v="GIUGNO 2021"/>
    <x v="63"/>
    <x v="8"/>
    <s v="COSTO SFIZI"/>
    <n v="15.18"/>
    <m/>
    <s v="AMAZON"/>
    <m/>
  </r>
  <r>
    <x v="427"/>
    <s v="GIUGNO"/>
    <x v="5"/>
    <n v="6"/>
    <s v="GIUGNO 2021"/>
    <x v="63"/>
    <x v="0"/>
    <s v="COSTO SVAGHI"/>
    <n v="5.5"/>
    <m/>
    <m/>
    <m/>
  </r>
  <r>
    <x v="6"/>
    <s v="GIUGNO"/>
    <x v="5"/>
    <n v="6"/>
    <s v="GIUGNO 2021"/>
    <x v="63"/>
    <x v="0"/>
    <s v="COSTO SVAGHI"/>
    <n v="4.0999999999999996"/>
    <m/>
    <m/>
    <m/>
  </r>
  <r>
    <x v="6"/>
    <s v="GIUGNO"/>
    <x v="5"/>
    <n v="6"/>
    <s v="GIUGNO 2021"/>
    <x v="63"/>
    <x v="0"/>
    <s v="COSTO SVAGHI"/>
    <n v="5.0999999999999996"/>
    <m/>
    <m/>
    <m/>
  </r>
  <r>
    <x v="6"/>
    <s v="GIUGNO"/>
    <x v="5"/>
    <n v="6"/>
    <s v="GIUGNO 2021"/>
    <x v="63"/>
    <x v="0"/>
    <s v="COSTO SVAGHI"/>
    <n v="4.0999999999999996"/>
    <m/>
    <m/>
    <m/>
  </r>
  <r>
    <x v="434"/>
    <s v="GIUGNO"/>
    <x v="5"/>
    <n v="6"/>
    <s v="GIUGNO 2021"/>
    <x v="63"/>
    <x v="0"/>
    <s v="COSTO SVAGHI"/>
    <n v="31.5"/>
    <m/>
    <m/>
    <m/>
  </r>
  <r>
    <x v="435"/>
    <s v="GIUGNO"/>
    <x v="5"/>
    <n v="6"/>
    <s v="GIUGNO 2021"/>
    <x v="63"/>
    <x v="1"/>
    <s v="COSTO CASA"/>
    <n v="33.9"/>
    <m/>
    <m/>
    <m/>
  </r>
  <r>
    <x v="6"/>
    <s v="GIUGNO"/>
    <x v="5"/>
    <n v="6"/>
    <s v="GIUGNO 2021"/>
    <x v="63"/>
    <x v="14"/>
    <s v="COSTO SOPRAVVIVENZA"/>
    <n v="5"/>
    <m/>
    <m/>
    <m/>
  </r>
  <r>
    <x v="435"/>
    <s v="GIUGNO"/>
    <x v="5"/>
    <n v="6"/>
    <s v="GIUGNO 2021"/>
    <x v="63"/>
    <x v="1"/>
    <s v="COSTO CASA"/>
    <n v="18.899999999999999"/>
    <m/>
    <m/>
    <m/>
  </r>
  <r>
    <x v="435"/>
    <s v="GIUGNO"/>
    <x v="5"/>
    <n v="6"/>
    <s v="GIUGNO 2021"/>
    <x v="63"/>
    <x v="1"/>
    <s v="COSTO CASA"/>
    <n v="11.9"/>
    <m/>
    <m/>
    <m/>
  </r>
  <r>
    <x v="435"/>
    <s v="GIUGNO"/>
    <x v="5"/>
    <n v="6"/>
    <s v="GIUGNO 2021"/>
    <x v="63"/>
    <x v="1"/>
    <s v="COSTO CASA"/>
    <n v="16.2"/>
    <m/>
    <m/>
    <m/>
  </r>
  <r>
    <x v="435"/>
    <s v="GIUGNO"/>
    <x v="5"/>
    <n v="6"/>
    <s v="GIUGNO 2021"/>
    <x v="63"/>
    <x v="1"/>
    <s v="COSTO CASA"/>
    <n v="57"/>
    <m/>
    <m/>
    <m/>
  </r>
  <r>
    <x v="436"/>
    <s v="GIUGNO"/>
    <x v="5"/>
    <n v="6"/>
    <s v="GIUGNO 2021"/>
    <x v="63"/>
    <x v="0"/>
    <s v="COSTO SVAGHI"/>
    <n v="69.599999999999994"/>
    <m/>
    <m/>
    <m/>
  </r>
  <r>
    <x v="2"/>
    <s v="GIUGNO"/>
    <x v="5"/>
    <n v="6"/>
    <s v="GIUGNO 2021"/>
    <x v="63"/>
    <x v="8"/>
    <s v="COSTO SFIZI"/>
    <n v="59.99"/>
    <m/>
    <s v="AMAZON"/>
    <m/>
  </r>
  <r>
    <x v="2"/>
    <s v="GIUGNO"/>
    <x v="5"/>
    <n v="6"/>
    <s v="GIUGNO 2021"/>
    <x v="63"/>
    <x v="8"/>
    <s v="COSTO SFIZI"/>
    <n v="21.26"/>
    <m/>
    <s v="AMAZON"/>
    <m/>
  </r>
  <r>
    <x v="2"/>
    <s v="GIUGNO"/>
    <x v="5"/>
    <n v="6"/>
    <s v="GIUGNO 2021"/>
    <x v="63"/>
    <x v="8"/>
    <s v="COSTO SFIZI"/>
    <n v="38.630000000000003"/>
    <s v="4/5"/>
    <s v="AMAZON"/>
    <s v="NEST"/>
  </r>
  <r>
    <x v="2"/>
    <s v="GIUGNO"/>
    <x v="5"/>
    <n v="6"/>
    <s v="GIUGNO 2021"/>
    <x v="63"/>
    <x v="8"/>
    <s v="COSTO SFIZI"/>
    <n v="28.99"/>
    <m/>
    <s v="AMAZON"/>
    <m/>
  </r>
  <r>
    <x v="420"/>
    <s v="GIUGNO"/>
    <x v="5"/>
    <n v="6"/>
    <s v="GIUGNO 2021"/>
    <x v="63"/>
    <x v="8"/>
    <s v="COSTO SFIZI"/>
    <n v="20.8"/>
    <m/>
    <m/>
    <m/>
  </r>
  <r>
    <x v="436"/>
    <s v="GIUGNO"/>
    <x v="5"/>
    <n v="6"/>
    <s v="GIUGNO 2021"/>
    <x v="63"/>
    <x v="0"/>
    <s v="COSTO SVAGHI"/>
    <n v="18.3"/>
    <m/>
    <m/>
    <m/>
  </r>
  <r>
    <x v="223"/>
    <s v="GIUGNO"/>
    <x v="5"/>
    <n v="6"/>
    <s v="GIUGNO 2021"/>
    <x v="63"/>
    <x v="16"/>
    <s v="COSTO VACANZE"/>
    <n v="66.48"/>
    <m/>
    <m/>
    <m/>
  </r>
  <r>
    <x v="2"/>
    <s v="GIUGNO"/>
    <x v="5"/>
    <n v="6"/>
    <s v="GIUGNO 2021"/>
    <x v="63"/>
    <x v="8"/>
    <s v="COSTO SFIZI"/>
    <n v="38"/>
    <m/>
    <s v="AMAZON"/>
    <m/>
  </r>
  <r>
    <x v="144"/>
    <s v="MAGGIO"/>
    <x v="5"/>
    <n v="5"/>
    <s v="MAGGIO 2021"/>
    <x v="64"/>
    <x v="23"/>
    <s v="COSTO SFIZI"/>
    <n v="136.85"/>
    <m/>
    <m/>
    <m/>
  </r>
  <r>
    <x v="67"/>
    <s v="MAGGIO"/>
    <x v="5"/>
    <n v="5"/>
    <s v="MAGGIO 2021"/>
    <x v="64"/>
    <x v="7"/>
    <s v="COSTO SOPRAVVIVENZA"/>
    <n v="34.49"/>
    <m/>
    <m/>
    <m/>
  </r>
  <r>
    <x v="53"/>
    <s v="MAGGIO"/>
    <x v="5"/>
    <n v="5"/>
    <s v="MAGGIO 2021"/>
    <x v="64"/>
    <x v="1"/>
    <s v="COSTO CASA"/>
    <n v="50.95"/>
    <m/>
    <m/>
    <m/>
  </r>
  <r>
    <x v="437"/>
    <s v="MAGGIO"/>
    <x v="5"/>
    <n v="5"/>
    <s v="MAGGIO 2021"/>
    <x v="64"/>
    <x v="0"/>
    <s v="COSTO SVAGHI"/>
    <n v="200"/>
    <m/>
    <m/>
    <m/>
  </r>
  <r>
    <x v="113"/>
    <s v="MAGGIO"/>
    <x v="5"/>
    <n v="5"/>
    <s v="MAGGIO 2021"/>
    <x v="64"/>
    <x v="1"/>
    <s v="COSTO CASA"/>
    <n v="71.849999999999994"/>
    <m/>
    <m/>
    <m/>
  </r>
  <r>
    <x v="35"/>
    <s v="MAGGIO"/>
    <x v="5"/>
    <n v="5"/>
    <s v="MAGGIO 2021"/>
    <x v="64"/>
    <x v="1"/>
    <s v="COSTO CASA"/>
    <n v="24.99"/>
    <m/>
    <m/>
    <m/>
  </r>
  <r>
    <x v="438"/>
    <s v="MAGGIO"/>
    <x v="5"/>
    <n v="5"/>
    <s v="MAGGIO 2021"/>
    <x v="64"/>
    <x v="8"/>
    <s v="COSTO SFIZI"/>
    <n v="150"/>
    <m/>
    <m/>
    <m/>
  </r>
  <r>
    <x v="2"/>
    <s v="MAGGIO"/>
    <x v="5"/>
    <n v="5"/>
    <s v="MAGGIO 2021"/>
    <x v="64"/>
    <x v="8"/>
    <s v="COSTO SFIZI"/>
    <n v="38.630000000000003"/>
    <s v="3/5"/>
    <s v="AMAZON"/>
    <s v="NEST"/>
  </r>
  <r>
    <x v="2"/>
    <s v="MAGGIO"/>
    <x v="5"/>
    <n v="5"/>
    <s v="MAGGIO 2021"/>
    <x v="64"/>
    <x v="8"/>
    <s v="COSTO SFIZI"/>
    <n v="27.45"/>
    <m/>
    <s v="AMAZON"/>
    <m/>
  </r>
  <r>
    <x v="2"/>
    <s v="MAGGIO"/>
    <x v="5"/>
    <n v="5"/>
    <s v="MAGGIO 2021"/>
    <x v="64"/>
    <x v="8"/>
    <s v="COSTO SFIZI"/>
    <n v="38"/>
    <m/>
    <s v="AMAZON"/>
    <m/>
  </r>
  <r>
    <x v="223"/>
    <s v="MAGGIO"/>
    <x v="5"/>
    <n v="5"/>
    <s v="MAGGIO 2021"/>
    <x v="64"/>
    <x v="16"/>
    <s v="COSTO VACANZE"/>
    <n v="132.76"/>
    <m/>
    <m/>
    <m/>
  </r>
  <r>
    <x v="439"/>
    <s v="MAGGIO"/>
    <x v="5"/>
    <n v="5"/>
    <s v="MAGGIO 2021"/>
    <x v="64"/>
    <x v="1"/>
    <s v="COSTO CASA"/>
    <n v="132"/>
    <m/>
    <m/>
    <m/>
  </r>
  <r>
    <x v="440"/>
    <s v="APRILE"/>
    <x v="5"/>
    <n v="4"/>
    <s v="APRILE 2021"/>
    <x v="65"/>
    <x v="25"/>
    <s v="COSTO CASA"/>
    <n v="207.33"/>
    <m/>
    <m/>
    <m/>
  </r>
  <r>
    <x v="240"/>
    <s v="APRILE"/>
    <x v="5"/>
    <n v="4"/>
    <s v="APRILE 2021"/>
    <x v="65"/>
    <x v="1"/>
    <s v="COSTO CASA"/>
    <n v="91.73"/>
    <m/>
    <m/>
    <m/>
  </r>
  <r>
    <x v="6"/>
    <s v="APRILE"/>
    <x v="5"/>
    <n v="4"/>
    <s v="APRILE 2021"/>
    <x v="65"/>
    <x v="0"/>
    <s v="COSTO SVAGHI"/>
    <n v="10.1"/>
    <m/>
    <m/>
    <m/>
  </r>
  <r>
    <x v="2"/>
    <s v="APRILE"/>
    <x v="5"/>
    <n v="4"/>
    <s v="APRILE 2021"/>
    <x v="65"/>
    <x v="8"/>
    <s v="COSTO SFIZI"/>
    <n v="39.99"/>
    <m/>
    <s v="AMAZON"/>
    <m/>
  </r>
  <r>
    <x v="436"/>
    <s v="APRILE"/>
    <x v="5"/>
    <n v="4"/>
    <s v="APRILE 2021"/>
    <x v="65"/>
    <x v="0"/>
    <s v="COSTO SVAGHI"/>
    <n v="12"/>
    <m/>
    <m/>
    <m/>
  </r>
  <r>
    <x v="145"/>
    <s v="APRILE"/>
    <x v="5"/>
    <n v="4"/>
    <s v="APRILE 2021"/>
    <x v="65"/>
    <x v="1"/>
    <s v="COSTO CASA"/>
    <n v="19.989999999999998"/>
    <m/>
    <m/>
    <m/>
  </r>
  <r>
    <x v="2"/>
    <s v="APRILE"/>
    <x v="5"/>
    <n v="4"/>
    <s v="APRILE 2021"/>
    <x v="65"/>
    <x v="8"/>
    <s v="COSTO SFIZI"/>
    <n v="34.99"/>
    <m/>
    <s v="AMAZON"/>
    <m/>
  </r>
  <r>
    <x v="12"/>
    <s v="APRILE"/>
    <x v="5"/>
    <n v="4"/>
    <s v="APRILE 2021"/>
    <x v="65"/>
    <x v="7"/>
    <s v="COSTO SOPRAVVIVENZA"/>
    <n v="79"/>
    <m/>
    <m/>
    <m/>
  </r>
  <r>
    <x v="427"/>
    <s v="APRILE"/>
    <x v="5"/>
    <n v="4"/>
    <s v="APRILE 2021"/>
    <x v="65"/>
    <x v="0"/>
    <s v="COSTO SVAGHI"/>
    <n v="4"/>
    <m/>
    <m/>
    <m/>
  </r>
  <r>
    <x v="6"/>
    <s v="APRILE"/>
    <x v="5"/>
    <n v="4"/>
    <s v="APRILE 2021"/>
    <x v="65"/>
    <x v="0"/>
    <s v="COSTO SVAGHI"/>
    <n v="5.0999999999999996"/>
    <m/>
    <m/>
    <m/>
  </r>
  <r>
    <x v="6"/>
    <s v="APRILE"/>
    <x v="5"/>
    <n v="4"/>
    <s v="APRILE 2021"/>
    <x v="65"/>
    <x v="0"/>
    <s v="COSTO SVAGHI"/>
    <n v="5.0999999999999996"/>
    <m/>
    <m/>
    <m/>
  </r>
  <r>
    <x v="67"/>
    <s v="APRILE"/>
    <x v="5"/>
    <n v="4"/>
    <s v="APRILE 2021"/>
    <x v="65"/>
    <x v="7"/>
    <s v="COSTO SOPRAVVIVENZA"/>
    <n v="79.16"/>
    <m/>
    <m/>
    <m/>
  </r>
  <r>
    <x v="67"/>
    <s v="APRILE"/>
    <x v="5"/>
    <n v="4"/>
    <s v="APRILE 2021"/>
    <x v="65"/>
    <x v="7"/>
    <s v="COSTO SOPRAVVIVENZA"/>
    <n v="34.36"/>
    <m/>
    <m/>
    <m/>
  </r>
  <r>
    <x v="441"/>
    <s v="APRILE"/>
    <x v="5"/>
    <n v="4"/>
    <s v="APRILE 2021"/>
    <x v="65"/>
    <x v="0"/>
    <s v="COSTO SVAGHI"/>
    <n v="39"/>
    <m/>
    <m/>
    <m/>
  </r>
  <r>
    <x v="6"/>
    <s v="APRILE"/>
    <x v="5"/>
    <n v="4"/>
    <s v="APRILE 2021"/>
    <x v="65"/>
    <x v="0"/>
    <s v="COSTO SVAGHI"/>
    <n v="24.1"/>
    <m/>
    <m/>
    <m/>
  </r>
  <r>
    <x v="421"/>
    <s v="APRILE"/>
    <x v="5"/>
    <n v="4"/>
    <s v="APRILE 2021"/>
    <x v="65"/>
    <x v="7"/>
    <s v="COSTO SOPRAVVIVENZA"/>
    <n v="38.119999999999997"/>
    <m/>
    <m/>
    <m/>
  </r>
  <r>
    <x v="2"/>
    <s v="APRILE"/>
    <x v="5"/>
    <n v="4"/>
    <s v="APRILE 2021"/>
    <x v="65"/>
    <x v="8"/>
    <s v="COSTO SFIZI"/>
    <n v="38.630000000000003"/>
    <s v="2/5"/>
    <s v="AMAZON"/>
    <s v="NEST"/>
  </r>
  <r>
    <x v="6"/>
    <s v="APRILE"/>
    <x v="5"/>
    <n v="4"/>
    <s v="APRILE 2021"/>
    <x v="65"/>
    <x v="0"/>
    <s v="COSTO SVAGHI"/>
    <n v="5.0999999999999996"/>
    <m/>
    <m/>
    <m/>
  </r>
  <r>
    <x v="2"/>
    <s v="APRILE"/>
    <x v="5"/>
    <n v="4"/>
    <s v="APRILE 2021"/>
    <x v="65"/>
    <x v="8"/>
    <s v="COSTO SFIZI"/>
    <n v="97.96"/>
    <m/>
    <s v="AMAZON"/>
    <m/>
  </r>
  <r>
    <x v="427"/>
    <s v="APRILE"/>
    <x v="5"/>
    <n v="4"/>
    <s v="APRILE 2021"/>
    <x v="65"/>
    <x v="0"/>
    <s v="COSTO SVAGHI"/>
    <n v="11"/>
    <m/>
    <m/>
    <m/>
  </r>
  <r>
    <x v="2"/>
    <s v="APRILE"/>
    <x v="5"/>
    <n v="4"/>
    <s v="APRILE 2021"/>
    <x v="65"/>
    <x v="8"/>
    <s v="COSTO SFIZI"/>
    <n v="32"/>
    <m/>
    <s v="AMAZON"/>
    <m/>
  </r>
  <r>
    <x v="2"/>
    <s v="APRILE"/>
    <x v="5"/>
    <n v="4"/>
    <s v="APRILE 2021"/>
    <x v="65"/>
    <x v="8"/>
    <s v="COSTO SFIZI"/>
    <n v="18.23"/>
    <m/>
    <s v="AMAZON"/>
    <m/>
  </r>
  <r>
    <x v="6"/>
    <s v="MARZO"/>
    <x v="5"/>
    <n v="3"/>
    <s v="MARZO 2021"/>
    <x v="66"/>
    <x v="0"/>
    <s v="COSTO SVAGHI"/>
    <n v="5.0999999999999996"/>
    <m/>
    <m/>
    <m/>
  </r>
  <r>
    <x v="400"/>
    <s v="MARZO"/>
    <x v="5"/>
    <n v="3"/>
    <s v="MARZO 2021"/>
    <x v="66"/>
    <x v="6"/>
    <s v="COSTO SOPRAVVIVENZA"/>
    <n v="105"/>
    <m/>
    <m/>
    <m/>
  </r>
  <r>
    <x v="6"/>
    <s v="MARZO"/>
    <x v="5"/>
    <n v="3"/>
    <s v="MARZO 2021"/>
    <x v="66"/>
    <x v="0"/>
    <s v="COSTO SVAGHI"/>
    <n v="5.0999999999999996"/>
    <m/>
    <m/>
    <m/>
  </r>
  <r>
    <x v="225"/>
    <s v="MARZO"/>
    <x v="5"/>
    <n v="3"/>
    <s v="MARZO 2021"/>
    <x v="66"/>
    <x v="11"/>
    <s v="COSTO SFIZI"/>
    <n v="54.99"/>
    <m/>
    <m/>
    <m/>
  </r>
  <r>
    <x v="436"/>
    <s v="MARZO"/>
    <x v="5"/>
    <n v="3"/>
    <s v="MARZO 2021"/>
    <x v="66"/>
    <x v="0"/>
    <s v="COSTO SVAGHI"/>
    <n v="15.3"/>
    <m/>
    <m/>
    <m/>
  </r>
  <r>
    <x v="6"/>
    <s v="MARZO"/>
    <x v="5"/>
    <n v="3"/>
    <s v="MARZO 2021"/>
    <x v="66"/>
    <x v="0"/>
    <s v="COSTO SVAGHI"/>
    <n v="4.0999999999999996"/>
    <m/>
    <m/>
    <m/>
  </r>
  <r>
    <x v="2"/>
    <s v="MARZO"/>
    <x v="5"/>
    <n v="3"/>
    <s v="MARZO 2021"/>
    <x v="66"/>
    <x v="8"/>
    <s v="COSTO SFIZI"/>
    <n v="93"/>
    <m/>
    <s v="AMAZON"/>
    <m/>
  </r>
  <r>
    <x v="2"/>
    <s v="MARZO"/>
    <x v="5"/>
    <n v="3"/>
    <s v="MARZO 2021"/>
    <x v="66"/>
    <x v="8"/>
    <s v="COSTO SFIZI"/>
    <n v="40.380000000000003"/>
    <m/>
    <s v="AMAZON"/>
    <m/>
  </r>
  <r>
    <x v="41"/>
    <s v="MARZO"/>
    <x v="5"/>
    <n v="3"/>
    <s v="MARZO 2021"/>
    <x v="66"/>
    <x v="3"/>
    <s v="COSTO MOBILITA'"/>
    <n v="1.7"/>
    <m/>
    <m/>
    <m/>
  </r>
  <r>
    <x v="41"/>
    <s v="MARZO"/>
    <x v="5"/>
    <n v="3"/>
    <s v="MARZO 2021"/>
    <x v="66"/>
    <x v="3"/>
    <s v="COSTO MOBILITA'"/>
    <n v="1.7"/>
    <m/>
    <m/>
    <m/>
  </r>
  <r>
    <x v="53"/>
    <s v="MARZO"/>
    <x v="5"/>
    <n v="3"/>
    <s v="MARZO 2021"/>
    <x v="66"/>
    <x v="1"/>
    <s v="COSTO CASA"/>
    <n v="20"/>
    <m/>
    <m/>
    <m/>
  </r>
  <r>
    <x v="2"/>
    <s v="MARZO"/>
    <x v="5"/>
    <n v="3"/>
    <s v="MARZO 2021"/>
    <x v="66"/>
    <x v="8"/>
    <s v="COSTO SFIZI"/>
    <n v="56.91"/>
    <m/>
    <s v="AMAZON"/>
    <m/>
  </r>
  <r>
    <x v="441"/>
    <s v="MARZO"/>
    <x v="5"/>
    <n v="3"/>
    <s v="MARZO 2021"/>
    <x v="66"/>
    <x v="0"/>
    <s v="COSTO SVAGHI"/>
    <n v="46.4"/>
    <m/>
    <m/>
    <m/>
  </r>
  <r>
    <x v="21"/>
    <s v="MARZO"/>
    <x v="5"/>
    <n v="3"/>
    <s v="MARZO 2021"/>
    <x v="66"/>
    <x v="9"/>
    <s v="COSTO MOBILITA'"/>
    <n v="32"/>
    <m/>
    <m/>
    <m/>
  </r>
  <r>
    <x v="53"/>
    <s v="MARZO"/>
    <x v="5"/>
    <n v="3"/>
    <s v="MARZO 2021"/>
    <x v="66"/>
    <x v="1"/>
    <s v="COSTO CASA"/>
    <n v="30"/>
    <m/>
    <m/>
    <m/>
  </r>
  <r>
    <x v="2"/>
    <s v="MARZO"/>
    <x v="5"/>
    <n v="3"/>
    <s v="MARZO 2021"/>
    <x v="66"/>
    <x v="8"/>
    <s v="COSTO SFIZI"/>
    <n v="38.630000000000003"/>
    <s v="1/5"/>
    <s v="AMAZON"/>
    <s v="NEST"/>
  </r>
  <r>
    <x v="2"/>
    <s v="MARZO"/>
    <x v="5"/>
    <n v="3"/>
    <s v="MARZO 2021"/>
    <x v="66"/>
    <x v="8"/>
    <s v="COSTO SFIZI"/>
    <n v="9.02"/>
    <m/>
    <s v="AMAZON"/>
    <m/>
  </r>
  <r>
    <x v="2"/>
    <s v="MARZO"/>
    <x v="5"/>
    <n v="3"/>
    <s v="MARZO 2021"/>
    <x v="66"/>
    <x v="8"/>
    <s v="COSTO SFIZI"/>
    <n v="5.3"/>
    <m/>
    <s v="AMAZON"/>
    <m/>
  </r>
  <r>
    <x v="2"/>
    <s v="MARZO"/>
    <x v="5"/>
    <n v="3"/>
    <s v="MARZO 2021"/>
    <x v="66"/>
    <x v="8"/>
    <s v="COSTO SFIZI"/>
    <n v="5.3"/>
    <m/>
    <s v="AMAZON"/>
    <m/>
  </r>
  <r>
    <x v="2"/>
    <s v="MARZO"/>
    <x v="5"/>
    <n v="3"/>
    <s v="MARZO 2021"/>
    <x v="66"/>
    <x v="8"/>
    <s v="COSTO SFIZI"/>
    <n v="3.8"/>
    <m/>
    <s v="AMAZON"/>
    <m/>
  </r>
  <r>
    <x v="2"/>
    <s v="MARZO"/>
    <x v="5"/>
    <n v="3"/>
    <s v="MARZO 2021"/>
    <x v="66"/>
    <x v="8"/>
    <s v="COSTO SFIZI"/>
    <n v="66.5"/>
    <m/>
    <s v="AMAZON"/>
    <m/>
  </r>
  <r>
    <x v="113"/>
    <s v="FEBBRAIO"/>
    <x v="5"/>
    <n v="2"/>
    <s v="FEBBRAIO 2021"/>
    <x v="67"/>
    <x v="1"/>
    <s v="COSTO CASA"/>
    <n v="44.65"/>
    <m/>
    <m/>
    <m/>
  </r>
  <r>
    <x v="2"/>
    <s v="FEBBRAIO"/>
    <x v="5"/>
    <n v="2"/>
    <s v="FEBBRAIO 2021"/>
    <x v="67"/>
    <x v="8"/>
    <s v="COSTO SFIZI"/>
    <n v="39.409999999999997"/>
    <m/>
    <s v="AMAZON"/>
    <m/>
  </r>
  <r>
    <x v="2"/>
    <s v="FEBBRAIO"/>
    <x v="5"/>
    <n v="2"/>
    <s v="FEBBRAIO 2021"/>
    <x v="67"/>
    <x v="8"/>
    <s v="COSTO SFIZI"/>
    <n v="53.34"/>
    <m/>
    <s v="AMAZON"/>
    <m/>
  </r>
  <r>
    <x v="2"/>
    <s v="FEBBRAIO"/>
    <x v="5"/>
    <n v="2"/>
    <s v="FEBBRAIO 2021"/>
    <x v="67"/>
    <x v="10"/>
    <s v="COSTO SFIZI"/>
    <n v="17.18"/>
    <s v="5/5"/>
    <s v="AMAZON"/>
    <s v="Moulinex Matrimonio Cugina Angela"/>
  </r>
  <r>
    <x v="2"/>
    <s v="FEBBRAIO"/>
    <x v="5"/>
    <n v="2"/>
    <s v="FEBBRAIO 2021"/>
    <x v="67"/>
    <x v="10"/>
    <s v="COSTO SFIZI"/>
    <n v="99.8"/>
    <s v="5/5"/>
    <s v="AMAZON"/>
    <s v="Moulinex Matrimonio Cugina Angela"/>
  </r>
  <r>
    <x v="400"/>
    <s v="FEBBRAIO"/>
    <x v="5"/>
    <n v="2"/>
    <s v="FEBBRAIO 2021"/>
    <x v="67"/>
    <x v="6"/>
    <s v="COSTO SOPRAVVIVENZA"/>
    <n v="105"/>
    <m/>
    <m/>
    <m/>
  </r>
  <r>
    <x v="53"/>
    <s v="FEBBRAIO"/>
    <x v="5"/>
    <n v="2"/>
    <s v="FEBBRAIO 2021"/>
    <x v="67"/>
    <x v="1"/>
    <s v="COSTO CASA"/>
    <n v="45"/>
    <m/>
    <m/>
    <m/>
  </r>
  <r>
    <x v="67"/>
    <s v="FEBBRAIO"/>
    <x v="5"/>
    <n v="2"/>
    <s v="FEBBRAIO 2021"/>
    <x v="67"/>
    <x v="7"/>
    <s v="COSTO SOPRAVVIVENZA"/>
    <n v="84.57"/>
    <m/>
    <m/>
    <m/>
  </r>
  <r>
    <x v="435"/>
    <s v="FEBBRAIO"/>
    <x v="5"/>
    <n v="2"/>
    <s v="FEBBRAIO 2021"/>
    <x v="67"/>
    <x v="1"/>
    <s v="COSTO CASA"/>
    <n v="7.7"/>
    <m/>
    <m/>
    <m/>
  </r>
  <r>
    <x v="2"/>
    <s v="FEBBRAIO"/>
    <x v="5"/>
    <n v="2"/>
    <s v="FEBBRAIO 2021"/>
    <x v="67"/>
    <x v="8"/>
    <s v="COSTO SFIZI"/>
    <n v="139.9"/>
    <m/>
    <s v="AMAZON"/>
    <m/>
  </r>
  <r>
    <x v="6"/>
    <s v="FEBBRAIO"/>
    <x v="5"/>
    <n v="2"/>
    <s v="FEBBRAIO 2021"/>
    <x v="67"/>
    <x v="0"/>
    <s v="COSTO SVAGHI"/>
    <n v="5.0999999999999996"/>
    <m/>
    <m/>
    <m/>
  </r>
  <r>
    <x v="442"/>
    <s v="GENNAIO"/>
    <x v="5"/>
    <n v="1"/>
    <s v="GENNAIO 2021"/>
    <x v="68"/>
    <x v="25"/>
    <s v="COSTO CASA"/>
    <n v="-99.7"/>
    <m/>
    <m/>
    <m/>
  </r>
  <r>
    <x v="6"/>
    <s v="GENNAIO"/>
    <x v="5"/>
    <n v="1"/>
    <s v="GENNAIO 2021"/>
    <x v="68"/>
    <x v="0"/>
    <s v="COSTO SVAGHI"/>
    <n v="5.0999999999999996"/>
    <m/>
    <m/>
    <m/>
  </r>
  <r>
    <x v="443"/>
    <s v="GENNAIO"/>
    <x v="5"/>
    <n v="1"/>
    <s v="GENNAIO 2021"/>
    <x v="68"/>
    <x v="25"/>
    <s v="COSTO CASA"/>
    <n v="119.6"/>
    <m/>
    <m/>
    <m/>
  </r>
  <r>
    <x v="443"/>
    <s v="GENNAIO"/>
    <x v="5"/>
    <n v="1"/>
    <s v="GENNAIO 2021"/>
    <x v="68"/>
    <x v="25"/>
    <s v="COSTO CASA"/>
    <n v="59"/>
    <m/>
    <m/>
    <m/>
  </r>
  <r>
    <x v="6"/>
    <s v="GENNAIO"/>
    <x v="5"/>
    <n v="1"/>
    <s v="GENNAIO 2021"/>
    <x v="68"/>
    <x v="0"/>
    <s v="COSTO SVAGHI"/>
    <n v="5.0999999999999996"/>
    <m/>
    <m/>
    <m/>
  </r>
  <r>
    <x v="442"/>
    <s v="GENNAIO"/>
    <x v="5"/>
    <n v="1"/>
    <s v="GENNAIO 2021"/>
    <x v="68"/>
    <x v="25"/>
    <s v="COSTO CASA"/>
    <n v="99.7"/>
    <m/>
    <m/>
    <m/>
  </r>
  <r>
    <x v="2"/>
    <s v="GENNAIO"/>
    <x v="5"/>
    <n v="1"/>
    <s v="GENNAIO 2021"/>
    <x v="68"/>
    <x v="8"/>
    <s v="COSTO SFIZI"/>
    <n v="45"/>
    <m/>
    <s v="AMAZON"/>
    <m/>
  </r>
  <r>
    <x v="435"/>
    <s v="GENNAIO"/>
    <x v="5"/>
    <n v="1"/>
    <s v="GENNAIO 2021"/>
    <x v="68"/>
    <x v="1"/>
    <s v="COSTO CASA"/>
    <n v="25.6"/>
    <m/>
    <m/>
    <m/>
  </r>
  <r>
    <x v="53"/>
    <s v="GENNAIO"/>
    <x v="5"/>
    <n v="1"/>
    <s v="GENNAIO 2021"/>
    <x v="68"/>
    <x v="1"/>
    <s v="COSTO CASA"/>
    <n v="6"/>
    <m/>
    <m/>
    <m/>
  </r>
  <r>
    <x v="67"/>
    <s v="GENNAIO"/>
    <x v="5"/>
    <n v="1"/>
    <s v="GENNAIO 2021"/>
    <x v="68"/>
    <x v="7"/>
    <s v="COSTO SOPRAVVIVENZA"/>
    <n v="28.4"/>
    <m/>
    <m/>
    <m/>
  </r>
  <r>
    <x v="2"/>
    <s v="GENNAIO"/>
    <x v="5"/>
    <n v="1"/>
    <s v="GENNAIO 2021"/>
    <x v="68"/>
    <x v="8"/>
    <s v="COSTO SFIZI"/>
    <n v="107.22"/>
    <m/>
    <s v="AMAZON"/>
    <m/>
  </r>
  <r>
    <x v="444"/>
    <s v="GENNAIO"/>
    <x v="5"/>
    <n v="1"/>
    <s v="GENNAIO 2021"/>
    <x v="68"/>
    <x v="1"/>
    <s v="COSTO CASA"/>
    <n v="32"/>
    <m/>
    <m/>
    <m/>
  </r>
  <r>
    <x v="2"/>
    <s v="GENNAIO"/>
    <x v="5"/>
    <n v="1"/>
    <s v="GENNAIO 2021"/>
    <x v="68"/>
    <x v="10"/>
    <s v="COSTO SFIZI"/>
    <n v="17.2"/>
    <s v="4/5"/>
    <s v="AMAZON"/>
    <s v="Moulinex Matrimonio Cugina Angela"/>
  </r>
  <r>
    <x v="2"/>
    <s v="GENNAIO"/>
    <x v="5"/>
    <n v="1"/>
    <s v="GENNAIO 2021"/>
    <x v="68"/>
    <x v="10"/>
    <s v="COSTO SFIZI"/>
    <n v="99.8"/>
    <s v="4/5"/>
    <s v="AMAZON"/>
    <s v="Moulinex Matrimonio Cugina Angela"/>
  </r>
  <r>
    <x v="35"/>
    <s v="GENNAIO"/>
    <x v="5"/>
    <n v="1"/>
    <s v="GENNAIO 2021"/>
    <x v="68"/>
    <x v="1"/>
    <s v="COSTO CASA"/>
    <n v="26.1"/>
    <m/>
    <m/>
    <m/>
  </r>
  <r>
    <x v="67"/>
    <s v="GENNAIO"/>
    <x v="5"/>
    <n v="1"/>
    <s v="GENNAIO 2021"/>
    <x v="68"/>
    <x v="7"/>
    <s v="COSTO SOPRAVVIVENZA"/>
    <n v="28.84"/>
    <m/>
    <m/>
    <m/>
  </r>
  <r>
    <x v="35"/>
    <s v="GENNAIO"/>
    <x v="5"/>
    <n v="1"/>
    <s v="GENNAIO 2021"/>
    <x v="68"/>
    <x v="1"/>
    <s v="COSTO CASA"/>
    <n v="11.5"/>
    <m/>
    <m/>
    <m/>
  </r>
  <r>
    <x v="445"/>
    <s v="GENNAIO"/>
    <x v="5"/>
    <n v="1"/>
    <s v="GENNAIO 2021"/>
    <x v="68"/>
    <x v="22"/>
    <s v="COSTO SFIZI"/>
    <n v="8.24"/>
    <m/>
    <m/>
    <m/>
  </r>
  <r>
    <x v="113"/>
    <s v="GENNAIO"/>
    <x v="5"/>
    <n v="1"/>
    <s v="GENNAIO 2021"/>
    <x v="68"/>
    <x v="1"/>
    <s v="COSTO CASA"/>
    <n v="9.4"/>
    <m/>
    <m/>
    <m/>
  </r>
  <r>
    <x v="446"/>
    <s v="GENNAIO"/>
    <x v="5"/>
    <n v="1"/>
    <s v="GENNAIO 2021"/>
    <x v="68"/>
    <x v="1"/>
    <s v="COSTO CASA"/>
    <n v="10.97"/>
    <m/>
    <m/>
    <m/>
  </r>
  <r>
    <x v="67"/>
    <s v="GENNAIO"/>
    <x v="5"/>
    <n v="1"/>
    <s v="GENNAIO 2021"/>
    <x v="68"/>
    <x v="7"/>
    <s v="COSTO SOPRAVVIVENZA"/>
    <n v="68.38"/>
    <m/>
    <m/>
    <m/>
  </r>
  <r>
    <x v="6"/>
    <s v="DICEMBRE"/>
    <x v="6"/>
    <n v="12"/>
    <s v="DICEMBRE 2020"/>
    <x v="69"/>
    <x v="0"/>
    <s v="COSTO SVAGHI"/>
    <n v="10.199999999999999"/>
    <m/>
    <m/>
    <m/>
  </r>
  <r>
    <x v="6"/>
    <s v="DICEMBRE"/>
    <x v="6"/>
    <n v="12"/>
    <s v="DICEMBRE 2020"/>
    <x v="69"/>
    <x v="0"/>
    <s v="COSTO SVAGHI"/>
    <n v="14.3"/>
    <m/>
    <m/>
    <m/>
  </r>
  <r>
    <x v="199"/>
    <s v="DICEMBRE"/>
    <x v="6"/>
    <n v="12"/>
    <s v="DICEMBRE 2020"/>
    <x v="69"/>
    <x v="0"/>
    <s v="COSTO SVAGHI"/>
    <n v="126"/>
    <m/>
    <m/>
    <m/>
  </r>
  <r>
    <x v="67"/>
    <s v="DICEMBRE"/>
    <x v="6"/>
    <n v="12"/>
    <s v="DICEMBRE 2020"/>
    <x v="69"/>
    <x v="7"/>
    <s v="COSTO SOPRAVVIVENZA"/>
    <n v="8.8000000000000007"/>
    <m/>
    <m/>
    <m/>
  </r>
  <r>
    <x v="67"/>
    <s v="DICEMBRE"/>
    <x v="6"/>
    <n v="12"/>
    <s v="DICEMBRE 2020"/>
    <x v="69"/>
    <x v="7"/>
    <s v="COSTO SOPRAVVIVENZA"/>
    <n v="79.22"/>
    <m/>
    <m/>
    <m/>
  </r>
  <r>
    <x v="2"/>
    <s v="DICEMBRE"/>
    <x v="6"/>
    <n v="12"/>
    <s v="DICEMBRE 2020"/>
    <x v="69"/>
    <x v="8"/>
    <s v="COSTO SFIZI"/>
    <n v="158"/>
    <m/>
    <s v="AMAZON"/>
    <m/>
  </r>
  <r>
    <x v="2"/>
    <s v="DICEMBRE"/>
    <x v="6"/>
    <n v="12"/>
    <s v="DICEMBRE 2020"/>
    <x v="69"/>
    <x v="8"/>
    <s v="COSTO SFIZI"/>
    <n v="49.99"/>
    <m/>
    <s v="AMAZON"/>
    <m/>
  </r>
  <r>
    <x v="67"/>
    <s v="DICEMBRE"/>
    <x v="6"/>
    <n v="12"/>
    <s v="DICEMBRE 2020"/>
    <x v="69"/>
    <x v="7"/>
    <s v="COSTO SOPRAVVIVENZA"/>
    <n v="54.98"/>
    <m/>
    <m/>
    <m/>
  </r>
  <r>
    <x v="402"/>
    <s v="DICEMBRE"/>
    <x v="6"/>
    <n v="12"/>
    <s v="DICEMBRE 2020"/>
    <x v="69"/>
    <x v="19"/>
    <s v="COSTO SFIZI"/>
    <n v="150"/>
    <m/>
    <m/>
    <m/>
  </r>
  <r>
    <x v="35"/>
    <s v="DICEMBRE"/>
    <x v="6"/>
    <n v="12"/>
    <s v="DICEMBRE 2020"/>
    <x v="69"/>
    <x v="1"/>
    <s v="COSTO CASA"/>
    <n v="14.6"/>
    <m/>
    <m/>
    <m/>
  </r>
  <r>
    <x v="2"/>
    <s v="DICEMBRE"/>
    <x v="6"/>
    <n v="12"/>
    <s v="DICEMBRE 2020"/>
    <x v="69"/>
    <x v="8"/>
    <s v="COSTO SFIZI"/>
    <n v="52.85"/>
    <m/>
    <s v="AMAZON"/>
    <m/>
  </r>
  <r>
    <x v="35"/>
    <s v="DICEMBRE"/>
    <x v="6"/>
    <n v="12"/>
    <s v="DICEMBRE 2020"/>
    <x v="69"/>
    <x v="1"/>
    <s v="COSTO CASA"/>
    <n v="7.2"/>
    <m/>
    <m/>
    <m/>
  </r>
  <r>
    <x v="2"/>
    <s v="DICEMBRE"/>
    <x v="6"/>
    <n v="12"/>
    <s v="DICEMBRE 2020"/>
    <x v="69"/>
    <x v="10"/>
    <s v="COSTO SFIZI"/>
    <n v="17.2"/>
    <s v="3/5"/>
    <s v="AMAZON"/>
    <s v="Moulinex Matrimonio Cugina Angela"/>
  </r>
  <r>
    <x v="2"/>
    <s v="DICEMBRE"/>
    <x v="6"/>
    <n v="12"/>
    <s v="DICEMBRE 2020"/>
    <x v="69"/>
    <x v="10"/>
    <s v="COSTO SFIZI"/>
    <n v="99.8"/>
    <s v="3/5"/>
    <s v="AMAZON"/>
    <s v="Moulinex Matrimonio Cugina Angela"/>
  </r>
  <r>
    <x v="2"/>
    <s v="DICEMBRE"/>
    <x v="6"/>
    <n v="12"/>
    <s v="DICEMBRE 2020"/>
    <x v="69"/>
    <x v="8"/>
    <s v="COSTO SFIZI"/>
    <n v="7.99"/>
    <m/>
    <s v="AMAZON"/>
    <m/>
  </r>
  <r>
    <x v="67"/>
    <s v="DICEMBRE"/>
    <x v="6"/>
    <n v="12"/>
    <s v="DICEMBRE 2020"/>
    <x v="69"/>
    <x v="7"/>
    <s v="COSTO SOPRAVVIVENZA"/>
    <n v="79.17"/>
    <m/>
    <m/>
    <m/>
  </r>
  <r>
    <x v="2"/>
    <s v="DICEMBRE"/>
    <x v="6"/>
    <n v="12"/>
    <s v="DICEMBRE 2020"/>
    <x v="69"/>
    <x v="8"/>
    <s v="COSTO SFIZI"/>
    <n v="7.69"/>
    <m/>
    <s v="AMAZON"/>
    <m/>
  </r>
  <r>
    <x v="6"/>
    <s v="DICEMBRE"/>
    <x v="6"/>
    <n v="12"/>
    <s v="DICEMBRE 2020"/>
    <x v="69"/>
    <x v="0"/>
    <s v="COSTO SVAGHI"/>
    <n v="5.0999999999999996"/>
    <m/>
    <m/>
    <m/>
  </r>
  <r>
    <x v="441"/>
    <s v="DICEMBRE"/>
    <x v="6"/>
    <n v="12"/>
    <s v="DICEMBRE 2020"/>
    <x v="69"/>
    <x v="0"/>
    <s v="COSTO SVAGHI"/>
    <n v="23.5"/>
    <m/>
    <m/>
    <m/>
  </r>
  <r>
    <x v="418"/>
    <s v="NOVEMBRE"/>
    <x v="6"/>
    <n v="11"/>
    <s v="NOVEMBRE 2020"/>
    <x v="70"/>
    <x v="20"/>
    <s v="COSTO ABBONAMENTI"/>
    <n v="24.99"/>
    <m/>
    <m/>
    <m/>
  </r>
  <r>
    <x v="447"/>
    <s v="NOVEMBRE"/>
    <x v="6"/>
    <n v="11"/>
    <s v="NOVEMBRE 2020"/>
    <x v="70"/>
    <x v="22"/>
    <s v="COSTO SFIZI"/>
    <n v="49.49"/>
    <m/>
    <s v="PAYPAL"/>
    <m/>
  </r>
  <r>
    <x v="6"/>
    <s v="NOVEMBRE"/>
    <x v="6"/>
    <n v="11"/>
    <s v="NOVEMBRE 2020"/>
    <x v="70"/>
    <x v="0"/>
    <s v="COSTO SVAGHI"/>
    <n v="5.0999999999999996"/>
    <m/>
    <m/>
    <m/>
  </r>
  <r>
    <x v="6"/>
    <s v="NOVEMBRE"/>
    <x v="6"/>
    <n v="11"/>
    <s v="NOVEMBRE 2020"/>
    <x v="70"/>
    <x v="0"/>
    <s v="COSTO SVAGHI"/>
    <n v="8.1999999999999993"/>
    <m/>
    <m/>
    <m/>
  </r>
  <r>
    <x v="2"/>
    <s v="NOVEMBRE"/>
    <x v="6"/>
    <n v="11"/>
    <s v="NOVEMBRE 2020"/>
    <x v="70"/>
    <x v="10"/>
    <s v="COSTO SFIZI"/>
    <n v="99.8"/>
    <s v="2/5"/>
    <s v="AMAZON"/>
    <s v="Moulinex Matrimonio Cugina Angela"/>
  </r>
  <r>
    <x v="2"/>
    <s v="NOVEMBRE"/>
    <x v="6"/>
    <n v="11"/>
    <s v="NOVEMBRE 2020"/>
    <x v="70"/>
    <x v="10"/>
    <s v="COSTO SFIZI"/>
    <n v="17.2"/>
    <s v="2/5"/>
    <s v="AMAZON"/>
    <s v="Moulinex Matrimonio Cugina Angela"/>
  </r>
  <r>
    <x v="400"/>
    <s v="NOVEMBRE"/>
    <x v="6"/>
    <n v="11"/>
    <s v="NOVEMBRE 2020"/>
    <x v="70"/>
    <x v="6"/>
    <s v="COSTO SOPRAVVIVENZA"/>
    <n v="102"/>
    <m/>
    <m/>
    <m/>
  </r>
  <r>
    <x v="48"/>
    <s v="OTTOBRE"/>
    <x v="6"/>
    <n v="10"/>
    <s v="OTTOBRE 2020"/>
    <x v="71"/>
    <x v="11"/>
    <s v="COSTO SFIZI"/>
    <n v="18.12"/>
    <m/>
    <m/>
    <m/>
  </r>
  <r>
    <x v="67"/>
    <s v="OTTOBRE"/>
    <x v="6"/>
    <n v="10"/>
    <s v="OTTOBRE 2020"/>
    <x v="71"/>
    <x v="7"/>
    <s v="COSTO SOPRAVVIVENZA"/>
    <n v="6.23"/>
    <m/>
    <m/>
    <m/>
  </r>
  <r>
    <x v="67"/>
    <s v="OTTOBRE"/>
    <x v="6"/>
    <n v="10"/>
    <s v="OTTOBRE 2020"/>
    <x v="71"/>
    <x v="7"/>
    <s v="COSTO SOPRAVVIVENZA"/>
    <n v="28.53"/>
    <m/>
    <m/>
    <m/>
  </r>
  <r>
    <x v="6"/>
    <s v="OTTOBRE"/>
    <x v="6"/>
    <n v="10"/>
    <s v="OTTOBRE 2020"/>
    <x v="71"/>
    <x v="0"/>
    <s v="COSTO SVAGHI"/>
    <n v="9.1999999999999993"/>
    <m/>
    <m/>
    <m/>
  </r>
  <r>
    <x v="41"/>
    <s v="OTTOBRE"/>
    <x v="6"/>
    <n v="10"/>
    <s v="OTTOBRE 2020"/>
    <x v="71"/>
    <x v="3"/>
    <s v="COSTO MOBILITA'"/>
    <n v="3.3"/>
    <m/>
    <m/>
    <m/>
  </r>
  <r>
    <x v="41"/>
    <s v="OTTOBRE"/>
    <x v="6"/>
    <n v="10"/>
    <s v="OTTOBRE 2020"/>
    <x v="71"/>
    <x v="3"/>
    <s v="COSTO MOBILITA'"/>
    <n v="1.4"/>
    <m/>
    <m/>
    <m/>
  </r>
  <r>
    <x v="142"/>
    <s v="OTTOBRE"/>
    <x v="6"/>
    <n v="10"/>
    <s v="OTTOBRE 2020"/>
    <x v="71"/>
    <x v="0"/>
    <s v="COSTO SVAGHI"/>
    <n v="68.3"/>
    <m/>
    <m/>
    <m/>
  </r>
  <r>
    <x v="325"/>
    <s v="OTTOBRE"/>
    <x v="6"/>
    <n v="10"/>
    <s v="OTTOBRE 2020"/>
    <x v="71"/>
    <x v="8"/>
    <s v="COSTO SFIZI"/>
    <n v="7.99"/>
    <m/>
    <m/>
    <m/>
  </r>
  <r>
    <x v="41"/>
    <s v="OTTOBRE"/>
    <x v="6"/>
    <n v="10"/>
    <s v="OTTOBRE 2020"/>
    <x v="71"/>
    <x v="3"/>
    <s v="COSTO MOBILITA'"/>
    <n v="2.5"/>
    <m/>
    <m/>
    <m/>
  </r>
  <r>
    <x v="2"/>
    <s v="OTTOBRE"/>
    <x v="6"/>
    <n v="10"/>
    <s v="OTTOBRE 2020"/>
    <x v="71"/>
    <x v="10"/>
    <s v="COSTO SFIZI"/>
    <n v="99.8"/>
    <s v="1/5"/>
    <s v="AMAZON"/>
    <s v="Moulinex  Matrimonio Cugina Angela"/>
  </r>
  <r>
    <x v="2"/>
    <s v="OTTOBRE"/>
    <x v="6"/>
    <n v="10"/>
    <s v="OTTOBRE 2020"/>
    <x v="71"/>
    <x v="10"/>
    <s v="COSTO SFIZI"/>
    <n v="17.2"/>
    <s v="1/5"/>
    <s v="AMAZON"/>
    <s v="Moulinex  Matrimonio Cugina Angela"/>
  </r>
  <r>
    <x v="2"/>
    <s v="OTTOBRE"/>
    <x v="6"/>
    <n v="10"/>
    <s v="OTTOBRE 2020"/>
    <x v="71"/>
    <x v="8"/>
    <s v="COSTO SFIZI"/>
    <n v="39.9"/>
    <m/>
    <s v="AMAZON"/>
    <m/>
  </r>
  <r>
    <x v="6"/>
    <s v="OTTOBRE"/>
    <x v="6"/>
    <n v="10"/>
    <s v="OTTOBRE 2020"/>
    <x v="71"/>
    <x v="0"/>
    <s v="COSTO SVAGHI"/>
    <n v="10"/>
    <m/>
    <m/>
    <m/>
  </r>
  <r>
    <x v="2"/>
    <s v="OTTOBRE"/>
    <x v="6"/>
    <n v="10"/>
    <s v="OTTOBRE 2020"/>
    <x v="71"/>
    <x v="8"/>
    <s v="COSTO SFIZI"/>
    <n v="74.989999999999995"/>
    <m/>
    <s v="AMAZON"/>
    <m/>
  </r>
  <r>
    <x v="448"/>
    <s v="OTTOBRE"/>
    <x v="6"/>
    <n v="10"/>
    <s v="OTTOBRE 2020"/>
    <x v="71"/>
    <x v="3"/>
    <s v="COSTO MOBILITA'"/>
    <n v="1.7"/>
    <m/>
    <m/>
    <m/>
  </r>
  <r>
    <x v="448"/>
    <s v="OTTOBRE"/>
    <x v="6"/>
    <n v="10"/>
    <s v="OTTOBRE 2020"/>
    <x v="71"/>
    <x v="3"/>
    <s v="COSTO MOBILITA'"/>
    <n v="3.3"/>
    <m/>
    <m/>
    <m/>
  </r>
  <r>
    <x v="449"/>
    <s v="SETTEMBRE"/>
    <x v="6"/>
    <n v="9"/>
    <s v="SETTEMBRE 2020"/>
    <x v="72"/>
    <x v="24"/>
    <s v="COSTO SOPRAVVIVENZA"/>
    <n v="27.99"/>
    <m/>
    <m/>
    <m/>
  </r>
  <r>
    <x v="140"/>
    <s v="SETTEMBRE"/>
    <x v="6"/>
    <n v="9"/>
    <s v="SETTEMBRE 2020"/>
    <x v="72"/>
    <x v="20"/>
    <s v="COSTO ABBONAMENTI"/>
    <n v="8.49"/>
    <m/>
    <m/>
    <m/>
  </r>
  <r>
    <x v="67"/>
    <s v="SETTEMBRE"/>
    <x v="6"/>
    <n v="9"/>
    <s v="SETTEMBRE 2020"/>
    <x v="72"/>
    <x v="7"/>
    <s v="COSTO SOPRAVVIVENZA"/>
    <n v="46.51"/>
    <m/>
    <m/>
    <m/>
  </r>
  <r>
    <x v="400"/>
    <s v="SETTEMBRE"/>
    <x v="6"/>
    <n v="9"/>
    <s v="SETTEMBRE 2020"/>
    <x v="72"/>
    <x v="6"/>
    <s v="COSTO SOPRAVVIVENZA"/>
    <n v="122"/>
    <m/>
    <m/>
    <m/>
  </r>
  <r>
    <x v="6"/>
    <s v="SETTEMBRE"/>
    <x v="6"/>
    <n v="9"/>
    <s v="SETTEMBRE 2020"/>
    <x v="72"/>
    <x v="0"/>
    <s v="COSTO SVAGHI"/>
    <n v="9"/>
    <m/>
    <m/>
    <m/>
  </r>
  <r>
    <x v="450"/>
    <s v="SETTEMBRE"/>
    <x v="6"/>
    <n v="9"/>
    <s v="SETTEMBRE 2020"/>
    <x v="72"/>
    <x v="3"/>
    <s v="COSTO MOBILITA'"/>
    <n v="6"/>
    <m/>
    <m/>
    <m/>
  </r>
  <r>
    <x v="67"/>
    <s v="SETTEMBRE"/>
    <x v="6"/>
    <n v="9"/>
    <s v="SETTEMBRE 2020"/>
    <x v="72"/>
    <x v="7"/>
    <s v="COSTO SOPRAVVIVENZA"/>
    <n v="25.99"/>
    <m/>
    <m/>
    <m/>
  </r>
  <r>
    <x v="97"/>
    <s v="SETTEMBRE"/>
    <x v="6"/>
    <n v="9"/>
    <s v="SETTEMBRE 2020"/>
    <x v="72"/>
    <x v="11"/>
    <s v="COSTO SFIZI"/>
    <n v="24.9"/>
    <m/>
    <m/>
    <m/>
  </r>
  <r>
    <x v="231"/>
    <s v="SETTEMBRE"/>
    <x v="6"/>
    <n v="9"/>
    <s v="SETTEMBRE 2020"/>
    <x v="72"/>
    <x v="3"/>
    <s v="COSTO MOBILITA'"/>
    <n v="20"/>
    <m/>
    <m/>
    <m/>
  </r>
  <r>
    <x v="451"/>
    <s v="SETTEMBRE"/>
    <x v="6"/>
    <n v="9"/>
    <s v="SETTEMBRE 2020"/>
    <x v="72"/>
    <x v="0"/>
    <s v="COSTO SVAGHI"/>
    <n v="51.3"/>
    <m/>
    <m/>
    <m/>
  </r>
  <r>
    <x v="452"/>
    <s v="SETTEMBRE"/>
    <x v="6"/>
    <n v="9"/>
    <s v="SETTEMBRE 2020"/>
    <x v="72"/>
    <x v="12"/>
    <s v="COSTO SVAGHI"/>
    <n v="27"/>
    <m/>
    <m/>
    <m/>
  </r>
  <r>
    <x v="6"/>
    <s v="AGOSTO"/>
    <x v="6"/>
    <n v="8"/>
    <s v="AGOSTO 2020"/>
    <x v="73"/>
    <x v="14"/>
    <s v="COSTO SOPRAVVIVENZA"/>
    <n v="5"/>
    <m/>
    <m/>
    <m/>
  </r>
  <r>
    <x v="67"/>
    <s v="AGOSTO"/>
    <x v="6"/>
    <n v="8"/>
    <s v="AGOSTO 2020"/>
    <x v="73"/>
    <x v="7"/>
    <s v="COSTO SOPRAVVIVENZA"/>
    <n v="49.51"/>
    <m/>
    <m/>
    <m/>
  </r>
  <r>
    <x v="7"/>
    <s v="AGOSTO"/>
    <x v="6"/>
    <n v="8"/>
    <s v="AGOSTO 2020"/>
    <x v="73"/>
    <x v="5"/>
    <s v="COSTO VACANZE"/>
    <n v="510"/>
    <m/>
    <m/>
    <m/>
  </r>
  <r>
    <x v="79"/>
    <s v="AGOSTO"/>
    <x v="6"/>
    <n v="8"/>
    <s v="AGOSTO 2020"/>
    <x v="73"/>
    <x v="3"/>
    <s v="COSTO MOBILITA'"/>
    <n v="6.08"/>
    <m/>
    <s v="PAYPAL"/>
    <m/>
  </r>
  <r>
    <x v="79"/>
    <s v="AGOSTO"/>
    <x v="6"/>
    <n v="8"/>
    <s v="AGOSTO 2020"/>
    <x v="73"/>
    <x v="3"/>
    <s v="COSTO MOBILITA'"/>
    <n v="1.18"/>
    <m/>
    <s v="PAYPAL"/>
    <m/>
  </r>
  <r>
    <x v="79"/>
    <s v="AGOSTO"/>
    <x v="6"/>
    <n v="8"/>
    <s v="AGOSTO 2020"/>
    <x v="73"/>
    <x v="3"/>
    <s v="COSTO MOBILITA'"/>
    <n v="0.67"/>
    <m/>
    <s v="PAYPAL"/>
    <m/>
  </r>
  <r>
    <x v="431"/>
    <s v="AGOSTO"/>
    <x v="6"/>
    <n v="8"/>
    <s v="AGOSTO 2020"/>
    <x v="73"/>
    <x v="5"/>
    <s v="COSTO VACANZE"/>
    <n v="84.5"/>
    <m/>
    <m/>
    <m/>
  </r>
  <r>
    <x v="7"/>
    <s v="AGOSTO"/>
    <x v="6"/>
    <n v="8"/>
    <s v="AGOSTO 2020"/>
    <x v="73"/>
    <x v="5"/>
    <s v="COSTO VACANZE"/>
    <n v="179"/>
    <m/>
    <m/>
    <m/>
  </r>
  <r>
    <x v="450"/>
    <s v="AGOSTO"/>
    <x v="6"/>
    <n v="8"/>
    <s v="AGOSTO 2020"/>
    <x v="73"/>
    <x v="3"/>
    <s v="COSTO MOBILITA'"/>
    <n v="6"/>
    <m/>
    <m/>
    <m/>
  </r>
  <r>
    <x v="67"/>
    <s v="AGOSTO"/>
    <x v="6"/>
    <n v="8"/>
    <s v="AGOSTO 2020"/>
    <x v="73"/>
    <x v="7"/>
    <s v="COSTO SOPRAVVIVENZA"/>
    <n v="23.41"/>
    <m/>
    <m/>
    <m/>
  </r>
  <r>
    <x v="453"/>
    <s v="AGOSTO"/>
    <x v="6"/>
    <n v="8"/>
    <s v="AGOSTO 2020"/>
    <x v="73"/>
    <x v="19"/>
    <s v="COSTO SFIZI"/>
    <n v="29.8"/>
    <m/>
    <m/>
    <m/>
  </r>
  <r>
    <x v="454"/>
    <s v="AGOSTO"/>
    <x v="6"/>
    <n v="8"/>
    <s v="AGOSTO 2020"/>
    <x v="73"/>
    <x v="11"/>
    <s v="COSTO SFIZI"/>
    <n v="81.91"/>
    <m/>
    <m/>
    <m/>
  </r>
  <r>
    <x v="231"/>
    <s v="AGOSTO"/>
    <x v="6"/>
    <n v="8"/>
    <s v="AGOSTO 2020"/>
    <x v="73"/>
    <x v="16"/>
    <s v="COSTO VACANZE"/>
    <n v="58.55"/>
    <m/>
    <m/>
    <m/>
  </r>
  <r>
    <x v="252"/>
    <s v="AGOSTO"/>
    <x v="6"/>
    <n v="8"/>
    <s v="AGOSTO 2020"/>
    <x v="73"/>
    <x v="5"/>
    <s v="COSTO VACANZE"/>
    <n v="19.559999999999999"/>
    <m/>
    <m/>
    <m/>
  </r>
  <r>
    <x v="67"/>
    <s v="AGOSTO"/>
    <x v="6"/>
    <n v="8"/>
    <s v="AGOSTO 2020"/>
    <x v="73"/>
    <x v="7"/>
    <s v="COSTO SOPRAVVIVENZA"/>
    <n v="27.48"/>
    <m/>
    <m/>
    <m/>
  </r>
  <r>
    <x v="2"/>
    <s v="AGOSTO"/>
    <x v="6"/>
    <n v="8"/>
    <s v="AGOSTO 2020"/>
    <x v="73"/>
    <x v="8"/>
    <s v="COSTO SFIZI"/>
    <n v="42"/>
    <m/>
    <s v="AMAZON"/>
    <m/>
  </r>
  <r>
    <x v="225"/>
    <s v="AGOSTO"/>
    <x v="6"/>
    <n v="8"/>
    <s v="AGOSTO 2020"/>
    <x v="73"/>
    <x v="11"/>
    <s v="COSTO SFIZI"/>
    <n v="49.99"/>
    <m/>
    <m/>
    <m/>
  </r>
  <r>
    <x v="224"/>
    <s v="AGOSTO"/>
    <x v="6"/>
    <n v="8"/>
    <s v="AGOSTO 2020"/>
    <x v="73"/>
    <x v="11"/>
    <s v="COSTO SFIZI"/>
    <n v="24.9"/>
    <m/>
    <m/>
    <m/>
  </r>
  <r>
    <x v="48"/>
    <s v="AGOSTO"/>
    <x v="6"/>
    <n v="8"/>
    <s v="AGOSTO 2020"/>
    <x v="73"/>
    <x v="11"/>
    <s v="COSTO SFIZI"/>
    <n v="9.99"/>
    <m/>
    <m/>
    <m/>
  </r>
  <r>
    <x v="48"/>
    <s v="AGOSTO"/>
    <x v="6"/>
    <n v="8"/>
    <s v="AGOSTO 2020"/>
    <x v="73"/>
    <x v="11"/>
    <s v="COSTO SFIZI"/>
    <n v="15.99"/>
    <m/>
    <m/>
    <m/>
  </r>
  <r>
    <x v="48"/>
    <s v="AGOSTO"/>
    <x v="6"/>
    <n v="8"/>
    <s v="AGOSTO 2020"/>
    <x v="73"/>
    <x v="11"/>
    <s v="COSTO SFIZI"/>
    <n v="71.97"/>
    <m/>
    <m/>
    <m/>
  </r>
  <r>
    <x v="142"/>
    <s v="LUGLIO"/>
    <x v="6"/>
    <n v="7"/>
    <s v="LUGLIO 2020"/>
    <x v="74"/>
    <x v="0"/>
    <s v="COSTO SVAGHI"/>
    <n v="51.1"/>
    <m/>
    <m/>
    <m/>
  </r>
  <r>
    <x v="97"/>
    <s v="LUGLIO"/>
    <x v="6"/>
    <n v="7"/>
    <s v="LUGLIO 2020"/>
    <x v="74"/>
    <x v="11"/>
    <s v="COSTO SFIZI"/>
    <n v="64.8"/>
    <m/>
    <m/>
    <m/>
  </r>
  <r>
    <x v="61"/>
    <s v="LUGLIO"/>
    <x v="6"/>
    <n v="7"/>
    <s v="LUGLIO 2020"/>
    <x v="74"/>
    <x v="11"/>
    <s v="COSTO SFIZI"/>
    <n v="27.8"/>
    <m/>
    <m/>
    <m/>
  </r>
  <r>
    <x v="79"/>
    <s v="LUGLIO"/>
    <x v="6"/>
    <n v="7"/>
    <s v="LUGLIO 2020"/>
    <x v="74"/>
    <x v="3"/>
    <s v="COSTO MOBILITA'"/>
    <n v="1.27"/>
    <m/>
    <s v="PAYPAL"/>
    <m/>
  </r>
  <r>
    <x v="2"/>
    <s v="LUGLIO"/>
    <x v="6"/>
    <n v="7"/>
    <s v="LUGLIO 2020"/>
    <x v="74"/>
    <x v="8"/>
    <s v="COSTO SFIZI"/>
    <n v="49.99"/>
    <m/>
    <s v="AMAZON"/>
    <m/>
  </r>
  <r>
    <x v="67"/>
    <s v="LUGLIO"/>
    <x v="6"/>
    <n v="7"/>
    <s v="LUGLIO 2020"/>
    <x v="74"/>
    <x v="7"/>
    <s v="COSTO SOPRAVVIVENZA"/>
    <n v="43.24"/>
    <m/>
    <m/>
    <m/>
  </r>
  <r>
    <x v="163"/>
    <s v="LUGLIO"/>
    <x v="6"/>
    <n v="7"/>
    <s v="LUGLIO 2020"/>
    <x v="74"/>
    <x v="11"/>
    <s v="COSTO SFIZI"/>
    <n v="37.840000000000003"/>
    <m/>
    <m/>
    <m/>
  </r>
  <r>
    <x v="67"/>
    <s v="LUGLIO"/>
    <x v="6"/>
    <n v="7"/>
    <s v="LUGLIO 2020"/>
    <x v="74"/>
    <x v="7"/>
    <s v="COSTO SOPRAVVIVENZA"/>
    <n v="38.61"/>
    <m/>
    <m/>
    <m/>
  </r>
  <r>
    <x v="432"/>
    <s v="LUGLIO"/>
    <x v="6"/>
    <n v="7"/>
    <s v="LUGLIO 2020"/>
    <x v="74"/>
    <x v="21"/>
    <s v="COSTO SOPRAVVIVENZA"/>
    <n v="60.95"/>
    <m/>
    <m/>
    <m/>
  </r>
  <r>
    <x v="6"/>
    <s v="GIUGNO"/>
    <x v="6"/>
    <n v="6"/>
    <s v="GIUGNO 2020"/>
    <x v="75"/>
    <x v="0"/>
    <s v="COSTO SVAGHI"/>
    <n v="9"/>
    <m/>
    <m/>
    <m/>
  </r>
  <r>
    <x v="41"/>
    <s v="GIUGNO"/>
    <x v="6"/>
    <n v="6"/>
    <s v="GIUGNO 2020"/>
    <x v="75"/>
    <x v="3"/>
    <s v="COSTO MOBILITA'"/>
    <n v="1.7"/>
    <m/>
    <m/>
    <m/>
  </r>
  <r>
    <x v="41"/>
    <s v="GIUGNO"/>
    <x v="6"/>
    <n v="6"/>
    <s v="GIUGNO 2020"/>
    <x v="75"/>
    <x v="3"/>
    <s v="COSTO MOBILITA'"/>
    <n v="1.7"/>
    <m/>
    <m/>
    <m/>
  </r>
  <r>
    <x v="455"/>
    <s v="GIUGNO"/>
    <x v="6"/>
    <n v="6"/>
    <s v="GIUGNO 2020"/>
    <x v="75"/>
    <x v="0"/>
    <s v="COSTO SVAGHI"/>
    <n v="75.8"/>
    <m/>
    <m/>
    <m/>
  </r>
  <r>
    <x v="6"/>
    <s v="GIUGNO"/>
    <x v="6"/>
    <n v="6"/>
    <s v="GIUGNO 2020"/>
    <x v="75"/>
    <x v="0"/>
    <s v="COSTO SVAGHI"/>
    <n v="11.5"/>
    <m/>
    <m/>
    <m/>
  </r>
  <r>
    <x v="456"/>
    <s v="GIUGNO"/>
    <x v="6"/>
    <n v="6"/>
    <s v="GIUGNO 2020"/>
    <x v="75"/>
    <x v="8"/>
    <s v="COSTO SFIZI"/>
    <n v="47.5"/>
    <m/>
    <m/>
    <m/>
  </r>
  <r>
    <x v="67"/>
    <s v="GIUGNO"/>
    <x v="6"/>
    <n v="6"/>
    <s v="GIUGNO 2020"/>
    <x v="75"/>
    <x v="7"/>
    <s v="COSTO SOPRAVVIVENZA"/>
    <n v="56.43"/>
    <m/>
    <m/>
    <m/>
  </r>
  <r>
    <x v="53"/>
    <s v="GIUGNO"/>
    <x v="6"/>
    <n v="6"/>
    <s v="GIUGNO 2020"/>
    <x v="75"/>
    <x v="1"/>
    <s v="COSTO CASA"/>
    <n v="19.899999999999999"/>
    <m/>
    <m/>
    <m/>
  </r>
  <r>
    <x v="445"/>
    <s v="GIUGNO"/>
    <x v="6"/>
    <n v="6"/>
    <s v="GIUGNO 2020"/>
    <x v="75"/>
    <x v="22"/>
    <s v="COSTO SFIZI"/>
    <n v="12.25"/>
    <m/>
    <m/>
    <m/>
  </r>
  <r>
    <x v="457"/>
    <s v="GIUGNO"/>
    <x v="6"/>
    <n v="6"/>
    <s v="GIUGNO 2020"/>
    <x v="75"/>
    <x v="9"/>
    <s v="COSTO MOBILITA'"/>
    <n v="229.01"/>
    <m/>
    <m/>
    <m/>
  </r>
  <r>
    <x v="48"/>
    <s v="MAGGIO"/>
    <x v="6"/>
    <n v="5"/>
    <s v="MAGGIO 2020"/>
    <x v="76"/>
    <x v="11"/>
    <s v="COSTO SFIZI"/>
    <n v="32.119999999999997"/>
    <m/>
    <m/>
    <m/>
  </r>
  <r>
    <x v="2"/>
    <s v="MAGGIO"/>
    <x v="6"/>
    <n v="5"/>
    <s v="MAGGIO 2020"/>
    <x v="76"/>
    <x v="8"/>
    <s v="COSTO SFIZI"/>
    <n v="13.9"/>
    <m/>
    <s v="AMAZON"/>
    <m/>
  </r>
  <r>
    <x v="67"/>
    <s v="MAGGIO"/>
    <x v="6"/>
    <n v="5"/>
    <s v="MAGGIO 2020"/>
    <x v="76"/>
    <x v="7"/>
    <s v="COSTO SOPRAVVIVENZA"/>
    <n v="50.6"/>
    <m/>
    <m/>
    <m/>
  </r>
  <r>
    <x v="145"/>
    <s v="MAGGIO"/>
    <x v="6"/>
    <n v="5"/>
    <s v="MAGGIO 2020"/>
    <x v="76"/>
    <x v="1"/>
    <s v="COSTO CASA"/>
    <n v="9.98"/>
    <m/>
    <m/>
    <m/>
  </r>
  <r>
    <x v="67"/>
    <s v="MAGGIO"/>
    <x v="6"/>
    <n v="5"/>
    <s v="MAGGIO 2020"/>
    <x v="76"/>
    <x v="7"/>
    <s v="COSTO SOPRAVVIVENZA"/>
    <n v="94.11"/>
    <m/>
    <m/>
    <m/>
  </r>
  <r>
    <x v="402"/>
    <s v="MAGGIO"/>
    <x v="6"/>
    <n v="5"/>
    <s v="MAGGIO 2020"/>
    <x v="76"/>
    <x v="19"/>
    <s v="COSTO SFIZI"/>
    <n v="353.33"/>
    <m/>
    <m/>
    <m/>
  </r>
  <r>
    <x v="67"/>
    <s v="MAGGIO"/>
    <x v="6"/>
    <n v="5"/>
    <s v="MAGGIO 2020"/>
    <x v="76"/>
    <x v="7"/>
    <s v="COSTO SOPRAVVIVENZA"/>
    <n v="121.91"/>
    <m/>
    <m/>
    <m/>
  </r>
  <r>
    <x v="458"/>
    <s v="APRILE"/>
    <x v="6"/>
    <n v="4"/>
    <s v="APRILE 2020"/>
    <x v="77"/>
    <x v="8"/>
    <s v="COSTO SFIZI"/>
    <n v="1"/>
    <m/>
    <m/>
    <m/>
  </r>
  <r>
    <x v="67"/>
    <s v="APRILE"/>
    <x v="6"/>
    <n v="4"/>
    <s v="APRILE 2020"/>
    <x v="77"/>
    <x v="7"/>
    <s v="COSTO SOPRAVVIVENZA"/>
    <n v="32"/>
    <m/>
    <m/>
    <m/>
  </r>
  <r>
    <x v="67"/>
    <s v="APRILE"/>
    <x v="6"/>
    <n v="4"/>
    <s v="APRILE 2020"/>
    <x v="77"/>
    <x v="7"/>
    <s v="COSTO SOPRAVVIVENZA"/>
    <n v="99"/>
    <m/>
    <m/>
    <m/>
  </r>
  <r>
    <x v="67"/>
    <s v="APRILE"/>
    <x v="6"/>
    <n v="4"/>
    <s v="APRILE 2020"/>
    <x v="77"/>
    <x v="7"/>
    <s v="COSTO SOPRAVVIVENZA"/>
    <n v="7.9"/>
    <m/>
    <m/>
    <m/>
  </r>
  <r>
    <x v="67"/>
    <s v="APRILE"/>
    <x v="6"/>
    <n v="4"/>
    <s v="APRILE 2020"/>
    <x v="77"/>
    <x v="7"/>
    <s v="COSTO SOPRAVVIVENZA"/>
    <n v="70.98"/>
    <m/>
    <m/>
    <m/>
  </r>
  <r>
    <x v="2"/>
    <s v="APRILE"/>
    <x v="6"/>
    <n v="4"/>
    <s v="APRILE 2020"/>
    <x v="77"/>
    <x v="8"/>
    <s v="COSTO SFIZI"/>
    <n v="89.98"/>
    <m/>
    <s v="AMAZON"/>
    <m/>
  </r>
  <r>
    <x v="2"/>
    <s v="APRILE"/>
    <x v="6"/>
    <n v="4"/>
    <s v="APRILE 2020"/>
    <x v="77"/>
    <x v="8"/>
    <s v="COSTO SFIZI"/>
    <n v="13.99"/>
    <m/>
    <s v="AMAZON"/>
    <m/>
  </r>
  <r>
    <x v="2"/>
    <s v="APRILE"/>
    <x v="6"/>
    <n v="4"/>
    <s v="APRILE 2020"/>
    <x v="77"/>
    <x v="8"/>
    <s v="COSTO SFIZI"/>
    <n v="105"/>
    <m/>
    <s v="AMAZON"/>
    <m/>
  </r>
  <r>
    <x v="67"/>
    <s v="APRILE"/>
    <x v="6"/>
    <n v="4"/>
    <s v="APRILE 2020"/>
    <x v="77"/>
    <x v="7"/>
    <s v="COSTO SOPRAVVIVENZA"/>
    <n v="72.569999999999993"/>
    <m/>
    <m/>
    <m/>
  </r>
  <r>
    <x v="445"/>
    <s v="MARZO"/>
    <x v="6"/>
    <n v="3"/>
    <s v="MARZO 2020"/>
    <x v="78"/>
    <x v="22"/>
    <s v="COSTO SFIZI"/>
    <n v="8.99"/>
    <m/>
    <m/>
    <m/>
  </r>
  <r>
    <x v="2"/>
    <s v="MARZO"/>
    <x v="6"/>
    <n v="3"/>
    <s v="MARZO 2020"/>
    <x v="78"/>
    <x v="8"/>
    <s v="COSTO SFIZI"/>
    <n v="239.99"/>
    <m/>
    <s v="AMAZON"/>
    <m/>
  </r>
  <r>
    <x v="2"/>
    <s v="MARZO"/>
    <x v="6"/>
    <n v="3"/>
    <s v="MARZO 2020"/>
    <x v="78"/>
    <x v="8"/>
    <s v="COSTO SFIZI"/>
    <n v="144.99"/>
    <m/>
    <s v="AMAZON"/>
    <m/>
  </r>
  <r>
    <x v="2"/>
    <s v="MARZO"/>
    <x v="6"/>
    <n v="3"/>
    <s v="MARZO 2020"/>
    <x v="78"/>
    <x v="8"/>
    <s v="COSTO SFIZI"/>
    <n v="83.61"/>
    <m/>
    <s v="AMAZON"/>
    <m/>
  </r>
  <r>
    <x v="67"/>
    <s v="MARZO"/>
    <x v="6"/>
    <n v="3"/>
    <s v="MARZO 2020"/>
    <x v="78"/>
    <x v="7"/>
    <s v="COSTO SOPRAVVIVENZA"/>
    <n v="86.31"/>
    <m/>
    <m/>
    <m/>
  </r>
  <r>
    <x v="400"/>
    <s v="MARZO"/>
    <x v="6"/>
    <n v="3"/>
    <s v="MARZO 2020"/>
    <x v="78"/>
    <x v="6"/>
    <s v="COSTO SOPRAVVIVENZA"/>
    <n v="40"/>
    <m/>
    <m/>
    <m/>
  </r>
  <r>
    <x v="456"/>
    <s v="MARZO"/>
    <x v="6"/>
    <n v="3"/>
    <s v="MARZO 2020"/>
    <x v="78"/>
    <x v="8"/>
    <s v="COSTO SFIZI"/>
    <n v="14.54"/>
    <m/>
    <m/>
    <m/>
  </r>
  <r>
    <x v="2"/>
    <s v="MARZO"/>
    <x v="6"/>
    <n v="3"/>
    <s v="MARZO 2020"/>
    <x v="78"/>
    <x v="8"/>
    <s v="COSTO SFIZI"/>
    <n v="49.95"/>
    <m/>
    <s v="AMAZON"/>
    <m/>
  </r>
  <r>
    <x v="2"/>
    <s v="MARZO"/>
    <x v="6"/>
    <n v="3"/>
    <s v="MARZO 2020"/>
    <x v="78"/>
    <x v="8"/>
    <s v="COSTO SFIZI"/>
    <n v="8.4600000000000009"/>
    <m/>
    <s v="AMAZON"/>
    <m/>
  </r>
  <r>
    <x v="2"/>
    <s v="MARZO"/>
    <x v="6"/>
    <n v="3"/>
    <s v="MARZO 2020"/>
    <x v="78"/>
    <x v="8"/>
    <s v="COSTO SFIZI"/>
    <n v="7.07"/>
    <m/>
    <s v="AMAZON"/>
    <m/>
  </r>
  <r>
    <x v="67"/>
    <s v="MARZO"/>
    <x v="6"/>
    <n v="3"/>
    <s v="MARZO 2020"/>
    <x v="78"/>
    <x v="7"/>
    <s v="COSTO SOPRAVVIVENZA"/>
    <n v="37.97"/>
    <m/>
    <m/>
    <m/>
  </r>
  <r>
    <x v="2"/>
    <s v="MARZO"/>
    <x v="6"/>
    <n v="3"/>
    <s v="MARZO 2020"/>
    <x v="78"/>
    <x v="8"/>
    <s v="COSTO SFIZI"/>
    <n v="10.56"/>
    <m/>
    <s v="AMAZON"/>
    <m/>
  </r>
  <r>
    <x v="400"/>
    <s v="MARZO"/>
    <x v="6"/>
    <n v="3"/>
    <s v="MARZO 2020"/>
    <x v="78"/>
    <x v="6"/>
    <s v="COSTO SOPRAVVIVENZA"/>
    <n v="40"/>
    <m/>
    <m/>
    <m/>
  </r>
  <r>
    <x v="61"/>
    <s v="MARZO"/>
    <x v="6"/>
    <n v="3"/>
    <s v="MARZO 2020"/>
    <x v="78"/>
    <x v="11"/>
    <s v="COSTO SFIZI"/>
    <n v="60.6"/>
    <m/>
    <m/>
    <m/>
  </r>
  <r>
    <x v="347"/>
    <s v="MARZO"/>
    <x v="6"/>
    <n v="3"/>
    <s v="MARZO 2020"/>
    <x v="78"/>
    <x v="11"/>
    <s v="COSTO SFIZI"/>
    <n v="71.92"/>
    <m/>
    <m/>
    <m/>
  </r>
  <r>
    <x v="459"/>
    <s v="FEBBRAIO"/>
    <x v="6"/>
    <n v="2"/>
    <s v="FEBBRAIO 2020"/>
    <x v="79"/>
    <x v="20"/>
    <s v="COSTO ABBONAMENTI"/>
    <n v="9.99"/>
    <m/>
    <m/>
    <m/>
  </r>
  <r>
    <x v="400"/>
    <s v="FEBBRAIO"/>
    <x v="6"/>
    <n v="2"/>
    <s v="FEBBRAIO 2020"/>
    <x v="79"/>
    <x v="6"/>
    <s v="COSTO SOPRAVVIVENZA"/>
    <n v="50"/>
    <m/>
    <m/>
    <m/>
  </r>
  <r>
    <x v="2"/>
    <s v="FEBBRAIO"/>
    <x v="6"/>
    <n v="2"/>
    <s v="FEBBRAIO 2020"/>
    <x v="79"/>
    <x v="8"/>
    <s v="COSTO SFIZI"/>
    <n v="27.9"/>
    <m/>
    <s v="AMAZON"/>
    <m/>
  </r>
  <r>
    <x v="53"/>
    <s v="FEBBRAIO"/>
    <x v="6"/>
    <n v="2"/>
    <s v="FEBBRAIO 2020"/>
    <x v="79"/>
    <x v="1"/>
    <s v="COSTO CASA"/>
    <n v="7.95"/>
    <m/>
    <m/>
    <m/>
  </r>
  <r>
    <x v="67"/>
    <s v="FEBBRAIO"/>
    <x v="6"/>
    <n v="2"/>
    <s v="FEBBRAIO 2020"/>
    <x v="79"/>
    <x v="7"/>
    <s v="COSTO SOPRAVVIVENZA"/>
    <n v="32.97"/>
    <m/>
    <m/>
    <m/>
  </r>
  <r>
    <x v="67"/>
    <s v="FEBBRAIO"/>
    <x v="6"/>
    <n v="2"/>
    <s v="FEBBRAIO 2020"/>
    <x v="79"/>
    <x v="7"/>
    <s v="COSTO SOPRAVVIVENZA"/>
    <n v="50.24"/>
    <m/>
    <m/>
    <m/>
  </r>
  <r>
    <x v="2"/>
    <s v="FEBBRAIO"/>
    <x v="6"/>
    <n v="2"/>
    <s v="FEBBRAIO 2020"/>
    <x v="79"/>
    <x v="8"/>
    <s v="COSTO SFIZI"/>
    <n v="29.73"/>
    <m/>
    <s v="AMAZON"/>
    <m/>
  </r>
  <r>
    <x v="2"/>
    <s v="FEBBRAIO"/>
    <x v="6"/>
    <n v="2"/>
    <s v="FEBBRAIO 2020"/>
    <x v="79"/>
    <x v="8"/>
    <s v="COSTO SFIZI"/>
    <n v="51.89"/>
    <m/>
    <s v="AMAZON"/>
    <m/>
  </r>
  <r>
    <x v="67"/>
    <s v="FEBBRAIO"/>
    <x v="6"/>
    <n v="2"/>
    <s v="FEBBRAIO 2020"/>
    <x v="79"/>
    <x v="7"/>
    <s v="COSTO SOPRAVVIVENZA"/>
    <n v="2.4900000000000002"/>
    <m/>
    <m/>
    <m/>
  </r>
  <r>
    <x v="67"/>
    <s v="FEBBRAIO"/>
    <x v="6"/>
    <n v="2"/>
    <s v="FEBBRAIO 2020"/>
    <x v="79"/>
    <x v="7"/>
    <s v="COSTO SOPRAVVIVENZA"/>
    <n v="5.89"/>
    <m/>
    <m/>
    <m/>
  </r>
  <r>
    <x v="460"/>
    <s v="FEBBRAIO"/>
    <x v="6"/>
    <n v="2"/>
    <s v="FEBBRAIO 2020"/>
    <x v="79"/>
    <x v="8"/>
    <s v="COSTO SFIZI"/>
    <n v="201.68"/>
    <m/>
    <m/>
    <m/>
  </r>
  <r>
    <x v="67"/>
    <s v="FEBBRAIO"/>
    <x v="6"/>
    <n v="2"/>
    <s v="FEBBRAIO 2020"/>
    <x v="79"/>
    <x v="7"/>
    <s v="COSTO SOPRAVVIVENZA"/>
    <n v="2.4900000000000002"/>
    <m/>
    <m/>
    <m/>
  </r>
  <r>
    <x v="67"/>
    <s v="FEBBRAIO"/>
    <x v="6"/>
    <n v="2"/>
    <s v="FEBBRAIO 2020"/>
    <x v="79"/>
    <x v="7"/>
    <s v="COSTO SOPRAVVIVENZA"/>
    <n v="45.21"/>
    <m/>
    <m/>
    <m/>
  </r>
  <r>
    <x v="41"/>
    <s v="GENNAIO"/>
    <x v="6"/>
    <n v="1"/>
    <s v="GENNAIO 2020"/>
    <x v="80"/>
    <x v="3"/>
    <s v="COSTO MOBILITA'"/>
    <n v="2.5"/>
    <m/>
    <m/>
    <m/>
  </r>
  <r>
    <x v="461"/>
    <s v="GENNAIO"/>
    <x v="6"/>
    <n v="1"/>
    <s v="GENNAIO 2020"/>
    <x v="80"/>
    <x v="11"/>
    <s v="COSTO SFIZI"/>
    <n v="42"/>
    <m/>
    <m/>
    <m/>
  </r>
  <r>
    <x v="462"/>
    <s v="GENNAIO"/>
    <x v="6"/>
    <n v="1"/>
    <s v="GENNAIO 2020"/>
    <x v="80"/>
    <x v="3"/>
    <s v="COSTO MOBILITA'"/>
    <n v="9"/>
    <m/>
    <m/>
    <m/>
  </r>
  <r>
    <x v="2"/>
    <s v="GENNAIO"/>
    <x v="6"/>
    <n v="1"/>
    <s v="GENNAIO 2020"/>
    <x v="80"/>
    <x v="8"/>
    <s v="COSTO SFIZI"/>
    <n v="19.899999999999999"/>
    <m/>
    <s v="AMAZON"/>
    <m/>
  </r>
  <r>
    <x v="35"/>
    <s v="GENNAIO"/>
    <x v="6"/>
    <n v="1"/>
    <s v="GENNAIO 2020"/>
    <x v="80"/>
    <x v="1"/>
    <s v="COSTO CASA"/>
    <n v="15.09"/>
    <m/>
    <m/>
    <m/>
  </r>
  <r>
    <x v="2"/>
    <s v="GENNAIO"/>
    <x v="6"/>
    <n v="1"/>
    <s v="GENNAIO 2020"/>
    <x v="80"/>
    <x v="8"/>
    <s v="COSTO SFIZI"/>
    <n v="21.04"/>
    <m/>
    <s v="AMAZON"/>
    <m/>
  </r>
  <r>
    <x v="2"/>
    <s v="GENNAIO"/>
    <x v="6"/>
    <n v="1"/>
    <s v="GENNAIO 2020"/>
    <x v="80"/>
    <x v="8"/>
    <s v="COSTO SFIZI"/>
    <n v="11.68"/>
    <m/>
    <s v="AMAZON"/>
    <m/>
  </r>
  <r>
    <x v="445"/>
    <s v="GENNAIO"/>
    <x v="6"/>
    <n v="1"/>
    <s v="GENNAIO 2020"/>
    <x v="80"/>
    <x v="22"/>
    <s v="COSTO SFIZI"/>
    <n v="9.99"/>
    <m/>
    <m/>
    <m/>
  </r>
  <r>
    <x v="2"/>
    <s v="GENNAIO"/>
    <x v="6"/>
    <n v="1"/>
    <s v="GENNAIO 2020"/>
    <x v="80"/>
    <x v="8"/>
    <s v="COSTO SFIZI"/>
    <n v="22.82"/>
    <m/>
    <s v="AMAZON"/>
    <m/>
  </r>
  <r>
    <x v="53"/>
    <s v="GENNAIO"/>
    <x v="6"/>
    <n v="1"/>
    <s v="GENNAIO 2020"/>
    <x v="80"/>
    <x v="1"/>
    <s v="COSTO CASA"/>
    <n v="32"/>
    <m/>
    <m/>
    <m/>
  </r>
  <r>
    <x v="67"/>
    <s v="GENNAIO"/>
    <x v="6"/>
    <n v="1"/>
    <s v="GENNAIO 2020"/>
    <x v="80"/>
    <x v="7"/>
    <s v="COSTO SOPRAVVIVENZA"/>
    <n v="28.39"/>
    <m/>
    <m/>
    <m/>
  </r>
  <r>
    <x v="225"/>
    <s v="GENNAIO"/>
    <x v="6"/>
    <n v="1"/>
    <s v="GENNAIO 2020"/>
    <x v="80"/>
    <x v="11"/>
    <s v="COSTO SFIZI"/>
    <n v="38.5"/>
    <m/>
    <m/>
    <m/>
  </r>
  <r>
    <x v="67"/>
    <s v="GENNAIO"/>
    <x v="6"/>
    <n v="1"/>
    <s v="GENNAIO 2020"/>
    <x v="80"/>
    <x v="7"/>
    <s v="COSTO SOPRAVVIVENZA"/>
    <n v="47.28"/>
    <m/>
    <m/>
    <m/>
  </r>
  <r>
    <x v="225"/>
    <s v="GENNAIO"/>
    <x v="6"/>
    <n v="1"/>
    <s v="GENNAIO 2020"/>
    <x v="80"/>
    <x v="11"/>
    <s v="COSTO SFIZI"/>
    <n v="31.5"/>
    <m/>
    <m/>
    <m/>
  </r>
  <r>
    <x v="463"/>
    <s v="GENNAIO"/>
    <x v="6"/>
    <n v="1"/>
    <s v="GENNAIO 2020"/>
    <x v="80"/>
    <x v="16"/>
    <s v="COSTO VACANZE"/>
    <n v="15"/>
    <m/>
    <m/>
    <m/>
  </r>
  <r>
    <x v="53"/>
    <s v="GENNAIO"/>
    <x v="6"/>
    <n v="1"/>
    <s v="GENNAIO 2020"/>
    <x v="80"/>
    <x v="1"/>
    <s v="COSTO CASA"/>
    <n v="8.4499999999999993"/>
    <m/>
    <m/>
    <m/>
  </r>
  <r>
    <x v="97"/>
    <s v="GENNAIO"/>
    <x v="6"/>
    <n v="1"/>
    <s v="GENNAIO 2020"/>
    <x v="80"/>
    <x v="11"/>
    <s v="COSTO SFIZI"/>
    <n v="153.86000000000001"/>
    <m/>
    <m/>
    <m/>
  </r>
  <r>
    <x v="461"/>
    <s v="DICEMBRE"/>
    <x v="7"/>
    <n v="12"/>
    <s v="DICEMBRE 2019"/>
    <x v="81"/>
    <x v="11"/>
    <s v="COSTO SFIZI"/>
    <n v="55.5"/>
    <m/>
    <m/>
    <m/>
  </r>
  <r>
    <x v="464"/>
    <s v="DICEMBRE"/>
    <x v="7"/>
    <n v="12"/>
    <s v="DICEMBRE 2019"/>
    <x v="81"/>
    <x v="21"/>
    <s v="COSTO SOPRAVVIVENZA"/>
    <n v="74.959999999999994"/>
    <m/>
    <m/>
    <m/>
  </r>
  <r>
    <x v="67"/>
    <s v="DICEMBRE"/>
    <x v="7"/>
    <n v="12"/>
    <s v="DICEMBRE 2019"/>
    <x v="81"/>
    <x v="7"/>
    <s v="COSTO SOPRAVVIVENZA"/>
    <n v="36.19"/>
    <m/>
    <m/>
    <m/>
  </r>
  <r>
    <x v="144"/>
    <s v="DICEMBRE"/>
    <x v="7"/>
    <n v="12"/>
    <s v="DICEMBRE 2019"/>
    <x v="81"/>
    <x v="23"/>
    <s v="COSTO SFIZI"/>
    <n v="12.9"/>
    <m/>
    <m/>
    <m/>
  </r>
  <r>
    <x v="323"/>
    <s v="DICEMBRE"/>
    <x v="7"/>
    <n v="12"/>
    <s v="DICEMBRE 2019"/>
    <x v="81"/>
    <x v="12"/>
    <s v="COSTO SVAGHI"/>
    <n v="6.1"/>
    <m/>
    <m/>
    <m/>
  </r>
  <r>
    <x v="2"/>
    <s v="DICEMBRE"/>
    <x v="7"/>
    <n v="12"/>
    <s v="DICEMBRE 2019"/>
    <x v="81"/>
    <x v="8"/>
    <s v="COSTO SFIZI"/>
    <n v="12"/>
    <m/>
    <s v="AMAZON"/>
    <m/>
  </r>
  <r>
    <x v="323"/>
    <s v="DICEMBRE"/>
    <x v="7"/>
    <n v="12"/>
    <s v="DICEMBRE 2019"/>
    <x v="81"/>
    <x v="12"/>
    <s v="COSTO SVAGHI"/>
    <n v="12.2"/>
    <m/>
    <m/>
    <m/>
  </r>
  <r>
    <x v="2"/>
    <s v="DICEMBRE"/>
    <x v="7"/>
    <n v="12"/>
    <s v="DICEMBRE 2019"/>
    <x v="81"/>
    <x v="8"/>
    <s v="COSTO SFIZI"/>
    <n v="11.99"/>
    <m/>
    <s v="AMAZON"/>
    <m/>
  </r>
  <r>
    <x v="2"/>
    <s v="DICEMBRE"/>
    <x v="7"/>
    <n v="12"/>
    <s v="DICEMBRE 2019"/>
    <x v="81"/>
    <x v="8"/>
    <s v="COSTO SFIZI"/>
    <n v="-48.99"/>
    <m/>
    <s v="AMAZON"/>
    <m/>
  </r>
  <r>
    <x v="2"/>
    <s v="DICEMBRE"/>
    <x v="7"/>
    <n v="12"/>
    <s v="DICEMBRE 2019"/>
    <x v="81"/>
    <x v="8"/>
    <s v="COSTO SFIZI"/>
    <n v="48.99"/>
    <m/>
    <s v="AMAZON"/>
    <m/>
  </r>
  <r>
    <x v="2"/>
    <s v="DICEMBRE"/>
    <x v="7"/>
    <n v="12"/>
    <s v="DICEMBRE 2019"/>
    <x v="81"/>
    <x v="8"/>
    <s v="COSTO SFIZI"/>
    <n v="54.9"/>
    <m/>
    <s v="AMAZON"/>
    <m/>
  </r>
  <r>
    <x v="2"/>
    <s v="DICEMBRE"/>
    <x v="7"/>
    <n v="12"/>
    <s v="DICEMBRE 2019"/>
    <x v="81"/>
    <x v="8"/>
    <s v="COSTO SFIZI"/>
    <n v="35.950000000000003"/>
    <m/>
    <s v="AMAZON"/>
    <m/>
  </r>
  <r>
    <x v="465"/>
    <s v="DICEMBRE"/>
    <x v="7"/>
    <n v="12"/>
    <s v="DICEMBRE 2019"/>
    <x v="81"/>
    <x v="3"/>
    <s v="COSTO MOBILITA'"/>
    <n v="14.98"/>
    <m/>
    <m/>
    <m/>
  </r>
  <r>
    <x v="67"/>
    <s v="DICEMBRE"/>
    <x v="7"/>
    <n v="12"/>
    <s v="DICEMBRE 2019"/>
    <x v="81"/>
    <x v="7"/>
    <s v="COSTO SOPRAVVIVENZA"/>
    <n v="54.61"/>
    <m/>
    <m/>
    <m/>
  </r>
  <r>
    <x v="466"/>
    <s v="DICEMBRE"/>
    <x v="7"/>
    <n v="12"/>
    <s v="DICEMBRE 2019"/>
    <x v="81"/>
    <x v="16"/>
    <s v="COSTO VACANZE"/>
    <n v="343.29"/>
    <m/>
    <m/>
    <m/>
  </r>
  <r>
    <x v="67"/>
    <s v="DICEMBRE"/>
    <x v="7"/>
    <n v="12"/>
    <s v="DICEMBRE 2019"/>
    <x v="81"/>
    <x v="7"/>
    <s v="COSTO SOPRAVVIVENZA"/>
    <n v="30.59"/>
    <m/>
    <m/>
    <m/>
  </r>
  <r>
    <x v="67"/>
    <s v="DICEMBRE"/>
    <x v="7"/>
    <n v="12"/>
    <s v="DICEMBRE 2019"/>
    <x v="81"/>
    <x v="7"/>
    <s v="COSTO SOPRAVVIVENZA"/>
    <n v="25.39"/>
    <m/>
    <m/>
    <m/>
  </r>
  <r>
    <x v="53"/>
    <s v="DICEMBRE"/>
    <x v="7"/>
    <n v="12"/>
    <s v="DICEMBRE 2019"/>
    <x v="81"/>
    <x v="1"/>
    <s v="COSTO CASA"/>
    <n v="18.399999999999999"/>
    <m/>
    <m/>
    <m/>
  </r>
  <r>
    <x v="2"/>
    <s v="DICEMBRE"/>
    <x v="7"/>
    <n v="12"/>
    <s v="DICEMBRE 2019"/>
    <x v="81"/>
    <x v="8"/>
    <s v="COSTO SFIZI"/>
    <n v="69.989999999999995"/>
    <m/>
    <s v="AMAZON"/>
    <m/>
  </r>
  <r>
    <x v="467"/>
    <s v="DICEMBRE"/>
    <x v="7"/>
    <n v="12"/>
    <s v="DICEMBRE 2019"/>
    <x v="81"/>
    <x v="6"/>
    <s v="COSTO SOPRAVVIVENZA"/>
    <n v="55"/>
    <m/>
    <m/>
    <m/>
  </r>
  <r>
    <x v="2"/>
    <s v="DICEMBRE"/>
    <x v="7"/>
    <n v="12"/>
    <s v="DICEMBRE 2019"/>
    <x v="81"/>
    <x v="8"/>
    <s v="COSTO SFIZI"/>
    <n v="239"/>
    <m/>
    <s v="AMAZON"/>
    <m/>
  </r>
  <r>
    <x v="67"/>
    <s v="NOVEMBRE"/>
    <x v="7"/>
    <n v="11"/>
    <s v="NOVEMBRE 2019"/>
    <x v="82"/>
    <x v="7"/>
    <s v="COSTO SOPRAVVIVENZA"/>
    <n v="41.77"/>
    <m/>
    <m/>
    <m/>
  </r>
  <r>
    <x v="468"/>
    <s v="NOVEMBRE"/>
    <x v="7"/>
    <n v="11"/>
    <s v="NOVEMBRE 2019"/>
    <x v="82"/>
    <x v="0"/>
    <s v="COSTO SVAGHI"/>
    <n v="9.5"/>
    <m/>
    <m/>
    <m/>
  </r>
  <r>
    <x v="468"/>
    <s v="NOVEMBRE"/>
    <x v="7"/>
    <n v="11"/>
    <s v="NOVEMBRE 2019"/>
    <x v="82"/>
    <x v="0"/>
    <s v="COSTO SVAGHI"/>
    <n v="21.47"/>
    <m/>
    <m/>
    <m/>
  </r>
  <r>
    <x v="469"/>
    <s v="NOVEMBRE"/>
    <x v="7"/>
    <n v="11"/>
    <s v="NOVEMBRE 2019"/>
    <x v="82"/>
    <x v="5"/>
    <s v="COSTO VACANZE"/>
    <n v="133.25"/>
    <m/>
    <m/>
    <m/>
  </r>
  <r>
    <x v="468"/>
    <s v="NOVEMBRE"/>
    <x v="7"/>
    <n v="11"/>
    <s v="NOVEMBRE 2019"/>
    <x v="82"/>
    <x v="0"/>
    <s v="COSTO SVAGHI"/>
    <n v="16.5"/>
    <m/>
    <m/>
    <m/>
  </r>
  <r>
    <x v="257"/>
    <s v="NOVEMBRE"/>
    <x v="7"/>
    <n v="11"/>
    <s v="NOVEMBRE 2019"/>
    <x v="82"/>
    <x v="3"/>
    <s v="COSTO MOBILITA'"/>
    <n v="30"/>
    <m/>
    <m/>
    <m/>
  </r>
  <r>
    <x v="6"/>
    <s v="NOVEMBRE"/>
    <x v="7"/>
    <n v="11"/>
    <s v="NOVEMBRE 2019"/>
    <x v="82"/>
    <x v="0"/>
    <s v="COSTO SVAGHI"/>
    <n v="12"/>
    <m/>
    <m/>
    <m/>
  </r>
  <r>
    <x v="2"/>
    <s v="NOVEMBRE"/>
    <x v="7"/>
    <n v="11"/>
    <s v="NOVEMBRE 2019"/>
    <x v="82"/>
    <x v="8"/>
    <s v="COSTO SFIZI"/>
    <n v="9.9"/>
    <m/>
    <s v="AMAZON"/>
    <m/>
  </r>
  <r>
    <x v="67"/>
    <s v="NOVEMBRE"/>
    <x v="7"/>
    <n v="11"/>
    <s v="NOVEMBRE 2019"/>
    <x v="82"/>
    <x v="7"/>
    <s v="COSTO SOPRAVVIVENZA"/>
    <n v="44.43"/>
    <m/>
    <m/>
    <m/>
  </r>
  <r>
    <x v="145"/>
    <s v="NOVEMBRE"/>
    <x v="7"/>
    <n v="11"/>
    <s v="NOVEMBRE 2019"/>
    <x v="82"/>
    <x v="1"/>
    <s v="COSTO CASA"/>
    <n v="69.989999999999995"/>
    <m/>
    <m/>
    <m/>
  </r>
  <r>
    <x v="6"/>
    <s v="NOVEMBRE"/>
    <x v="7"/>
    <n v="11"/>
    <s v="NOVEMBRE 2019"/>
    <x v="82"/>
    <x v="0"/>
    <s v="COSTO SVAGHI"/>
    <n v="12"/>
    <m/>
    <m/>
    <m/>
  </r>
  <r>
    <x v="98"/>
    <s v="NOVEMBRE"/>
    <x v="7"/>
    <n v="11"/>
    <s v="NOVEMBRE 2019"/>
    <x v="82"/>
    <x v="11"/>
    <s v="COSTO SFIZI"/>
    <n v="14.5"/>
    <m/>
    <m/>
    <m/>
  </r>
  <r>
    <x v="53"/>
    <s v="OTTOBRE"/>
    <x v="7"/>
    <n v="10"/>
    <s v="OTTOBRE 2019"/>
    <x v="83"/>
    <x v="1"/>
    <s v="COSTO CASA"/>
    <n v="56.95"/>
    <m/>
    <m/>
    <m/>
  </r>
  <r>
    <x v="67"/>
    <s v="OTTOBRE"/>
    <x v="7"/>
    <n v="10"/>
    <s v="OTTOBRE 2019"/>
    <x v="83"/>
    <x v="7"/>
    <s v="COSTO SOPRAVVIVENZA"/>
    <n v="22.52"/>
    <m/>
    <m/>
    <m/>
  </r>
  <r>
    <x v="53"/>
    <s v="OTTOBRE"/>
    <x v="7"/>
    <n v="10"/>
    <s v="OTTOBRE 2019"/>
    <x v="83"/>
    <x v="1"/>
    <s v="COSTO CASA"/>
    <n v="15.95"/>
    <m/>
    <m/>
    <m/>
  </r>
  <r>
    <x v="67"/>
    <s v="OTTOBRE"/>
    <x v="7"/>
    <n v="10"/>
    <s v="OTTOBRE 2019"/>
    <x v="83"/>
    <x v="7"/>
    <s v="COSTO SOPRAVVIVENZA"/>
    <n v="20.3"/>
    <m/>
    <m/>
    <m/>
  </r>
  <r>
    <x v="163"/>
    <s v="OTTOBRE"/>
    <x v="7"/>
    <n v="10"/>
    <s v="OTTOBRE 2019"/>
    <x v="83"/>
    <x v="11"/>
    <s v="COSTO SFIZI"/>
    <n v="36.39"/>
    <m/>
    <m/>
    <m/>
  </r>
  <r>
    <x v="257"/>
    <s v="OTTOBRE"/>
    <x v="7"/>
    <n v="10"/>
    <s v="OTTOBRE 2019"/>
    <x v="83"/>
    <x v="3"/>
    <s v="COSTO MOBILITA'"/>
    <n v="10"/>
    <m/>
    <m/>
    <m/>
  </r>
  <r>
    <x v="2"/>
    <s v="OTTOBRE"/>
    <x v="7"/>
    <n v="10"/>
    <s v="OTTOBRE 2019"/>
    <x v="83"/>
    <x v="8"/>
    <s v="COSTO SFIZI"/>
    <n v="114.95"/>
    <m/>
    <s v="AMAZON"/>
    <m/>
  </r>
  <r>
    <x v="2"/>
    <s v="SETTEMBRE"/>
    <x v="7"/>
    <n v="9"/>
    <s v="SETTEMBRE 2019"/>
    <x v="84"/>
    <x v="8"/>
    <s v="COSTO SFIZI"/>
    <n v="17.899999999999999"/>
    <m/>
    <s v="AMAZON"/>
    <m/>
  </r>
  <r>
    <x v="2"/>
    <s v="SETTEMBRE"/>
    <x v="7"/>
    <n v="9"/>
    <s v="SETTEMBRE 2019"/>
    <x v="84"/>
    <x v="8"/>
    <s v="COSTO SFIZI"/>
    <n v="25.67"/>
    <m/>
    <s v="AMAZON"/>
    <m/>
  </r>
  <r>
    <x v="67"/>
    <s v="SETTEMBRE"/>
    <x v="7"/>
    <n v="9"/>
    <s v="SETTEMBRE 2019"/>
    <x v="84"/>
    <x v="7"/>
    <s v="COSTO SOPRAVVIVENZA"/>
    <n v="20.09"/>
    <m/>
    <m/>
    <m/>
  </r>
  <r>
    <x v="53"/>
    <s v="SETTEMBRE"/>
    <x v="7"/>
    <n v="9"/>
    <s v="SETTEMBRE 2019"/>
    <x v="84"/>
    <x v="1"/>
    <s v="COSTO CASA"/>
    <n v="61.45"/>
    <m/>
    <m/>
    <m/>
  </r>
  <r>
    <x v="140"/>
    <s v="SETTEMBRE"/>
    <x v="7"/>
    <n v="9"/>
    <s v="SETTEMBRE 2019"/>
    <x v="84"/>
    <x v="8"/>
    <s v="COSTO SFIZI"/>
    <n v="159"/>
    <m/>
    <m/>
    <m/>
  </r>
  <r>
    <x v="140"/>
    <s v="SETTEMBRE"/>
    <x v="7"/>
    <n v="9"/>
    <s v="SETTEMBRE 2019"/>
    <x v="84"/>
    <x v="8"/>
    <s v="COSTO SFIZI"/>
    <n v="3.09"/>
    <m/>
    <m/>
    <m/>
  </r>
  <r>
    <x v="140"/>
    <s v="SETTEMBRE"/>
    <x v="7"/>
    <n v="9"/>
    <s v="SETTEMBRE 2019"/>
    <x v="84"/>
    <x v="20"/>
    <s v="COSTO ABBONAMENTI"/>
    <n v="8.49"/>
    <m/>
    <m/>
    <m/>
  </r>
  <r>
    <x v="67"/>
    <s v="SETTEMBRE"/>
    <x v="7"/>
    <n v="9"/>
    <s v="SETTEMBRE 2019"/>
    <x v="84"/>
    <x v="7"/>
    <s v="COSTO SOPRAVVIVENZA"/>
    <n v="47.73"/>
    <m/>
    <m/>
    <m/>
  </r>
  <r>
    <x v="365"/>
    <s v="SETTEMBRE"/>
    <x v="7"/>
    <n v="9"/>
    <s v="SETTEMBRE 2019"/>
    <x v="84"/>
    <x v="24"/>
    <s v="COSTO SOPRAVVIVENZA"/>
    <n v="32.4"/>
    <m/>
    <m/>
    <m/>
  </r>
  <r>
    <x v="277"/>
    <s v="AGOSTO"/>
    <x v="7"/>
    <n v="8"/>
    <s v="AGOSTO 2019"/>
    <x v="85"/>
    <x v="22"/>
    <s v="COSTO SFIZI"/>
    <n v="25.18"/>
    <m/>
    <m/>
    <m/>
  </r>
  <r>
    <x v="257"/>
    <s v="AGOSTO"/>
    <x v="7"/>
    <n v="8"/>
    <s v="AGOSTO 2019"/>
    <x v="85"/>
    <x v="3"/>
    <s v="COSTO MOBILITA'"/>
    <n v="4.5"/>
    <m/>
    <m/>
    <m/>
  </r>
  <r>
    <x v="53"/>
    <s v="AGOSTO"/>
    <x v="7"/>
    <n v="8"/>
    <s v="AGOSTO 2019"/>
    <x v="85"/>
    <x v="1"/>
    <s v="COSTO CASA"/>
    <n v="22.55"/>
    <m/>
    <m/>
    <m/>
  </r>
  <r>
    <x v="97"/>
    <s v="AGOSTO"/>
    <x v="7"/>
    <n v="8"/>
    <s v="AGOSTO 2019"/>
    <x v="85"/>
    <x v="11"/>
    <s v="COSTO SFIZI"/>
    <n v="44.95"/>
    <m/>
    <m/>
    <m/>
  </r>
  <r>
    <x v="470"/>
    <s v="AGOSTO"/>
    <x v="7"/>
    <n v="8"/>
    <s v="AGOSTO 2019"/>
    <x v="85"/>
    <x v="0"/>
    <s v="COSTO SVAGHI"/>
    <n v="20.18"/>
    <m/>
    <m/>
    <m/>
  </r>
  <r>
    <x v="469"/>
    <s v="AGOSTO"/>
    <x v="7"/>
    <n v="8"/>
    <s v="AGOSTO 2019"/>
    <x v="85"/>
    <x v="5"/>
    <s v="COSTO VACANZE"/>
    <n v="172.88"/>
    <m/>
    <m/>
    <m/>
  </r>
  <r>
    <x v="113"/>
    <s v="AGOSTO"/>
    <x v="7"/>
    <n v="8"/>
    <s v="AGOSTO 2019"/>
    <x v="85"/>
    <x v="1"/>
    <s v="COSTO CASA"/>
    <n v="21.15"/>
    <m/>
    <m/>
    <m/>
  </r>
  <r>
    <x v="6"/>
    <s v="AGOSTO"/>
    <x v="7"/>
    <n v="8"/>
    <s v="AGOSTO 2019"/>
    <x v="85"/>
    <x v="14"/>
    <s v="COSTO SOPRAVVIVENZA"/>
    <n v="8"/>
    <m/>
    <m/>
    <m/>
  </r>
  <r>
    <x v="469"/>
    <s v="AGOSTO"/>
    <x v="7"/>
    <n v="8"/>
    <s v="AGOSTO 2019"/>
    <x v="85"/>
    <x v="5"/>
    <s v="COSTO VACANZE"/>
    <n v="155"/>
    <m/>
    <m/>
    <m/>
  </r>
  <r>
    <x v="471"/>
    <s v="AGOSTO"/>
    <x v="7"/>
    <n v="8"/>
    <s v="AGOSTO 2019"/>
    <x v="85"/>
    <x v="12"/>
    <s v="COSTO SVAGHI"/>
    <n v="6.09"/>
    <m/>
    <m/>
    <m/>
  </r>
  <r>
    <x v="471"/>
    <s v="AGOSTO"/>
    <x v="7"/>
    <n v="8"/>
    <s v="AGOSTO 2019"/>
    <x v="85"/>
    <x v="12"/>
    <s v="COSTO SVAGHI"/>
    <n v="72.92"/>
    <m/>
    <m/>
    <m/>
  </r>
  <r>
    <x v="471"/>
    <s v="AGOSTO"/>
    <x v="7"/>
    <n v="8"/>
    <s v="AGOSTO 2019"/>
    <x v="85"/>
    <x v="12"/>
    <s v="COSTO SVAGHI"/>
    <n v="11.51"/>
    <m/>
    <m/>
    <m/>
  </r>
  <r>
    <x v="470"/>
    <s v="AGOSTO"/>
    <x v="7"/>
    <n v="8"/>
    <s v="AGOSTO 2019"/>
    <x v="85"/>
    <x v="0"/>
    <s v="COSTO SVAGHI"/>
    <n v="18.68"/>
    <m/>
    <m/>
    <m/>
  </r>
  <r>
    <x v="48"/>
    <s v="AGOSTO"/>
    <x v="7"/>
    <n v="8"/>
    <s v="AGOSTO 2019"/>
    <x v="85"/>
    <x v="11"/>
    <s v="COSTO SFIZI"/>
    <n v="40.24"/>
    <m/>
    <m/>
    <m/>
  </r>
  <r>
    <x v="471"/>
    <s v="AGOSTO"/>
    <x v="7"/>
    <n v="8"/>
    <s v="AGOSTO 2019"/>
    <x v="85"/>
    <x v="12"/>
    <s v="COSTO SVAGHI"/>
    <n v="8.16"/>
    <m/>
    <m/>
    <m/>
  </r>
  <r>
    <x v="471"/>
    <s v="AGOSTO"/>
    <x v="7"/>
    <n v="8"/>
    <s v="AGOSTO 2019"/>
    <x v="85"/>
    <x v="12"/>
    <s v="COSTO SVAGHI"/>
    <n v="47.32"/>
    <m/>
    <m/>
    <m/>
  </r>
  <r>
    <x v="471"/>
    <s v="AGOSTO"/>
    <x v="7"/>
    <n v="8"/>
    <s v="AGOSTO 2019"/>
    <x v="85"/>
    <x v="12"/>
    <s v="COSTO SVAGHI"/>
    <n v="44.17"/>
    <m/>
    <m/>
    <m/>
  </r>
  <r>
    <x v="469"/>
    <s v="AGOSTO"/>
    <x v="7"/>
    <n v="8"/>
    <s v="AGOSTO 2019"/>
    <x v="85"/>
    <x v="5"/>
    <s v="COSTO VACANZE"/>
    <n v="98"/>
    <m/>
    <m/>
    <m/>
  </r>
  <r>
    <x v="469"/>
    <s v="AGOSTO"/>
    <x v="7"/>
    <n v="8"/>
    <s v="AGOSTO 2019"/>
    <x v="85"/>
    <x v="5"/>
    <s v="COSTO VACANZE"/>
    <n v="108"/>
    <m/>
    <m/>
    <m/>
  </r>
  <r>
    <x v="469"/>
    <s v="AGOSTO"/>
    <x v="7"/>
    <n v="8"/>
    <s v="AGOSTO 2019"/>
    <x v="85"/>
    <x v="5"/>
    <s v="COSTO VACANZE"/>
    <n v="122.9"/>
    <m/>
    <m/>
    <m/>
  </r>
  <r>
    <x v="192"/>
    <s v="AGOSTO"/>
    <x v="7"/>
    <n v="8"/>
    <s v="AGOSTO 2019"/>
    <x v="85"/>
    <x v="3"/>
    <s v="COSTO MOBILITA'"/>
    <n v="20.149999999999999"/>
    <m/>
    <m/>
    <m/>
  </r>
  <r>
    <x v="57"/>
    <s v="AGOSTO"/>
    <x v="7"/>
    <n v="8"/>
    <s v="AGOSTO 2019"/>
    <x v="85"/>
    <x v="0"/>
    <s v="COSTO SVAGHI"/>
    <n v="13"/>
    <m/>
    <m/>
    <m/>
  </r>
  <r>
    <x v="472"/>
    <s v="LUGLIO"/>
    <x v="7"/>
    <n v="7"/>
    <s v="LUGLIO 2019"/>
    <x v="86"/>
    <x v="12"/>
    <s v="COSTO SVAGHI"/>
    <n v="181.8"/>
    <m/>
    <m/>
    <m/>
  </r>
  <r>
    <x v="257"/>
    <s v="LUGLIO"/>
    <x v="7"/>
    <n v="7"/>
    <s v="LUGLIO 2019"/>
    <x v="86"/>
    <x v="3"/>
    <s v="COSTO MOBILITA'"/>
    <n v="30"/>
    <m/>
    <m/>
    <m/>
  </r>
  <r>
    <x v="416"/>
    <s v="LUGLIO"/>
    <x v="7"/>
    <n v="7"/>
    <s v="LUGLIO 2019"/>
    <x v="86"/>
    <x v="0"/>
    <s v="COSTO SVAGHI"/>
    <n v="102.3"/>
    <m/>
    <m/>
    <m/>
  </r>
  <r>
    <x v="7"/>
    <s v="LUGLIO"/>
    <x v="7"/>
    <n v="7"/>
    <s v="LUGLIO 2019"/>
    <x v="86"/>
    <x v="5"/>
    <s v="COSTO VACANZE"/>
    <n v="334.04"/>
    <m/>
    <m/>
    <s v="Ultra music festival"/>
  </r>
  <r>
    <x v="67"/>
    <s v="LUGLIO"/>
    <x v="7"/>
    <n v="7"/>
    <s v="LUGLIO 2019"/>
    <x v="86"/>
    <x v="7"/>
    <s v="COSTO SOPRAVVIVENZA"/>
    <n v="20.399999999999999"/>
    <m/>
    <m/>
    <m/>
  </r>
  <r>
    <x v="473"/>
    <s v="LUGLIO"/>
    <x v="7"/>
    <n v="7"/>
    <s v="LUGLIO 2019"/>
    <x v="86"/>
    <x v="12"/>
    <s v="COSTO SVAGHI"/>
    <n v="75.84"/>
    <m/>
    <m/>
    <m/>
  </r>
  <r>
    <x v="473"/>
    <s v="LUGLIO"/>
    <x v="7"/>
    <n v="7"/>
    <s v="LUGLIO 2019"/>
    <x v="86"/>
    <x v="12"/>
    <s v="COSTO SVAGHI"/>
    <n v="3.32"/>
    <m/>
    <m/>
    <m/>
  </r>
  <r>
    <x v="473"/>
    <s v="LUGLIO"/>
    <x v="7"/>
    <n v="7"/>
    <s v="LUGLIO 2019"/>
    <x v="86"/>
    <x v="12"/>
    <s v="COSTO SVAGHI"/>
    <n v="21.61"/>
    <m/>
    <m/>
    <m/>
  </r>
  <r>
    <x v="473"/>
    <s v="LUGLIO"/>
    <x v="7"/>
    <n v="7"/>
    <s v="LUGLIO 2019"/>
    <x v="86"/>
    <x v="12"/>
    <s v="COSTO SVAGHI"/>
    <n v="13.81"/>
    <m/>
    <m/>
    <m/>
  </r>
  <r>
    <x v="473"/>
    <s v="LUGLIO"/>
    <x v="7"/>
    <n v="7"/>
    <s v="LUGLIO 2019"/>
    <x v="86"/>
    <x v="12"/>
    <s v="COSTO SVAGHI"/>
    <n v="27.57"/>
    <m/>
    <m/>
    <m/>
  </r>
  <r>
    <x v="473"/>
    <s v="LUGLIO"/>
    <x v="7"/>
    <n v="7"/>
    <s v="LUGLIO 2019"/>
    <x v="86"/>
    <x v="12"/>
    <s v="COSTO SVAGHI"/>
    <n v="6.76"/>
    <m/>
    <m/>
    <m/>
  </r>
  <r>
    <x v="474"/>
    <s v="LUGLIO"/>
    <x v="7"/>
    <n v="7"/>
    <s v="LUGLIO 2019"/>
    <x v="86"/>
    <x v="3"/>
    <s v="COSTO MOBILITA'"/>
    <n v="1.3"/>
    <m/>
    <m/>
    <m/>
  </r>
  <r>
    <x v="474"/>
    <s v="LUGLIO"/>
    <x v="7"/>
    <n v="7"/>
    <s v="LUGLIO 2019"/>
    <x v="86"/>
    <x v="3"/>
    <s v="COSTO MOBILITA'"/>
    <n v="1.3"/>
    <m/>
    <m/>
    <m/>
  </r>
  <r>
    <x v="474"/>
    <s v="LUGLIO"/>
    <x v="7"/>
    <n v="7"/>
    <s v="LUGLIO 2019"/>
    <x v="86"/>
    <x v="3"/>
    <s v="COSTO MOBILITA'"/>
    <n v="2.6"/>
    <m/>
    <m/>
    <m/>
  </r>
  <r>
    <x v="2"/>
    <s v="LUGLIO"/>
    <x v="7"/>
    <n v="7"/>
    <s v="LUGLIO 2019"/>
    <x v="86"/>
    <x v="8"/>
    <s v="COSTO SFIZI"/>
    <n v="36.99"/>
    <m/>
    <s v="AMAZON"/>
    <m/>
  </r>
  <r>
    <x v="475"/>
    <m/>
    <x v="8"/>
    <m/>
    <m/>
    <x v="87"/>
    <x v="26"/>
    <m/>
    <m/>
    <m/>
    <m/>
    <m/>
  </r>
  <r>
    <x v="475"/>
    <m/>
    <x v="8"/>
    <m/>
    <m/>
    <x v="87"/>
    <x v="26"/>
    <m/>
    <m/>
    <m/>
    <m/>
    <m/>
  </r>
  <r>
    <x v="475"/>
    <m/>
    <x v="8"/>
    <m/>
    <m/>
    <x v="87"/>
    <x v="26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7">
  <r>
    <x v="0"/>
    <s v="SETTEMBRE"/>
    <x v="0"/>
    <n v="9"/>
    <s v="SETTEMBRE 2026"/>
    <s v="9 SETTEMBRE 2026"/>
    <x v="0"/>
    <x v="0"/>
    <n v="32"/>
    <m/>
    <m/>
    <m/>
  </r>
  <r>
    <x v="1"/>
    <s v="SETTEMBRE"/>
    <x v="0"/>
    <n v="9"/>
    <s v="SETTEMBRE 2026"/>
    <s v="9 SETTEMBRE 2026"/>
    <x v="0"/>
    <x v="0"/>
    <n v="6"/>
    <m/>
    <m/>
    <m/>
  </r>
  <r>
    <x v="2"/>
    <s v="SETTEMBRE"/>
    <x v="0"/>
    <n v="9"/>
    <s v="SETTEMBRE 2026"/>
    <s v="9 SETTEMBRE 2026"/>
    <x v="1"/>
    <x v="1"/>
    <n v="20"/>
    <m/>
    <m/>
    <s v="SPESA PAPA'"/>
  </r>
  <r>
    <x v="3"/>
    <s v="SETTEMBRE"/>
    <x v="0"/>
    <n v="9"/>
    <s v="SETTEMBRE 2026"/>
    <s v="9 SETTEMBRE 2026"/>
    <x v="2"/>
    <x v="2"/>
    <n v="5"/>
    <m/>
    <m/>
    <m/>
  </r>
  <r>
    <x v="4"/>
    <s v="SETTEMBRE"/>
    <x v="0"/>
    <n v="9"/>
    <s v="SETTEMBRE 2026"/>
    <s v="9 SETTEMBRE 2026"/>
    <x v="3"/>
    <x v="3"/>
    <n v="0.7"/>
    <m/>
    <m/>
    <m/>
  </r>
  <r>
    <x v="5"/>
    <s v="SETTEMBRE"/>
    <x v="0"/>
    <n v="9"/>
    <s v="SETTEMBRE 2026"/>
    <s v="9 SETTEMBRE 2026"/>
    <x v="4"/>
    <x v="4"/>
    <n v="30"/>
    <m/>
    <s v="REVOLUT"/>
    <m/>
  </r>
  <r>
    <x v="3"/>
    <s v="SETTEMBRE"/>
    <x v="0"/>
    <n v="9"/>
    <s v="SETTEMBRE 2026"/>
    <s v="9 SETTEMBRE 2026"/>
    <x v="2"/>
    <x v="2"/>
    <n v="5"/>
    <m/>
    <m/>
    <m/>
  </r>
  <r>
    <x v="6"/>
    <s v="SETTEMBRE"/>
    <x v="0"/>
    <n v="9"/>
    <s v="SETTEMBRE 2026"/>
    <s v="9 SETTEMBRE 2026"/>
    <x v="0"/>
    <x v="0"/>
    <n v="14.5"/>
    <m/>
    <m/>
    <m/>
  </r>
  <r>
    <x v="3"/>
    <s v="SETTEMBRE"/>
    <x v="0"/>
    <n v="9"/>
    <s v="SETTEMBRE 2026"/>
    <s v="9 SETTEMBRE 2026"/>
    <x v="2"/>
    <x v="2"/>
    <n v="5"/>
    <m/>
    <m/>
    <m/>
  </r>
  <r>
    <x v="7"/>
    <s v="SETTEMBRE"/>
    <x v="0"/>
    <n v="9"/>
    <s v="SETTEMBRE 2026"/>
    <s v="9 SETTEMBRE 2026"/>
    <x v="5"/>
    <x v="5"/>
    <n v="324"/>
    <m/>
    <m/>
    <s v="Matrimonio CUC"/>
  </r>
  <r>
    <x v="3"/>
    <s v="SETTEMBRE"/>
    <x v="0"/>
    <n v="9"/>
    <s v="SETTEMBRE 2026"/>
    <s v="9 SETTEMBRE 2026"/>
    <x v="2"/>
    <x v="2"/>
    <n v="5"/>
    <m/>
    <m/>
    <m/>
  </r>
  <r>
    <x v="8"/>
    <s v="SETTEMBRE"/>
    <x v="0"/>
    <n v="9"/>
    <s v="SETTEMBRE 2026"/>
    <s v="9 SETTEMBRE 2026"/>
    <x v="6"/>
    <x v="2"/>
    <n v="33"/>
    <m/>
    <m/>
    <m/>
  </r>
  <r>
    <x v="9"/>
    <s v="SETTEMBRE"/>
    <x v="0"/>
    <n v="9"/>
    <s v="SETTEMBRE 2026"/>
    <s v="9 SETTEMBRE 2026"/>
    <x v="0"/>
    <x v="0"/>
    <n v="30"/>
    <m/>
    <m/>
    <m/>
  </r>
  <r>
    <x v="10"/>
    <s v="SETTEMBRE"/>
    <x v="0"/>
    <n v="9"/>
    <s v="SETTEMBRE 2026"/>
    <s v="9 SETTEMBRE 2026"/>
    <x v="0"/>
    <x v="0"/>
    <n v="68.5"/>
    <m/>
    <m/>
    <m/>
  </r>
  <r>
    <x v="11"/>
    <s v="SETTEMBRE"/>
    <x v="0"/>
    <n v="9"/>
    <s v="SETTEMBRE 2026"/>
    <s v="9 SETTEMBRE 2026"/>
    <x v="0"/>
    <x v="0"/>
    <n v="17"/>
    <m/>
    <m/>
    <m/>
  </r>
  <r>
    <x v="3"/>
    <s v="SETTEMBRE"/>
    <x v="0"/>
    <n v="9"/>
    <s v="SETTEMBRE 2026"/>
    <s v="9 SETTEMBRE 2026"/>
    <x v="2"/>
    <x v="2"/>
    <n v="5"/>
    <m/>
    <m/>
    <m/>
  </r>
  <r>
    <x v="12"/>
    <s v="SETTEMBRE"/>
    <x v="0"/>
    <n v="9"/>
    <s v="SETTEMBRE 2026"/>
    <s v="9 SETTEMBRE 2026"/>
    <x v="7"/>
    <x v="2"/>
    <n v="37.76"/>
    <m/>
    <m/>
    <m/>
  </r>
  <r>
    <x v="12"/>
    <s v="SETTEMBRE"/>
    <x v="0"/>
    <n v="9"/>
    <s v="SETTEMBRE 2026"/>
    <s v="9 SETTEMBRE 2026"/>
    <x v="7"/>
    <x v="2"/>
    <n v="13.28"/>
    <m/>
    <m/>
    <m/>
  </r>
  <r>
    <x v="13"/>
    <s v="SETTEMBRE"/>
    <x v="0"/>
    <n v="9"/>
    <s v="SETTEMBRE 2026"/>
    <s v="9 SETTEMBRE 2026"/>
    <x v="0"/>
    <x v="0"/>
    <n v="8"/>
    <m/>
    <m/>
    <m/>
  </r>
  <r>
    <x v="14"/>
    <s v="SETTEMBRE"/>
    <x v="0"/>
    <n v="9"/>
    <s v="SETTEMBRE 2026"/>
    <s v="9 SETTEMBRE 2026"/>
    <x v="0"/>
    <x v="0"/>
    <n v="48.5"/>
    <m/>
    <m/>
    <m/>
  </r>
  <r>
    <x v="2"/>
    <s v="SETTEMBRE"/>
    <x v="0"/>
    <n v="9"/>
    <s v="SETTEMBRE 2026"/>
    <s v="9 SETTEMBRE 2026"/>
    <x v="8"/>
    <x v="6"/>
    <n v="15.95"/>
    <m/>
    <m/>
    <s v="SPESA PAPA'"/>
  </r>
  <r>
    <x v="3"/>
    <s v="SETTEMBRE"/>
    <x v="0"/>
    <n v="9"/>
    <s v="SETTEMBRE 2026"/>
    <s v="9 SETTEMBRE 2026"/>
    <x v="2"/>
    <x v="2"/>
    <n v="5"/>
    <m/>
    <m/>
    <m/>
  </r>
  <r>
    <x v="11"/>
    <s v="SETTEMBRE"/>
    <x v="0"/>
    <n v="9"/>
    <s v="SETTEMBRE 2026"/>
    <s v="9 SETTEMBRE 2026"/>
    <x v="0"/>
    <x v="0"/>
    <n v="4"/>
    <m/>
    <m/>
    <m/>
  </r>
  <r>
    <x v="2"/>
    <s v="SETTEMBRE"/>
    <x v="0"/>
    <n v="9"/>
    <s v="SETTEMBRE 2026"/>
    <s v="9 SETTEMBRE 2026"/>
    <x v="1"/>
    <x v="1"/>
    <n v="75.900000000000006"/>
    <m/>
    <m/>
    <s v="SPESA PAPA'"/>
  </r>
  <r>
    <x v="2"/>
    <s v="SETTEMBRE"/>
    <x v="0"/>
    <n v="9"/>
    <s v="SETTEMBRE 2026"/>
    <s v="9 SETTEMBRE 2026"/>
    <x v="8"/>
    <x v="6"/>
    <n v="21.99"/>
    <m/>
    <m/>
    <s v="REGALO DAVIDE TOSO"/>
  </r>
  <r>
    <x v="2"/>
    <s v="SETTEMBRE"/>
    <x v="0"/>
    <n v="9"/>
    <s v="SETTEMBRE 2026"/>
    <s v="9 SETTEMBRE 2026"/>
    <x v="8"/>
    <x v="6"/>
    <n v="19.989999999999998"/>
    <m/>
    <m/>
    <s v="SPESA PAPA'"/>
  </r>
  <r>
    <x v="2"/>
    <s v="SETTEMBRE"/>
    <x v="0"/>
    <n v="9"/>
    <s v="SETTEMBRE 2026"/>
    <s v="9 SETTEMBRE 2026"/>
    <x v="8"/>
    <x v="6"/>
    <n v="23.99"/>
    <m/>
    <m/>
    <s v="SPESA PAPA'"/>
  </r>
  <r>
    <x v="2"/>
    <s v="SETTEMBRE"/>
    <x v="0"/>
    <n v="9"/>
    <s v="SETTEMBRE 2026"/>
    <s v="9 SETTEMBRE 2026"/>
    <x v="8"/>
    <x v="6"/>
    <n v="19.5"/>
    <m/>
    <m/>
    <m/>
  </r>
  <r>
    <x v="5"/>
    <s v="SETTEMBRE"/>
    <x v="0"/>
    <n v="9"/>
    <s v="SETTEMBRE 2026"/>
    <s v="9 SETTEMBRE 2026"/>
    <x v="4"/>
    <x v="4"/>
    <n v="600"/>
    <m/>
    <s v="REVOLUT"/>
    <m/>
  </r>
  <r>
    <x v="15"/>
    <s v="SETTEMBRE"/>
    <x v="0"/>
    <n v="9"/>
    <s v="SETTEMBRE 2026"/>
    <s v="9 SETTEMBRE 2026"/>
    <x v="1"/>
    <x v="1"/>
    <n v="21.23"/>
    <m/>
    <m/>
    <s v="SPESA GAS"/>
  </r>
  <r>
    <x v="16"/>
    <s v="SETTEMBRE"/>
    <x v="0"/>
    <n v="9"/>
    <s v="SETTEMBRE 2026"/>
    <s v="9 SETTEMBRE 2026"/>
    <x v="0"/>
    <x v="0"/>
    <n v="39"/>
    <m/>
    <m/>
    <m/>
  </r>
  <r>
    <x v="17"/>
    <s v="SETTEMBRE"/>
    <x v="0"/>
    <n v="9"/>
    <s v="SETTEMBRE 2026"/>
    <s v="9 SETTEMBRE 2026"/>
    <x v="7"/>
    <x v="2"/>
    <n v="36.04"/>
    <m/>
    <m/>
    <m/>
  </r>
  <r>
    <x v="2"/>
    <s v="SETTEMBRE"/>
    <x v="0"/>
    <n v="9"/>
    <s v="SETTEMBRE 2026"/>
    <s v="9 SETTEMBRE 2026"/>
    <x v="8"/>
    <x v="6"/>
    <n v="73.8"/>
    <s v="5/5"/>
    <s v="AMAZON"/>
    <s v="TV PAPA'"/>
  </r>
  <r>
    <x v="2"/>
    <s v="SETTEMBRE"/>
    <x v="0"/>
    <n v="9"/>
    <s v="SETTEMBRE 2026"/>
    <s v="9 SETTEMBRE 2026"/>
    <x v="8"/>
    <x v="6"/>
    <n v="45.75"/>
    <s v="3/5"/>
    <s v="AMAZON"/>
    <s v="MOVA"/>
  </r>
  <r>
    <x v="2"/>
    <s v="SETTEMBRE"/>
    <x v="0"/>
    <n v="9"/>
    <s v="SETTEMBRE 2026"/>
    <s v="9 SETTEMBRE 2026"/>
    <x v="1"/>
    <x v="1"/>
    <n v="23.9"/>
    <m/>
    <m/>
    <m/>
  </r>
  <r>
    <x v="5"/>
    <s v="SETTEMBRE"/>
    <x v="0"/>
    <n v="9"/>
    <s v="SETTEMBRE 2026"/>
    <s v="9 SETTEMBRE 2026"/>
    <x v="4"/>
    <x v="4"/>
    <n v="300"/>
    <m/>
    <s v="REVOLUT"/>
    <m/>
  </r>
  <r>
    <x v="2"/>
    <s v="SETTEMBRE"/>
    <x v="0"/>
    <n v="9"/>
    <s v="SETTEMBRE 2026"/>
    <s v="9 SETTEMBRE 2026"/>
    <x v="1"/>
    <x v="1"/>
    <n v="56.9"/>
    <m/>
    <m/>
    <s v="SPESA PAPA'"/>
  </r>
  <r>
    <x v="18"/>
    <s v="SETTEMBRE"/>
    <x v="0"/>
    <n v="9"/>
    <s v="SETTEMBRE 2026"/>
    <s v="9 SETTEMBRE 2026"/>
    <x v="0"/>
    <x v="0"/>
    <n v="7"/>
    <m/>
    <m/>
    <m/>
  </r>
  <r>
    <x v="3"/>
    <s v="SETTEMBRE"/>
    <x v="0"/>
    <n v="9"/>
    <s v="SETTEMBRE 2026"/>
    <s v="9 SETTEMBRE 2026"/>
    <x v="2"/>
    <x v="2"/>
    <n v="5"/>
    <m/>
    <m/>
    <m/>
  </r>
  <r>
    <x v="19"/>
    <s v="SETTEMBRE"/>
    <x v="0"/>
    <n v="9"/>
    <s v="SETTEMBRE 2026"/>
    <s v="9 SETTEMBRE 2026"/>
    <x v="0"/>
    <x v="0"/>
    <n v="10.9"/>
    <m/>
    <m/>
    <m/>
  </r>
  <r>
    <x v="20"/>
    <s v="AGOSTO"/>
    <x v="0"/>
    <n v="8"/>
    <s v="AGOSTO 2026"/>
    <s v="8 AGOSTO 2026"/>
    <x v="0"/>
    <x v="0"/>
    <n v="5.8"/>
    <m/>
    <m/>
    <m/>
  </r>
  <r>
    <x v="3"/>
    <s v="AGOSTO"/>
    <x v="0"/>
    <n v="8"/>
    <s v="AGOSTO 2026"/>
    <s v="8 AGOSTO 2026"/>
    <x v="2"/>
    <x v="2"/>
    <n v="5"/>
    <m/>
    <m/>
    <m/>
  </r>
  <r>
    <x v="2"/>
    <s v="AGOSTO"/>
    <x v="0"/>
    <n v="8"/>
    <s v="AGOSTO 2026"/>
    <s v="8 AGOSTO 2026"/>
    <x v="8"/>
    <x v="6"/>
    <n v="20"/>
    <m/>
    <m/>
    <m/>
  </r>
  <r>
    <x v="15"/>
    <s v="AGOSTO"/>
    <x v="0"/>
    <n v="8"/>
    <s v="AGOSTO 2026"/>
    <s v="8 AGOSTO 2026"/>
    <x v="1"/>
    <x v="1"/>
    <n v="92.14"/>
    <m/>
    <m/>
    <s v="SPESA ENERGIA"/>
  </r>
  <r>
    <x v="2"/>
    <s v="AGOSTO"/>
    <x v="0"/>
    <n v="8"/>
    <s v="AGOSTO 2026"/>
    <s v="8 AGOSTO 2026"/>
    <x v="8"/>
    <x v="6"/>
    <n v="10.99"/>
    <m/>
    <m/>
    <m/>
  </r>
  <r>
    <x v="21"/>
    <s v="AGOSTO"/>
    <x v="0"/>
    <n v="8"/>
    <s v="AGOSTO 2026"/>
    <s v="8 AGOSTO 2026"/>
    <x v="9"/>
    <x v="3"/>
    <n v="12"/>
    <m/>
    <m/>
    <m/>
  </r>
  <r>
    <x v="17"/>
    <s v="AGOSTO"/>
    <x v="0"/>
    <n v="8"/>
    <s v="AGOSTO 2026"/>
    <s v="8 AGOSTO 2026"/>
    <x v="7"/>
    <x v="2"/>
    <n v="5.73"/>
    <m/>
    <m/>
    <m/>
  </r>
  <r>
    <x v="22"/>
    <s v="AGOSTO"/>
    <x v="0"/>
    <n v="8"/>
    <s v="AGOSTO 2026"/>
    <s v="8 AGOSTO 2026"/>
    <x v="1"/>
    <x v="1"/>
    <n v="1.8"/>
    <m/>
    <m/>
    <m/>
  </r>
  <r>
    <x v="23"/>
    <s v="AGOSTO"/>
    <x v="0"/>
    <n v="8"/>
    <s v="AGOSTO 2026"/>
    <s v="8 AGOSTO 2026"/>
    <x v="3"/>
    <x v="3"/>
    <n v="0.95"/>
    <m/>
    <m/>
    <m/>
  </r>
  <r>
    <x v="24"/>
    <s v="AGOSTO"/>
    <x v="0"/>
    <n v="8"/>
    <s v="AGOSTO 2026"/>
    <s v="8 AGOSTO 2026"/>
    <x v="0"/>
    <x v="0"/>
    <n v="12.5"/>
    <m/>
    <m/>
    <s v="Viaggio Costiera Amalfitana 26"/>
  </r>
  <r>
    <x v="25"/>
    <s v="AGOSTO"/>
    <x v="0"/>
    <n v="8"/>
    <s v="AGOSTO 2026"/>
    <s v="8 AGOSTO 2026"/>
    <x v="0"/>
    <x v="0"/>
    <n v="9.6"/>
    <m/>
    <m/>
    <s v="Viaggio Costiera Amalfitana 26"/>
  </r>
  <r>
    <x v="26"/>
    <s v="AGOSTO"/>
    <x v="0"/>
    <n v="8"/>
    <s v="AGOSTO 2026"/>
    <s v="8 AGOSTO 2026"/>
    <x v="10"/>
    <x v="6"/>
    <n v="8.5"/>
    <m/>
    <m/>
    <s v="Viaggio Costiera Amalfitana 26"/>
  </r>
  <r>
    <x v="27"/>
    <s v="AGOSTO"/>
    <x v="0"/>
    <n v="8"/>
    <s v="AGOSTO 2026"/>
    <s v="8 AGOSTO 2026"/>
    <x v="10"/>
    <x v="6"/>
    <n v="10.5"/>
    <m/>
    <m/>
    <s v="Viaggio Costiera Amalfitana 26"/>
  </r>
  <r>
    <x v="28"/>
    <s v="AGOSTO"/>
    <x v="0"/>
    <n v="8"/>
    <s v="AGOSTO 2026"/>
    <s v="8 AGOSTO 2026"/>
    <x v="0"/>
    <x v="0"/>
    <n v="20"/>
    <m/>
    <m/>
    <s v="Viaggio Costiera Amalfitana 26"/>
  </r>
  <r>
    <x v="29"/>
    <s v="AGOSTO"/>
    <x v="0"/>
    <n v="8"/>
    <s v="AGOSTO 2026"/>
    <s v="8 AGOSTO 2026"/>
    <x v="0"/>
    <x v="0"/>
    <n v="44"/>
    <m/>
    <m/>
    <s v="Viaggio Costiera Amalfitana 26"/>
  </r>
  <r>
    <x v="30"/>
    <s v="AGOSTO"/>
    <x v="0"/>
    <n v="8"/>
    <s v="AGOSTO 2026"/>
    <s v="8 AGOSTO 2026"/>
    <x v="5"/>
    <x v="5"/>
    <n v="5"/>
    <m/>
    <m/>
    <s v="Viaggio Costiera Amalfitana 26"/>
  </r>
  <r>
    <x v="31"/>
    <s v="AGOSTO"/>
    <x v="0"/>
    <n v="8"/>
    <s v="AGOSTO 2026"/>
    <s v="8 AGOSTO 2026"/>
    <x v="11"/>
    <x v="6"/>
    <n v="10"/>
    <m/>
    <m/>
    <s v="Viaggio Costiera Amalfitana 26"/>
  </r>
  <r>
    <x v="32"/>
    <s v="AGOSTO"/>
    <x v="0"/>
    <n v="8"/>
    <s v="AGOSTO 2026"/>
    <s v="8 AGOSTO 2026"/>
    <x v="0"/>
    <x v="0"/>
    <n v="112"/>
    <m/>
    <m/>
    <s v="Viaggio Costiera Amalfitana 26"/>
  </r>
  <r>
    <x v="33"/>
    <s v="AGOSTO"/>
    <x v="0"/>
    <n v="8"/>
    <s v="AGOSTO 2026"/>
    <s v="8 AGOSTO 2026"/>
    <x v="3"/>
    <x v="3"/>
    <n v="24"/>
    <m/>
    <m/>
    <s v="Viaggio Costiera Amalfitana 26"/>
  </r>
  <r>
    <x v="34"/>
    <s v="AGOSTO"/>
    <x v="0"/>
    <n v="8"/>
    <s v="AGOSTO 2026"/>
    <s v="8 AGOSTO 2026"/>
    <x v="0"/>
    <x v="0"/>
    <n v="11.95"/>
    <m/>
    <m/>
    <s v="Viaggio Costiera Amalfitana 26"/>
  </r>
  <r>
    <x v="35"/>
    <s v="AGOSTO"/>
    <x v="0"/>
    <n v="8"/>
    <s v="AGOSTO 2026"/>
    <s v="8 AGOSTO 2026"/>
    <x v="1"/>
    <x v="1"/>
    <n v="23.39"/>
    <m/>
    <m/>
    <m/>
  </r>
  <r>
    <x v="36"/>
    <s v="AGOSTO"/>
    <x v="0"/>
    <n v="8"/>
    <s v="AGOSTO 2026"/>
    <s v="8 AGOSTO 2026"/>
    <x v="0"/>
    <x v="0"/>
    <n v="11.2"/>
    <m/>
    <m/>
    <m/>
  </r>
  <r>
    <x v="37"/>
    <s v="AGOSTO"/>
    <x v="0"/>
    <n v="8"/>
    <s v="AGOSTO 2026"/>
    <s v="8 AGOSTO 2026"/>
    <x v="0"/>
    <x v="0"/>
    <n v="13.4"/>
    <m/>
    <m/>
    <m/>
  </r>
  <r>
    <x v="20"/>
    <s v="AGOSTO"/>
    <x v="0"/>
    <n v="8"/>
    <s v="AGOSTO 2026"/>
    <s v="8 AGOSTO 2026"/>
    <x v="0"/>
    <x v="0"/>
    <n v="5.8"/>
    <m/>
    <m/>
    <m/>
  </r>
  <r>
    <x v="3"/>
    <s v="AGOSTO"/>
    <x v="0"/>
    <n v="8"/>
    <s v="AGOSTO 2026"/>
    <s v="8 AGOSTO 2026"/>
    <x v="2"/>
    <x v="2"/>
    <n v="5"/>
    <m/>
    <m/>
    <m/>
  </r>
  <r>
    <x v="7"/>
    <s v="AGOSTO"/>
    <x v="0"/>
    <n v="8"/>
    <s v="AGOSTO 2026"/>
    <s v="8 AGOSTO 2026"/>
    <x v="5"/>
    <x v="5"/>
    <n v="1349"/>
    <m/>
    <m/>
    <s v="Viaggio Costiera Amalfitana 26"/>
  </r>
  <r>
    <x v="2"/>
    <s v="AGOSTO"/>
    <x v="0"/>
    <n v="8"/>
    <s v="AGOSTO 2026"/>
    <s v="8 AGOSTO 2026"/>
    <x v="8"/>
    <x v="6"/>
    <n v="73.8"/>
    <s v="4/5"/>
    <s v="AMAZON"/>
    <s v="TV PAPA'"/>
  </r>
  <r>
    <x v="2"/>
    <s v="AGOSTO"/>
    <x v="0"/>
    <n v="8"/>
    <s v="AGOSTO 2026"/>
    <s v="8 AGOSTO 2026"/>
    <x v="8"/>
    <x v="6"/>
    <n v="20.9"/>
    <m/>
    <s v="AMAZON"/>
    <m/>
  </r>
  <r>
    <x v="12"/>
    <s v="AGOSTO"/>
    <x v="0"/>
    <n v="8"/>
    <s v="AGOSTO 2026"/>
    <s v="8 AGOSTO 2026"/>
    <x v="7"/>
    <x v="2"/>
    <n v="17.87"/>
    <m/>
    <m/>
    <m/>
  </r>
  <r>
    <x v="11"/>
    <s v="AGOSTO"/>
    <x v="0"/>
    <n v="8"/>
    <s v="AGOSTO 2026"/>
    <s v="8 AGOSTO 2026"/>
    <x v="0"/>
    <x v="0"/>
    <n v="39.5"/>
    <m/>
    <m/>
    <m/>
  </r>
  <r>
    <x v="2"/>
    <s v="AGOSTO"/>
    <x v="0"/>
    <n v="8"/>
    <s v="AGOSTO 2026"/>
    <s v="8 AGOSTO 2026"/>
    <x v="8"/>
    <x v="6"/>
    <n v="12"/>
    <m/>
    <s v="AMAZON"/>
    <m/>
  </r>
  <r>
    <x v="18"/>
    <s v="AGOSTO"/>
    <x v="0"/>
    <n v="8"/>
    <s v="AGOSTO 2026"/>
    <s v="8 AGOSTO 2026"/>
    <x v="0"/>
    <x v="0"/>
    <n v="9.5"/>
    <m/>
    <m/>
    <m/>
  </r>
  <r>
    <x v="18"/>
    <s v="AGOSTO"/>
    <x v="0"/>
    <n v="8"/>
    <s v="AGOSTO 2026"/>
    <s v="8 AGOSTO 2026"/>
    <x v="0"/>
    <x v="0"/>
    <n v="26"/>
    <m/>
    <m/>
    <m/>
  </r>
  <r>
    <x v="2"/>
    <s v="AGOSTO"/>
    <x v="0"/>
    <n v="8"/>
    <s v="AGOSTO 2026"/>
    <s v="8 AGOSTO 2026"/>
    <x v="8"/>
    <x v="6"/>
    <n v="45.75"/>
    <s v="2/5"/>
    <s v="AMAZON"/>
    <s v="MOVA"/>
  </r>
  <r>
    <x v="15"/>
    <s v="AGOSTO"/>
    <x v="0"/>
    <n v="8"/>
    <s v="AGOSTO 2026"/>
    <s v="8 AGOSTO 2026"/>
    <x v="1"/>
    <x v="1"/>
    <n v="30.25"/>
    <m/>
    <m/>
    <s v="SPESA GAS"/>
  </r>
  <r>
    <x v="38"/>
    <s v="AGOSTO"/>
    <x v="0"/>
    <n v="8"/>
    <s v="AGOSTO 2026"/>
    <s v="8 AGOSTO 2026"/>
    <x v="0"/>
    <x v="0"/>
    <n v="15"/>
    <m/>
    <m/>
    <m/>
  </r>
  <r>
    <x v="39"/>
    <s v="AGOSTO"/>
    <x v="0"/>
    <n v="8"/>
    <s v="AGOSTO 2026"/>
    <s v="8 AGOSTO 2026"/>
    <x v="0"/>
    <x v="0"/>
    <n v="34"/>
    <m/>
    <m/>
    <m/>
  </r>
  <r>
    <x v="12"/>
    <s v="AGOSTO"/>
    <x v="0"/>
    <n v="8"/>
    <s v="AGOSTO 2026"/>
    <s v="8 AGOSTO 2026"/>
    <x v="7"/>
    <x v="2"/>
    <n v="19.760000000000002"/>
    <m/>
    <m/>
    <m/>
  </r>
  <r>
    <x v="37"/>
    <s v="AGOSTO"/>
    <x v="0"/>
    <n v="8"/>
    <s v="AGOSTO 2026"/>
    <s v="8 AGOSTO 2026"/>
    <x v="0"/>
    <x v="0"/>
    <n v="13.4"/>
    <m/>
    <m/>
    <m/>
  </r>
  <r>
    <x v="35"/>
    <s v="AGOSTO"/>
    <x v="0"/>
    <n v="8"/>
    <s v="AGOSTO 2026"/>
    <s v="8 AGOSTO 2026"/>
    <x v="1"/>
    <x v="1"/>
    <n v="22.68"/>
    <m/>
    <m/>
    <m/>
  </r>
  <r>
    <x v="17"/>
    <s v="AGOSTO"/>
    <x v="0"/>
    <n v="8"/>
    <s v="AGOSTO 2026"/>
    <s v="8 AGOSTO 2026"/>
    <x v="7"/>
    <x v="2"/>
    <n v="13.36"/>
    <m/>
    <m/>
    <m/>
  </r>
  <r>
    <x v="3"/>
    <s v="AGOSTO"/>
    <x v="0"/>
    <n v="8"/>
    <s v="AGOSTO 2026"/>
    <s v="8 AGOSTO 2026"/>
    <x v="2"/>
    <x v="2"/>
    <n v="5"/>
    <m/>
    <m/>
    <m/>
  </r>
  <r>
    <x v="2"/>
    <s v="LUGLIO"/>
    <x v="0"/>
    <n v="7"/>
    <s v="LUGLIO 2026"/>
    <s v="7 LUGLIO 2026"/>
    <x v="8"/>
    <x v="6"/>
    <n v="20"/>
    <m/>
    <s v="AMAZON"/>
    <m/>
  </r>
  <r>
    <x v="40"/>
    <s v="LUGLIO"/>
    <x v="0"/>
    <n v="7"/>
    <s v="LUGLIO 2026"/>
    <s v="7 LUGLIO 2026"/>
    <x v="0"/>
    <x v="0"/>
    <n v="40"/>
    <m/>
    <m/>
    <s v="Addio al cellibato Cuc"/>
  </r>
  <r>
    <x v="40"/>
    <s v="LUGLIO"/>
    <x v="0"/>
    <n v="7"/>
    <s v="LUGLIO 2026"/>
    <s v="7 LUGLIO 2026"/>
    <x v="0"/>
    <x v="0"/>
    <n v="50"/>
    <m/>
    <m/>
    <s v="Addio al cellibato Cuc"/>
  </r>
  <r>
    <x v="40"/>
    <s v="LUGLIO"/>
    <x v="0"/>
    <n v="7"/>
    <s v="LUGLIO 2026"/>
    <s v="7 LUGLIO 2026"/>
    <x v="0"/>
    <x v="0"/>
    <n v="50"/>
    <m/>
    <m/>
    <s v="Addio al cellibato Cuc"/>
  </r>
  <r>
    <x v="41"/>
    <s v="LUGLIO"/>
    <x v="0"/>
    <n v="7"/>
    <s v="LUGLIO 2026"/>
    <s v="7 LUGLIO 2026"/>
    <x v="3"/>
    <x v="3"/>
    <n v="20"/>
    <m/>
    <m/>
    <s v="Addio al cellibato Cuc"/>
  </r>
  <r>
    <x v="15"/>
    <s v="LUGLIO"/>
    <x v="0"/>
    <n v="7"/>
    <s v="LUGLIO 2026"/>
    <s v="7 LUGLIO 2026"/>
    <x v="1"/>
    <x v="1"/>
    <n v="90.27"/>
    <m/>
    <m/>
    <s v="SPESA ENERGIA"/>
  </r>
  <r>
    <x v="2"/>
    <s v="LUGLIO"/>
    <x v="0"/>
    <n v="7"/>
    <s v="LUGLIO 2026"/>
    <s v="7 LUGLIO 2026"/>
    <x v="8"/>
    <x v="6"/>
    <n v="13.99"/>
    <m/>
    <s v="AMAZON"/>
    <m/>
  </r>
  <r>
    <x v="17"/>
    <s v="LUGLIO"/>
    <x v="0"/>
    <n v="7"/>
    <s v="LUGLIO 2026"/>
    <s v="7 LUGLIO 2026"/>
    <x v="7"/>
    <x v="2"/>
    <n v="18.760000000000002"/>
    <m/>
    <m/>
    <m/>
  </r>
  <r>
    <x v="42"/>
    <s v="LUGLIO"/>
    <x v="0"/>
    <n v="7"/>
    <s v="LUGLIO 2026"/>
    <s v="7 LUGLIO 2026"/>
    <x v="0"/>
    <x v="0"/>
    <n v="48.5"/>
    <m/>
    <m/>
    <m/>
  </r>
  <r>
    <x v="20"/>
    <s v="LUGLIO"/>
    <x v="0"/>
    <n v="7"/>
    <s v="LUGLIO 2026"/>
    <s v="7 LUGLIO 2026"/>
    <x v="0"/>
    <x v="0"/>
    <n v="5.8"/>
    <m/>
    <m/>
    <m/>
  </r>
  <r>
    <x v="3"/>
    <s v="LUGLIO"/>
    <x v="0"/>
    <n v="7"/>
    <s v="LUGLIO 2026"/>
    <s v="7 LUGLIO 2026"/>
    <x v="2"/>
    <x v="2"/>
    <n v="5"/>
    <m/>
    <m/>
    <m/>
  </r>
  <r>
    <x v="17"/>
    <s v="LUGLIO"/>
    <x v="0"/>
    <n v="7"/>
    <s v="LUGLIO 2026"/>
    <s v="7 LUGLIO 2026"/>
    <x v="7"/>
    <x v="2"/>
    <n v="3.97"/>
    <m/>
    <m/>
    <m/>
  </r>
  <r>
    <x v="22"/>
    <s v="LUGLIO"/>
    <x v="0"/>
    <n v="7"/>
    <s v="LUGLIO 2026"/>
    <s v="7 LUGLIO 2026"/>
    <x v="1"/>
    <x v="1"/>
    <n v="6.1"/>
    <m/>
    <m/>
    <m/>
  </r>
  <r>
    <x v="12"/>
    <s v="LUGLIO"/>
    <x v="0"/>
    <n v="7"/>
    <s v="LUGLIO 2026"/>
    <s v="7 LUGLIO 2026"/>
    <x v="7"/>
    <x v="2"/>
    <n v="6.47"/>
    <m/>
    <m/>
    <m/>
  </r>
  <r>
    <x v="19"/>
    <s v="LUGLIO"/>
    <x v="0"/>
    <n v="7"/>
    <s v="LUGLIO 2026"/>
    <s v="7 LUGLIO 2026"/>
    <x v="0"/>
    <x v="0"/>
    <n v="11.9"/>
    <m/>
    <m/>
    <m/>
  </r>
  <r>
    <x v="43"/>
    <s v="LUGLIO"/>
    <x v="0"/>
    <n v="7"/>
    <s v="LUGLIO 2026"/>
    <s v="7 LUGLIO 2026"/>
    <x v="12"/>
    <x v="0"/>
    <n v="14.49"/>
    <m/>
    <m/>
    <m/>
  </r>
  <r>
    <x v="5"/>
    <s v="LUGLIO"/>
    <x v="0"/>
    <n v="7"/>
    <s v="LUGLIO 2026"/>
    <s v="7 LUGLIO 2026"/>
    <x v="4"/>
    <x v="4"/>
    <n v="50"/>
    <m/>
    <s v="REVOLUT"/>
    <m/>
  </r>
  <r>
    <x v="44"/>
    <s v="LUGLIO"/>
    <x v="0"/>
    <n v="7"/>
    <s v="LUGLIO 2026"/>
    <s v="7 LUGLIO 2026"/>
    <x v="0"/>
    <x v="0"/>
    <n v="6.5"/>
    <m/>
    <m/>
    <m/>
  </r>
  <r>
    <x v="45"/>
    <s v="LUGLIO"/>
    <x v="0"/>
    <n v="7"/>
    <s v="LUGLIO 2026"/>
    <s v="7 LUGLIO 2026"/>
    <x v="0"/>
    <x v="0"/>
    <n v="23"/>
    <m/>
    <m/>
    <m/>
  </r>
  <r>
    <x v="46"/>
    <s v="LUGLIO"/>
    <x v="0"/>
    <n v="7"/>
    <s v="LUGLIO 2026"/>
    <s v="7 LUGLIO 2026"/>
    <x v="0"/>
    <x v="0"/>
    <n v="5"/>
    <m/>
    <m/>
    <m/>
  </r>
  <r>
    <x v="46"/>
    <s v="LUGLIO"/>
    <x v="0"/>
    <n v="7"/>
    <s v="LUGLIO 2026"/>
    <s v="7 LUGLIO 2026"/>
    <x v="0"/>
    <x v="0"/>
    <n v="60"/>
    <m/>
    <m/>
    <m/>
  </r>
  <r>
    <x v="47"/>
    <s v="LUGLIO"/>
    <x v="0"/>
    <n v="7"/>
    <s v="LUGLIO 2026"/>
    <s v="7 LUGLIO 2026"/>
    <x v="10"/>
    <x v="6"/>
    <n v="34.9"/>
    <m/>
    <m/>
    <m/>
  </r>
  <r>
    <x v="48"/>
    <s v="LUGLIO"/>
    <x v="0"/>
    <n v="7"/>
    <s v="LUGLIO 2026"/>
    <s v="7 LUGLIO 2026"/>
    <x v="10"/>
    <x v="6"/>
    <n v="23.99"/>
    <m/>
    <m/>
    <m/>
  </r>
  <r>
    <x v="49"/>
    <s v="LUGLIO"/>
    <x v="0"/>
    <n v="7"/>
    <s v="LUGLIO 2026"/>
    <s v="7 LUGLIO 2026"/>
    <x v="0"/>
    <x v="0"/>
    <n v="10.3"/>
    <m/>
    <m/>
    <m/>
  </r>
  <r>
    <x v="2"/>
    <s v="LUGLIO"/>
    <x v="0"/>
    <n v="7"/>
    <s v="LUGLIO 2026"/>
    <s v="7 LUGLIO 2026"/>
    <x v="8"/>
    <x v="6"/>
    <n v="52.79"/>
    <m/>
    <s v="AMAZON"/>
    <m/>
  </r>
  <r>
    <x v="37"/>
    <s v="LUGLIO"/>
    <x v="0"/>
    <n v="7"/>
    <s v="LUGLIO 2026"/>
    <s v="7 LUGLIO 2026"/>
    <x v="0"/>
    <x v="0"/>
    <n v="11.4"/>
    <m/>
    <m/>
    <m/>
  </r>
  <r>
    <x v="2"/>
    <s v="LUGLIO"/>
    <x v="0"/>
    <n v="7"/>
    <s v="LUGLIO 2026"/>
    <s v="7 LUGLIO 2026"/>
    <x v="11"/>
    <x v="6"/>
    <n v="23.42"/>
    <m/>
    <m/>
    <m/>
  </r>
  <r>
    <x v="17"/>
    <s v="LUGLIO"/>
    <x v="0"/>
    <n v="7"/>
    <s v="LUGLIO 2026"/>
    <s v="7 LUGLIO 2026"/>
    <x v="7"/>
    <x v="2"/>
    <n v="8.94"/>
    <m/>
    <m/>
    <m/>
  </r>
  <r>
    <x v="3"/>
    <s v="LUGLIO"/>
    <x v="0"/>
    <n v="7"/>
    <s v="LUGLIO 2026"/>
    <s v="7 LUGLIO 2026"/>
    <x v="2"/>
    <x v="2"/>
    <n v="5"/>
    <m/>
    <m/>
    <m/>
  </r>
  <r>
    <x v="2"/>
    <s v="LUGLIO"/>
    <x v="0"/>
    <n v="7"/>
    <s v="LUGLIO 2026"/>
    <s v="7 LUGLIO 2026"/>
    <x v="11"/>
    <x v="6"/>
    <n v="72"/>
    <m/>
    <s v="AMAZON"/>
    <m/>
  </r>
  <r>
    <x v="45"/>
    <s v="LUGLIO"/>
    <x v="0"/>
    <n v="7"/>
    <s v="LUGLIO 2026"/>
    <s v="7 LUGLIO 2026"/>
    <x v="0"/>
    <x v="0"/>
    <n v="20.3"/>
    <m/>
    <m/>
    <m/>
  </r>
  <r>
    <x v="50"/>
    <s v="LUGLIO"/>
    <x v="0"/>
    <n v="7"/>
    <s v="LUGLIO 2026"/>
    <s v="7 LUGLIO 2026"/>
    <x v="0"/>
    <x v="0"/>
    <n v="33.5"/>
    <m/>
    <m/>
    <m/>
  </r>
  <r>
    <x v="11"/>
    <s v="LUGLIO"/>
    <x v="0"/>
    <n v="7"/>
    <s v="LUGLIO 2026"/>
    <s v="7 LUGLIO 2026"/>
    <x v="0"/>
    <x v="0"/>
    <n v="13.5"/>
    <m/>
    <m/>
    <m/>
  </r>
  <r>
    <x v="7"/>
    <s v="LUGLIO"/>
    <x v="0"/>
    <n v="7"/>
    <s v="LUGLIO 2026"/>
    <s v="7 LUGLIO 2026"/>
    <x v="5"/>
    <x v="5"/>
    <n v="758.33"/>
    <m/>
    <m/>
    <s v="Addio al cellibato Cuc"/>
  </r>
  <r>
    <x v="51"/>
    <s v="LUGLIO"/>
    <x v="0"/>
    <n v="7"/>
    <s v="LUGLIO 2026"/>
    <s v="7 LUGLIO 2026"/>
    <x v="0"/>
    <x v="0"/>
    <n v="3.5"/>
    <m/>
    <m/>
    <m/>
  </r>
  <r>
    <x v="51"/>
    <s v="LUGLIO"/>
    <x v="0"/>
    <n v="7"/>
    <s v="LUGLIO 2026"/>
    <s v="7 LUGLIO 2026"/>
    <x v="0"/>
    <x v="0"/>
    <n v="5.8"/>
    <m/>
    <m/>
    <m/>
  </r>
  <r>
    <x v="52"/>
    <s v="LUGLIO"/>
    <x v="0"/>
    <n v="7"/>
    <s v="LUGLIO 2026"/>
    <s v="7 LUGLIO 2026"/>
    <x v="0"/>
    <x v="0"/>
    <n v="37"/>
    <m/>
    <m/>
    <m/>
  </r>
  <r>
    <x v="6"/>
    <s v="LUGLIO"/>
    <x v="0"/>
    <n v="7"/>
    <s v="LUGLIO 2026"/>
    <s v="7 LUGLIO 2026"/>
    <x v="0"/>
    <x v="0"/>
    <n v="24"/>
    <m/>
    <m/>
    <m/>
  </r>
  <r>
    <x v="2"/>
    <s v="LUGLIO"/>
    <x v="0"/>
    <n v="7"/>
    <s v="LUGLIO 2026"/>
    <s v="7 LUGLIO 2026"/>
    <x v="8"/>
    <x v="6"/>
    <n v="73.8"/>
    <s v="3/5"/>
    <s v="AMAZON"/>
    <s v="TV PAPA'"/>
  </r>
  <r>
    <x v="2"/>
    <s v="LUGLIO"/>
    <x v="0"/>
    <n v="7"/>
    <s v="LUGLIO 2026"/>
    <s v="7 LUGLIO 2026"/>
    <x v="8"/>
    <x v="6"/>
    <n v="45.75"/>
    <s v="1/5"/>
    <s v="AMAZON"/>
    <s v="MOVA"/>
  </r>
  <r>
    <x v="12"/>
    <s v="LUGLIO"/>
    <x v="0"/>
    <n v="7"/>
    <s v="LUGLIO 2026"/>
    <s v="7 LUGLIO 2026"/>
    <x v="7"/>
    <x v="2"/>
    <n v="17.420000000000002"/>
    <m/>
    <m/>
    <m/>
  </r>
  <r>
    <x v="3"/>
    <s v="LUGLIO"/>
    <x v="0"/>
    <n v="7"/>
    <s v="LUGLIO 2026"/>
    <s v="7 LUGLIO 2026"/>
    <x v="2"/>
    <x v="2"/>
    <n v="5"/>
    <m/>
    <m/>
    <m/>
  </r>
  <r>
    <x v="43"/>
    <s v="LUGLIO"/>
    <x v="0"/>
    <n v="7"/>
    <s v="LUGLIO 2026"/>
    <s v="7 LUGLIO 2026"/>
    <x v="12"/>
    <x v="0"/>
    <n v="14.49"/>
    <m/>
    <m/>
    <m/>
  </r>
  <r>
    <x v="17"/>
    <s v="LUGLIO"/>
    <x v="0"/>
    <n v="7"/>
    <s v="LUGLIO 2026"/>
    <s v="7 LUGLIO 2026"/>
    <x v="7"/>
    <x v="2"/>
    <n v="30.84"/>
    <m/>
    <m/>
    <m/>
  </r>
  <r>
    <x v="41"/>
    <s v="LUGLIO"/>
    <x v="0"/>
    <n v="7"/>
    <s v="LUGLIO 2026"/>
    <s v="7 LUGLIO 2026"/>
    <x v="3"/>
    <x v="3"/>
    <n v="2.2000000000000002"/>
    <m/>
    <m/>
    <m/>
  </r>
  <r>
    <x v="53"/>
    <s v="LUGLIO"/>
    <x v="0"/>
    <n v="7"/>
    <s v="LUGLIO 2026"/>
    <s v="7 LUGLIO 2026"/>
    <x v="1"/>
    <x v="1"/>
    <n v="60.6"/>
    <m/>
    <m/>
    <m/>
  </r>
  <r>
    <x v="54"/>
    <s v="LUGLIO"/>
    <x v="0"/>
    <n v="7"/>
    <s v="LUGLIO 2026"/>
    <s v="7 LUGLIO 2026"/>
    <x v="0"/>
    <x v="0"/>
    <n v="10.4"/>
    <m/>
    <m/>
    <m/>
  </r>
  <r>
    <x v="55"/>
    <s v="LUGLIO"/>
    <x v="0"/>
    <n v="7"/>
    <s v="LUGLIO 2026"/>
    <s v="7 LUGLIO 2026"/>
    <x v="7"/>
    <x v="2"/>
    <n v="22.83"/>
    <m/>
    <m/>
    <m/>
  </r>
  <r>
    <x v="15"/>
    <s v="GIUGNO"/>
    <x v="0"/>
    <n v="6"/>
    <s v="GIUGNO 2026"/>
    <s v="6 GIUGNO 2026"/>
    <x v="1"/>
    <x v="1"/>
    <n v="69.45"/>
    <m/>
    <m/>
    <s v="SPESA ENERGIA"/>
  </r>
  <r>
    <x v="3"/>
    <s v="GIUGNO"/>
    <x v="0"/>
    <n v="6"/>
    <s v="GIUGNO 2026"/>
    <s v="6 GIUGNO 2026"/>
    <x v="2"/>
    <x v="2"/>
    <n v="5"/>
    <m/>
    <m/>
    <m/>
  </r>
  <r>
    <x v="2"/>
    <s v="GIUGNO"/>
    <x v="0"/>
    <n v="6"/>
    <s v="GIUGNO 2026"/>
    <s v="6 GIUGNO 2026"/>
    <x v="8"/>
    <x v="6"/>
    <n v="20"/>
    <m/>
    <s v="AMAZON"/>
    <m/>
  </r>
  <r>
    <x v="12"/>
    <s v="GIUGNO"/>
    <x v="0"/>
    <n v="6"/>
    <s v="GIUGNO 2026"/>
    <s v="6 GIUGNO 2026"/>
    <x v="7"/>
    <x v="2"/>
    <n v="13.29"/>
    <m/>
    <m/>
    <m/>
  </r>
  <r>
    <x v="45"/>
    <s v="GIUGNO"/>
    <x v="0"/>
    <n v="6"/>
    <s v="GIUGNO 2026"/>
    <s v="6 GIUGNO 2026"/>
    <x v="0"/>
    <x v="0"/>
    <n v="11"/>
    <m/>
    <m/>
    <m/>
  </r>
  <r>
    <x v="2"/>
    <s v="GIUGNO"/>
    <x v="0"/>
    <n v="6"/>
    <s v="GIUGNO 2026"/>
    <s v="6 GIUGNO 2026"/>
    <x v="8"/>
    <x v="6"/>
    <n v="17.09"/>
    <m/>
    <s v="AMAZON"/>
    <m/>
  </r>
  <r>
    <x v="2"/>
    <s v="GIUGNO"/>
    <x v="0"/>
    <n v="6"/>
    <s v="GIUGNO 2026"/>
    <s v="6 GIUGNO 2026"/>
    <x v="11"/>
    <x v="6"/>
    <n v="18"/>
    <m/>
    <s v="AMAZON"/>
    <m/>
  </r>
  <r>
    <x v="5"/>
    <s v="GIUGNO"/>
    <x v="0"/>
    <n v="6"/>
    <s v="GIUGNO 2026"/>
    <s v="6 GIUGNO 2026"/>
    <x v="4"/>
    <x v="4"/>
    <n v="15"/>
    <m/>
    <s v="REVOLUT"/>
    <m/>
  </r>
  <r>
    <x v="3"/>
    <s v="GIUGNO"/>
    <x v="0"/>
    <n v="6"/>
    <s v="GIUGNO 2026"/>
    <s v="6 GIUGNO 2026"/>
    <x v="2"/>
    <x v="2"/>
    <n v="5"/>
    <m/>
    <m/>
    <m/>
  </r>
  <r>
    <x v="5"/>
    <s v="GIUGNO"/>
    <x v="0"/>
    <n v="6"/>
    <s v="GIUGNO 2026"/>
    <s v="6 GIUGNO 2026"/>
    <x v="4"/>
    <x v="4"/>
    <n v="80"/>
    <m/>
    <s v="REVOLUT"/>
    <m/>
  </r>
  <r>
    <x v="21"/>
    <s v="GIUGNO"/>
    <x v="0"/>
    <n v="6"/>
    <s v="GIUGNO 2026"/>
    <s v="6 GIUGNO 2026"/>
    <x v="9"/>
    <x v="3"/>
    <n v="10"/>
    <m/>
    <m/>
    <m/>
  </r>
  <r>
    <x v="2"/>
    <s v="GIUGNO"/>
    <x v="0"/>
    <n v="6"/>
    <s v="GIUGNO 2026"/>
    <s v="6 GIUGNO 2026"/>
    <x v="11"/>
    <x v="6"/>
    <n v="21.6"/>
    <m/>
    <s v="AMAZON"/>
    <m/>
  </r>
  <r>
    <x v="56"/>
    <s v="GIUGNO"/>
    <x v="0"/>
    <n v="6"/>
    <s v="GIUGNO 2026"/>
    <s v="6 GIUGNO 2026"/>
    <x v="0"/>
    <x v="0"/>
    <n v="25"/>
    <m/>
    <m/>
    <m/>
  </r>
  <r>
    <x v="56"/>
    <s v="GIUGNO"/>
    <x v="0"/>
    <n v="6"/>
    <s v="GIUGNO 2026"/>
    <s v="6 GIUGNO 2026"/>
    <x v="0"/>
    <x v="0"/>
    <n v="5"/>
    <m/>
    <m/>
    <m/>
  </r>
  <r>
    <x v="56"/>
    <s v="GIUGNO"/>
    <x v="0"/>
    <n v="6"/>
    <s v="GIUGNO 2026"/>
    <s v="6 GIUGNO 2026"/>
    <x v="0"/>
    <x v="0"/>
    <n v="55"/>
    <m/>
    <m/>
    <m/>
  </r>
  <r>
    <x v="57"/>
    <s v="GIUGNO"/>
    <x v="0"/>
    <n v="6"/>
    <s v="GIUGNO 2026"/>
    <s v="6 GIUGNO 2026"/>
    <x v="0"/>
    <x v="0"/>
    <n v="24.9"/>
    <m/>
    <m/>
    <m/>
  </r>
  <r>
    <x v="57"/>
    <s v="GIUGNO"/>
    <x v="0"/>
    <n v="6"/>
    <s v="GIUGNO 2026"/>
    <s v="6 GIUGNO 2026"/>
    <x v="0"/>
    <x v="0"/>
    <n v="9.3000000000000007"/>
    <m/>
    <m/>
    <m/>
  </r>
  <r>
    <x v="3"/>
    <s v="GIUGNO"/>
    <x v="0"/>
    <n v="6"/>
    <s v="GIUGNO 2026"/>
    <s v="6 GIUGNO 2026"/>
    <x v="2"/>
    <x v="2"/>
    <n v="5"/>
    <m/>
    <m/>
    <m/>
  </r>
  <r>
    <x v="58"/>
    <s v="GIUGNO"/>
    <x v="0"/>
    <n v="6"/>
    <s v="GIUGNO 2026"/>
    <s v="6 GIUGNO 2026"/>
    <x v="0"/>
    <x v="0"/>
    <n v="2.15"/>
    <m/>
    <m/>
    <m/>
  </r>
  <r>
    <x v="59"/>
    <s v="GIUGNO"/>
    <x v="0"/>
    <n v="6"/>
    <s v="GIUGNO 2026"/>
    <s v="6 GIUGNO 2026"/>
    <x v="0"/>
    <x v="0"/>
    <n v="28"/>
    <m/>
    <m/>
    <s v="La Lagunare"/>
  </r>
  <r>
    <x v="60"/>
    <s v="GIUGNO"/>
    <x v="0"/>
    <n v="6"/>
    <s v="GIUGNO 2026"/>
    <s v="6 GIUGNO 2026"/>
    <x v="0"/>
    <x v="0"/>
    <n v="20"/>
    <m/>
    <m/>
    <s v="La Lagunare"/>
  </r>
  <r>
    <x v="59"/>
    <s v="GIUGNO"/>
    <x v="0"/>
    <n v="6"/>
    <s v="GIUGNO 2026"/>
    <s v="6 GIUGNO 2026"/>
    <x v="0"/>
    <x v="0"/>
    <n v="16"/>
    <m/>
    <m/>
    <s v="La Lagunare"/>
  </r>
  <r>
    <x v="11"/>
    <s v="GIUGNO"/>
    <x v="0"/>
    <n v="6"/>
    <s v="GIUGNO 2026"/>
    <s v="6 GIUGNO 2026"/>
    <x v="0"/>
    <x v="0"/>
    <n v="6"/>
    <m/>
    <m/>
    <m/>
  </r>
  <r>
    <x v="59"/>
    <s v="GIUGNO"/>
    <x v="0"/>
    <n v="6"/>
    <s v="GIUGNO 2026"/>
    <s v="6 GIUGNO 2026"/>
    <x v="0"/>
    <x v="0"/>
    <n v="12"/>
    <m/>
    <m/>
    <s v="La Lagunare"/>
  </r>
  <r>
    <x v="12"/>
    <s v="GIUGNO"/>
    <x v="0"/>
    <n v="6"/>
    <s v="GIUGNO 2026"/>
    <s v="6 GIUGNO 2026"/>
    <x v="7"/>
    <x v="2"/>
    <n v="13.19"/>
    <m/>
    <m/>
    <m/>
  </r>
  <r>
    <x v="17"/>
    <s v="GIUGNO"/>
    <x v="0"/>
    <n v="6"/>
    <s v="GIUGNO 2026"/>
    <s v="6 GIUGNO 2026"/>
    <x v="7"/>
    <x v="2"/>
    <n v="31.8"/>
    <m/>
    <m/>
    <m/>
  </r>
  <r>
    <x v="12"/>
    <s v="GIUGNO"/>
    <x v="0"/>
    <n v="6"/>
    <s v="GIUGNO 2026"/>
    <s v="6 GIUGNO 2026"/>
    <x v="7"/>
    <x v="2"/>
    <n v="4.99"/>
    <m/>
    <m/>
    <m/>
  </r>
  <r>
    <x v="3"/>
    <s v="GIUGNO"/>
    <x v="0"/>
    <n v="6"/>
    <s v="GIUGNO 2026"/>
    <s v="6 GIUGNO 2026"/>
    <x v="2"/>
    <x v="2"/>
    <n v="5"/>
    <m/>
    <m/>
    <m/>
  </r>
  <r>
    <x v="21"/>
    <s v="GIUGNO"/>
    <x v="0"/>
    <n v="6"/>
    <s v="GIUGNO 2026"/>
    <s v="6 GIUGNO 2026"/>
    <x v="9"/>
    <x v="3"/>
    <n v="8"/>
    <m/>
    <m/>
    <m/>
  </r>
  <r>
    <x v="35"/>
    <s v="GIUGNO"/>
    <x v="0"/>
    <n v="6"/>
    <s v="GIUGNO 2026"/>
    <s v="6 GIUGNO 2026"/>
    <x v="1"/>
    <x v="1"/>
    <n v="14.08"/>
    <m/>
    <m/>
    <m/>
  </r>
  <r>
    <x v="61"/>
    <s v="GIUGNO"/>
    <x v="0"/>
    <n v="6"/>
    <s v="GIUGNO 2026"/>
    <s v="6 GIUGNO 2026"/>
    <x v="11"/>
    <x v="6"/>
    <n v="67"/>
    <m/>
    <m/>
    <m/>
  </r>
  <r>
    <x v="62"/>
    <s v="GIUGNO"/>
    <x v="0"/>
    <n v="6"/>
    <s v="GIUGNO 2026"/>
    <s v="6 GIUGNO 2026"/>
    <x v="11"/>
    <x v="6"/>
    <n v="199"/>
    <m/>
    <m/>
    <m/>
  </r>
  <r>
    <x v="63"/>
    <s v="GIUGNO"/>
    <x v="0"/>
    <n v="6"/>
    <s v="GIUGNO 2026"/>
    <s v="6 GIUGNO 2026"/>
    <x v="12"/>
    <x v="0"/>
    <n v="6.82"/>
    <m/>
    <s v="PAYPAL"/>
    <s v="Eleazaro Rossi"/>
  </r>
  <r>
    <x v="12"/>
    <s v="GIUGNO"/>
    <x v="0"/>
    <n v="6"/>
    <s v="GIUGNO 2026"/>
    <s v="6 GIUGNO 2026"/>
    <x v="7"/>
    <x v="2"/>
    <n v="30.81"/>
    <m/>
    <m/>
    <m/>
  </r>
  <r>
    <x v="64"/>
    <s v="GIUGNO"/>
    <x v="0"/>
    <n v="6"/>
    <s v="GIUGNO 2026"/>
    <s v="6 GIUGNO 2026"/>
    <x v="0"/>
    <x v="0"/>
    <n v="2.5"/>
    <m/>
    <m/>
    <s v="Viaggio Venezia 2026"/>
  </r>
  <r>
    <x v="65"/>
    <s v="GIUGNO"/>
    <x v="0"/>
    <n v="6"/>
    <s v="GIUGNO 2026"/>
    <s v="6 GIUGNO 2026"/>
    <x v="0"/>
    <x v="0"/>
    <n v="42"/>
    <m/>
    <m/>
    <s v="Viaggio Venezia 2026"/>
  </r>
  <r>
    <x v="7"/>
    <s v="GIUGNO"/>
    <x v="0"/>
    <n v="6"/>
    <s v="GIUGNO 2026"/>
    <s v="6 GIUGNO 2026"/>
    <x v="12"/>
    <x v="0"/>
    <n v="56"/>
    <m/>
    <m/>
    <s v="Viaggio Venezia 2026"/>
  </r>
  <r>
    <x v="63"/>
    <s v="GIUGNO"/>
    <x v="0"/>
    <n v="6"/>
    <s v="GIUGNO 2026"/>
    <s v="6 GIUGNO 2026"/>
    <x v="12"/>
    <x v="0"/>
    <n v="19.09"/>
    <m/>
    <s v="PAYPAL"/>
    <s v="I ministri"/>
  </r>
  <r>
    <x v="5"/>
    <s v="GIUGNO"/>
    <x v="0"/>
    <n v="6"/>
    <s v="GIUGNO 2026"/>
    <s v="6 GIUGNO 2026"/>
    <x v="4"/>
    <x v="4"/>
    <n v="80"/>
    <m/>
    <s v="REVOLUT"/>
    <m/>
  </r>
  <r>
    <x v="5"/>
    <s v="GIUGNO"/>
    <x v="0"/>
    <n v="6"/>
    <s v="GIUGNO 2026"/>
    <s v="6 GIUGNO 2026"/>
    <x v="4"/>
    <x v="4"/>
    <n v="130"/>
    <m/>
    <s v="REVOLUT"/>
    <m/>
  </r>
  <r>
    <x v="2"/>
    <s v="GIUGNO"/>
    <x v="0"/>
    <n v="6"/>
    <s v="GIUGNO 2026"/>
    <s v="6 GIUGNO 2026"/>
    <x v="8"/>
    <x v="6"/>
    <n v="59.99"/>
    <m/>
    <s v="AMAZON"/>
    <s v="Rasoio Braun"/>
  </r>
  <r>
    <x v="2"/>
    <s v="GIUGNO"/>
    <x v="0"/>
    <n v="6"/>
    <s v="GIUGNO 2026"/>
    <s v="6 GIUGNO 2026"/>
    <x v="8"/>
    <x v="1"/>
    <n v="193.97"/>
    <m/>
    <s v="AMAZON"/>
    <s v="VIDA XL "/>
  </r>
  <r>
    <x v="2"/>
    <s v="GIUGNO"/>
    <x v="0"/>
    <n v="6"/>
    <s v="GIUGNO 2026"/>
    <s v="6 GIUGNO 2026"/>
    <x v="8"/>
    <x v="6"/>
    <n v="73.8"/>
    <s v="2/5"/>
    <s v="AMAZON"/>
    <s v="TV PAPA'"/>
  </r>
  <r>
    <x v="2"/>
    <s v="GIUGNO"/>
    <x v="0"/>
    <n v="6"/>
    <s v="GIUGNO 2026"/>
    <s v="6 GIUGNO 2026"/>
    <x v="8"/>
    <x v="6"/>
    <n v="35.79"/>
    <s v="5/5"/>
    <s v="AMAZON"/>
    <s v="Router Mercusys"/>
  </r>
  <r>
    <x v="2"/>
    <s v="GIUGNO"/>
    <x v="0"/>
    <n v="6"/>
    <s v="GIUGNO 2026"/>
    <s v="6 GIUGNO 2026"/>
    <x v="8"/>
    <x v="6"/>
    <n v="38.799999999999997"/>
    <s v="5/5"/>
    <s v="AMAZON"/>
    <s v="Monitor LG 32&quot;"/>
  </r>
  <r>
    <x v="66"/>
    <s v="MAGGIO"/>
    <x v="0"/>
    <n v="5"/>
    <s v="MAGGIO 2026"/>
    <s v="5 MAGGIO 2026"/>
    <x v="3"/>
    <x v="3"/>
    <n v="41.95"/>
    <m/>
    <m/>
    <s v="Viaggio Venezia 2026"/>
  </r>
  <r>
    <x v="3"/>
    <s v="MAGGIO"/>
    <x v="0"/>
    <n v="5"/>
    <s v="MAGGIO 2026"/>
    <s v="5 MAGGIO 2026"/>
    <x v="2"/>
    <x v="2"/>
    <n v="5"/>
    <m/>
    <m/>
    <m/>
  </r>
  <r>
    <x v="7"/>
    <s v="MAGGIO"/>
    <x v="0"/>
    <n v="5"/>
    <s v="MAGGIO 2026"/>
    <s v="5 MAGGIO 2026"/>
    <x v="5"/>
    <x v="5"/>
    <n v="339.78"/>
    <m/>
    <m/>
    <s v="Viaggio Venezia 2026"/>
  </r>
  <r>
    <x v="5"/>
    <s v="MAGGIO"/>
    <x v="0"/>
    <n v="5"/>
    <s v="MAGGIO 2026"/>
    <s v="5 MAGGIO 2026"/>
    <x v="4"/>
    <x v="4"/>
    <n v="100"/>
    <m/>
    <s v="REVOLUT"/>
    <m/>
  </r>
  <r>
    <x v="67"/>
    <s v="MAGGIO"/>
    <x v="0"/>
    <n v="5"/>
    <s v="MAGGIO 2026"/>
    <s v="5 MAGGIO 2026"/>
    <x v="7"/>
    <x v="2"/>
    <n v="4.57"/>
    <m/>
    <m/>
    <m/>
  </r>
  <r>
    <x v="21"/>
    <s v="MAGGIO"/>
    <x v="0"/>
    <n v="5"/>
    <s v="MAGGIO 2026"/>
    <s v="5 MAGGIO 2026"/>
    <x v="9"/>
    <x v="3"/>
    <n v="10"/>
    <m/>
    <m/>
    <m/>
  </r>
  <r>
    <x v="19"/>
    <s v="MAGGIO"/>
    <x v="0"/>
    <n v="5"/>
    <s v="MAGGIO 2026"/>
    <s v="5 MAGGIO 2026"/>
    <x v="0"/>
    <x v="0"/>
    <n v="11.4"/>
    <m/>
    <m/>
    <m/>
  </r>
  <r>
    <x v="3"/>
    <s v="MAGGIO"/>
    <x v="0"/>
    <n v="5"/>
    <s v="MAGGIO 2026"/>
    <s v="5 MAGGIO 2026"/>
    <x v="2"/>
    <x v="2"/>
    <n v="5"/>
    <m/>
    <m/>
    <m/>
  </r>
  <r>
    <x v="3"/>
    <s v="MAGGIO"/>
    <x v="0"/>
    <n v="5"/>
    <s v="MAGGIO 2026"/>
    <s v="5 MAGGIO 2026"/>
    <x v="2"/>
    <x v="2"/>
    <n v="5"/>
    <m/>
    <m/>
    <m/>
  </r>
  <r>
    <x v="5"/>
    <s v="MAGGIO"/>
    <x v="0"/>
    <n v="5"/>
    <s v="MAGGIO 2026"/>
    <s v="5 MAGGIO 2026"/>
    <x v="4"/>
    <x v="4"/>
    <n v="20"/>
    <m/>
    <s v="REVOLUT"/>
    <m/>
  </r>
  <r>
    <x v="5"/>
    <s v="MAGGIO"/>
    <x v="0"/>
    <n v="5"/>
    <s v="MAGGIO 2026"/>
    <s v="5 MAGGIO 2026"/>
    <x v="4"/>
    <x v="4"/>
    <n v="100"/>
    <m/>
    <s v="REVOLUT"/>
    <m/>
  </r>
  <r>
    <x v="68"/>
    <s v="MAGGIO"/>
    <x v="0"/>
    <n v="5"/>
    <s v="MAGGIO 2026"/>
    <s v="5 MAGGIO 2026"/>
    <x v="0"/>
    <x v="0"/>
    <n v="8.5"/>
    <m/>
    <m/>
    <m/>
  </r>
  <r>
    <x v="41"/>
    <s v="MAGGIO"/>
    <x v="0"/>
    <n v="5"/>
    <s v="MAGGIO 2026"/>
    <s v="5 MAGGIO 2026"/>
    <x v="3"/>
    <x v="3"/>
    <n v="1.7"/>
    <m/>
    <m/>
    <m/>
  </r>
  <r>
    <x v="22"/>
    <s v="MAGGIO"/>
    <x v="0"/>
    <n v="5"/>
    <s v="MAGGIO 2026"/>
    <s v="5 MAGGIO 2026"/>
    <x v="1"/>
    <x v="1"/>
    <n v="3.5"/>
    <m/>
    <m/>
    <m/>
  </r>
  <r>
    <x v="41"/>
    <s v="MAGGIO"/>
    <x v="0"/>
    <n v="5"/>
    <s v="MAGGIO 2026"/>
    <s v="5 MAGGIO 2026"/>
    <x v="3"/>
    <x v="3"/>
    <n v="1.7"/>
    <m/>
    <m/>
    <m/>
  </r>
  <r>
    <x v="41"/>
    <s v="MAGGIO"/>
    <x v="0"/>
    <n v="5"/>
    <s v="MAGGIO 2026"/>
    <s v="5 MAGGIO 2026"/>
    <x v="3"/>
    <x v="3"/>
    <n v="1.4"/>
    <m/>
    <m/>
    <m/>
  </r>
  <r>
    <x v="69"/>
    <s v="MAGGIO"/>
    <x v="0"/>
    <n v="5"/>
    <s v="MAGGIO 2026"/>
    <s v="5 MAGGIO 2026"/>
    <x v="0"/>
    <x v="0"/>
    <n v="39"/>
    <m/>
    <m/>
    <m/>
  </r>
  <r>
    <x v="2"/>
    <s v="MAGGIO"/>
    <x v="0"/>
    <n v="5"/>
    <s v="MAGGIO 2026"/>
    <s v="5 MAGGIO 2026"/>
    <x v="8"/>
    <x v="6"/>
    <n v="38.700000000000003"/>
    <m/>
    <m/>
    <s v="Enterolactis CRINA"/>
  </r>
  <r>
    <x v="3"/>
    <s v="MAGGIO"/>
    <x v="0"/>
    <n v="5"/>
    <s v="MAGGIO 2026"/>
    <s v="5 MAGGIO 2026"/>
    <x v="2"/>
    <x v="2"/>
    <n v="5"/>
    <m/>
    <m/>
    <m/>
  </r>
  <r>
    <x v="12"/>
    <s v="MAGGIO"/>
    <x v="0"/>
    <n v="5"/>
    <s v="MAGGIO 2026"/>
    <s v="5 MAGGIO 2026"/>
    <x v="7"/>
    <x v="2"/>
    <n v="30.17"/>
    <m/>
    <m/>
    <m/>
  </r>
  <r>
    <x v="37"/>
    <s v="MAGGIO"/>
    <x v="0"/>
    <n v="5"/>
    <s v="MAGGIO 2026"/>
    <s v="5 MAGGIO 2026"/>
    <x v="0"/>
    <x v="0"/>
    <n v="14.4"/>
    <m/>
    <m/>
    <m/>
  </r>
  <r>
    <x v="41"/>
    <s v="MAGGIO"/>
    <x v="0"/>
    <n v="5"/>
    <s v="MAGGIO 2026"/>
    <s v="5 MAGGIO 2026"/>
    <x v="3"/>
    <x v="3"/>
    <n v="3.3"/>
    <m/>
    <m/>
    <m/>
  </r>
  <r>
    <x v="41"/>
    <s v="MAGGIO"/>
    <x v="0"/>
    <n v="5"/>
    <s v="MAGGIO 2026"/>
    <s v="5 MAGGIO 2026"/>
    <x v="3"/>
    <x v="3"/>
    <n v="1.7"/>
    <m/>
    <m/>
    <m/>
  </r>
  <r>
    <x v="2"/>
    <s v="MAGGIO"/>
    <x v="0"/>
    <n v="5"/>
    <s v="MAGGIO 2026"/>
    <s v="5 MAGGIO 2026"/>
    <x v="8"/>
    <x v="6"/>
    <n v="6.99"/>
    <m/>
    <m/>
    <s v="TV PAPA'"/>
  </r>
  <r>
    <x v="3"/>
    <s v="MAGGIO"/>
    <x v="0"/>
    <n v="5"/>
    <s v="MAGGIO 2026"/>
    <s v="5 MAGGIO 2026"/>
    <x v="2"/>
    <x v="2"/>
    <n v="5"/>
    <m/>
    <m/>
    <m/>
  </r>
  <r>
    <x v="70"/>
    <s v="MAGGIO"/>
    <x v="0"/>
    <n v="5"/>
    <s v="MAGGIO 2026"/>
    <s v="5 MAGGIO 2026"/>
    <x v="11"/>
    <x v="6"/>
    <n v="75.2"/>
    <m/>
    <m/>
    <s v="Regalo Stefano"/>
  </r>
  <r>
    <x v="71"/>
    <s v="MAGGIO"/>
    <x v="0"/>
    <n v="5"/>
    <s v="MAGGIO 2026"/>
    <s v="5 MAGGIO 2026"/>
    <x v="11"/>
    <x v="6"/>
    <n v="45"/>
    <m/>
    <m/>
    <s v="Regalo Stefano"/>
  </r>
  <r>
    <x v="72"/>
    <s v="MAGGIO"/>
    <x v="0"/>
    <n v="5"/>
    <s v="MAGGIO 2026"/>
    <s v="5 MAGGIO 2026"/>
    <x v="10"/>
    <x v="6"/>
    <n v="50.31"/>
    <m/>
    <m/>
    <s v="Regalo Stefano"/>
  </r>
  <r>
    <x v="3"/>
    <s v="MAGGIO"/>
    <x v="0"/>
    <n v="5"/>
    <s v="MAGGIO 2026"/>
    <s v="5 MAGGIO 2026"/>
    <x v="2"/>
    <x v="2"/>
    <n v="5"/>
    <m/>
    <m/>
    <m/>
  </r>
  <r>
    <x v="12"/>
    <s v="MAGGIO"/>
    <x v="0"/>
    <n v="5"/>
    <s v="MAGGIO 2026"/>
    <s v="5 MAGGIO 2026"/>
    <x v="7"/>
    <x v="2"/>
    <n v="23.57"/>
    <m/>
    <m/>
    <m/>
  </r>
  <r>
    <x v="2"/>
    <s v="MAGGIO"/>
    <x v="0"/>
    <n v="5"/>
    <s v="MAGGIO 2026"/>
    <s v="5 MAGGIO 2026"/>
    <x v="8"/>
    <x v="6"/>
    <n v="98.7"/>
    <s v="1/5"/>
    <s v="AMAZON"/>
    <s v="TV PAPA'"/>
  </r>
  <r>
    <x v="3"/>
    <s v="MAGGIO"/>
    <x v="0"/>
    <n v="5"/>
    <s v="MAGGIO 2026"/>
    <s v="5 MAGGIO 2026"/>
    <x v="2"/>
    <x v="2"/>
    <n v="5"/>
    <m/>
    <m/>
    <m/>
  </r>
  <r>
    <x v="41"/>
    <s v="MAGGIO"/>
    <x v="0"/>
    <n v="5"/>
    <s v="MAGGIO 2026"/>
    <s v="5 MAGGIO 2026"/>
    <x v="3"/>
    <x v="3"/>
    <n v="1.7"/>
    <m/>
    <m/>
    <m/>
  </r>
  <r>
    <x v="12"/>
    <s v="MAGGIO"/>
    <x v="0"/>
    <n v="5"/>
    <s v="MAGGIO 2026"/>
    <s v="5 MAGGIO 2026"/>
    <x v="7"/>
    <x v="2"/>
    <n v="2.58"/>
    <m/>
    <m/>
    <m/>
  </r>
  <r>
    <x v="73"/>
    <s v="MAGGIO"/>
    <x v="0"/>
    <n v="5"/>
    <s v="MAGGIO 2026"/>
    <s v="5 MAGGIO 2026"/>
    <x v="0"/>
    <x v="0"/>
    <n v="7.9"/>
    <m/>
    <m/>
    <m/>
  </r>
  <r>
    <x v="74"/>
    <s v="MAGGIO"/>
    <x v="0"/>
    <n v="5"/>
    <s v="MAGGIO 2026"/>
    <s v="5 MAGGIO 2026"/>
    <x v="3"/>
    <x v="3"/>
    <n v="1.5"/>
    <m/>
    <m/>
    <s v="Addio al cellibato Aqui"/>
  </r>
  <r>
    <x v="75"/>
    <s v="MAGGIO"/>
    <x v="0"/>
    <n v="5"/>
    <s v="MAGGIO 2026"/>
    <s v="5 MAGGIO 2026"/>
    <x v="10"/>
    <x v="6"/>
    <n v="18"/>
    <m/>
    <m/>
    <m/>
  </r>
  <r>
    <x v="5"/>
    <s v="MAGGIO"/>
    <x v="0"/>
    <n v="5"/>
    <s v="MAGGIO 2026"/>
    <s v="5 MAGGIO 2026"/>
    <x v="4"/>
    <x v="4"/>
    <n v="100"/>
    <m/>
    <s v="REVOLUT"/>
    <m/>
  </r>
  <r>
    <x v="74"/>
    <s v="MAGGIO"/>
    <x v="0"/>
    <n v="5"/>
    <s v="MAGGIO 2026"/>
    <s v="5 MAGGIO 2026"/>
    <x v="3"/>
    <x v="3"/>
    <n v="1.5"/>
    <m/>
    <m/>
    <s v="Addio al cellibato Aqui"/>
  </r>
  <r>
    <x v="76"/>
    <s v="MAGGIO"/>
    <x v="0"/>
    <n v="5"/>
    <s v="MAGGIO 2026"/>
    <s v="5 MAGGIO 2026"/>
    <x v="0"/>
    <x v="0"/>
    <n v="33.700000000000003"/>
    <m/>
    <m/>
    <m/>
  </r>
  <r>
    <x v="21"/>
    <s v="MAGGIO"/>
    <x v="0"/>
    <n v="5"/>
    <s v="MAGGIO 2026"/>
    <s v="5 MAGGIO 2026"/>
    <x v="9"/>
    <x v="3"/>
    <n v="20"/>
    <m/>
    <m/>
    <m/>
  </r>
  <r>
    <x v="2"/>
    <s v="MAGGIO"/>
    <x v="0"/>
    <n v="5"/>
    <s v="MAGGIO 2026"/>
    <s v="5 MAGGIO 2026"/>
    <x v="8"/>
    <x v="6"/>
    <n v="17.489999999999998"/>
    <m/>
    <m/>
    <s v="Assicurazione TV Papa'"/>
  </r>
  <r>
    <x v="11"/>
    <s v="MAGGIO"/>
    <x v="0"/>
    <n v="5"/>
    <s v="MAGGIO 2026"/>
    <s v="5 MAGGIO 2026"/>
    <x v="0"/>
    <x v="0"/>
    <n v="5"/>
    <m/>
    <m/>
    <m/>
  </r>
  <r>
    <x v="5"/>
    <s v="MAGGIO"/>
    <x v="0"/>
    <n v="5"/>
    <s v="MAGGIO 2026"/>
    <s v="5 MAGGIO 2026"/>
    <x v="4"/>
    <x v="4"/>
    <n v="100"/>
    <m/>
    <s v="REVOLUT"/>
    <m/>
  </r>
  <r>
    <x v="17"/>
    <s v="MAGGIO"/>
    <x v="0"/>
    <n v="5"/>
    <s v="MAGGIO 2026"/>
    <s v="5 MAGGIO 2026"/>
    <x v="7"/>
    <x v="2"/>
    <n v="22.61"/>
    <m/>
    <m/>
    <m/>
  </r>
  <r>
    <x v="12"/>
    <s v="MAGGIO"/>
    <x v="0"/>
    <n v="5"/>
    <s v="MAGGIO 2026"/>
    <s v="5 MAGGIO 2026"/>
    <x v="7"/>
    <x v="2"/>
    <n v="15"/>
    <m/>
    <m/>
    <m/>
  </r>
  <r>
    <x v="2"/>
    <s v="MAGGIO"/>
    <x v="0"/>
    <n v="5"/>
    <s v="MAGGIO 2026"/>
    <s v="5 MAGGIO 2026"/>
    <x v="8"/>
    <x v="6"/>
    <n v="17.899999999999999"/>
    <m/>
    <m/>
    <m/>
  </r>
  <r>
    <x v="35"/>
    <s v="MAGGIO"/>
    <x v="0"/>
    <n v="5"/>
    <s v="MAGGIO 2026"/>
    <s v="5 MAGGIO 2026"/>
    <x v="1"/>
    <x v="1"/>
    <n v="21.93"/>
    <m/>
    <m/>
    <m/>
  </r>
  <r>
    <x v="17"/>
    <s v="MAGGIO"/>
    <x v="0"/>
    <n v="5"/>
    <s v="MAGGIO 2026"/>
    <s v="5 MAGGIO 2026"/>
    <x v="7"/>
    <x v="2"/>
    <n v="9"/>
    <m/>
    <m/>
    <m/>
  </r>
  <r>
    <x v="2"/>
    <s v="MAGGIO"/>
    <x v="0"/>
    <n v="5"/>
    <s v="MAGGIO 2026"/>
    <s v="5 MAGGIO 2026"/>
    <x v="8"/>
    <x v="6"/>
    <n v="35.798000000000002"/>
    <s v="4/5"/>
    <s v="AMAZON"/>
    <s v="Router Mercusys"/>
  </r>
  <r>
    <x v="2"/>
    <s v="MAGGIO"/>
    <x v="0"/>
    <n v="5"/>
    <s v="MAGGIO 2026"/>
    <s v="5 MAGGIO 2026"/>
    <x v="8"/>
    <x v="6"/>
    <n v="38.799999999999997"/>
    <s v="4/5"/>
    <s v="AMAZON"/>
    <s v="Monitor LG 32&quot;"/>
  </r>
  <r>
    <x v="77"/>
    <s v="APRILE"/>
    <x v="0"/>
    <n v="4"/>
    <s v="APRILE 2026"/>
    <s v="4 APRILE 2026"/>
    <x v="13"/>
    <x v="7"/>
    <n v="-25.82"/>
    <m/>
    <m/>
    <s v="Storno quota carta di credito"/>
  </r>
  <r>
    <x v="78"/>
    <s v="APRILE"/>
    <x v="0"/>
    <n v="4"/>
    <s v="APRILE 2026"/>
    <s v="4 APRILE 2026"/>
    <x v="0"/>
    <x v="0"/>
    <n v="32"/>
    <m/>
    <m/>
    <m/>
  </r>
  <r>
    <x v="50"/>
    <s v="APRILE"/>
    <x v="0"/>
    <n v="4"/>
    <s v="APRILE 2026"/>
    <s v="4 APRILE 2026"/>
    <x v="0"/>
    <x v="0"/>
    <n v="50.5"/>
    <m/>
    <m/>
    <m/>
  </r>
  <r>
    <x v="79"/>
    <s v="APRILE"/>
    <x v="0"/>
    <n v="4"/>
    <s v="APRILE 2026"/>
    <s v="4 APRILE 2026"/>
    <x v="3"/>
    <x v="3"/>
    <n v="0.21"/>
    <m/>
    <s v="PAYPAL"/>
    <m/>
  </r>
  <r>
    <x v="79"/>
    <s v="APRILE"/>
    <x v="0"/>
    <n v="4"/>
    <s v="APRILE 2026"/>
    <s v="4 APRILE 2026"/>
    <x v="3"/>
    <x v="3"/>
    <n v="6.61"/>
    <m/>
    <s v="PAYPAL"/>
    <m/>
  </r>
  <r>
    <x v="80"/>
    <s v="APRILE"/>
    <x v="0"/>
    <n v="4"/>
    <s v="APRILE 2026"/>
    <s v="4 APRILE 2026"/>
    <x v="0"/>
    <x v="0"/>
    <n v="35"/>
    <m/>
    <m/>
    <m/>
  </r>
  <r>
    <x v="81"/>
    <s v="APRILE"/>
    <x v="0"/>
    <n v="4"/>
    <s v="APRILE 2026"/>
    <s v="4 APRILE 2026"/>
    <x v="1"/>
    <x v="1"/>
    <n v="11"/>
    <m/>
    <m/>
    <m/>
  </r>
  <r>
    <x v="53"/>
    <s v="APRILE"/>
    <x v="0"/>
    <n v="4"/>
    <s v="APRILE 2026"/>
    <s v="4 APRILE 2026"/>
    <x v="1"/>
    <x v="1"/>
    <n v="69.900000000000006"/>
    <m/>
    <m/>
    <m/>
  </r>
  <r>
    <x v="79"/>
    <s v="APRILE"/>
    <x v="0"/>
    <n v="4"/>
    <s v="APRILE 2026"/>
    <s v="4 APRILE 2026"/>
    <x v="3"/>
    <x v="3"/>
    <n v="1.38"/>
    <m/>
    <s v="PAYPAL"/>
    <m/>
  </r>
  <r>
    <x v="2"/>
    <s v="APRILE"/>
    <x v="0"/>
    <n v="4"/>
    <s v="APRILE 2026"/>
    <s v="4 APRILE 2026"/>
    <x v="8"/>
    <x v="6"/>
    <n v="39.99"/>
    <m/>
    <m/>
    <m/>
  </r>
  <r>
    <x v="8"/>
    <s v="APRILE"/>
    <x v="0"/>
    <n v="4"/>
    <s v="APRILE 2026"/>
    <s v="4 APRILE 2026"/>
    <x v="6"/>
    <x v="2"/>
    <n v="33"/>
    <m/>
    <m/>
    <m/>
  </r>
  <r>
    <x v="12"/>
    <s v="APRILE"/>
    <x v="0"/>
    <n v="4"/>
    <s v="APRILE 2026"/>
    <s v="4 APRILE 2026"/>
    <x v="7"/>
    <x v="2"/>
    <n v="7.45"/>
    <m/>
    <m/>
    <m/>
  </r>
  <r>
    <x v="82"/>
    <s v="APRILE"/>
    <x v="0"/>
    <n v="4"/>
    <s v="APRILE 2026"/>
    <s v="4 APRILE 2026"/>
    <x v="7"/>
    <x v="2"/>
    <n v="4.17"/>
    <m/>
    <m/>
    <m/>
  </r>
  <r>
    <x v="35"/>
    <s v="APRILE"/>
    <x v="0"/>
    <n v="4"/>
    <s v="APRILE 2026"/>
    <s v="4 APRILE 2026"/>
    <x v="1"/>
    <x v="1"/>
    <n v="13.09"/>
    <m/>
    <m/>
    <m/>
  </r>
  <r>
    <x v="67"/>
    <s v="APRILE"/>
    <x v="0"/>
    <n v="4"/>
    <s v="APRILE 2026"/>
    <s v="4 APRILE 2026"/>
    <x v="7"/>
    <x v="2"/>
    <n v="15.4"/>
    <m/>
    <m/>
    <m/>
  </r>
  <r>
    <x v="67"/>
    <s v="APRILE"/>
    <x v="0"/>
    <n v="4"/>
    <s v="APRILE 2026"/>
    <s v="4 APRILE 2026"/>
    <x v="7"/>
    <x v="2"/>
    <n v="4.3"/>
    <m/>
    <m/>
    <m/>
  </r>
  <r>
    <x v="53"/>
    <s v="APRILE"/>
    <x v="0"/>
    <n v="4"/>
    <s v="APRILE 2026"/>
    <s v="4 APRILE 2026"/>
    <x v="1"/>
    <x v="1"/>
    <n v="41.75"/>
    <m/>
    <m/>
    <m/>
  </r>
  <r>
    <x v="2"/>
    <s v="APRILE"/>
    <x v="0"/>
    <n v="4"/>
    <s v="APRILE 2026"/>
    <s v="4 APRILE 2026"/>
    <x v="10"/>
    <x v="6"/>
    <n v="109"/>
    <m/>
    <m/>
    <s v="Doccetta Papa'"/>
  </r>
  <r>
    <x v="5"/>
    <s v="APRILE"/>
    <x v="0"/>
    <n v="4"/>
    <s v="APRILE 2026"/>
    <s v="4 APRILE 2026"/>
    <x v="4"/>
    <x v="4"/>
    <n v="60"/>
    <m/>
    <s v="REVOLUT"/>
    <m/>
  </r>
  <r>
    <x v="83"/>
    <s v="APRILE"/>
    <x v="0"/>
    <n v="4"/>
    <s v="APRILE 2026"/>
    <s v="4 APRILE 2026"/>
    <x v="0"/>
    <x v="0"/>
    <n v="16"/>
    <m/>
    <m/>
    <m/>
  </r>
  <r>
    <x v="2"/>
    <s v="APRILE"/>
    <x v="0"/>
    <n v="4"/>
    <s v="APRILE 2026"/>
    <s v="4 APRILE 2026"/>
    <x v="8"/>
    <x v="6"/>
    <n v="6.49"/>
    <m/>
    <m/>
    <m/>
  </r>
  <r>
    <x v="82"/>
    <s v="APRILE"/>
    <x v="0"/>
    <n v="4"/>
    <s v="APRILE 2026"/>
    <s v="4 APRILE 2026"/>
    <x v="7"/>
    <x v="2"/>
    <n v="6.86"/>
    <m/>
    <m/>
    <m/>
  </r>
  <r>
    <x v="84"/>
    <s v="APRILE"/>
    <x v="0"/>
    <n v="4"/>
    <s v="APRILE 2026"/>
    <s v="4 APRILE 2026"/>
    <x v="7"/>
    <x v="2"/>
    <n v="1.69"/>
    <m/>
    <m/>
    <m/>
  </r>
  <r>
    <x v="5"/>
    <s v="APRILE"/>
    <x v="0"/>
    <n v="4"/>
    <s v="APRILE 2026"/>
    <s v="4 APRILE 2026"/>
    <x v="4"/>
    <x v="4"/>
    <n v="100"/>
    <m/>
    <s v="REVOLUT"/>
    <s v="Hotel Addio al celibato Aqui"/>
  </r>
  <r>
    <x v="12"/>
    <s v="APRILE"/>
    <x v="0"/>
    <n v="4"/>
    <s v="APRILE 2026"/>
    <s v="4 APRILE 2026"/>
    <x v="7"/>
    <x v="2"/>
    <n v="8.7899999999999991"/>
    <m/>
    <m/>
    <m/>
  </r>
  <r>
    <x v="35"/>
    <s v="APRILE"/>
    <x v="0"/>
    <n v="4"/>
    <s v="APRILE 2026"/>
    <s v="4 APRILE 2026"/>
    <x v="1"/>
    <x v="1"/>
    <n v="11"/>
    <m/>
    <m/>
    <m/>
  </r>
  <r>
    <x v="35"/>
    <s v="APRILE"/>
    <x v="0"/>
    <n v="4"/>
    <s v="APRILE 2026"/>
    <s v="4 APRILE 2026"/>
    <x v="1"/>
    <x v="1"/>
    <n v="9.94"/>
    <m/>
    <m/>
    <m/>
  </r>
  <r>
    <x v="17"/>
    <s v="APRILE"/>
    <x v="0"/>
    <n v="4"/>
    <s v="APRILE 2026"/>
    <s v="4 APRILE 2026"/>
    <x v="7"/>
    <x v="2"/>
    <n v="7.75"/>
    <m/>
    <m/>
    <m/>
  </r>
  <r>
    <x v="21"/>
    <s v="APRILE"/>
    <x v="0"/>
    <n v="4"/>
    <s v="APRILE 2026"/>
    <s v="4 APRILE 2026"/>
    <x v="9"/>
    <x v="3"/>
    <n v="16"/>
    <m/>
    <m/>
    <m/>
  </r>
  <r>
    <x v="5"/>
    <s v="APRILE"/>
    <x v="0"/>
    <n v="4"/>
    <s v="APRILE 2026"/>
    <s v="4 APRILE 2026"/>
    <x v="4"/>
    <x v="4"/>
    <n v="130"/>
    <m/>
    <s v="REVOLUT"/>
    <s v="Treno Addio al celibato Aqui"/>
  </r>
  <r>
    <x v="17"/>
    <s v="APRILE"/>
    <x v="0"/>
    <n v="4"/>
    <s v="APRILE 2026"/>
    <s v="4 APRILE 2026"/>
    <x v="7"/>
    <x v="2"/>
    <n v="29.7"/>
    <m/>
    <m/>
    <m/>
  </r>
  <r>
    <x v="12"/>
    <s v="APRILE"/>
    <x v="0"/>
    <n v="4"/>
    <s v="APRILE 2026"/>
    <s v="4 APRILE 2026"/>
    <x v="7"/>
    <x v="2"/>
    <n v="53.28"/>
    <m/>
    <m/>
    <m/>
  </r>
  <r>
    <x v="35"/>
    <s v="APRILE"/>
    <x v="0"/>
    <n v="4"/>
    <s v="APRILE 2026"/>
    <s v="4 APRILE 2026"/>
    <x v="10"/>
    <x v="6"/>
    <n v="25.99"/>
    <m/>
    <m/>
    <s v="Spesa per mamma e papa'"/>
  </r>
  <r>
    <x v="85"/>
    <s v="APRILE"/>
    <x v="0"/>
    <n v="4"/>
    <s v="APRILE 2026"/>
    <s v="4 APRILE 2026"/>
    <x v="10"/>
    <x v="6"/>
    <n v="10.8"/>
    <m/>
    <m/>
    <s v="Spesa per mamma e papa'"/>
  </r>
  <r>
    <x v="82"/>
    <s v="APRILE"/>
    <x v="0"/>
    <n v="4"/>
    <s v="APRILE 2026"/>
    <s v="4 APRILE 2026"/>
    <x v="10"/>
    <x v="6"/>
    <n v="39.880000000000003"/>
    <m/>
    <m/>
    <s v="Spesa per mamma e papa'"/>
  </r>
  <r>
    <x v="6"/>
    <s v="APRILE"/>
    <x v="0"/>
    <n v="4"/>
    <s v="APRILE 2026"/>
    <s v="4 APRILE 2026"/>
    <x v="0"/>
    <x v="0"/>
    <n v="36"/>
    <m/>
    <m/>
    <m/>
  </r>
  <r>
    <x v="41"/>
    <s v="APRILE"/>
    <x v="0"/>
    <n v="4"/>
    <s v="APRILE 2026"/>
    <s v="4 APRILE 2026"/>
    <x v="3"/>
    <x v="3"/>
    <n v="1.7"/>
    <m/>
    <m/>
    <m/>
  </r>
  <r>
    <x v="41"/>
    <s v="APRILE"/>
    <x v="0"/>
    <n v="4"/>
    <s v="APRILE 2026"/>
    <s v="4 APRILE 2026"/>
    <x v="3"/>
    <x v="3"/>
    <n v="1.7"/>
    <m/>
    <m/>
    <m/>
  </r>
  <r>
    <x v="6"/>
    <s v="APRILE"/>
    <x v="0"/>
    <n v="4"/>
    <s v="APRILE 2026"/>
    <s v="4 APRILE 2026"/>
    <x v="14"/>
    <x v="2"/>
    <n v="7"/>
    <m/>
    <m/>
    <m/>
  </r>
  <r>
    <x v="86"/>
    <s v="APRILE"/>
    <x v="0"/>
    <n v="4"/>
    <s v="APRILE 2026"/>
    <s v="4 APRILE 2026"/>
    <x v="0"/>
    <x v="0"/>
    <n v="44"/>
    <m/>
    <m/>
    <m/>
  </r>
  <r>
    <x v="6"/>
    <s v="APRILE"/>
    <x v="0"/>
    <n v="4"/>
    <s v="APRILE 2026"/>
    <s v="4 APRILE 2026"/>
    <x v="14"/>
    <x v="2"/>
    <n v="7"/>
    <m/>
    <m/>
    <m/>
  </r>
  <r>
    <x v="5"/>
    <s v="APRILE"/>
    <x v="0"/>
    <n v="4"/>
    <s v="APRILE 2026"/>
    <s v="4 APRILE 2026"/>
    <x v="4"/>
    <x v="4"/>
    <n v="130"/>
    <m/>
    <s v="REVOLUT"/>
    <s v="Assilt Papà"/>
  </r>
  <r>
    <x v="87"/>
    <s v="APRILE"/>
    <x v="0"/>
    <n v="4"/>
    <s v="APRILE 2026"/>
    <s v="4 APRILE 2026"/>
    <x v="8"/>
    <x v="6"/>
    <n v="68.92"/>
    <s v="3/3"/>
    <s v="PAYPAL"/>
    <s v="Stampante 3D A1 mini"/>
  </r>
  <r>
    <x v="2"/>
    <s v="APRILE"/>
    <x v="0"/>
    <n v="4"/>
    <s v="APRILE 2026"/>
    <s v="4 APRILE 2026"/>
    <x v="8"/>
    <x v="6"/>
    <n v="35.798000000000002"/>
    <s v="3/5"/>
    <s v="AMAZON"/>
    <s v="Router Mercusys"/>
  </r>
  <r>
    <x v="2"/>
    <s v="APRILE"/>
    <x v="0"/>
    <n v="4"/>
    <s v="APRILE 2026"/>
    <s v="4 APRILE 2026"/>
    <x v="8"/>
    <x v="6"/>
    <n v="38.799999999999997"/>
    <s v="3/5"/>
    <s v="AMAZON"/>
    <s v="Monitor LG 32&quot;"/>
  </r>
  <r>
    <x v="12"/>
    <s v="APRILE"/>
    <x v="0"/>
    <n v="4"/>
    <s v="APRILE 2026"/>
    <s v="4 APRILE 2026"/>
    <x v="7"/>
    <x v="2"/>
    <n v="13.59"/>
    <m/>
    <m/>
    <m/>
  </r>
  <r>
    <x v="88"/>
    <s v="APRILE"/>
    <x v="0"/>
    <n v="4"/>
    <s v="APRILE 2026"/>
    <s v="4 APRILE 2026"/>
    <x v="0"/>
    <x v="0"/>
    <n v="82"/>
    <m/>
    <m/>
    <m/>
  </r>
  <r>
    <x v="11"/>
    <s v="APRILE"/>
    <x v="0"/>
    <n v="4"/>
    <s v="APRILE 2026"/>
    <s v="4 APRILE 2026"/>
    <x v="0"/>
    <x v="0"/>
    <n v="20"/>
    <m/>
    <m/>
    <m/>
  </r>
  <r>
    <x v="17"/>
    <s v="APRILE"/>
    <x v="0"/>
    <n v="4"/>
    <s v="APRILE 2026"/>
    <s v="4 APRILE 2026"/>
    <x v="7"/>
    <x v="2"/>
    <n v="20.45"/>
    <m/>
    <m/>
    <m/>
  </r>
  <r>
    <x v="41"/>
    <s v="APRILE"/>
    <x v="0"/>
    <n v="4"/>
    <s v="APRILE 2026"/>
    <s v="4 APRILE 2026"/>
    <x v="3"/>
    <x v="3"/>
    <n v="1.7"/>
    <m/>
    <m/>
    <m/>
  </r>
  <r>
    <x v="41"/>
    <s v="APRILE"/>
    <x v="0"/>
    <n v="4"/>
    <s v="APRILE 2026"/>
    <s v="4 APRILE 2026"/>
    <x v="3"/>
    <x v="3"/>
    <n v="1.7"/>
    <m/>
    <m/>
    <m/>
  </r>
  <r>
    <x v="6"/>
    <s v="APRILE"/>
    <x v="0"/>
    <n v="4"/>
    <s v="APRILE 2026"/>
    <s v="4 APRILE 2026"/>
    <x v="14"/>
    <x v="2"/>
    <n v="7"/>
    <m/>
    <m/>
    <m/>
  </r>
  <r>
    <x v="35"/>
    <s v="MARZO"/>
    <x v="0"/>
    <n v="3"/>
    <s v="MARZO 2026"/>
    <s v="3 MARZO 2026"/>
    <x v="1"/>
    <x v="1"/>
    <n v="16.64"/>
    <m/>
    <m/>
    <m/>
  </r>
  <r>
    <x v="89"/>
    <s v="MARZO"/>
    <x v="0"/>
    <n v="3"/>
    <s v="MARZO 2026"/>
    <s v="3 MARZO 2026"/>
    <x v="2"/>
    <x v="2"/>
    <n v="5"/>
    <m/>
    <m/>
    <m/>
  </r>
  <r>
    <x v="6"/>
    <s v="MARZO"/>
    <x v="0"/>
    <n v="3"/>
    <s v="MARZO 2026"/>
    <s v="3 MARZO 2026"/>
    <x v="14"/>
    <x v="2"/>
    <n v="7"/>
    <m/>
    <m/>
    <m/>
  </r>
  <r>
    <x v="6"/>
    <s v="MARZO"/>
    <x v="0"/>
    <n v="3"/>
    <s v="MARZO 2026"/>
    <s v="3 MARZO 2026"/>
    <x v="0"/>
    <x v="0"/>
    <n v="6"/>
    <m/>
    <m/>
    <m/>
  </r>
  <r>
    <x v="90"/>
    <s v="MARZO"/>
    <x v="0"/>
    <n v="3"/>
    <s v="MARZO 2026"/>
    <s v="3 MARZO 2026"/>
    <x v="0"/>
    <x v="0"/>
    <n v="23.1"/>
    <m/>
    <m/>
    <m/>
  </r>
  <r>
    <x v="12"/>
    <s v="MARZO"/>
    <x v="0"/>
    <n v="3"/>
    <s v="MARZO 2026"/>
    <s v="3 MARZO 2026"/>
    <x v="7"/>
    <x v="2"/>
    <n v="17.36"/>
    <m/>
    <m/>
    <m/>
  </r>
  <r>
    <x v="5"/>
    <s v="MARZO"/>
    <x v="0"/>
    <n v="3"/>
    <s v="MARZO 2026"/>
    <s v="3 MARZO 2026"/>
    <x v="4"/>
    <x v="4"/>
    <n v="60"/>
    <m/>
    <s v="REVOLUT"/>
    <s v="Prelievo"/>
  </r>
  <r>
    <x v="6"/>
    <s v="MARZO"/>
    <x v="0"/>
    <n v="3"/>
    <s v="MARZO 2026"/>
    <s v="3 MARZO 2026"/>
    <x v="0"/>
    <x v="0"/>
    <n v="30"/>
    <m/>
    <m/>
    <m/>
  </r>
  <r>
    <x v="6"/>
    <s v="MARZO"/>
    <x v="0"/>
    <n v="3"/>
    <s v="MARZO 2026"/>
    <s v="3 MARZO 2026"/>
    <x v="14"/>
    <x v="2"/>
    <n v="7"/>
    <m/>
    <m/>
    <m/>
  </r>
  <r>
    <x v="2"/>
    <s v="MARZO"/>
    <x v="0"/>
    <n v="3"/>
    <s v="MARZO 2026"/>
    <s v="3 MARZO 2026"/>
    <x v="8"/>
    <x v="6"/>
    <n v="15.99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17"/>
    <s v="MARZO"/>
    <x v="0"/>
    <n v="3"/>
    <s v="MARZO 2026"/>
    <s v="3 MARZO 2026"/>
    <x v="7"/>
    <x v="2"/>
    <n v="3.4"/>
    <m/>
    <m/>
    <m/>
  </r>
  <r>
    <x v="91"/>
    <s v="MARZO"/>
    <x v="0"/>
    <n v="3"/>
    <s v="MARZO 2026"/>
    <s v="3 MARZO 2026"/>
    <x v="2"/>
    <x v="2"/>
    <n v="0.4"/>
    <m/>
    <m/>
    <m/>
  </r>
  <r>
    <x v="6"/>
    <s v="MARZO"/>
    <x v="0"/>
    <n v="3"/>
    <s v="MARZO 2026"/>
    <s v="3 MARZO 2026"/>
    <x v="0"/>
    <x v="0"/>
    <n v="3"/>
    <m/>
    <m/>
    <m/>
  </r>
  <r>
    <x v="2"/>
    <s v="MARZO"/>
    <x v="0"/>
    <n v="3"/>
    <s v="MARZO 2026"/>
    <s v="3 MARZO 2026"/>
    <x v="8"/>
    <x v="6"/>
    <n v="28.49"/>
    <m/>
    <m/>
    <m/>
  </r>
  <r>
    <x v="12"/>
    <s v="MARZO"/>
    <x v="0"/>
    <n v="3"/>
    <s v="MARZO 2026"/>
    <s v="3 MARZO 2026"/>
    <x v="7"/>
    <x v="2"/>
    <n v="18.850000000000001"/>
    <m/>
    <m/>
    <m/>
  </r>
  <r>
    <x v="88"/>
    <s v="MARZO"/>
    <x v="0"/>
    <n v="3"/>
    <s v="MARZO 2026"/>
    <s v="3 MARZO 2026"/>
    <x v="0"/>
    <x v="0"/>
    <n v="103"/>
    <m/>
    <m/>
    <m/>
  </r>
  <r>
    <x v="16"/>
    <s v="MARZO"/>
    <x v="0"/>
    <n v="3"/>
    <s v="MARZO 2026"/>
    <s v="3 MARZO 2026"/>
    <x v="0"/>
    <x v="0"/>
    <n v="39"/>
    <m/>
    <m/>
    <m/>
  </r>
  <r>
    <x v="82"/>
    <s v="MARZO"/>
    <x v="0"/>
    <n v="3"/>
    <s v="MARZO 2026"/>
    <s v="3 MARZO 2026"/>
    <x v="7"/>
    <x v="2"/>
    <n v="10.63"/>
    <m/>
    <m/>
    <m/>
  </r>
  <r>
    <x v="6"/>
    <s v="MARZO"/>
    <x v="0"/>
    <n v="3"/>
    <s v="MARZO 2026"/>
    <s v="3 MARZO 2026"/>
    <x v="14"/>
    <x v="2"/>
    <n v="7"/>
    <m/>
    <m/>
    <m/>
  </r>
  <r>
    <x v="6"/>
    <s v="MARZO"/>
    <x v="0"/>
    <n v="3"/>
    <s v="MARZO 2026"/>
    <s v="3 MARZO 2026"/>
    <x v="14"/>
    <x v="2"/>
    <n v="8.5"/>
    <m/>
    <m/>
    <m/>
  </r>
  <r>
    <x v="2"/>
    <s v="MARZO"/>
    <x v="0"/>
    <n v="3"/>
    <s v="MARZO 2026"/>
    <s v="3 MARZO 2026"/>
    <x v="8"/>
    <x v="6"/>
    <n v="55.52"/>
    <m/>
    <m/>
    <m/>
  </r>
  <r>
    <x v="6"/>
    <s v="MARZO"/>
    <x v="0"/>
    <n v="3"/>
    <s v="MARZO 2026"/>
    <s v="3 MARZO 2026"/>
    <x v="14"/>
    <x v="2"/>
    <n v="7"/>
    <m/>
    <m/>
    <m/>
  </r>
  <r>
    <x v="8"/>
    <s v="MARZO"/>
    <x v="0"/>
    <n v="3"/>
    <s v="MARZO 2026"/>
    <s v="3 MARZO 2026"/>
    <x v="6"/>
    <x v="2"/>
    <n v="33"/>
    <m/>
    <m/>
    <m/>
  </r>
  <r>
    <x v="5"/>
    <s v="MARZO"/>
    <x v="0"/>
    <n v="3"/>
    <s v="MARZO 2026"/>
    <s v="3 MARZO 2026"/>
    <x v="4"/>
    <x v="4"/>
    <n v="50"/>
    <m/>
    <s v="REVOLUT"/>
    <s v="Prelievo"/>
  </r>
  <r>
    <x v="2"/>
    <s v="MARZO"/>
    <x v="0"/>
    <n v="3"/>
    <s v="MARZO 2026"/>
    <s v="3 MARZO 2026"/>
    <x v="11"/>
    <x v="6"/>
    <n v="139.56"/>
    <m/>
    <m/>
    <m/>
  </r>
  <r>
    <x v="92"/>
    <s v="MARZO"/>
    <x v="0"/>
    <n v="3"/>
    <s v="MARZO 2026"/>
    <s v="3 MARZO 2026"/>
    <x v="0"/>
    <x v="0"/>
    <n v="28.8"/>
    <m/>
    <m/>
    <m/>
  </r>
  <r>
    <x v="79"/>
    <s v="MARZO"/>
    <x v="0"/>
    <n v="3"/>
    <s v="MARZO 2026"/>
    <s v="3 MARZO 2026"/>
    <x v="3"/>
    <x v="3"/>
    <n v="4.3099999999999996"/>
    <m/>
    <s v="PAYPAL"/>
    <m/>
  </r>
  <r>
    <x v="17"/>
    <s v="MARZO"/>
    <x v="0"/>
    <n v="3"/>
    <s v="MARZO 2026"/>
    <s v="3 MARZO 2026"/>
    <x v="7"/>
    <x v="2"/>
    <n v="15.39"/>
    <m/>
    <m/>
    <m/>
  </r>
  <r>
    <x v="12"/>
    <s v="MARZO"/>
    <x v="0"/>
    <n v="3"/>
    <s v="MARZO 2026"/>
    <s v="3 MARZO 2026"/>
    <x v="7"/>
    <x v="2"/>
    <n v="34.96"/>
    <m/>
    <m/>
    <m/>
  </r>
  <r>
    <x v="91"/>
    <s v="MARZO"/>
    <x v="0"/>
    <n v="3"/>
    <s v="MARZO 2026"/>
    <s v="3 MARZO 2026"/>
    <x v="2"/>
    <x v="2"/>
    <n v="0.4"/>
    <m/>
    <m/>
    <m/>
  </r>
  <r>
    <x v="6"/>
    <s v="MARZO"/>
    <x v="0"/>
    <n v="3"/>
    <s v="MARZO 2026"/>
    <s v="3 MARZO 2026"/>
    <x v="14"/>
    <x v="2"/>
    <n v="9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1.3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3"/>
    <s v="MARZO"/>
    <x v="0"/>
    <n v="3"/>
    <s v="MARZO 2026"/>
    <s v="3 MARZO 2026"/>
    <x v="8"/>
    <x v="6"/>
    <n v="23.18"/>
    <m/>
    <m/>
    <s v="Report KFL"/>
  </r>
  <r>
    <x v="2"/>
    <s v="MARZO"/>
    <x v="0"/>
    <n v="3"/>
    <s v="MARZO 2026"/>
    <s v="3 MARZO 2026"/>
    <x v="8"/>
    <x v="6"/>
    <n v="29"/>
    <m/>
    <m/>
    <m/>
  </r>
  <r>
    <x v="94"/>
    <s v="MARZO"/>
    <x v="0"/>
    <n v="3"/>
    <s v="MARZO 2026"/>
    <s v="3 MARZO 2026"/>
    <x v="15"/>
    <x v="8"/>
    <n v="18.48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6"/>
    <s v="MARZO"/>
    <x v="0"/>
    <n v="3"/>
    <s v="MARZO 2026"/>
    <s v="3 MARZO 2026"/>
    <x v="14"/>
    <x v="2"/>
    <n v="7"/>
    <m/>
    <m/>
    <m/>
  </r>
  <r>
    <x v="95"/>
    <s v="MARZO"/>
    <x v="0"/>
    <n v="3"/>
    <s v="MARZO 2026"/>
    <s v="3 MARZO 2026"/>
    <x v="0"/>
    <x v="0"/>
    <n v="8"/>
    <m/>
    <m/>
    <m/>
  </r>
  <r>
    <x v="95"/>
    <s v="MARZO"/>
    <x v="0"/>
    <n v="3"/>
    <s v="MARZO 2026"/>
    <s v="3 MARZO 2026"/>
    <x v="0"/>
    <x v="0"/>
    <n v="18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91"/>
    <s v="MARZO"/>
    <x v="0"/>
    <n v="3"/>
    <s v="MARZO 2026"/>
    <s v="3 MARZO 2026"/>
    <x v="2"/>
    <x v="2"/>
    <n v="0.4"/>
    <m/>
    <m/>
    <m/>
  </r>
  <r>
    <x v="12"/>
    <s v="MARZO"/>
    <x v="0"/>
    <n v="3"/>
    <s v="MARZO 2026"/>
    <s v="3 MARZO 2026"/>
    <x v="7"/>
    <x v="2"/>
    <n v="26.02"/>
    <m/>
    <m/>
    <m/>
  </r>
  <r>
    <x v="96"/>
    <s v="MARZO"/>
    <x v="0"/>
    <n v="3"/>
    <s v="MARZO 2026"/>
    <s v="3 MARZO 2026"/>
    <x v="11"/>
    <x v="6"/>
    <n v="20.95"/>
    <m/>
    <m/>
    <m/>
  </r>
  <r>
    <x v="97"/>
    <s v="MARZO"/>
    <x v="0"/>
    <n v="3"/>
    <s v="MARZO 2026"/>
    <s v="3 MARZO 2026"/>
    <x v="11"/>
    <x v="6"/>
    <n v="59.8"/>
    <m/>
    <m/>
    <m/>
  </r>
  <r>
    <x v="21"/>
    <s v="MARZO"/>
    <x v="0"/>
    <n v="3"/>
    <s v="MARZO 2026"/>
    <s v="3 MARZO 2026"/>
    <x v="9"/>
    <x v="3"/>
    <n v="12"/>
    <m/>
    <m/>
    <m/>
  </r>
  <r>
    <x v="2"/>
    <s v="MARZO"/>
    <x v="0"/>
    <n v="3"/>
    <s v="MARZO 2026"/>
    <s v="3 MARZO 2026"/>
    <x v="8"/>
    <x v="6"/>
    <n v="42.5"/>
    <m/>
    <m/>
    <m/>
  </r>
  <r>
    <x v="5"/>
    <s v="MARZO"/>
    <x v="0"/>
    <n v="3"/>
    <s v="MARZO 2026"/>
    <s v="3 MARZO 2026"/>
    <x v="4"/>
    <x v="4"/>
    <n v="100"/>
    <m/>
    <s v="REVOLUT"/>
    <s v="Rimborso BASKET TERZO"/>
  </r>
  <r>
    <x v="87"/>
    <s v="MARZO"/>
    <x v="0"/>
    <n v="3"/>
    <s v="MARZO 2026"/>
    <s v="3 MARZO 2026"/>
    <x v="8"/>
    <x v="6"/>
    <n v="68.92"/>
    <s v="2/3"/>
    <s v="PAYPAL"/>
    <s v="Stampante 3D A1 mini"/>
  </r>
  <r>
    <x v="2"/>
    <s v="MARZO"/>
    <x v="0"/>
    <n v="3"/>
    <s v="MARZO 2026"/>
    <s v="3 MARZO 2026"/>
    <x v="8"/>
    <x v="6"/>
    <n v="35.799999999999997"/>
    <s v="2/5"/>
    <s v="AMAZON"/>
    <s v="Router Mercusys"/>
  </r>
  <r>
    <x v="2"/>
    <s v="MARZO"/>
    <x v="0"/>
    <n v="3"/>
    <s v="MARZO 2026"/>
    <s v="3 MARZO 2026"/>
    <x v="8"/>
    <x v="6"/>
    <n v="38.799999999999997"/>
    <s v="2/5"/>
    <s v="AMAZON"/>
    <s v="Monitor LG 32&quot;"/>
  </r>
  <r>
    <x v="91"/>
    <s v="MARZO"/>
    <x v="0"/>
    <n v="3"/>
    <s v="MARZO 2026"/>
    <s v="3 MARZO 2026"/>
    <x v="2"/>
    <x v="2"/>
    <n v="1.5"/>
    <m/>
    <m/>
    <m/>
  </r>
  <r>
    <x v="91"/>
    <s v="MARZO"/>
    <x v="0"/>
    <n v="3"/>
    <s v="MARZO 2026"/>
    <s v="3 MARZO 2026"/>
    <x v="2"/>
    <x v="2"/>
    <n v="1.5"/>
    <m/>
    <m/>
    <m/>
  </r>
  <r>
    <x v="2"/>
    <s v="FEBBRAIO"/>
    <x v="0"/>
    <n v="2"/>
    <s v="FEBBRAIO 2026"/>
    <s v="2 FEBBRAIO 2026"/>
    <x v="8"/>
    <x v="6"/>
    <n v="8.99"/>
    <m/>
    <m/>
    <m/>
  </r>
  <r>
    <x v="91"/>
    <s v="FEBBRAIO"/>
    <x v="0"/>
    <n v="2"/>
    <s v="FEBBRAIO 2026"/>
    <s v="2 FEBBRAIO 2026"/>
    <x v="2"/>
    <x v="2"/>
    <n v="0.4"/>
    <m/>
    <m/>
    <m/>
  </r>
  <r>
    <x v="91"/>
    <s v="FEBBRAIO"/>
    <x v="0"/>
    <n v="2"/>
    <s v="FEBBRAIO 2026"/>
    <s v="2 FEBBRAIO 2026"/>
    <x v="2"/>
    <x v="2"/>
    <n v="0.4"/>
    <m/>
    <m/>
    <m/>
  </r>
  <r>
    <x v="6"/>
    <s v="FEBBRAIO"/>
    <x v="0"/>
    <n v="2"/>
    <s v="FEBBRAIO 2026"/>
    <s v="2 FEBBRAIO 2026"/>
    <x v="0"/>
    <x v="0"/>
    <n v="4.5"/>
    <m/>
    <m/>
    <m/>
  </r>
  <r>
    <x v="17"/>
    <s v="FEBBRAIO"/>
    <x v="0"/>
    <n v="2"/>
    <s v="FEBBRAIO 2026"/>
    <s v="2 FEBBRAIO 2026"/>
    <x v="7"/>
    <x v="2"/>
    <n v="10.119999999999999"/>
    <m/>
    <m/>
    <m/>
  </r>
  <r>
    <x v="11"/>
    <s v="FEBBRAIO"/>
    <x v="0"/>
    <n v="2"/>
    <s v="FEBBRAIO 2026"/>
    <s v="2 FEBBRAIO 2026"/>
    <x v="0"/>
    <x v="0"/>
    <n v="20.5"/>
    <m/>
    <m/>
    <m/>
  </r>
  <r>
    <x v="11"/>
    <s v="FEBBRAIO"/>
    <x v="0"/>
    <n v="2"/>
    <s v="FEBBRAIO 2026"/>
    <s v="2 FEBBRAIO 2026"/>
    <x v="0"/>
    <x v="0"/>
    <n v="20"/>
    <m/>
    <m/>
    <m/>
  </r>
  <r>
    <x v="53"/>
    <s v="FEBBRAIO"/>
    <x v="0"/>
    <n v="2"/>
    <s v="FEBBRAIO 2026"/>
    <s v="2 FEBBRAIO 2026"/>
    <x v="1"/>
    <x v="1"/>
    <n v="70"/>
    <m/>
    <m/>
    <m/>
  </r>
  <r>
    <x v="53"/>
    <s v="FEBBRAIO"/>
    <x v="0"/>
    <n v="2"/>
    <s v="FEBBRAIO 2026"/>
    <s v="2 FEBBRAIO 2026"/>
    <x v="1"/>
    <x v="1"/>
    <n v="22.9"/>
    <m/>
    <m/>
    <m/>
  </r>
  <r>
    <x v="98"/>
    <s v="FEBBRAIO"/>
    <x v="0"/>
    <n v="2"/>
    <s v="FEBBRAIO 2026"/>
    <s v="2 FEBBRAIO 2026"/>
    <x v="11"/>
    <x v="6"/>
    <n v="65"/>
    <m/>
    <m/>
    <m/>
  </r>
  <r>
    <x v="99"/>
    <s v="FEBBRAIO"/>
    <x v="0"/>
    <n v="2"/>
    <s v="FEBBRAIO 2026"/>
    <s v="2 FEBBRAIO 2026"/>
    <x v="0"/>
    <x v="0"/>
    <n v="21"/>
    <m/>
    <m/>
    <m/>
  </r>
  <r>
    <x v="35"/>
    <s v="FEBBRAIO"/>
    <x v="0"/>
    <n v="2"/>
    <s v="FEBBRAIO 2026"/>
    <s v="2 FEBBRAIO 2026"/>
    <x v="1"/>
    <x v="1"/>
    <n v="6"/>
    <m/>
    <m/>
    <m/>
  </r>
  <r>
    <x v="91"/>
    <s v="FEBBRAIO"/>
    <x v="0"/>
    <n v="2"/>
    <s v="FEBBRAIO 2026"/>
    <s v="2 FEBBRAIO 2026"/>
    <x v="2"/>
    <x v="2"/>
    <n v="0.4"/>
    <m/>
    <m/>
    <m/>
  </r>
  <r>
    <x v="91"/>
    <s v="FEBBRAIO"/>
    <x v="0"/>
    <n v="2"/>
    <s v="FEBBRAIO 2026"/>
    <s v="2 FEBBRAIO 2026"/>
    <x v="2"/>
    <x v="2"/>
    <n v="0.4"/>
    <m/>
    <m/>
    <m/>
  </r>
  <r>
    <x v="79"/>
    <s v="FEBBRAIO"/>
    <x v="0"/>
    <n v="2"/>
    <s v="FEBBRAIO 2026"/>
    <s v="2 FEBBRAIO 2026"/>
    <x v="3"/>
    <x v="3"/>
    <n v="0.85"/>
    <m/>
    <s v="PAYPAL"/>
    <s v="Pagato con Paypal"/>
  </r>
  <r>
    <x v="2"/>
    <s v="FEBBRAIO"/>
    <x v="0"/>
    <n v="2"/>
    <s v="FEBBRAIO 2026"/>
    <s v="2 FEBBRAIO 2026"/>
    <x v="8"/>
    <x v="6"/>
    <n v="19.989999999999998"/>
    <m/>
    <m/>
    <m/>
  </r>
  <r>
    <x v="6"/>
    <s v="FEBBRAIO"/>
    <x v="0"/>
    <n v="2"/>
    <s v="FEBBRAIO 2026"/>
    <s v="2 FEBBRAIO 2026"/>
    <x v="14"/>
    <x v="2"/>
    <n v="9"/>
    <m/>
    <m/>
    <m/>
  </r>
  <r>
    <x v="5"/>
    <s v="FEBBRAIO"/>
    <x v="0"/>
    <n v="2"/>
    <s v="FEBBRAIO 2026"/>
    <s v="2 FEBBRAIO 2026"/>
    <x v="4"/>
    <x v="4"/>
    <n v="20"/>
    <m/>
    <s v="REVOLUT"/>
    <s v="Pagamento Regalo Sandra"/>
  </r>
  <r>
    <x v="35"/>
    <s v="FEBBRAIO"/>
    <x v="0"/>
    <n v="2"/>
    <s v="FEBBRAIO 2026"/>
    <s v="2 FEBBRAIO 2026"/>
    <x v="1"/>
    <x v="1"/>
    <n v="7.9"/>
    <m/>
    <m/>
    <m/>
  </r>
  <r>
    <x v="12"/>
    <s v="FEBBRAIO"/>
    <x v="0"/>
    <n v="2"/>
    <s v="FEBBRAIO 2026"/>
    <s v="2 FEBBRAIO 2026"/>
    <x v="7"/>
    <x v="2"/>
    <n v="5.57"/>
    <m/>
    <m/>
    <m/>
  </r>
  <r>
    <x v="79"/>
    <s v="FEBBRAIO"/>
    <x v="0"/>
    <n v="2"/>
    <s v="FEBBRAIO 2026"/>
    <s v="2 FEBBRAIO 2026"/>
    <x v="3"/>
    <x v="3"/>
    <n v="0.79"/>
    <m/>
    <s v="PAYPAL"/>
    <m/>
  </r>
  <r>
    <x v="2"/>
    <s v="FEBBRAIO"/>
    <x v="0"/>
    <n v="2"/>
    <s v="FEBBRAIO 2026"/>
    <s v="2 FEBBRAIO 2026"/>
    <x v="8"/>
    <x v="6"/>
    <n v="15.99"/>
    <m/>
    <m/>
    <m/>
  </r>
  <r>
    <x v="87"/>
    <s v="FEBBRAIO"/>
    <x v="0"/>
    <n v="2"/>
    <s v="FEBBRAIO 2026"/>
    <s v="2 FEBBRAIO 2026"/>
    <x v="8"/>
    <x v="6"/>
    <n v="68.92"/>
    <s v="1/3"/>
    <s v="PAYPAL"/>
    <s v="Stampante 3D A1 mini"/>
  </r>
  <r>
    <x v="87"/>
    <s v="FEBBRAIO"/>
    <x v="0"/>
    <n v="2"/>
    <s v="FEBBRAIO 2026"/>
    <s v="2 FEBBRAIO 2026"/>
    <x v="8"/>
    <x v="6"/>
    <n v="65.59"/>
    <m/>
    <s v="PAYPAL"/>
    <s v="Errore Stampante 3D A1 mini"/>
  </r>
  <r>
    <x v="100"/>
    <s v="FEBBRAIO"/>
    <x v="0"/>
    <n v="2"/>
    <s v="FEBBRAIO 2026"/>
    <s v="2 FEBBRAIO 2026"/>
    <x v="0"/>
    <x v="0"/>
    <n v="62.5"/>
    <m/>
    <m/>
    <m/>
  </r>
  <r>
    <x v="21"/>
    <s v="FEBBRAIO"/>
    <x v="0"/>
    <n v="2"/>
    <s v="FEBBRAIO 2026"/>
    <s v="2 FEBBRAIO 2026"/>
    <x v="9"/>
    <x v="3"/>
    <n v="10"/>
    <m/>
    <m/>
    <m/>
  </r>
  <r>
    <x v="101"/>
    <s v="FEBBRAIO"/>
    <x v="0"/>
    <n v="2"/>
    <s v="FEBBRAIO 2026"/>
    <s v="2 FEBBRAIO 2026"/>
    <x v="0"/>
    <x v="0"/>
    <n v="40"/>
    <m/>
    <m/>
    <m/>
  </r>
  <r>
    <x v="6"/>
    <s v="FEBBRAIO"/>
    <x v="0"/>
    <n v="2"/>
    <s v="FEBBRAIO 2026"/>
    <s v="2 FEBBRAIO 2026"/>
    <x v="14"/>
    <x v="2"/>
    <n v="7"/>
    <m/>
    <m/>
    <m/>
  </r>
  <r>
    <x v="79"/>
    <s v="FEBBRAIO"/>
    <x v="0"/>
    <n v="2"/>
    <s v="FEBBRAIO 2026"/>
    <s v="2 FEBBRAIO 2026"/>
    <x v="3"/>
    <x v="3"/>
    <n v="0.73"/>
    <m/>
    <s v="PAYPAL"/>
    <m/>
  </r>
  <r>
    <x v="2"/>
    <s v="FEBBRAIO"/>
    <x v="0"/>
    <n v="2"/>
    <s v="FEBBRAIO 2026"/>
    <s v="2 FEBBRAIO 2026"/>
    <x v="8"/>
    <x v="6"/>
    <n v="10.44"/>
    <m/>
    <m/>
    <m/>
  </r>
  <r>
    <x v="5"/>
    <s v="FEBBRAIO"/>
    <x v="0"/>
    <n v="2"/>
    <s v="FEBBRAIO 2026"/>
    <s v="2 FEBBRAIO 2026"/>
    <x v="4"/>
    <x v="4"/>
    <n v="22"/>
    <m/>
    <s v="REVOLUT"/>
    <s v="Pagamento CAFC Papà e Mamma"/>
  </r>
  <r>
    <x v="35"/>
    <s v="FEBBRAIO"/>
    <x v="0"/>
    <n v="2"/>
    <s v="FEBBRAIO 2026"/>
    <s v="2 FEBBRAIO 2026"/>
    <x v="1"/>
    <x v="1"/>
    <n v="18.14"/>
    <m/>
    <m/>
    <m/>
  </r>
  <r>
    <x v="17"/>
    <s v="FEBBRAIO"/>
    <x v="0"/>
    <n v="2"/>
    <s v="FEBBRAIO 2026"/>
    <s v="2 FEBBRAIO 2026"/>
    <x v="7"/>
    <x v="2"/>
    <n v="5.63"/>
    <m/>
    <m/>
    <m/>
  </r>
  <r>
    <x v="12"/>
    <s v="FEBBRAIO"/>
    <x v="0"/>
    <n v="2"/>
    <s v="FEBBRAIO 2026"/>
    <s v="2 FEBBRAIO 2026"/>
    <x v="7"/>
    <x v="2"/>
    <n v="24.38"/>
    <m/>
    <m/>
    <m/>
  </r>
  <r>
    <x v="79"/>
    <s v="FEBBRAIO"/>
    <x v="0"/>
    <n v="2"/>
    <s v="FEBBRAIO 2026"/>
    <s v="2 FEBBRAIO 2026"/>
    <x v="3"/>
    <x v="3"/>
    <n v="0.98"/>
    <m/>
    <s v="PAYPAL"/>
    <m/>
  </r>
  <r>
    <x v="79"/>
    <s v="FEBBRAIO"/>
    <x v="0"/>
    <n v="2"/>
    <s v="FEBBRAIO 2026"/>
    <s v="2 FEBBRAIO 2026"/>
    <x v="3"/>
    <x v="3"/>
    <n v="0.8"/>
    <m/>
    <s v="PAYPAL"/>
    <m/>
  </r>
  <r>
    <x v="102"/>
    <s v="FEBBRAIO"/>
    <x v="0"/>
    <n v="2"/>
    <s v="FEBBRAIO 2026"/>
    <s v="2 FEBBRAIO 2026"/>
    <x v="7"/>
    <x v="2"/>
    <n v="22"/>
    <m/>
    <s v="PAYPAL"/>
    <s v="Arance Siciliane"/>
  </r>
  <r>
    <x v="2"/>
    <s v="FEBBRAIO"/>
    <x v="0"/>
    <n v="2"/>
    <s v="FEBBRAIO 2026"/>
    <s v="2 FEBBRAIO 2026"/>
    <x v="8"/>
    <x v="6"/>
    <n v="35.798000000000002"/>
    <s v="1/5"/>
    <s v="AMAZON"/>
    <s v="Router Mercusys"/>
  </r>
  <r>
    <x v="103"/>
    <s v="FEBBRAIO"/>
    <x v="0"/>
    <n v="2"/>
    <s v="FEBBRAIO 2026"/>
    <s v="2 FEBBRAIO 2026"/>
    <x v="0"/>
    <x v="0"/>
    <n v="63"/>
    <m/>
    <m/>
    <m/>
  </r>
  <r>
    <x v="104"/>
    <s v="FEBBRAIO"/>
    <x v="0"/>
    <n v="2"/>
    <s v="FEBBRAIO 2026"/>
    <s v="2 FEBBRAIO 2026"/>
    <x v="0"/>
    <x v="0"/>
    <n v="21"/>
    <m/>
    <m/>
    <m/>
  </r>
  <r>
    <x v="6"/>
    <s v="FEBBRAIO"/>
    <x v="0"/>
    <n v="2"/>
    <s v="FEBBRAIO 2026"/>
    <s v="2 FEBBRAIO 2026"/>
    <x v="0"/>
    <x v="0"/>
    <n v="17.5"/>
    <m/>
    <m/>
    <m/>
  </r>
  <r>
    <x v="79"/>
    <s v="FEBBRAIO"/>
    <x v="0"/>
    <n v="2"/>
    <s v="FEBBRAIO 2026"/>
    <s v="2 FEBBRAIO 2026"/>
    <x v="3"/>
    <x v="3"/>
    <n v="0.84"/>
    <m/>
    <s v="PAYPAL"/>
    <m/>
  </r>
  <r>
    <x v="79"/>
    <s v="FEBBRAIO"/>
    <x v="0"/>
    <n v="2"/>
    <s v="FEBBRAIO 2026"/>
    <s v="2 FEBBRAIO 2026"/>
    <x v="3"/>
    <x v="3"/>
    <n v="0.95"/>
    <m/>
    <s v="PAYPAL"/>
    <m/>
  </r>
  <r>
    <x v="5"/>
    <s v="FEBBRAIO"/>
    <x v="0"/>
    <n v="2"/>
    <s v="FEBBRAIO 2026"/>
    <s v="2 FEBBRAIO 2026"/>
    <x v="4"/>
    <x v="4"/>
    <n v="20"/>
    <m/>
    <s v="REVOLUT"/>
    <s v="Pagamento CAFC Papà e Mamma"/>
  </r>
  <r>
    <x v="105"/>
    <s v="FEBBRAIO"/>
    <x v="0"/>
    <n v="2"/>
    <s v="FEBBRAIO 2026"/>
    <s v="2 FEBBRAIO 2026"/>
    <x v="2"/>
    <x v="2"/>
    <n v="1.5"/>
    <m/>
    <m/>
    <m/>
  </r>
  <r>
    <x v="105"/>
    <s v="FEBBRAIO"/>
    <x v="0"/>
    <n v="2"/>
    <s v="FEBBRAIO 2026"/>
    <s v="2 FEBBRAIO 2026"/>
    <x v="2"/>
    <x v="2"/>
    <n v="0.8"/>
    <m/>
    <m/>
    <m/>
  </r>
  <r>
    <x v="105"/>
    <s v="FEBBRAIO"/>
    <x v="0"/>
    <n v="2"/>
    <s v="FEBBRAIO 2026"/>
    <s v="2 FEBBRAIO 2026"/>
    <x v="2"/>
    <x v="2"/>
    <n v="0.8"/>
    <m/>
    <m/>
    <m/>
  </r>
  <r>
    <x v="105"/>
    <s v="FEBBRAIO"/>
    <x v="0"/>
    <n v="2"/>
    <s v="FEBBRAIO 2026"/>
    <s v="2 FEBBRAIO 2026"/>
    <x v="2"/>
    <x v="2"/>
    <n v="1.5"/>
    <m/>
    <m/>
    <m/>
  </r>
  <r>
    <x v="105"/>
    <s v="FEBBRAIO"/>
    <x v="0"/>
    <n v="2"/>
    <s v="FEBBRAIO 2026"/>
    <s v="2 FEBBRAIO 2026"/>
    <x v="2"/>
    <x v="2"/>
    <n v="0.8"/>
    <m/>
    <m/>
    <m/>
  </r>
  <r>
    <x v="105"/>
    <s v="FEBBRAIO"/>
    <x v="0"/>
    <n v="2"/>
    <s v="FEBBRAIO 2026"/>
    <s v="2 FEBBRAIO 2026"/>
    <x v="2"/>
    <x v="2"/>
    <n v="0.8"/>
    <m/>
    <m/>
    <m/>
  </r>
  <r>
    <x v="105"/>
    <s v="FEBBRAIO"/>
    <x v="0"/>
    <n v="2"/>
    <s v="FEBBRAIO 2026"/>
    <s v="2 FEBBRAIO 2026"/>
    <x v="2"/>
    <x v="2"/>
    <n v="1.3"/>
    <m/>
    <m/>
    <m/>
  </r>
  <r>
    <x v="105"/>
    <s v="FEBBRAIO"/>
    <x v="0"/>
    <n v="2"/>
    <s v="FEBBRAIO 2026"/>
    <s v="2 FEBBRAIO 2026"/>
    <x v="2"/>
    <x v="2"/>
    <n v="1"/>
    <m/>
    <m/>
    <m/>
  </r>
  <r>
    <x v="91"/>
    <s v="FEBBRAIO"/>
    <x v="0"/>
    <n v="2"/>
    <s v="FEBBRAIO 2026"/>
    <s v="2 FEBBRAIO 2026"/>
    <x v="2"/>
    <x v="2"/>
    <n v="0.4"/>
    <m/>
    <m/>
    <m/>
  </r>
  <r>
    <x v="79"/>
    <s v="FEBBRAIO"/>
    <x v="0"/>
    <n v="2"/>
    <s v="FEBBRAIO 2026"/>
    <s v="2 FEBBRAIO 2026"/>
    <x v="3"/>
    <x v="3"/>
    <n v="0.66"/>
    <m/>
    <s v="PAYPAL"/>
    <m/>
  </r>
  <r>
    <x v="12"/>
    <s v="FEBBRAIO"/>
    <x v="0"/>
    <n v="2"/>
    <s v="FEBBRAIO 2026"/>
    <s v="2 FEBBRAIO 2026"/>
    <x v="7"/>
    <x v="2"/>
    <n v="13.92"/>
    <m/>
    <m/>
    <m/>
  </r>
  <r>
    <x v="2"/>
    <s v="FEBBRAIO"/>
    <x v="0"/>
    <n v="2"/>
    <s v="FEBBRAIO 2026"/>
    <s v="2 FEBBRAIO 2026"/>
    <x v="8"/>
    <x v="6"/>
    <n v="149.99"/>
    <m/>
    <m/>
    <m/>
  </r>
  <r>
    <x v="79"/>
    <s v="FEBBRAIO"/>
    <x v="0"/>
    <n v="2"/>
    <s v="FEBBRAIO 2026"/>
    <s v="2 FEBBRAIO 2026"/>
    <x v="3"/>
    <x v="3"/>
    <n v="2.2200000000000002"/>
    <m/>
    <s v="PAYPAL"/>
    <m/>
  </r>
  <r>
    <x v="79"/>
    <s v="FEBBRAIO"/>
    <x v="0"/>
    <n v="2"/>
    <s v="FEBBRAIO 2026"/>
    <s v="2 FEBBRAIO 2026"/>
    <x v="3"/>
    <x v="3"/>
    <n v="0.17"/>
    <m/>
    <s v="PAYPAL"/>
    <m/>
  </r>
  <r>
    <x v="17"/>
    <s v="FEBBRAIO"/>
    <x v="0"/>
    <n v="2"/>
    <s v="FEBBRAIO 2026"/>
    <s v="2 FEBBRAIO 2026"/>
    <x v="7"/>
    <x v="2"/>
    <n v="4.8600000000000003"/>
    <m/>
    <m/>
    <m/>
  </r>
  <r>
    <x v="82"/>
    <s v="FEBBRAIO"/>
    <x v="0"/>
    <n v="2"/>
    <s v="FEBBRAIO 2026"/>
    <s v="2 FEBBRAIO 2026"/>
    <x v="7"/>
    <x v="2"/>
    <n v="21"/>
    <m/>
    <m/>
    <m/>
  </r>
  <r>
    <x v="6"/>
    <s v="FEBBRAIO"/>
    <x v="0"/>
    <n v="2"/>
    <s v="FEBBRAIO 2026"/>
    <s v="2 FEBBRAIO 2026"/>
    <x v="14"/>
    <x v="2"/>
    <n v="7"/>
    <m/>
    <m/>
    <m/>
  </r>
  <r>
    <x v="5"/>
    <s v="FEBBRAIO"/>
    <x v="0"/>
    <n v="2"/>
    <s v="FEBBRAIO 2026"/>
    <s v="2 FEBBRAIO 2026"/>
    <x v="4"/>
    <x v="4"/>
    <n v="30"/>
    <m/>
    <s v="REVOLUT"/>
    <s v="Consolidamento conto"/>
  </r>
  <r>
    <x v="5"/>
    <s v="FEBBRAIO"/>
    <x v="0"/>
    <n v="2"/>
    <s v="FEBBRAIO 2026"/>
    <s v="2 FEBBRAIO 2026"/>
    <x v="15"/>
    <x v="8"/>
    <n v="2.2799999999999998"/>
    <m/>
    <s v="REVOLUT"/>
    <s v="Consolidamento conto"/>
  </r>
  <r>
    <x v="5"/>
    <s v="FEBBRAIO"/>
    <x v="0"/>
    <n v="2"/>
    <s v="FEBBRAIO 2026"/>
    <s v="2 FEBBRAIO 2026"/>
    <x v="4"/>
    <x v="4"/>
    <n v="130.06"/>
    <m/>
    <s v="REVOLUT"/>
    <s v="Consolidamento conto"/>
  </r>
  <r>
    <x v="79"/>
    <s v="FEBBRAIO"/>
    <x v="0"/>
    <n v="2"/>
    <s v="FEBBRAIO 2026"/>
    <s v="2 FEBBRAIO 2026"/>
    <x v="3"/>
    <x v="3"/>
    <n v="0.85"/>
    <m/>
    <s v="PAYPAL"/>
    <m/>
  </r>
  <r>
    <x v="106"/>
    <s v="FEBBRAIO"/>
    <x v="0"/>
    <n v="2"/>
    <s v="FEBBRAIO 2026"/>
    <s v="2 FEBBRAIO 2026"/>
    <x v="0"/>
    <x v="0"/>
    <n v="10"/>
    <m/>
    <m/>
    <m/>
  </r>
  <r>
    <x v="105"/>
    <s v="FEBBRAIO"/>
    <x v="0"/>
    <n v="2"/>
    <s v="FEBBRAIO 2026"/>
    <s v="2 FEBBRAIO 2026"/>
    <x v="2"/>
    <x v="2"/>
    <n v="1"/>
    <m/>
    <m/>
    <m/>
  </r>
  <r>
    <x v="105"/>
    <s v="FEBBRAIO"/>
    <x v="0"/>
    <n v="2"/>
    <s v="FEBBRAIO 2026"/>
    <s v="2 FEBBRAIO 2026"/>
    <x v="2"/>
    <x v="2"/>
    <n v="1"/>
    <m/>
    <m/>
    <m/>
  </r>
  <r>
    <x v="8"/>
    <s v="FEBBRAIO"/>
    <x v="0"/>
    <n v="2"/>
    <s v="FEBBRAIO 2026"/>
    <s v="2 FEBBRAIO 2026"/>
    <x v="6"/>
    <x v="2"/>
    <n v="33"/>
    <m/>
    <m/>
    <m/>
  </r>
  <r>
    <x v="6"/>
    <s v="FEBBRAIO"/>
    <x v="0"/>
    <n v="2"/>
    <s v="FEBBRAIO 2026"/>
    <s v="2 FEBBRAIO 2026"/>
    <x v="14"/>
    <x v="2"/>
    <n v="7"/>
    <m/>
    <m/>
    <m/>
  </r>
  <r>
    <x v="2"/>
    <s v="FEBBRAIO"/>
    <x v="0"/>
    <n v="2"/>
    <s v="FEBBRAIO 2026"/>
    <s v="2 FEBBRAIO 2026"/>
    <x v="8"/>
    <x v="6"/>
    <n v="38.799999999999997"/>
    <s v="1/5"/>
    <s v="AMAZON"/>
    <s v="Monitor LG 32&quot;"/>
  </r>
  <r>
    <x v="2"/>
    <s v="FEBBRAIO"/>
    <x v="0"/>
    <n v="2"/>
    <s v="FEBBRAIO 2026"/>
    <s v="2 FEBBRAIO 2026"/>
    <x v="8"/>
    <x v="6"/>
    <n v="94.8"/>
    <s v="5/5"/>
    <s v="AMAZON"/>
    <s v="Samsung Galaxy Watch 2025"/>
  </r>
  <r>
    <x v="107"/>
    <s v="GENNAIO"/>
    <x v="0"/>
    <n v="1"/>
    <s v="GENNAIO 2026"/>
    <s v="1 GENNAIO 2026"/>
    <x v="13"/>
    <x v="7"/>
    <n v="25.82"/>
    <m/>
    <m/>
    <m/>
  </r>
  <r>
    <x v="54"/>
    <s v="GENNAIO"/>
    <x v="0"/>
    <n v="1"/>
    <s v="GENNAIO 2026"/>
    <s v="1 GENNAIO 2026"/>
    <x v="0"/>
    <x v="0"/>
    <n v="24"/>
    <m/>
    <m/>
    <m/>
  </r>
  <r>
    <x v="67"/>
    <s v="GENNAIO"/>
    <x v="0"/>
    <n v="1"/>
    <s v="GENNAIO 2026"/>
    <s v="1 GENNAIO 2026"/>
    <x v="7"/>
    <x v="2"/>
    <n v="3.65"/>
    <m/>
    <m/>
    <m/>
  </r>
  <r>
    <x v="11"/>
    <s v="GENNAIO"/>
    <x v="0"/>
    <n v="1"/>
    <s v="GENNAIO 2026"/>
    <s v="1 GENNAIO 2026"/>
    <x v="0"/>
    <x v="0"/>
    <n v="15.5"/>
    <m/>
    <m/>
    <m/>
  </r>
  <r>
    <x v="6"/>
    <s v="GENNAIO"/>
    <x v="0"/>
    <n v="1"/>
    <s v="GENNAIO 2026"/>
    <s v="1 GENNAIO 2026"/>
    <x v="14"/>
    <x v="2"/>
    <n v="7"/>
    <m/>
    <m/>
    <m/>
  </r>
  <r>
    <x v="17"/>
    <s v="GENNAIO"/>
    <x v="0"/>
    <n v="1"/>
    <s v="GENNAIO 2026"/>
    <s v="1 GENNAIO 2026"/>
    <x v="7"/>
    <x v="2"/>
    <n v="5.78"/>
    <m/>
    <m/>
    <m/>
  </r>
  <r>
    <x v="6"/>
    <s v="GENNAIO"/>
    <x v="0"/>
    <n v="1"/>
    <s v="GENNAIO 2026"/>
    <s v="1 GENNAIO 2026"/>
    <x v="14"/>
    <x v="2"/>
    <n v="7"/>
    <m/>
    <m/>
    <m/>
  </r>
  <r>
    <x v="2"/>
    <s v="GENNAIO"/>
    <x v="0"/>
    <n v="1"/>
    <s v="GENNAIO 2026"/>
    <s v="1 GENNAIO 2026"/>
    <x v="8"/>
    <x v="6"/>
    <n v="17.25"/>
    <m/>
    <m/>
    <m/>
  </r>
  <r>
    <x v="6"/>
    <s v="GENNAIO"/>
    <x v="0"/>
    <n v="1"/>
    <s v="GENNAIO 2026"/>
    <s v="1 GENNAIO 2026"/>
    <x v="14"/>
    <x v="2"/>
    <n v="7"/>
    <m/>
    <m/>
    <m/>
  </r>
  <r>
    <x v="5"/>
    <s v="GENNAIO"/>
    <x v="0"/>
    <n v="1"/>
    <s v="GENNAIO 2026"/>
    <s v="1 GENNAIO 2026"/>
    <x v="4"/>
    <x v="4"/>
    <n v="50"/>
    <m/>
    <s v="REVOLUT"/>
    <s v="Anticipo Multa Paolo"/>
  </r>
  <r>
    <x v="12"/>
    <s v="GENNAIO"/>
    <x v="0"/>
    <n v="1"/>
    <s v="GENNAIO 2026"/>
    <s v="1 GENNAIO 2026"/>
    <x v="7"/>
    <x v="2"/>
    <n v="21.38"/>
    <m/>
    <m/>
    <m/>
  </r>
  <r>
    <x v="11"/>
    <s v="GENNAIO"/>
    <x v="0"/>
    <n v="1"/>
    <s v="GENNAIO 2026"/>
    <s v="1 GENNAIO 2026"/>
    <x v="0"/>
    <x v="0"/>
    <n v="40"/>
    <m/>
    <m/>
    <m/>
  </r>
  <r>
    <x v="5"/>
    <s v="GENNAIO"/>
    <x v="0"/>
    <n v="1"/>
    <s v="GENNAIO 2026"/>
    <s v="1 GENNAIO 2026"/>
    <x v="4"/>
    <x v="4"/>
    <n v="50.5"/>
    <m/>
    <s v="REVOLUT"/>
    <s v="Abbonamento XBOX"/>
  </r>
  <r>
    <x v="6"/>
    <s v="GENNAIO"/>
    <x v="0"/>
    <n v="1"/>
    <s v="GENNAIO 2026"/>
    <s v="1 GENNAIO 2026"/>
    <x v="14"/>
    <x v="2"/>
    <n v="7"/>
    <m/>
    <m/>
    <m/>
  </r>
  <r>
    <x v="6"/>
    <s v="GENNAIO"/>
    <x v="0"/>
    <n v="1"/>
    <s v="GENNAIO 2026"/>
    <s v="1 GENNAIO 2026"/>
    <x v="14"/>
    <x v="2"/>
    <n v="7"/>
    <m/>
    <m/>
    <m/>
  </r>
  <r>
    <x v="17"/>
    <s v="GENNAIO"/>
    <x v="0"/>
    <n v="1"/>
    <s v="GENNAIO 2026"/>
    <s v="1 GENNAIO 2026"/>
    <x v="7"/>
    <x v="2"/>
    <n v="3.08"/>
    <m/>
    <m/>
    <m/>
  </r>
  <r>
    <x v="6"/>
    <s v="GENNAIO"/>
    <x v="0"/>
    <n v="1"/>
    <s v="GENNAIO 2026"/>
    <s v="1 GENNAIO 2026"/>
    <x v="0"/>
    <x v="0"/>
    <n v="3"/>
    <m/>
    <m/>
    <m/>
  </r>
  <r>
    <x v="102"/>
    <s v="GENNAIO"/>
    <x v="0"/>
    <n v="1"/>
    <s v="GENNAIO 2026"/>
    <s v="1 GENNAIO 2026"/>
    <x v="7"/>
    <x v="2"/>
    <n v="22"/>
    <m/>
    <s v="PAYPAL"/>
    <s v="Arance Siciliane"/>
  </r>
  <r>
    <x v="12"/>
    <s v="GENNAIO"/>
    <x v="0"/>
    <n v="1"/>
    <s v="GENNAIO 2026"/>
    <s v="1 GENNAIO 2026"/>
    <x v="7"/>
    <x v="2"/>
    <n v="5.76"/>
    <m/>
    <m/>
    <m/>
  </r>
  <r>
    <x v="108"/>
    <s v="GENNAIO"/>
    <x v="0"/>
    <n v="1"/>
    <s v="GENNAIO 2026"/>
    <s v="1 GENNAIO 2026"/>
    <x v="0"/>
    <x v="0"/>
    <n v="42"/>
    <m/>
    <m/>
    <m/>
  </r>
  <r>
    <x v="21"/>
    <s v="GENNAIO"/>
    <x v="0"/>
    <n v="1"/>
    <s v="GENNAIO 2026"/>
    <s v="1 GENNAIO 2026"/>
    <x v="9"/>
    <x v="3"/>
    <n v="12"/>
    <m/>
    <m/>
    <m/>
  </r>
  <r>
    <x v="35"/>
    <s v="GENNAIO"/>
    <x v="0"/>
    <n v="1"/>
    <s v="GENNAIO 2026"/>
    <s v="1 GENNAIO 2026"/>
    <x v="1"/>
    <x v="1"/>
    <n v="16.89"/>
    <m/>
    <m/>
    <m/>
  </r>
  <r>
    <x v="82"/>
    <s v="GENNAIO"/>
    <x v="0"/>
    <n v="1"/>
    <s v="GENNAIO 2026"/>
    <s v="1 GENNAIO 2026"/>
    <x v="7"/>
    <x v="2"/>
    <n v="12.03"/>
    <m/>
    <m/>
    <m/>
  </r>
  <r>
    <x v="12"/>
    <s v="GENNAIO"/>
    <x v="0"/>
    <n v="1"/>
    <s v="GENNAIO 2026"/>
    <s v="1 GENNAIO 2026"/>
    <x v="7"/>
    <x v="2"/>
    <n v="25.6"/>
    <m/>
    <m/>
    <m/>
  </r>
  <r>
    <x v="41"/>
    <s v="GENNAIO"/>
    <x v="0"/>
    <n v="1"/>
    <s v="GENNAIO 2026"/>
    <s v="1 GENNAIO 2026"/>
    <x v="16"/>
    <x v="5"/>
    <n v="9.6"/>
    <m/>
    <m/>
    <s v="Viaggio Viterbo 2026"/>
  </r>
  <r>
    <x v="109"/>
    <s v="GENNAIO"/>
    <x v="0"/>
    <n v="1"/>
    <s v="GENNAIO 2026"/>
    <s v="1 GENNAIO 2026"/>
    <x v="12"/>
    <x v="0"/>
    <n v="104"/>
    <m/>
    <m/>
    <s v="Viaggio Viterbo 2026"/>
  </r>
  <r>
    <x v="110"/>
    <s v="GENNAIO"/>
    <x v="0"/>
    <n v="1"/>
    <s v="GENNAIO 2026"/>
    <s v="1 GENNAIO 2026"/>
    <x v="0"/>
    <x v="0"/>
    <n v="64"/>
    <m/>
    <m/>
    <s v="Viaggio Viterbo 2026"/>
  </r>
  <r>
    <x v="41"/>
    <s v="GENNAIO"/>
    <x v="0"/>
    <n v="1"/>
    <s v="GENNAIO 2026"/>
    <s v="1 GENNAIO 2026"/>
    <x v="16"/>
    <x v="5"/>
    <n v="12.7"/>
    <m/>
    <m/>
    <s v="Viaggio Viterbo 2026"/>
  </r>
  <r>
    <x v="111"/>
    <s v="GENNAIO"/>
    <x v="0"/>
    <n v="1"/>
    <s v="GENNAIO 2026"/>
    <s v="1 GENNAIO 2026"/>
    <x v="0"/>
    <x v="0"/>
    <n v="69"/>
    <m/>
    <m/>
    <s v="Viaggio Viterbo 2026"/>
  </r>
  <r>
    <x v="41"/>
    <s v="GENNAIO"/>
    <x v="0"/>
    <n v="1"/>
    <s v="GENNAIO 2026"/>
    <s v="1 GENNAIO 2026"/>
    <x v="16"/>
    <x v="5"/>
    <n v="12.1"/>
    <m/>
    <m/>
    <s v="Viaggio Viterbo 2026"/>
  </r>
  <r>
    <x v="41"/>
    <s v="GENNAIO"/>
    <x v="0"/>
    <n v="1"/>
    <s v="GENNAIO 2026"/>
    <s v="1 GENNAIO 2026"/>
    <x v="16"/>
    <x v="5"/>
    <n v="12.2"/>
    <m/>
    <m/>
    <s v="Viaggio Viterbo 2026"/>
  </r>
  <r>
    <x v="57"/>
    <s v="GENNAIO"/>
    <x v="0"/>
    <n v="1"/>
    <s v="GENNAIO 2026"/>
    <s v="1 GENNAIO 2026"/>
    <x v="0"/>
    <x v="0"/>
    <n v="7"/>
    <m/>
    <m/>
    <s v="Viaggio Viterbo 2026"/>
  </r>
  <r>
    <x v="53"/>
    <s v="GENNAIO"/>
    <x v="0"/>
    <n v="1"/>
    <s v="GENNAIO 2026"/>
    <s v="1 GENNAIO 2026"/>
    <x v="1"/>
    <x v="1"/>
    <n v="9.25"/>
    <m/>
    <m/>
    <m/>
  </r>
  <r>
    <x v="2"/>
    <s v="GENNAIO"/>
    <x v="0"/>
    <n v="1"/>
    <s v="GENNAIO 2026"/>
    <s v="1 GENNAIO 2026"/>
    <x v="8"/>
    <x v="6"/>
    <n v="94.8"/>
    <s v="4/5"/>
    <s v="AMAZON"/>
    <s v="Samsung Galaxy Watch 2025"/>
  </r>
  <r>
    <x v="2"/>
    <s v="GENNAIO"/>
    <x v="0"/>
    <n v="1"/>
    <s v="GENNAIO 2026"/>
    <s v="1 GENNAIO 2026"/>
    <x v="8"/>
    <x v="6"/>
    <n v="10.92"/>
    <s v="5/5"/>
    <s v="AMAZON"/>
    <s v="NANO LEAF"/>
  </r>
  <r>
    <x v="17"/>
    <s v="GENNAIO"/>
    <x v="0"/>
    <n v="1"/>
    <s v="GENNAIO 2026"/>
    <s v="1 GENNAIO 2026"/>
    <x v="7"/>
    <x v="2"/>
    <n v="26.51"/>
    <m/>
    <m/>
    <s v="Capodanno 2025"/>
  </r>
  <r>
    <x v="12"/>
    <s v="GENNAIO"/>
    <x v="0"/>
    <n v="1"/>
    <s v="GENNAIO 2026"/>
    <s v="1 GENNAIO 2026"/>
    <x v="7"/>
    <x v="2"/>
    <n v="28.5"/>
    <m/>
    <m/>
    <s v="Capodanno 2025"/>
  </r>
  <r>
    <x v="112"/>
    <s v="GENNAIO"/>
    <x v="0"/>
    <n v="1"/>
    <s v="GENNAIO 2026"/>
    <s v="1 GENNAIO 2026"/>
    <x v="1"/>
    <x v="1"/>
    <n v="24.4"/>
    <m/>
    <m/>
    <s v="Capodanno 2025"/>
  </r>
  <r>
    <x v="35"/>
    <s v="GENNAIO"/>
    <x v="0"/>
    <n v="1"/>
    <s v="GENNAIO 2026"/>
    <s v="1 GENNAIO 2026"/>
    <x v="1"/>
    <x v="1"/>
    <n v="26.4"/>
    <m/>
    <m/>
    <m/>
  </r>
  <r>
    <x v="53"/>
    <s v="GENNAIO"/>
    <x v="0"/>
    <n v="1"/>
    <s v="GENNAIO 2026"/>
    <s v="1 GENNAIO 2026"/>
    <x v="1"/>
    <x v="1"/>
    <n v="38.1"/>
    <m/>
    <m/>
    <m/>
  </r>
  <r>
    <x v="113"/>
    <s v="GENNAIO"/>
    <x v="0"/>
    <n v="1"/>
    <s v="GENNAIO 2026"/>
    <s v="1 GENNAIO 2026"/>
    <x v="1"/>
    <x v="1"/>
    <n v="19.8"/>
    <m/>
    <m/>
    <m/>
  </r>
  <r>
    <x v="53"/>
    <s v="GENNAIO"/>
    <x v="0"/>
    <n v="1"/>
    <s v="GENNAIO 2026"/>
    <s v="1 GENNAIO 2026"/>
    <x v="1"/>
    <x v="1"/>
    <n v="45.65"/>
    <m/>
    <m/>
    <m/>
  </r>
  <r>
    <x v="114"/>
    <s v="GENNAIO"/>
    <x v="0"/>
    <n v="1"/>
    <s v="GENNAIO 2026"/>
    <s v="1 GENNAIO 2026"/>
    <x v="0"/>
    <x v="0"/>
    <n v="33.5"/>
    <m/>
    <m/>
    <m/>
  </r>
  <r>
    <x v="21"/>
    <s v="GENNAIO"/>
    <x v="0"/>
    <n v="1"/>
    <s v="GENNAIO 2026"/>
    <s v="1 GENNAIO 2026"/>
    <x v="9"/>
    <x v="3"/>
    <n v="13"/>
    <m/>
    <m/>
    <m/>
  </r>
  <r>
    <x v="6"/>
    <s v="DICEMBRE"/>
    <x v="1"/>
    <n v="12"/>
    <s v="DICEMBRE 2025"/>
    <s v="12 DICEMBRE 2025"/>
    <x v="14"/>
    <x v="2"/>
    <n v="7"/>
    <m/>
    <m/>
    <m/>
  </r>
  <r>
    <x v="2"/>
    <s v="DICEMBRE"/>
    <x v="1"/>
    <n v="12"/>
    <s v="DICEMBRE 2025"/>
    <s v="12 DICEMBRE 2025"/>
    <x v="8"/>
    <x v="6"/>
    <n v="58.49"/>
    <m/>
    <m/>
    <s v="Regali Natale 2025 - Papà"/>
  </r>
  <r>
    <x v="2"/>
    <s v="DICEMBRE"/>
    <x v="1"/>
    <n v="12"/>
    <s v="DICEMBRE 2025"/>
    <s v="12 DICEMBRE 2025"/>
    <x v="8"/>
    <x v="6"/>
    <n v="34.5"/>
    <m/>
    <m/>
    <s v="Regali Natale 2025"/>
  </r>
  <r>
    <x v="55"/>
    <s v="DICEMBRE"/>
    <x v="1"/>
    <n v="12"/>
    <s v="DICEMBRE 2025"/>
    <s v="12 DICEMBRE 2025"/>
    <x v="7"/>
    <x v="2"/>
    <n v="24.14"/>
    <m/>
    <m/>
    <s v="Compleanno 2025"/>
  </r>
  <r>
    <x v="115"/>
    <s v="DICEMBRE"/>
    <x v="1"/>
    <n v="12"/>
    <s v="DICEMBRE 2025"/>
    <s v="12 DICEMBRE 2025"/>
    <x v="0"/>
    <x v="0"/>
    <n v="22.6"/>
    <m/>
    <m/>
    <m/>
  </r>
  <r>
    <x v="11"/>
    <s v="DICEMBRE"/>
    <x v="1"/>
    <n v="12"/>
    <s v="DICEMBRE 2025"/>
    <s v="12 DICEMBRE 2025"/>
    <x v="0"/>
    <x v="0"/>
    <n v="22"/>
    <m/>
    <m/>
    <m/>
  </r>
  <r>
    <x v="6"/>
    <s v="DICEMBRE"/>
    <x v="1"/>
    <n v="12"/>
    <s v="DICEMBRE 2025"/>
    <s v="12 DICEMBRE 2025"/>
    <x v="14"/>
    <x v="2"/>
    <n v="7"/>
    <m/>
    <m/>
    <m/>
  </r>
  <r>
    <x v="6"/>
    <s v="DICEMBRE"/>
    <x v="1"/>
    <n v="12"/>
    <s v="DICEMBRE 2025"/>
    <s v="12 DICEMBRE 2025"/>
    <x v="14"/>
    <x v="2"/>
    <n v="9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116"/>
    <s v="DICEMBRE"/>
    <x v="1"/>
    <n v="12"/>
    <s v="DICEMBRE 2025"/>
    <s v="12 DICEMBRE 2025"/>
    <x v="0"/>
    <x v="0"/>
    <n v="40"/>
    <m/>
    <m/>
    <s v="Compleanno 2025"/>
  </r>
  <r>
    <x v="2"/>
    <s v="DICEMBRE"/>
    <x v="1"/>
    <n v="12"/>
    <s v="DICEMBRE 2025"/>
    <s v="12 DICEMBRE 2025"/>
    <x v="8"/>
    <x v="6"/>
    <n v="20.39"/>
    <m/>
    <m/>
    <m/>
  </r>
  <r>
    <x v="2"/>
    <s v="DICEMBRE"/>
    <x v="1"/>
    <n v="12"/>
    <s v="DICEMBRE 2025"/>
    <s v="12 DICEMBRE 2025"/>
    <x v="8"/>
    <x v="6"/>
    <n v="39.58"/>
    <m/>
    <m/>
    <m/>
  </r>
  <r>
    <x v="6"/>
    <s v="DICEMBRE"/>
    <x v="1"/>
    <n v="12"/>
    <s v="DICEMBRE 2025"/>
    <s v="12 DICEMBRE 2025"/>
    <x v="14"/>
    <x v="2"/>
    <n v="7"/>
    <m/>
    <m/>
    <m/>
  </r>
  <r>
    <x v="117"/>
    <s v="DICEMBRE"/>
    <x v="1"/>
    <n v="12"/>
    <s v="DICEMBRE 2025"/>
    <s v="12 DICEMBRE 2025"/>
    <x v="0"/>
    <x v="0"/>
    <n v="37"/>
    <m/>
    <m/>
    <s v="Compleanno 2025"/>
  </r>
  <r>
    <x v="16"/>
    <s v="DICEMBRE"/>
    <x v="1"/>
    <n v="12"/>
    <s v="DICEMBRE 2025"/>
    <s v="12 DICEMBRE 2025"/>
    <x v="0"/>
    <x v="0"/>
    <n v="36.4"/>
    <m/>
    <m/>
    <m/>
  </r>
  <r>
    <x v="118"/>
    <s v="DICEMBRE"/>
    <x v="1"/>
    <n v="12"/>
    <s v="DICEMBRE 2025"/>
    <s v="12 DICEMBRE 2025"/>
    <x v="16"/>
    <x v="5"/>
    <n v="15.74"/>
    <m/>
    <m/>
    <s v="Viaggio Siviglia 2025"/>
  </r>
  <r>
    <x v="119"/>
    <s v="DICEMBRE"/>
    <x v="1"/>
    <n v="12"/>
    <s v="DICEMBRE 2025"/>
    <s v="12 DICEMBRE 2025"/>
    <x v="0"/>
    <x v="0"/>
    <n v="33.9"/>
    <m/>
    <m/>
    <s v="Viaggio Siviglia 2025"/>
  </r>
  <r>
    <x v="120"/>
    <s v="DICEMBRE"/>
    <x v="1"/>
    <n v="12"/>
    <s v="DICEMBRE 2025"/>
    <s v="12 DICEMBRE 2025"/>
    <x v="10"/>
    <x v="6"/>
    <n v="21"/>
    <m/>
    <m/>
    <s v="Viaggio Siviglia 2025 Regali Natale 2025"/>
  </r>
  <r>
    <x v="120"/>
    <s v="DICEMBRE"/>
    <x v="1"/>
    <n v="12"/>
    <s v="DICEMBRE 2025"/>
    <s v="12 DICEMBRE 2025"/>
    <x v="10"/>
    <x v="6"/>
    <n v="34.47"/>
    <m/>
    <m/>
    <s v="Viaggio Siviglia 2025 Regali Natale 2025"/>
  </r>
  <r>
    <x v="7"/>
    <s v="DICEMBRE"/>
    <x v="1"/>
    <n v="12"/>
    <s v="DICEMBRE 2025"/>
    <s v="12 DICEMBRE 2025"/>
    <x v="5"/>
    <x v="5"/>
    <n v="478.37"/>
    <m/>
    <m/>
    <s v="Viaggio Siviglia 2025"/>
  </r>
  <r>
    <x v="121"/>
    <s v="DICEMBRE"/>
    <x v="1"/>
    <n v="12"/>
    <s v="DICEMBRE 2025"/>
    <s v="12 DICEMBRE 2025"/>
    <x v="0"/>
    <x v="0"/>
    <n v="4"/>
    <m/>
    <m/>
    <s v="Viaggio Siviglia 2025"/>
  </r>
  <r>
    <x v="122"/>
    <s v="DICEMBRE"/>
    <x v="1"/>
    <n v="12"/>
    <s v="DICEMBRE 2025"/>
    <s v="12 DICEMBRE 2025"/>
    <x v="0"/>
    <x v="0"/>
    <n v="33"/>
    <m/>
    <m/>
    <s v="Viaggio Siviglia 2025"/>
  </r>
  <r>
    <x v="123"/>
    <s v="DICEMBRE"/>
    <x v="1"/>
    <n v="12"/>
    <s v="DICEMBRE 2025"/>
    <s v="12 DICEMBRE 2025"/>
    <x v="12"/>
    <x v="0"/>
    <n v="36.799999999999997"/>
    <m/>
    <m/>
    <s v="Viaggio Siviglia 2025"/>
  </r>
  <r>
    <x v="124"/>
    <s v="DICEMBRE"/>
    <x v="1"/>
    <n v="12"/>
    <s v="DICEMBRE 2025"/>
    <s v="12 DICEMBRE 2025"/>
    <x v="0"/>
    <x v="0"/>
    <n v="27.5"/>
    <m/>
    <m/>
    <s v="Viaggio Siviglia 2025"/>
  </r>
  <r>
    <x v="118"/>
    <s v="DICEMBRE"/>
    <x v="1"/>
    <n v="12"/>
    <s v="DICEMBRE 2025"/>
    <s v="12 DICEMBRE 2025"/>
    <x v="16"/>
    <x v="5"/>
    <n v="8.9600000000000009"/>
    <m/>
    <m/>
    <s v="Viaggio Siviglia 2025"/>
  </r>
  <r>
    <x v="125"/>
    <s v="DICEMBRE"/>
    <x v="1"/>
    <n v="12"/>
    <s v="DICEMBRE 2025"/>
    <s v="12 DICEMBRE 2025"/>
    <x v="16"/>
    <x v="5"/>
    <n v="2.8"/>
    <m/>
    <m/>
    <s v="Viaggio Siviglia 2025"/>
  </r>
  <r>
    <x v="126"/>
    <s v="DICEMBRE"/>
    <x v="1"/>
    <n v="12"/>
    <s v="DICEMBRE 2025"/>
    <s v="12 DICEMBRE 2025"/>
    <x v="16"/>
    <x v="5"/>
    <n v="98.82"/>
    <m/>
    <m/>
    <s v="Viaggio Siviglia 2025"/>
  </r>
  <r>
    <x v="127"/>
    <s v="DICEMBRE"/>
    <x v="1"/>
    <n v="12"/>
    <s v="DICEMBRE 2025"/>
    <s v="12 DICEMBRE 2025"/>
    <x v="0"/>
    <x v="0"/>
    <n v="2.2000000000000002"/>
    <m/>
    <m/>
    <s v="Viaggio Siviglia 2025"/>
  </r>
  <r>
    <x v="127"/>
    <s v="DICEMBRE"/>
    <x v="1"/>
    <n v="12"/>
    <s v="DICEMBRE 2025"/>
    <s v="12 DICEMBRE 2025"/>
    <x v="0"/>
    <x v="0"/>
    <n v="2.2000000000000002"/>
    <m/>
    <m/>
    <s v="Viaggio Siviglia 2025"/>
  </r>
  <r>
    <x v="118"/>
    <s v="DICEMBRE"/>
    <x v="1"/>
    <n v="12"/>
    <s v="DICEMBRE 2025"/>
    <s v="12 DICEMBRE 2025"/>
    <x v="16"/>
    <x v="5"/>
    <n v="31.83"/>
    <m/>
    <m/>
    <s v="Viaggio Siviglia 2025"/>
  </r>
  <r>
    <x v="128"/>
    <s v="DICEMBRE"/>
    <x v="1"/>
    <n v="12"/>
    <s v="DICEMBRE 2025"/>
    <s v="12 DICEMBRE 2025"/>
    <x v="0"/>
    <x v="0"/>
    <n v="15"/>
    <m/>
    <m/>
    <s v="Viaggio Siviglia 2025"/>
  </r>
  <r>
    <x v="6"/>
    <s v="DICEMBRE"/>
    <x v="1"/>
    <n v="12"/>
    <s v="DICEMBRE 2025"/>
    <s v="12 DICEMBRE 2025"/>
    <x v="0"/>
    <x v="0"/>
    <n v="43.5"/>
    <m/>
    <m/>
    <s v="Compleanno 2025"/>
  </r>
  <r>
    <x v="6"/>
    <s v="DICEMBRE"/>
    <x v="1"/>
    <n v="12"/>
    <s v="DICEMBRE 2025"/>
    <s v="12 DICEMBRE 2025"/>
    <x v="14"/>
    <x v="2"/>
    <n v="7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5"/>
    <s v="DICEMBRE"/>
    <x v="1"/>
    <n v="12"/>
    <s v="DICEMBRE 2025"/>
    <s v="12 DICEMBRE 2025"/>
    <x v="4"/>
    <x v="4"/>
    <n v="50"/>
    <m/>
    <s v="REVOLUT"/>
    <s v="Prelievo"/>
  </r>
  <r>
    <x v="2"/>
    <s v="DICEMBRE"/>
    <x v="1"/>
    <n v="12"/>
    <s v="DICEMBRE 2025"/>
    <s v="12 DICEMBRE 2025"/>
    <x v="11"/>
    <x v="6"/>
    <n v="78"/>
    <m/>
    <m/>
    <m/>
  </r>
  <r>
    <x v="2"/>
    <s v="DICEMBRE"/>
    <x v="1"/>
    <n v="12"/>
    <s v="DICEMBRE 2025"/>
    <s v="12 DICEMBRE 2025"/>
    <x v="8"/>
    <x v="6"/>
    <n v="10.08"/>
    <m/>
    <m/>
    <m/>
  </r>
  <r>
    <x v="2"/>
    <s v="DICEMBRE"/>
    <x v="1"/>
    <n v="12"/>
    <s v="DICEMBRE 2025"/>
    <s v="12 DICEMBRE 2025"/>
    <x v="8"/>
    <x v="6"/>
    <n v="49"/>
    <m/>
    <m/>
    <s v="Regali Natale 2025"/>
  </r>
  <r>
    <x v="6"/>
    <s v="DICEMBRE"/>
    <x v="1"/>
    <n v="12"/>
    <s v="DICEMBRE 2025"/>
    <s v="12 DICEMBRE 2025"/>
    <x v="0"/>
    <x v="0"/>
    <n v="2.8"/>
    <m/>
    <m/>
    <m/>
  </r>
  <r>
    <x v="17"/>
    <s v="DICEMBRE"/>
    <x v="1"/>
    <n v="12"/>
    <s v="DICEMBRE 2025"/>
    <s v="12 DICEMBRE 2025"/>
    <x v="7"/>
    <x v="2"/>
    <n v="5.95"/>
    <m/>
    <m/>
    <m/>
  </r>
  <r>
    <x v="12"/>
    <s v="DICEMBRE"/>
    <x v="1"/>
    <n v="12"/>
    <s v="DICEMBRE 2025"/>
    <s v="12 DICEMBRE 2025"/>
    <x v="7"/>
    <x v="2"/>
    <n v="20.91"/>
    <m/>
    <m/>
    <m/>
  </r>
  <r>
    <x v="6"/>
    <s v="DICEMBRE"/>
    <x v="1"/>
    <n v="12"/>
    <s v="DICEMBRE 2025"/>
    <s v="12 DICEMBRE 2025"/>
    <x v="14"/>
    <x v="2"/>
    <n v="7"/>
    <m/>
    <m/>
    <m/>
  </r>
  <r>
    <x v="2"/>
    <s v="DICEMBRE"/>
    <x v="1"/>
    <n v="12"/>
    <s v="DICEMBRE 2025"/>
    <s v="12 DICEMBRE 2025"/>
    <x v="8"/>
    <x v="6"/>
    <n v="94.8"/>
    <s v="3/5"/>
    <s v="AMAZON"/>
    <s v="Samsung Galaxy Watch 2025"/>
  </r>
  <r>
    <x v="2"/>
    <s v="DICEMBRE"/>
    <x v="1"/>
    <n v="12"/>
    <s v="DICEMBRE 2025"/>
    <s v="12 DICEMBRE 2025"/>
    <x v="8"/>
    <x v="6"/>
    <n v="10.95"/>
    <s v="4/5"/>
    <s v="AMAZON"/>
    <s v="NANO LEAF"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91"/>
    <s v="DICEMBRE"/>
    <x v="1"/>
    <n v="12"/>
    <s v="DICEMBRE 2025"/>
    <s v="12 DICEMBRE 2025"/>
    <x v="2"/>
    <x v="2"/>
    <n v="0.4"/>
    <m/>
    <m/>
    <m/>
  </r>
  <r>
    <x v="129"/>
    <s v="DICEMBRE"/>
    <x v="1"/>
    <n v="12"/>
    <s v="DICEMBRE 2025"/>
    <s v="12 DICEMBRE 2025"/>
    <x v="11"/>
    <x v="6"/>
    <n v="48.1"/>
    <m/>
    <m/>
    <m/>
  </r>
  <r>
    <x v="16"/>
    <s v="DICEMBRE"/>
    <x v="1"/>
    <n v="12"/>
    <s v="DICEMBRE 2025"/>
    <s v="12 DICEMBRE 2025"/>
    <x v="0"/>
    <x v="0"/>
    <n v="51"/>
    <m/>
    <m/>
    <m/>
  </r>
  <r>
    <x v="11"/>
    <s v="DICEMBRE"/>
    <x v="1"/>
    <n v="12"/>
    <s v="DICEMBRE 2025"/>
    <s v="12 DICEMBRE 2025"/>
    <x v="0"/>
    <x v="0"/>
    <n v="33.5"/>
    <m/>
    <m/>
    <m/>
  </r>
  <r>
    <x v="6"/>
    <s v="DICEMBRE"/>
    <x v="1"/>
    <n v="12"/>
    <s v="DICEMBRE 2025"/>
    <s v="12 DICEMBRE 2025"/>
    <x v="14"/>
    <x v="2"/>
    <n v="7"/>
    <m/>
    <m/>
    <m/>
  </r>
  <r>
    <x v="130"/>
    <s v="DICEMBRE"/>
    <x v="1"/>
    <n v="12"/>
    <s v="DICEMBRE 2025"/>
    <s v="12 DICEMBRE 2025"/>
    <x v="16"/>
    <x v="5"/>
    <n v="79.2"/>
    <m/>
    <m/>
    <s v="Viaggio Siviglia 2025"/>
  </r>
  <r>
    <x v="5"/>
    <s v="NOVEMBRE"/>
    <x v="1"/>
    <n v="11"/>
    <s v="NOVEMBRE 2025"/>
    <s v="11 NOVEMBRE 2025"/>
    <x v="17"/>
    <x v="4"/>
    <n v="250"/>
    <m/>
    <s v="REVOLUT"/>
    <s v="Consolidamento conto"/>
  </r>
  <r>
    <x v="2"/>
    <s v="NOVEMBRE"/>
    <x v="1"/>
    <n v="11"/>
    <s v="NOVEMBRE 2025"/>
    <s v="11 NOVEMBRE 2025"/>
    <x v="8"/>
    <x v="6"/>
    <n v="15.59"/>
    <m/>
    <m/>
    <m/>
  </r>
  <r>
    <x v="2"/>
    <s v="NOVEMBRE"/>
    <x v="1"/>
    <n v="11"/>
    <s v="NOVEMBRE 2025"/>
    <s v="11 NOVEMBRE 2025"/>
    <x v="8"/>
    <x v="6"/>
    <n v="35.99"/>
    <m/>
    <m/>
    <m/>
  </r>
  <r>
    <x v="6"/>
    <s v="NOVEMBRE"/>
    <x v="1"/>
    <n v="11"/>
    <s v="NOVEMBRE 2025"/>
    <s v="11 NOVEMBRE 2025"/>
    <x v="14"/>
    <x v="2"/>
    <n v="7"/>
    <m/>
    <m/>
    <m/>
  </r>
  <r>
    <x v="12"/>
    <s v="NOVEMBRE"/>
    <x v="1"/>
    <n v="11"/>
    <s v="NOVEMBRE 2025"/>
    <s v="11 NOVEMBRE 2025"/>
    <x v="7"/>
    <x v="2"/>
    <n v="9.43"/>
    <m/>
    <m/>
    <m/>
  </r>
  <r>
    <x v="12"/>
    <s v="NOVEMBRE"/>
    <x v="1"/>
    <n v="11"/>
    <s v="NOVEMBRE 2025"/>
    <s v="11 NOVEMBRE 2025"/>
    <x v="7"/>
    <x v="2"/>
    <n v="23.56"/>
    <m/>
    <m/>
    <m/>
  </r>
  <r>
    <x v="6"/>
    <s v="NOVEMBRE"/>
    <x v="1"/>
    <n v="11"/>
    <s v="NOVEMBRE 2025"/>
    <s v="11 NOVEMBRE 2025"/>
    <x v="14"/>
    <x v="2"/>
    <n v="7"/>
    <m/>
    <m/>
    <m/>
  </r>
  <r>
    <x v="6"/>
    <s v="NOVEMBRE"/>
    <x v="1"/>
    <n v="11"/>
    <s v="NOVEMBRE 2025"/>
    <s v="11 NOVEMBRE 2025"/>
    <x v="0"/>
    <x v="0"/>
    <n v="2.8"/>
    <m/>
    <m/>
    <m/>
  </r>
  <r>
    <x v="2"/>
    <s v="NOVEMBRE"/>
    <x v="1"/>
    <n v="11"/>
    <s v="NOVEMBRE 2025"/>
    <s v="11 NOVEMBRE 2025"/>
    <x v="8"/>
    <x v="6"/>
    <n v="14.9"/>
    <m/>
    <m/>
    <m/>
  </r>
  <r>
    <x v="11"/>
    <s v="NOVEMBRE"/>
    <x v="1"/>
    <n v="11"/>
    <s v="NOVEMBRE 2025"/>
    <s v="11 NOVEMBRE 2025"/>
    <x v="0"/>
    <x v="0"/>
    <n v="20"/>
    <m/>
    <m/>
    <m/>
  </r>
  <r>
    <x v="2"/>
    <s v="NOVEMBRE"/>
    <x v="1"/>
    <n v="11"/>
    <s v="NOVEMBRE 2025"/>
    <s v="11 NOVEMBRE 2025"/>
    <x v="8"/>
    <x v="6"/>
    <n v="8.99"/>
    <m/>
    <m/>
    <m/>
  </r>
  <r>
    <x v="21"/>
    <s v="NOVEMBRE"/>
    <x v="1"/>
    <n v="11"/>
    <s v="NOVEMBRE 2025"/>
    <s v="11 NOVEMBRE 2025"/>
    <x v="9"/>
    <x v="3"/>
    <n v="15"/>
    <m/>
    <m/>
    <m/>
  </r>
  <r>
    <x v="82"/>
    <s v="NOVEMBRE"/>
    <x v="1"/>
    <n v="11"/>
    <s v="NOVEMBRE 2025"/>
    <s v="11 NOVEMBRE 2025"/>
    <x v="7"/>
    <x v="2"/>
    <n v="2.99"/>
    <m/>
    <m/>
    <m/>
  </r>
  <r>
    <x v="82"/>
    <s v="NOVEMBRE"/>
    <x v="1"/>
    <n v="11"/>
    <s v="NOVEMBRE 2025"/>
    <s v="11 NOVEMBRE 2025"/>
    <x v="7"/>
    <x v="2"/>
    <n v="15.83"/>
    <m/>
    <m/>
    <m/>
  </r>
  <r>
    <x v="6"/>
    <s v="NOVEMBRE"/>
    <x v="1"/>
    <n v="11"/>
    <s v="NOVEMBRE 2025"/>
    <s v="11 NOVEMBRE 2025"/>
    <x v="14"/>
    <x v="2"/>
    <n v="7"/>
    <m/>
    <m/>
    <m/>
  </r>
  <r>
    <x v="17"/>
    <s v="NOVEMBRE"/>
    <x v="1"/>
    <n v="11"/>
    <s v="NOVEMBRE 2025"/>
    <s v="11 NOVEMBRE 2025"/>
    <x v="7"/>
    <x v="2"/>
    <n v="4.8600000000000003"/>
    <m/>
    <m/>
    <m/>
  </r>
  <r>
    <x v="6"/>
    <s v="NOVEMBRE"/>
    <x v="1"/>
    <n v="11"/>
    <s v="NOVEMBRE 2025"/>
    <s v="11 NOVEMBRE 2025"/>
    <x v="0"/>
    <x v="0"/>
    <n v="2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131"/>
    <s v="NOVEMBRE"/>
    <x v="1"/>
    <n v="11"/>
    <s v="NOVEMBRE 2025"/>
    <s v="11 NOVEMBRE 2025"/>
    <x v="0"/>
    <x v="0"/>
    <n v="17.5"/>
    <m/>
    <m/>
    <s v="San Martino 2025"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132"/>
    <s v="NOVEMBRE"/>
    <x v="1"/>
    <n v="11"/>
    <s v="NOVEMBRE 2025"/>
    <s v="11 NOVEMBRE 2025"/>
    <x v="0"/>
    <x v="0"/>
    <n v="32.5"/>
    <m/>
    <m/>
    <s v="San Martino 2025"/>
  </r>
  <r>
    <x v="133"/>
    <s v="NOVEMBRE"/>
    <x v="1"/>
    <n v="11"/>
    <s v="NOVEMBRE 2025"/>
    <s v="11 NOVEMBRE 2025"/>
    <x v="0"/>
    <x v="0"/>
    <n v="36"/>
    <m/>
    <m/>
    <s v="San Martino 2025"/>
  </r>
  <r>
    <x v="131"/>
    <s v="NOVEMBRE"/>
    <x v="1"/>
    <n v="11"/>
    <s v="NOVEMBRE 2025"/>
    <s v="11 NOVEMBRE 2025"/>
    <x v="0"/>
    <x v="0"/>
    <n v="22.5"/>
    <m/>
    <m/>
    <s v="San Martino 2025"/>
  </r>
  <r>
    <x v="134"/>
    <s v="NOVEMBRE"/>
    <x v="1"/>
    <n v="11"/>
    <s v="NOVEMBRE 2025"/>
    <s v="11 NOVEMBRE 2025"/>
    <x v="0"/>
    <x v="0"/>
    <n v="12.5"/>
    <m/>
    <m/>
    <s v="San Martino 2025"/>
  </r>
  <r>
    <x v="11"/>
    <s v="NOVEMBRE"/>
    <x v="1"/>
    <n v="11"/>
    <s v="NOVEMBRE 2025"/>
    <s v="11 NOVEMBRE 2025"/>
    <x v="0"/>
    <x v="0"/>
    <n v="27.5"/>
    <m/>
    <m/>
    <s v="San Martino 2025"/>
  </r>
  <r>
    <x v="6"/>
    <s v="NOVEMBRE"/>
    <x v="1"/>
    <n v="11"/>
    <s v="NOVEMBRE 2025"/>
    <s v="11 NOVEMBRE 2025"/>
    <x v="14"/>
    <x v="2"/>
    <n v="7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8"/>
    <s v="NOVEMBRE"/>
    <x v="1"/>
    <n v="11"/>
    <s v="NOVEMBRE 2025"/>
    <s v="11 NOVEMBRE 2025"/>
    <x v="6"/>
    <x v="2"/>
    <n v="33"/>
    <m/>
    <m/>
    <m/>
  </r>
  <r>
    <x v="2"/>
    <s v="NOVEMBRE"/>
    <x v="1"/>
    <n v="11"/>
    <s v="NOVEMBRE 2025"/>
    <s v="11 NOVEMBRE 2025"/>
    <x v="8"/>
    <x v="6"/>
    <n v="7.31"/>
    <m/>
    <m/>
    <m/>
  </r>
  <r>
    <x v="5"/>
    <s v="NOVEMBRE"/>
    <x v="1"/>
    <n v="11"/>
    <s v="NOVEMBRE 2025"/>
    <s v="11 NOVEMBRE 2025"/>
    <x v="18"/>
    <x v="0"/>
    <n v="180"/>
    <m/>
    <s v="REVOLUT"/>
    <s v="Tesseramenti Basket 2025-2026"/>
  </r>
  <r>
    <x v="35"/>
    <s v="NOVEMBRE"/>
    <x v="1"/>
    <n v="11"/>
    <s v="NOVEMBRE 2025"/>
    <s v="11 NOVEMBRE 2025"/>
    <x v="1"/>
    <x v="1"/>
    <n v="8"/>
    <m/>
    <m/>
    <m/>
  </r>
  <r>
    <x v="17"/>
    <s v="NOVEMBRE"/>
    <x v="1"/>
    <n v="11"/>
    <s v="NOVEMBRE 2025"/>
    <s v="11 NOVEMBRE 2025"/>
    <x v="7"/>
    <x v="2"/>
    <n v="13.64"/>
    <m/>
    <m/>
    <m/>
  </r>
  <r>
    <x v="91"/>
    <s v="NOVEMBRE"/>
    <x v="1"/>
    <n v="11"/>
    <s v="NOVEMBRE 2025"/>
    <s v="11 NOVEMBRE 2025"/>
    <x v="2"/>
    <x v="2"/>
    <n v="0.4"/>
    <m/>
    <m/>
    <m/>
  </r>
  <r>
    <x v="135"/>
    <s v="NOVEMBRE"/>
    <x v="1"/>
    <n v="11"/>
    <s v="NOVEMBRE 2025"/>
    <s v="11 NOVEMBRE 2025"/>
    <x v="0"/>
    <x v="0"/>
    <n v="30"/>
    <m/>
    <m/>
    <m/>
  </r>
  <r>
    <x v="136"/>
    <s v="NOVEMBRE"/>
    <x v="1"/>
    <n v="11"/>
    <s v="NOVEMBRE 2025"/>
    <s v="11 NOVEMBRE 2025"/>
    <x v="0"/>
    <x v="0"/>
    <n v="18"/>
    <m/>
    <m/>
    <m/>
  </r>
  <r>
    <x v="6"/>
    <s v="NOVEMBRE"/>
    <x v="1"/>
    <n v="11"/>
    <s v="NOVEMBRE 2025"/>
    <s v="11 NOVEMBRE 2025"/>
    <x v="14"/>
    <x v="2"/>
    <n v="8.5"/>
    <m/>
    <m/>
    <m/>
  </r>
  <r>
    <x v="91"/>
    <s v="NOVEMBRE"/>
    <x v="1"/>
    <n v="11"/>
    <s v="NOVEMBRE 2025"/>
    <s v="11 NOVEMBRE 2025"/>
    <x v="2"/>
    <x v="2"/>
    <n v="0.4"/>
    <m/>
    <m/>
    <m/>
  </r>
  <r>
    <x v="91"/>
    <s v="NOVEMBRE"/>
    <x v="1"/>
    <n v="11"/>
    <s v="NOVEMBRE 2025"/>
    <s v="11 NOVEMBRE 2025"/>
    <x v="2"/>
    <x v="2"/>
    <n v="0.4"/>
    <m/>
    <m/>
    <m/>
  </r>
  <r>
    <x v="6"/>
    <s v="NOVEMBRE"/>
    <x v="1"/>
    <n v="11"/>
    <s v="NOVEMBRE 2025"/>
    <s v="11 NOVEMBRE 2025"/>
    <x v="14"/>
    <x v="2"/>
    <n v="7"/>
    <m/>
    <m/>
    <m/>
  </r>
  <r>
    <x v="91"/>
    <s v="NOVEMBRE"/>
    <x v="1"/>
    <n v="11"/>
    <s v="NOVEMBRE 2025"/>
    <s v="11 NOVEMBRE 2025"/>
    <x v="2"/>
    <x v="2"/>
    <n v="0.4"/>
    <m/>
    <m/>
    <m/>
  </r>
  <r>
    <x v="90"/>
    <s v="NOVEMBRE"/>
    <x v="1"/>
    <n v="11"/>
    <s v="NOVEMBRE 2025"/>
    <s v="11 NOVEMBRE 2025"/>
    <x v="0"/>
    <x v="0"/>
    <n v="11"/>
    <m/>
    <m/>
    <m/>
  </r>
  <r>
    <x v="5"/>
    <s v="NOVEMBRE"/>
    <x v="1"/>
    <n v="11"/>
    <s v="NOVEMBRE 2025"/>
    <s v="11 NOVEMBRE 2025"/>
    <x v="4"/>
    <x v="4"/>
    <n v="45"/>
    <m/>
    <s v="REVOLUT"/>
    <s v="Prelievo"/>
  </r>
  <r>
    <x v="6"/>
    <s v="NOVEMBRE"/>
    <x v="1"/>
    <n v="11"/>
    <s v="NOVEMBRE 2025"/>
    <s v="11 NOVEMBRE 2025"/>
    <x v="0"/>
    <x v="0"/>
    <n v="4.2"/>
    <m/>
    <m/>
    <m/>
  </r>
  <r>
    <x v="2"/>
    <s v="NOVEMBRE"/>
    <x v="1"/>
    <n v="11"/>
    <s v="NOVEMBRE 2025"/>
    <s v="11 NOVEMBRE 2025"/>
    <x v="8"/>
    <x v="6"/>
    <n v="6.99"/>
    <m/>
    <m/>
    <m/>
  </r>
  <r>
    <x v="137"/>
    <s v="NOVEMBRE"/>
    <x v="1"/>
    <n v="11"/>
    <s v="NOVEMBRE 2025"/>
    <s v="11 NOVEMBRE 2025"/>
    <x v="6"/>
    <x v="2"/>
    <n v="87"/>
    <m/>
    <m/>
    <m/>
  </r>
  <r>
    <x v="2"/>
    <s v="NOVEMBRE"/>
    <x v="1"/>
    <n v="11"/>
    <s v="NOVEMBRE 2025"/>
    <s v="11 NOVEMBRE 2025"/>
    <x v="8"/>
    <x v="6"/>
    <n v="13.99"/>
    <m/>
    <m/>
    <m/>
  </r>
  <r>
    <x v="76"/>
    <s v="NOVEMBRE"/>
    <x v="1"/>
    <n v="11"/>
    <s v="NOVEMBRE 2025"/>
    <s v="11 NOVEMBRE 2025"/>
    <x v="0"/>
    <x v="0"/>
    <n v="26.7"/>
    <m/>
    <m/>
    <m/>
  </r>
  <r>
    <x v="53"/>
    <s v="NOVEMBRE"/>
    <x v="1"/>
    <n v="11"/>
    <s v="NOVEMBRE 2025"/>
    <s v="11 NOVEMBRE 2025"/>
    <x v="0"/>
    <x v="0"/>
    <n v="2"/>
    <m/>
    <m/>
    <m/>
  </r>
  <r>
    <x v="53"/>
    <s v="NOVEMBRE"/>
    <x v="1"/>
    <n v="11"/>
    <s v="NOVEMBRE 2025"/>
    <s v="11 NOVEMBRE 2025"/>
    <x v="1"/>
    <x v="1"/>
    <n v="52.95"/>
    <m/>
    <m/>
    <m/>
  </r>
  <r>
    <x v="138"/>
    <s v="NOVEMBRE"/>
    <x v="1"/>
    <n v="11"/>
    <s v="NOVEMBRE 2025"/>
    <s v="11 NOVEMBRE 2025"/>
    <x v="0"/>
    <x v="0"/>
    <n v="80"/>
    <m/>
    <m/>
    <m/>
  </r>
  <r>
    <x v="5"/>
    <s v="NOVEMBRE"/>
    <x v="1"/>
    <n v="11"/>
    <s v="NOVEMBRE 2025"/>
    <s v="11 NOVEMBRE 2025"/>
    <x v="4"/>
    <x v="4"/>
    <n v="80"/>
    <m/>
    <s v="REVOLUT"/>
    <s v="Prelievo"/>
  </r>
  <r>
    <x v="17"/>
    <s v="NOVEMBRE"/>
    <x v="1"/>
    <n v="11"/>
    <s v="NOVEMBRE 2025"/>
    <s v="11 NOVEMBRE 2025"/>
    <x v="7"/>
    <x v="2"/>
    <n v="5.66"/>
    <m/>
    <m/>
    <m/>
  </r>
  <r>
    <x v="35"/>
    <s v="NOVEMBRE"/>
    <x v="1"/>
    <n v="11"/>
    <s v="NOVEMBRE 2025"/>
    <s v="11 NOVEMBRE 2025"/>
    <x v="1"/>
    <x v="1"/>
    <n v="34.96"/>
    <m/>
    <m/>
    <m/>
  </r>
  <r>
    <x v="91"/>
    <s v="NOVEMBRE"/>
    <x v="1"/>
    <n v="11"/>
    <s v="NOVEMBRE 2025"/>
    <s v="11 NOVEMBRE 2025"/>
    <x v="2"/>
    <x v="2"/>
    <n v="0.4"/>
    <m/>
    <m/>
    <m/>
  </r>
  <r>
    <x v="6"/>
    <s v="NOVEMBRE"/>
    <x v="1"/>
    <n v="11"/>
    <s v="NOVEMBRE 2025"/>
    <s v="11 NOVEMBRE 2025"/>
    <x v="0"/>
    <x v="0"/>
    <n v="2.8"/>
    <m/>
    <m/>
    <m/>
  </r>
  <r>
    <x v="139"/>
    <s v="NOVEMBRE"/>
    <x v="1"/>
    <n v="11"/>
    <s v="NOVEMBRE 2025"/>
    <s v="11 NOVEMBRE 2025"/>
    <x v="3"/>
    <x v="3"/>
    <n v="2"/>
    <m/>
    <m/>
    <m/>
  </r>
  <r>
    <x v="82"/>
    <s v="NOVEMBRE"/>
    <x v="1"/>
    <n v="11"/>
    <s v="NOVEMBRE 2025"/>
    <s v="11 NOVEMBRE 2025"/>
    <x v="7"/>
    <x v="2"/>
    <n v="38.770000000000003"/>
    <m/>
    <m/>
    <m/>
  </r>
  <r>
    <x v="140"/>
    <s v="NOVEMBRE"/>
    <x v="1"/>
    <n v="11"/>
    <s v="NOVEMBRE 2025"/>
    <s v="11 NOVEMBRE 2025"/>
    <x v="8"/>
    <x v="6"/>
    <n v="1.89"/>
    <m/>
    <m/>
    <m/>
  </r>
  <r>
    <x v="2"/>
    <s v="NOVEMBRE"/>
    <x v="1"/>
    <n v="11"/>
    <s v="NOVEMBRE 2025"/>
    <s v="11 NOVEMBRE 2025"/>
    <x v="8"/>
    <x v="6"/>
    <n v="94.8"/>
    <s v="2/5"/>
    <s v="AMAZON"/>
    <s v="Samsung Galaxy Watch 2025"/>
  </r>
  <r>
    <x v="2"/>
    <s v="NOVEMBRE"/>
    <x v="1"/>
    <n v="11"/>
    <s v="NOVEMBRE 2025"/>
    <s v="11 NOVEMBRE 2025"/>
    <x v="8"/>
    <x v="6"/>
    <n v="10.95"/>
    <s v="3/5"/>
    <s v="AMAZON"/>
    <s v="NANO LEAF"/>
  </r>
  <r>
    <x v="7"/>
    <s v="NOVEMBRE"/>
    <x v="1"/>
    <n v="11"/>
    <s v="NOVEMBRE 2025"/>
    <s v="11 NOVEMBRE 2025"/>
    <x v="5"/>
    <x v="5"/>
    <n v="127.58"/>
    <s v="3/3"/>
    <s v="PAYPAL"/>
    <s v="Viaggio Valencia 2025"/>
  </r>
  <r>
    <x v="53"/>
    <s v="NOVEMBRE"/>
    <x v="1"/>
    <n v="11"/>
    <s v="NOVEMBRE 2025"/>
    <s v="11 NOVEMBRE 2025"/>
    <x v="1"/>
    <x v="1"/>
    <n v="33.33"/>
    <s v="3/3"/>
    <s v="PAYPAL"/>
    <m/>
  </r>
  <r>
    <x v="5"/>
    <s v="OTTOBRE"/>
    <x v="1"/>
    <n v="10"/>
    <s v="OTTOBRE 2025"/>
    <s v="10 OTTOBRE 2025"/>
    <x v="4"/>
    <x v="4"/>
    <n v="40"/>
    <m/>
    <s v="REVOLUT"/>
    <s v="Viaggio di lavoro Praga 2025"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6"/>
    <s v="OTTOBRE"/>
    <x v="1"/>
    <n v="10"/>
    <s v="OTTOBRE 2025"/>
    <s v="10 OTTOBRE 2025"/>
    <x v="14"/>
    <x v="2"/>
    <n v="7"/>
    <m/>
    <m/>
    <m/>
  </r>
  <r>
    <x v="8"/>
    <s v="OTTOBRE"/>
    <x v="1"/>
    <n v="10"/>
    <s v="OTTOBRE 2025"/>
    <s v="10 OTTOBRE 2025"/>
    <x v="6"/>
    <x v="2"/>
    <n v="33"/>
    <m/>
    <m/>
    <m/>
  </r>
  <r>
    <x v="5"/>
    <s v="OTTOBRE"/>
    <x v="1"/>
    <n v="10"/>
    <s v="OTTOBRE 2025"/>
    <s v="10 OTTOBRE 2025"/>
    <x v="6"/>
    <x v="2"/>
    <n v="60"/>
    <m/>
    <s v="REVOLUT"/>
    <s v="Osteopata Gressani"/>
  </r>
  <r>
    <x v="76"/>
    <s v="OTTOBRE"/>
    <x v="1"/>
    <n v="10"/>
    <s v="OTTOBRE 2025"/>
    <s v="10 OTTOBRE 2025"/>
    <x v="0"/>
    <x v="0"/>
    <n v="31.5"/>
    <m/>
    <m/>
    <m/>
  </r>
  <r>
    <x v="141"/>
    <s v="OTTOBRE"/>
    <x v="1"/>
    <n v="10"/>
    <s v="OTTOBRE 2025"/>
    <s v="10 OTTOBRE 2025"/>
    <x v="0"/>
    <x v="0"/>
    <n v="5"/>
    <m/>
    <m/>
    <m/>
  </r>
  <r>
    <x v="141"/>
    <s v="OTTOBRE"/>
    <x v="1"/>
    <n v="10"/>
    <s v="OTTOBRE 2025"/>
    <s v="10 OTTOBRE 2025"/>
    <x v="0"/>
    <x v="0"/>
    <n v="15"/>
    <m/>
    <m/>
    <m/>
  </r>
  <r>
    <x v="142"/>
    <s v="OTTOBRE"/>
    <x v="1"/>
    <n v="10"/>
    <s v="OTTOBRE 2025"/>
    <s v="10 OTTOBRE 2025"/>
    <x v="0"/>
    <x v="0"/>
    <n v="78.400000000000006"/>
    <m/>
    <m/>
    <m/>
  </r>
  <r>
    <x v="6"/>
    <s v="OTTOBRE"/>
    <x v="1"/>
    <n v="10"/>
    <s v="OTTOBRE 2025"/>
    <s v="10 OTTOBRE 2025"/>
    <x v="14"/>
    <x v="2"/>
    <n v="7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6"/>
    <s v="OTTOBRE"/>
    <x v="1"/>
    <n v="10"/>
    <s v="OTTOBRE 2025"/>
    <s v="10 OTTOBRE 2025"/>
    <x v="0"/>
    <x v="0"/>
    <n v="4.2"/>
    <m/>
    <m/>
    <m/>
  </r>
  <r>
    <x v="17"/>
    <s v="OTTOBRE"/>
    <x v="1"/>
    <n v="10"/>
    <s v="OTTOBRE 2025"/>
    <s v="10 OTTOBRE 2025"/>
    <x v="7"/>
    <x v="2"/>
    <n v="17.559999999999999"/>
    <m/>
    <m/>
    <m/>
  </r>
  <r>
    <x v="91"/>
    <s v="OTTOBRE"/>
    <x v="1"/>
    <n v="10"/>
    <s v="OTTOBRE 2025"/>
    <s v="10 OTTOBRE 2025"/>
    <x v="2"/>
    <x v="2"/>
    <n v="0.4"/>
    <m/>
    <m/>
    <m/>
  </r>
  <r>
    <x v="12"/>
    <s v="OTTOBRE"/>
    <x v="1"/>
    <n v="10"/>
    <s v="OTTOBRE 2025"/>
    <s v="10 OTTOBRE 2025"/>
    <x v="7"/>
    <x v="2"/>
    <n v="1.99"/>
    <m/>
    <m/>
    <m/>
  </r>
  <r>
    <x v="12"/>
    <s v="OTTOBRE"/>
    <x v="1"/>
    <n v="10"/>
    <s v="OTTOBRE 2025"/>
    <s v="10 OTTOBRE 2025"/>
    <x v="7"/>
    <x v="2"/>
    <n v="27.08"/>
    <m/>
    <m/>
    <m/>
  </r>
  <r>
    <x v="2"/>
    <s v="OTTOBRE"/>
    <x v="1"/>
    <n v="10"/>
    <s v="OTTOBRE 2025"/>
    <s v="10 OTTOBRE 2025"/>
    <x v="8"/>
    <x v="6"/>
    <n v="38.89"/>
    <m/>
    <m/>
    <m/>
  </r>
  <r>
    <x v="143"/>
    <s v="OTTOBRE"/>
    <x v="1"/>
    <n v="10"/>
    <s v="OTTOBRE 2025"/>
    <s v="10 OTTOBRE 2025"/>
    <x v="0"/>
    <x v="0"/>
    <n v="22"/>
    <m/>
    <m/>
    <m/>
  </r>
  <r>
    <x v="82"/>
    <s v="OTTOBRE"/>
    <x v="1"/>
    <n v="10"/>
    <s v="OTTOBRE 2025"/>
    <s v="10 OTTOBRE 2025"/>
    <x v="7"/>
    <x v="2"/>
    <n v="7.6"/>
    <m/>
    <m/>
    <m/>
  </r>
  <r>
    <x v="53"/>
    <s v="OTTOBRE"/>
    <x v="1"/>
    <n v="10"/>
    <s v="OTTOBRE 2025"/>
    <s v="10 OTTOBRE 2025"/>
    <x v="10"/>
    <x v="6"/>
    <n v="22.9"/>
    <m/>
    <m/>
    <s v="Regalo mamma"/>
  </r>
  <r>
    <x v="5"/>
    <s v="OTTOBRE"/>
    <x v="1"/>
    <n v="10"/>
    <s v="OTTOBRE 2025"/>
    <s v="10 OTTOBRE 2025"/>
    <x v="10"/>
    <x v="6"/>
    <n v="100"/>
    <m/>
    <s v="REVOLUT"/>
    <s v="Regalo mamma"/>
  </r>
  <r>
    <x v="5"/>
    <s v="OTTOBRE"/>
    <x v="1"/>
    <n v="10"/>
    <s v="OTTOBRE 2025"/>
    <s v="10 OTTOBRE 2025"/>
    <x v="4"/>
    <x v="4"/>
    <n v="50"/>
    <m/>
    <s v="REVOLUT"/>
    <s v="Prelievo"/>
  </r>
  <r>
    <x v="91"/>
    <s v="OTTOBRE"/>
    <x v="1"/>
    <n v="10"/>
    <s v="OTTOBRE 2025"/>
    <s v="10 OTTOBRE 2025"/>
    <x v="2"/>
    <x v="2"/>
    <n v="0.6"/>
    <m/>
    <m/>
    <m/>
  </r>
  <r>
    <x v="6"/>
    <s v="OTTOBRE"/>
    <x v="1"/>
    <n v="10"/>
    <s v="OTTOBRE 2025"/>
    <s v="10 OTTOBRE 2025"/>
    <x v="14"/>
    <x v="2"/>
    <n v="7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144"/>
    <s v="OTTOBRE"/>
    <x v="1"/>
    <n v="10"/>
    <s v="OTTOBRE 2025"/>
    <s v="10 OTTOBRE 2025"/>
    <x v="10"/>
    <x v="6"/>
    <n v="4"/>
    <m/>
    <m/>
    <s v="Regalo Davide 2025"/>
  </r>
  <r>
    <x v="145"/>
    <s v="OTTOBRE"/>
    <x v="1"/>
    <n v="10"/>
    <s v="OTTOBRE 2025"/>
    <s v="10 OTTOBRE 2025"/>
    <x v="10"/>
    <x v="6"/>
    <n v="57.99"/>
    <m/>
    <m/>
    <s v="Regalo Davide 2025"/>
  </r>
  <r>
    <x v="6"/>
    <s v="OTTOBRE"/>
    <x v="1"/>
    <n v="10"/>
    <s v="OTTOBRE 2025"/>
    <s v="10 OTTOBRE 2025"/>
    <x v="0"/>
    <x v="0"/>
    <n v="4.2"/>
    <m/>
    <m/>
    <m/>
  </r>
  <r>
    <x v="91"/>
    <s v="OTTOBRE"/>
    <x v="1"/>
    <n v="10"/>
    <s v="OTTOBRE 2025"/>
    <s v="10 OTTOBRE 2025"/>
    <x v="2"/>
    <x v="2"/>
    <n v="0.4"/>
    <m/>
    <m/>
    <m/>
  </r>
  <r>
    <x v="6"/>
    <s v="OTTOBRE"/>
    <x v="1"/>
    <n v="10"/>
    <s v="OTTOBRE 2025"/>
    <s v="10 OTTOBRE 2025"/>
    <x v="14"/>
    <x v="2"/>
    <n v="7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OTTOBRE"/>
    <x v="1"/>
    <n v="10"/>
    <s v="OTTOBRE 2025"/>
    <s v="10 OTTOBRE 2025"/>
    <x v="2"/>
    <x v="2"/>
    <n v="0.4"/>
    <m/>
    <m/>
    <m/>
  </r>
  <r>
    <x v="2"/>
    <s v="OTTOBRE"/>
    <x v="1"/>
    <n v="10"/>
    <s v="OTTOBRE 2025"/>
    <s v="10 OTTOBRE 2025"/>
    <x v="8"/>
    <x v="6"/>
    <n v="94.8"/>
    <s v="1/5"/>
    <s v="AMAZON"/>
    <s v="Samsung Galaxy Watch 2025"/>
  </r>
  <r>
    <x v="146"/>
    <s v="OTTOBRE"/>
    <x v="1"/>
    <n v="10"/>
    <s v="OTTOBRE 2025"/>
    <s v="10 OTTOBRE 2025"/>
    <x v="19"/>
    <x v="6"/>
    <n v="49"/>
    <m/>
    <m/>
    <m/>
  </r>
  <r>
    <x v="11"/>
    <s v="OTTOBRE"/>
    <x v="1"/>
    <n v="10"/>
    <s v="OTTOBRE 2025"/>
    <s v="10 OTTOBRE 2025"/>
    <x v="0"/>
    <x v="0"/>
    <n v="23"/>
    <m/>
    <m/>
    <m/>
  </r>
  <r>
    <x v="35"/>
    <s v="OTTOBRE"/>
    <x v="1"/>
    <n v="10"/>
    <s v="OTTOBRE 2025"/>
    <s v="10 OTTOBRE 2025"/>
    <x v="1"/>
    <x v="1"/>
    <n v="27.21"/>
    <m/>
    <m/>
    <m/>
  </r>
  <r>
    <x v="5"/>
    <s v="OTTOBRE"/>
    <x v="1"/>
    <n v="10"/>
    <s v="OTTOBRE 2025"/>
    <s v="10 OTTOBRE 2025"/>
    <x v="0"/>
    <x v="0"/>
    <n v="50"/>
    <m/>
    <s v="REVOLUT"/>
    <s v="Rimborso Savanelli Sa di Tappo"/>
  </r>
  <r>
    <x v="6"/>
    <s v="OTTOBRE"/>
    <x v="1"/>
    <n v="10"/>
    <s v="OTTOBRE 2025"/>
    <s v="10 OTTOBRE 2025"/>
    <x v="0"/>
    <x v="0"/>
    <n v="14"/>
    <m/>
    <m/>
    <m/>
  </r>
  <r>
    <x v="6"/>
    <s v="OTTOBRE"/>
    <x v="1"/>
    <n v="10"/>
    <s v="OTTOBRE 2025"/>
    <s v="10 OTTOBRE 2025"/>
    <x v="14"/>
    <x v="2"/>
    <n v="7"/>
    <m/>
    <m/>
    <m/>
  </r>
  <r>
    <x v="91"/>
    <s v="OTTOBRE"/>
    <x v="1"/>
    <n v="10"/>
    <s v="OTTOBRE 2025"/>
    <s v="10 OTTOBRE 2025"/>
    <x v="2"/>
    <x v="2"/>
    <n v="0.4"/>
    <m/>
    <m/>
    <m/>
  </r>
  <r>
    <x v="5"/>
    <s v="OTTOBRE"/>
    <x v="1"/>
    <n v="10"/>
    <s v="OTTOBRE 2025"/>
    <s v="10 OTTOBRE 2025"/>
    <x v="17"/>
    <x v="4"/>
    <n v="150"/>
    <m/>
    <s v="REVOLUT"/>
    <s v="Consolidamento conto"/>
  </r>
  <r>
    <x v="17"/>
    <s v="OTTOBRE"/>
    <x v="1"/>
    <n v="10"/>
    <s v="OTTOBRE 2025"/>
    <s v="10 OTTOBRE 2025"/>
    <x v="7"/>
    <x v="2"/>
    <n v="9.67"/>
    <m/>
    <m/>
    <m/>
  </r>
  <r>
    <x v="82"/>
    <s v="OTTOBRE"/>
    <x v="1"/>
    <n v="10"/>
    <s v="OTTOBRE 2025"/>
    <s v="10 OTTOBRE 2025"/>
    <x v="7"/>
    <x v="2"/>
    <n v="31.45"/>
    <m/>
    <m/>
    <m/>
  </r>
  <r>
    <x v="2"/>
    <s v="OTTOBRE"/>
    <x v="1"/>
    <n v="10"/>
    <s v="OTTOBRE 2025"/>
    <s v="10 OTTOBRE 2025"/>
    <x v="8"/>
    <x v="6"/>
    <n v="10.95"/>
    <s v="2/5"/>
    <s v="AMAZON"/>
    <s v="NANO LEAF"/>
  </r>
  <r>
    <x v="7"/>
    <s v="OTTOBRE"/>
    <x v="1"/>
    <n v="10"/>
    <s v="OTTOBRE 2025"/>
    <s v="10 OTTOBRE 2025"/>
    <x v="5"/>
    <x v="5"/>
    <n v="127.58"/>
    <s v="2/3"/>
    <s v="PAYPAL"/>
    <s v="Viaggio Valencia 2025"/>
  </r>
  <r>
    <x v="53"/>
    <s v="OTTOBRE"/>
    <x v="1"/>
    <n v="10"/>
    <s v="OTTOBRE 2025"/>
    <s v="10 OTTOBRE 2025"/>
    <x v="1"/>
    <x v="1"/>
    <n v="33.340000000000003"/>
    <s v="2/3"/>
    <s v="PAYPAL"/>
    <m/>
  </r>
  <r>
    <x v="63"/>
    <s v="OTTOBRE"/>
    <x v="1"/>
    <n v="10"/>
    <s v="OTTOBRE 2025"/>
    <s v="10 OTTOBRE 2025"/>
    <x v="12"/>
    <x v="0"/>
    <n v="12.73"/>
    <s v="3/3"/>
    <s v="PAYPAL"/>
    <s v="Deejay Time"/>
  </r>
  <r>
    <x v="147"/>
    <s v="OTTOBRE"/>
    <x v="1"/>
    <n v="10"/>
    <s v="OTTOBRE 2025"/>
    <s v="10 OTTOBRE 2025"/>
    <x v="16"/>
    <x v="5"/>
    <n v="5.9"/>
    <m/>
    <m/>
    <s v="Viaggio Valencia 2025"/>
  </r>
  <r>
    <x v="148"/>
    <s v="OTTOBRE"/>
    <x v="1"/>
    <n v="10"/>
    <s v="OTTOBRE 2025"/>
    <s v="10 OTTOBRE 2025"/>
    <x v="0"/>
    <x v="0"/>
    <n v="5.0999999999999996"/>
    <m/>
    <m/>
    <s v="Viaggio Valencia 2025"/>
  </r>
  <r>
    <x v="149"/>
    <s v="OTTOBRE"/>
    <x v="1"/>
    <n v="10"/>
    <s v="OTTOBRE 2025"/>
    <s v="10 OTTOBRE 2025"/>
    <x v="10"/>
    <x v="6"/>
    <n v="19"/>
    <m/>
    <m/>
    <s v="Viaggio Valencia 2025"/>
  </r>
  <r>
    <x v="150"/>
    <s v="OTTOBRE"/>
    <x v="1"/>
    <n v="10"/>
    <s v="OTTOBRE 2025"/>
    <s v="10 OTTOBRE 2025"/>
    <x v="10"/>
    <x v="6"/>
    <n v="13.1"/>
    <m/>
    <m/>
    <s v="Viaggio Valencia 2025"/>
  </r>
  <r>
    <x v="151"/>
    <s v="OTTOBRE"/>
    <x v="1"/>
    <n v="10"/>
    <s v="OTTOBRE 2025"/>
    <s v="10 OTTOBRE 2025"/>
    <x v="0"/>
    <x v="0"/>
    <n v="7.5"/>
    <m/>
    <m/>
    <s v="Viaggio Valencia 2025"/>
  </r>
  <r>
    <x v="152"/>
    <s v="OTTOBRE"/>
    <x v="1"/>
    <n v="10"/>
    <s v="OTTOBRE 2025"/>
    <s v="10 OTTOBRE 2025"/>
    <x v="2"/>
    <x v="2"/>
    <n v="1"/>
    <m/>
    <m/>
    <s v="Viaggio Valencia 2025"/>
  </r>
  <r>
    <x v="153"/>
    <s v="OTTOBRE"/>
    <x v="1"/>
    <n v="10"/>
    <s v="OTTOBRE 2025"/>
    <s v="10 OTTOBRE 2025"/>
    <x v="16"/>
    <x v="5"/>
    <n v="19.760000000000002"/>
    <m/>
    <m/>
    <s v="Viaggio Valencia 2025"/>
  </r>
  <r>
    <x v="153"/>
    <s v="OTTOBRE"/>
    <x v="1"/>
    <n v="10"/>
    <s v="OTTOBRE 2025"/>
    <s v="10 OTTOBRE 2025"/>
    <x v="16"/>
    <x v="5"/>
    <n v="26"/>
    <m/>
    <m/>
    <s v="Viaggio Valencia 2025"/>
  </r>
  <r>
    <x v="153"/>
    <s v="OTTOBRE"/>
    <x v="1"/>
    <n v="10"/>
    <s v="OTTOBRE 2025"/>
    <s v="10 OTTOBRE 2025"/>
    <x v="16"/>
    <x v="5"/>
    <n v="3.99"/>
    <m/>
    <m/>
    <s v="Viaggio Valencia 2025"/>
  </r>
  <r>
    <x v="153"/>
    <s v="OTTOBRE"/>
    <x v="1"/>
    <n v="10"/>
    <s v="OTTOBRE 2025"/>
    <s v="10 OTTOBRE 2025"/>
    <x v="16"/>
    <x v="5"/>
    <n v="19.95"/>
    <m/>
    <m/>
    <s v="Viaggio Valencia 2025"/>
  </r>
  <r>
    <x v="154"/>
    <s v="OTTOBRE"/>
    <x v="1"/>
    <n v="10"/>
    <s v="OTTOBRE 2025"/>
    <s v="10 OTTOBRE 2025"/>
    <x v="0"/>
    <x v="0"/>
    <n v="161.19999999999999"/>
    <m/>
    <m/>
    <s v="Viaggio Valencia 2025"/>
  </r>
  <r>
    <x v="155"/>
    <s v="OTTOBRE"/>
    <x v="1"/>
    <n v="10"/>
    <s v="OTTOBRE 2025"/>
    <s v="10 OTTOBRE 2025"/>
    <x v="2"/>
    <x v="2"/>
    <n v="2"/>
    <m/>
    <m/>
    <s v="Viaggio Valencia 2025"/>
  </r>
  <r>
    <x v="155"/>
    <s v="OTTOBRE"/>
    <x v="1"/>
    <n v="10"/>
    <s v="OTTOBRE 2025"/>
    <s v="10 OTTOBRE 2025"/>
    <x v="12"/>
    <x v="0"/>
    <n v="9.4"/>
    <m/>
    <m/>
    <s v="Viaggio Valencia 2025"/>
  </r>
  <r>
    <x v="155"/>
    <s v="OTTOBRE"/>
    <x v="1"/>
    <n v="10"/>
    <s v="OTTOBRE 2025"/>
    <s v="10 OTTOBRE 2025"/>
    <x v="12"/>
    <x v="0"/>
    <n v="3.5"/>
    <m/>
    <m/>
    <s v="Viaggio Valencia 2025"/>
  </r>
  <r>
    <x v="128"/>
    <s v="OTTOBRE"/>
    <x v="1"/>
    <n v="10"/>
    <s v="OTTOBRE 2025"/>
    <s v="10 OTTOBRE 2025"/>
    <x v="0"/>
    <x v="0"/>
    <n v="2.9"/>
    <m/>
    <m/>
    <s v="Viaggio Valencia 2025"/>
  </r>
  <r>
    <x v="128"/>
    <s v="OTTOBRE"/>
    <x v="1"/>
    <n v="10"/>
    <s v="OTTOBRE 2025"/>
    <s v="10 OTTOBRE 2025"/>
    <x v="0"/>
    <x v="0"/>
    <n v="14.9"/>
    <m/>
    <m/>
    <s v="Viaggio Valencia 2025"/>
  </r>
  <r>
    <x v="6"/>
    <s v="OTTOBRE"/>
    <x v="1"/>
    <n v="10"/>
    <s v="OTTOBRE 2025"/>
    <s v="10 OTTOBRE 2025"/>
    <x v="14"/>
    <x v="2"/>
    <n v="7"/>
    <m/>
    <m/>
    <m/>
  </r>
  <r>
    <x v="91"/>
    <s v="OTTOBRE"/>
    <x v="1"/>
    <n v="10"/>
    <s v="OTTOBRE 2025"/>
    <s v="10 OTTO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156"/>
    <s v="SETTEMBRE"/>
    <x v="1"/>
    <n v="9"/>
    <s v="SETTEMBRE 2025"/>
    <s v="9 SETTEMBRE 2025"/>
    <x v="20"/>
    <x v="9"/>
    <n v="12.49"/>
    <m/>
    <s v="PAYPAL"/>
    <m/>
  </r>
  <r>
    <x v="108"/>
    <s v="SETTEMBRE"/>
    <x v="1"/>
    <n v="9"/>
    <s v="SETTEMBRE 2025"/>
    <s v="9 SETTEMBRE 2025"/>
    <x v="0"/>
    <x v="0"/>
    <n v="43"/>
    <m/>
    <m/>
    <m/>
  </r>
  <r>
    <x v="11"/>
    <s v="SETTEMBRE"/>
    <x v="1"/>
    <n v="9"/>
    <s v="SETTEMBRE 2025"/>
    <s v="9 SETTEMBRE 2025"/>
    <x v="0"/>
    <x v="0"/>
    <n v="18"/>
    <m/>
    <m/>
    <m/>
  </r>
  <r>
    <x v="82"/>
    <s v="SETTEMBRE"/>
    <x v="1"/>
    <n v="9"/>
    <s v="SETTEMBRE 2025"/>
    <s v="9 SETTEMBRE 2025"/>
    <x v="7"/>
    <x v="2"/>
    <n v="12.14"/>
    <m/>
    <m/>
    <m/>
  </r>
  <r>
    <x v="12"/>
    <s v="SETTEMBRE"/>
    <x v="1"/>
    <n v="9"/>
    <s v="SETTEMBRE 2025"/>
    <s v="9 SETTEMBRE 2025"/>
    <x v="7"/>
    <x v="2"/>
    <n v="6.17"/>
    <m/>
    <m/>
    <m/>
  </r>
  <r>
    <x v="157"/>
    <s v="SETTEMBRE"/>
    <x v="1"/>
    <n v="9"/>
    <s v="SETTEMBRE 2025"/>
    <s v="9 SETTEMBRE 2025"/>
    <x v="0"/>
    <x v="0"/>
    <n v="34"/>
    <m/>
    <m/>
    <m/>
  </r>
  <r>
    <x v="6"/>
    <s v="SETTEMBRE"/>
    <x v="1"/>
    <n v="9"/>
    <s v="SETTEMBRE 2025"/>
    <s v="9 SETTEMBRE 2025"/>
    <x v="14"/>
    <x v="2"/>
    <n v="7"/>
    <m/>
    <m/>
    <m/>
  </r>
  <r>
    <x v="91"/>
    <s v="SETTEMBRE"/>
    <x v="1"/>
    <n v="9"/>
    <s v="SETTEMBRE 2025"/>
    <s v="9 SETTEM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6"/>
    <s v="SETTEMBRE"/>
    <x v="1"/>
    <n v="9"/>
    <s v="SETTEMBRE 2025"/>
    <s v="9 SETTEMBRE 2025"/>
    <x v="0"/>
    <x v="0"/>
    <n v="2.8"/>
    <m/>
    <m/>
    <m/>
  </r>
  <r>
    <x v="158"/>
    <s v="SETTEMBRE"/>
    <x v="1"/>
    <n v="9"/>
    <s v="SETTEMBRE 2025"/>
    <s v="9 SETTEMBRE 2025"/>
    <x v="5"/>
    <x v="5"/>
    <n v="24"/>
    <m/>
    <s v="PAYPAL"/>
    <s v="Viaggio Valencia 2025"/>
  </r>
  <r>
    <x v="7"/>
    <s v="SETTEMBRE"/>
    <x v="1"/>
    <n v="9"/>
    <s v="SETTEMBRE 2025"/>
    <s v="9 SETTEMBRE 2025"/>
    <x v="5"/>
    <x v="5"/>
    <n v="127.58"/>
    <s v="1/3"/>
    <s v="PAYPAL"/>
    <s v="Viaggio Valencia 2025"/>
  </r>
  <r>
    <x v="17"/>
    <s v="SETTEMBRE"/>
    <x v="1"/>
    <n v="9"/>
    <s v="SETTEMBRE 2025"/>
    <s v="9 SETTEMBRE 2025"/>
    <x v="7"/>
    <x v="2"/>
    <n v="13.41"/>
    <m/>
    <m/>
    <m/>
  </r>
  <r>
    <x v="6"/>
    <s v="SETTEMBRE"/>
    <x v="1"/>
    <n v="9"/>
    <s v="SETTEMBRE 2025"/>
    <s v="9 SETTEMBRE 2025"/>
    <x v="14"/>
    <x v="2"/>
    <n v="7"/>
    <m/>
    <m/>
    <m/>
  </r>
  <r>
    <x v="53"/>
    <s v="SETTEMBRE"/>
    <x v="1"/>
    <n v="9"/>
    <s v="SETTEMBRE 2025"/>
    <s v="9 SETTEMBRE 2025"/>
    <x v="1"/>
    <x v="1"/>
    <n v="33.33"/>
    <s v="1/3"/>
    <s v="PAYPAL"/>
    <m/>
  </r>
  <r>
    <x v="159"/>
    <s v="SETTEMBRE"/>
    <x v="1"/>
    <n v="9"/>
    <s v="SETTEMBRE 2025"/>
    <s v="9 SETTEMBRE 2025"/>
    <x v="0"/>
    <x v="0"/>
    <n v="13.1"/>
    <m/>
    <m/>
    <m/>
  </r>
  <r>
    <x v="6"/>
    <s v="SETTEMBRE"/>
    <x v="1"/>
    <n v="9"/>
    <s v="SETTEMBRE 2025"/>
    <s v="9 SETTEMBRE 2025"/>
    <x v="0"/>
    <x v="0"/>
    <n v="20"/>
    <m/>
    <m/>
    <m/>
  </r>
  <r>
    <x v="160"/>
    <s v="SETTEMBRE"/>
    <x v="1"/>
    <n v="9"/>
    <s v="SETTEMBRE 2025"/>
    <s v="9 SETTEMBRE 2025"/>
    <x v="0"/>
    <x v="0"/>
    <n v="6"/>
    <m/>
    <m/>
    <s v="Friuli Doc 2025"/>
  </r>
  <r>
    <x v="161"/>
    <s v="SETTEMBRE"/>
    <x v="1"/>
    <n v="9"/>
    <s v="SETTEMBRE 2025"/>
    <s v="9 SETTEMBRE 2025"/>
    <x v="0"/>
    <x v="0"/>
    <n v="20"/>
    <m/>
    <m/>
    <s v="Friuli Doc 2025"/>
  </r>
  <r>
    <x v="21"/>
    <s v="SETTEMBRE"/>
    <x v="1"/>
    <n v="9"/>
    <s v="SETTEMBRE 2025"/>
    <s v="9 SETTEMBRE 2025"/>
    <x v="9"/>
    <x v="3"/>
    <n v="9"/>
    <m/>
    <m/>
    <m/>
  </r>
  <r>
    <x v="162"/>
    <s v="SETTEMBRE"/>
    <x v="1"/>
    <n v="9"/>
    <s v="SETTEMBRE 2025"/>
    <s v="9 SETTEMBRE 2025"/>
    <x v="0"/>
    <x v="0"/>
    <n v="37"/>
    <m/>
    <m/>
    <s v="Friuli Doc 2025"/>
  </r>
  <r>
    <x v="2"/>
    <s v="SETTEMBRE"/>
    <x v="1"/>
    <n v="9"/>
    <s v="SETTEMBRE 2025"/>
    <s v="9 SETTEMBRE 2025"/>
    <x v="8"/>
    <x v="6"/>
    <n v="49.9"/>
    <m/>
    <m/>
    <m/>
  </r>
  <r>
    <x v="91"/>
    <s v="SETTEMBRE"/>
    <x v="1"/>
    <n v="9"/>
    <s v="SETTEMBRE 2025"/>
    <s v="9 SETTEMBRE 2025"/>
    <x v="2"/>
    <x v="2"/>
    <n v="0.6"/>
    <m/>
    <m/>
    <m/>
  </r>
  <r>
    <x v="6"/>
    <s v="SETTEMBRE"/>
    <x v="1"/>
    <n v="9"/>
    <s v="SETTEMBRE 2025"/>
    <s v="9 SETTEMBRE 2025"/>
    <x v="14"/>
    <x v="2"/>
    <n v="7"/>
    <m/>
    <m/>
    <m/>
  </r>
  <r>
    <x v="17"/>
    <s v="SETTEMBRE"/>
    <x v="1"/>
    <n v="9"/>
    <s v="SETTEMBRE 2025"/>
    <s v="9 SETTEMBRE 2025"/>
    <x v="7"/>
    <x v="2"/>
    <n v="11.76"/>
    <m/>
    <m/>
    <m/>
  </r>
  <r>
    <x v="91"/>
    <s v="SETTEMBRE"/>
    <x v="1"/>
    <n v="9"/>
    <s v="SETTEMBRE 2025"/>
    <s v="9 SETTEMBRE 2025"/>
    <x v="2"/>
    <x v="2"/>
    <n v="0.4"/>
    <m/>
    <m/>
    <m/>
  </r>
  <r>
    <x v="91"/>
    <s v="SETTEMBRE"/>
    <x v="1"/>
    <n v="9"/>
    <s v="SETTEMBRE 2025"/>
    <s v="9 SETTEMBRE 2025"/>
    <x v="2"/>
    <x v="2"/>
    <n v="0.4"/>
    <m/>
    <m/>
    <m/>
  </r>
  <r>
    <x v="17"/>
    <s v="SETTEMBRE"/>
    <x v="1"/>
    <n v="9"/>
    <s v="SETTEMBRE 2025"/>
    <s v="9 SETTEMBRE 2025"/>
    <x v="7"/>
    <x v="2"/>
    <n v="7.23"/>
    <m/>
    <m/>
    <m/>
  </r>
  <r>
    <x v="35"/>
    <s v="SETTEMBRE"/>
    <x v="1"/>
    <n v="9"/>
    <s v="SETTEMBRE 2025"/>
    <s v="9 SETTEMBRE 2025"/>
    <x v="1"/>
    <x v="1"/>
    <n v="21.07"/>
    <m/>
    <m/>
    <m/>
  </r>
  <r>
    <x v="63"/>
    <s v="SETTEMBRE"/>
    <x v="1"/>
    <n v="9"/>
    <s v="SETTEMBRE 2025"/>
    <s v="9 SETTEMBRE 2025"/>
    <x v="12"/>
    <x v="0"/>
    <n v="12.73"/>
    <s v="2/3"/>
    <s v="PAYPAL"/>
    <s v="Deejay Time"/>
  </r>
  <r>
    <x v="2"/>
    <s v="SETTEMBRE"/>
    <x v="1"/>
    <n v="9"/>
    <s v="SETTEMBRE 2025"/>
    <s v="9 SETTEMBRE 2025"/>
    <x v="10"/>
    <x v="6"/>
    <n v="16.66"/>
    <s v="3/3"/>
    <s v="PAYPAL"/>
    <s v="VERALAB Regalo Stefania 2025"/>
  </r>
  <r>
    <x v="53"/>
    <s v="SETTEMBRE"/>
    <x v="1"/>
    <n v="9"/>
    <s v="SETTEMBRE 2025"/>
    <s v="9 SETTEMBRE 2025"/>
    <x v="0"/>
    <x v="0"/>
    <n v="2"/>
    <m/>
    <m/>
    <m/>
  </r>
  <r>
    <x v="53"/>
    <s v="SETTEMBRE"/>
    <x v="1"/>
    <n v="9"/>
    <s v="SETTEMBRE 2025"/>
    <s v="9 SETTEMBRE 2025"/>
    <x v="1"/>
    <x v="1"/>
    <n v="0.8"/>
    <m/>
    <m/>
    <m/>
  </r>
  <r>
    <x v="163"/>
    <s v="SETTEMBRE"/>
    <x v="1"/>
    <n v="9"/>
    <s v="SETTEMBRE 2025"/>
    <s v="9 SETTEMBRE 2025"/>
    <x v="10"/>
    <x v="6"/>
    <n v="39.93"/>
    <m/>
    <m/>
    <s v="REGALO DAVIDE TOSO"/>
  </r>
  <r>
    <x v="2"/>
    <s v="SETTEMBRE"/>
    <x v="1"/>
    <n v="9"/>
    <s v="SETTEMBRE 2025"/>
    <s v="9 SETTEMBRE 2025"/>
    <x v="8"/>
    <x v="6"/>
    <n v="16.899999999999999"/>
    <s v="3/3"/>
    <s v="AMAZON"/>
    <s v="MELICONI"/>
  </r>
  <r>
    <x v="82"/>
    <s v="SETTEMBRE"/>
    <x v="1"/>
    <n v="9"/>
    <s v="SETTEMBRE 2025"/>
    <s v="9 SETTEMBRE 2025"/>
    <x v="7"/>
    <x v="2"/>
    <n v="15.38"/>
    <m/>
    <m/>
    <m/>
  </r>
  <r>
    <x v="164"/>
    <s v="SETTEMBRE"/>
    <x v="1"/>
    <n v="9"/>
    <s v="SETTEMBRE 2025"/>
    <s v="9 SETTEMBRE 2025"/>
    <x v="0"/>
    <x v="0"/>
    <n v="8.6"/>
    <m/>
    <m/>
    <m/>
  </r>
  <r>
    <x v="2"/>
    <s v="SETTEMBRE"/>
    <x v="1"/>
    <n v="9"/>
    <s v="SETTEMBRE 2025"/>
    <s v="9 SETTEMBRE 2025"/>
    <x v="8"/>
    <x v="6"/>
    <n v="23.54"/>
    <m/>
    <s v="AMAZON"/>
    <m/>
  </r>
  <r>
    <x v="6"/>
    <s v="SETTEMBRE"/>
    <x v="1"/>
    <n v="9"/>
    <s v="SETTEMBRE 2025"/>
    <s v="9 SETTEMBRE 2025"/>
    <x v="14"/>
    <x v="2"/>
    <n v="7"/>
    <m/>
    <m/>
    <m/>
  </r>
  <r>
    <x v="6"/>
    <s v="SETTEMBRE"/>
    <x v="1"/>
    <n v="9"/>
    <s v="SETTEMBRE 2025"/>
    <s v="9 SETTEMBRE 2025"/>
    <x v="0"/>
    <x v="0"/>
    <n v="5.6"/>
    <m/>
    <m/>
    <m/>
  </r>
  <r>
    <x v="2"/>
    <s v="SETTEMBRE"/>
    <x v="1"/>
    <n v="9"/>
    <s v="SETTEMBRE 2025"/>
    <s v="9 SETTEMBRE 2025"/>
    <x v="8"/>
    <x v="6"/>
    <n v="12.17"/>
    <m/>
    <s v="AMAZON"/>
    <m/>
  </r>
  <r>
    <x v="91"/>
    <s v="SETTEMBRE"/>
    <x v="1"/>
    <n v="9"/>
    <s v="SETTEMBRE 2025"/>
    <s v="9 SETTEMBRE 2025"/>
    <x v="2"/>
    <x v="2"/>
    <n v="0.4"/>
    <m/>
    <m/>
    <m/>
  </r>
  <r>
    <x v="2"/>
    <s v="SETTEMBRE"/>
    <x v="1"/>
    <n v="9"/>
    <s v="SETTEMBRE 2025"/>
    <s v="9 SETTEMBRE 2025"/>
    <x v="8"/>
    <x v="6"/>
    <n v="10.95"/>
    <s v="1/5"/>
    <s v="AMAZON"/>
    <s v="NANO LEAF"/>
  </r>
  <r>
    <x v="35"/>
    <s v="SETTEMBRE"/>
    <x v="1"/>
    <n v="9"/>
    <s v="SETTEMBRE 2025"/>
    <s v="9 SETTEMBRE 2025"/>
    <x v="1"/>
    <x v="1"/>
    <n v="28.93"/>
    <m/>
    <m/>
    <m/>
  </r>
  <r>
    <x v="6"/>
    <s v="SETTEMBRE"/>
    <x v="1"/>
    <n v="9"/>
    <s v="SETTEMBRE 2025"/>
    <s v="9 SETTEMBRE 2025"/>
    <x v="14"/>
    <x v="2"/>
    <n v="7"/>
    <m/>
    <m/>
    <m/>
  </r>
  <r>
    <x v="91"/>
    <s v="SETTEMBRE"/>
    <x v="1"/>
    <n v="9"/>
    <s v="SETTEMBRE 2025"/>
    <s v="9 SETTEMBRE 2025"/>
    <x v="2"/>
    <x v="2"/>
    <n v="0.4"/>
    <m/>
    <m/>
    <m/>
  </r>
  <r>
    <x v="35"/>
    <s v="SETTEMBRE"/>
    <x v="1"/>
    <n v="9"/>
    <s v="SETTEMBRE 2025"/>
    <s v="9 SETTEMBRE 2025"/>
    <x v="1"/>
    <x v="1"/>
    <n v="26.57"/>
    <m/>
    <m/>
    <m/>
  </r>
  <r>
    <x v="112"/>
    <s v="SETTEMBRE"/>
    <x v="1"/>
    <n v="9"/>
    <s v="SETTEMBRE 2025"/>
    <s v="9 SETTEMBRE 2025"/>
    <x v="1"/>
    <x v="1"/>
    <n v="13.9"/>
    <m/>
    <m/>
    <m/>
  </r>
  <r>
    <x v="165"/>
    <s v="SETTEMBRE"/>
    <x v="1"/>
    <n v="9"/>
    <s v="SETTEMBRE 2025"/>
    <s v="9 SETTEMBRE 2025"/>
    <x v="3"/>
    <x v="3"/>
    <n v="1.5"/>
    <m/>
    <m/>
    <m/>
  </r>
  <r>
    <x v="166"/>
    <s v="SETTEMBRE"/>
    <x v="1"/>
    <n v="9"/>
    <s v="SETTEMBRE 2025"/>
    <s v="9 SETTEMBRE 2025"/>
    <x v="0"/>
    <x v="0"/>
    <n v="85"/>
    <m/>
    <m/>
    <m/>
  </r>
  <r>
    <x v="167"/>
    <s v="SETTEMBRE"/>
    <x v="1"/>
    <n v="9"/>
    <s v="SETTEMBRE 2025"/>
    <s v="9 SETTEMBRE 2025"/>
    <x v="10"/>
    <x v="6"/>
    <n v="40"/>
    <m/>
    <s v="PAYPAL"/>
    <s v="Regalo Tom 2025"/>
  </r>
  <r>
    <x v="17"/>
    <s v="SETTEMBRE"/>
    <x v="1"/>
    <n v="9"/>
    <s v="SETTEMBRE 2025"/>
    <s v="9 SETTEMBRE 2025"/>
    <x v="7"/>
    <x v="2"/>
    <n v="5.72"/>
    <m/>
    <m/>
    <m/>
  </r>
  <r>
    <x v="82"/>
    <s v="SETTEMBRE"/>
    <x v="1"/>
    <n v="9"/>
    <s v="SETTEMBRE 2025"/>
    <s v="9 SETTEMBRE 2025"/>
    <x v="7"/>
    <x v="2"/>
    <n v="12.32"/>
    <m/>
    <m/>
    <m/>
  </r>
  <r>
    <x v="168"/>
    <s v="SETTEMBRE"/>
    <x v="1"/>
    <n v="9"/>
    <s v="SETTEMBRE 2025"/>
    <s v="9 SETTEMBRE 2025"/>
    <x v="16"/>
    <x v="5"/>
    <n v="37.799999999999997"/>
    <m/>
    <m/>
    <s v="Viaggio Portogallo 2025"/>
  </r>
  <r>
    <x v="91"/>
    <s v="AGOSTO"/>
    <x v="1"/>
    <n v="8"/>
    <s v="AGOSTO 2025"/>
    <s v="8 AGOSTO 2025"/>
    <x v="2"/>
    <x v="2"/>
    <n v="0.4"/>
    <m/>
    <m/>
    <m/>
  </r>
  <r>
    <x v="91"/>
    <s v="AGOSTO"/>
    <x v="1"/>
    <n v="8"/>
    <s v="AGOSTO 2025"/>
    <s v="8 AGOSTO 2025"/>
    <x v="2"/>
    <x v="2"/>
    <n v="0.35"/>
    <m/>
    <m/>
    <m/>
  </r>
  <r>
    <x v="91"/>
    <s v="AGOSTO"/>
    <x v="1"/>
    <n v="8"/>
    <s v="AGOSTO 2025"/>
    <s v="8 AGOSTO 2025"/>
    <x v="2"/>
    <x v="2"/>
    <n v="0.4"/>
    <m/>
    <m/>
    <m/>
  </r>
  <r>
    <x v="12"/>
    <s v="AGOSTO"/>
    <x v="1"/>
    <n v="8"/>
    <s v="AGOSTO 2025"/>
    <s v="8 AGOSTO 2025"/>
    <x v="7"/>
    <x v="2"/>
    <n v="6.27"/>
    <m/>
    <m/>
    <m/>
  </r>
  <r>
    <x v="12"/>
    <s v="AGOSTO"/>
    <x v="1"/>
    <n v="8"/>
    <s v="AGOSTO 2025"/>
    <s v="8 AGOSTO 2025"/>
    <x v="7"/>
    <x v="2"/>
    <n v="24.56"/>
    <m/>
    <m/>
    <m/>
  </r>
  <r>
    <x v="82"/>
    <s v="AGOSTO"/>
    <x v="1"/>
    <n v="8"/>
    <s v="AGOSTO 2025"/>
    <s v="8 AGOSTO 2025"/>
    <x v="7"/>
    <x v="2"/>
    <n v="8.35"/>
    <m/>
    <m/>
    <m/>
  </r>
  <r>
    <x v="108"/>
    <s v="AGOSTO"/>
    <x v="1"/>
    <n v="8"/>
    <s v="AGOSTO 2025"/>
    <s v="8 AGOSTO 2025"/>
    <x v="0"/>
    <x v="0"/>
    <n v="17.5"/>
    <m/>
    <m/>
    <m/>
  </r>
  <r>
    <x v="21"/>
    <s v="AGOSTO"/>
    <x v="1"/>
    <n v="8"/>
    <s v="AGOSTO 2025"/>
    <s v="8 AGOSTO 2025"/>
    <x v="9"/>
    <x v="3"/>
    <n v="15"/>
    <m/>
    <m/>
    <m/>
  </r>
  <r>
    <x v="169"/>
    <s v="AGOSTO"/>
    <x v="1"/>
    <n v="8"/>
    <s v="AGOSTO 2025"/>
    <s v="8 AGOSTO 2025"/>
    <x v="0"/>
    <x v="0"/>
    <n v="16"/>
    <m/>
    <m/>
    <m/>
  </r>
  <r>
    <x v="17"/>
    <s v="AGOSTO"/>
    <x v="1"/>
    <n v="8"/>
    <s v="AGOSTO 2025"/>
    <s v="8 AGOSTO 2025"/>
    <x v="7"/>
    <x v="2"/>
    <n v="11.39"/>
    <m/>
    <m/>
    <m/>
  </r>
  <r>
    <x v="35"/>
    <s v="AGOSTO"/>
    <x v="1"/>
    <n v="8"/>
    <s v="AGOSTO 2025"/>
    <s v="8 AGOSTO 2025"/>
    <x v="1"/>
    <x v="1"/>
    <n v="16.39"/>
    <m/>
    <m/>
    <m/>
  </r>
  <r>
    <x v="63"/>
    <s v="AGOSTO"/>
    <x v="1"/>
    <n v="8"/>
    <s v="AGOSTO 2025"/>
    <s v="8 AGOSTO 2025"/>
    <x v="12"/>
    <x v="0"/>
    <n v="12.73"/>
    <s v="1/3"/>
    <s v="PAYPAL"/>
    <s v="Deejay Time"/>
  </r>
  <r>
    <x v="168"/>
    <s v="AGOSTO"/>
    <x v="1"/>
    <n v="8"/>
    <s v="AGOSTO 2025"/>
    <s v="8 AGOSTO 2025"/>
    <x v="16"/>
    <x v="5"/>
    <n v="132.63999999999999"/>
    <m/>
    <m/>
    <s v="Viaggio Portogallo 2025"/>
  </r>
  <r>
    <x v="170"/>
    <s v="AGOSTO"/>
    <x v="1"/>
    <n v="8"/>
    <s v="AGOSTO 2025"/>
    <s v="8 AGOSTO 2025"/>
    <x v="0"/>
    <x v="0"/>
    <n v="14.8"/>
    <m/>
    <s v="PAYPAL"/>
    <m/>
  </r>
  <r>
    <x v="171"/>
    <s v="AGOSTO"/>
    <x v="1"/>
    <n v="8"/>
    <s v="AGOSTO 2025"/>
    <s v="8 AGOSTO 2025"/>
    <x v="10"/>
    <x v="6"/>
    <n v="13"/>
    <m/>
    <m/>
    <s v="Viaggio Portogallo 2025"/>
  </r>
  <r>
    <x v="172"/>
    <s v="AGOSTO"/>
    <x v="1"/>
    <n v="8"/>
    <s v="AGOSTO 2025"/>
    <s v="8 AGOSTO 2025"/>
    <x v="3"/>
    <x v="3"/>
    <n v="1.5"/>
    <m/>
    <m/>
    <m/>
  </r>
  <r>
    <x v="173"/>
    <s v="AGOSTO"/>
    <x v="1"/>
    <n v="8"/>
    <s v="AGOSTO 2025"/>
    <s v="8 AGOSTO 2025"/>
    <x v="9"/>
    <x v="3"/>
    <n v="26.25"/>
    <m/>
    <m/>
    <s v="Viaggio Portogallo 2025"/>
  </r>
  <r>
    <x v="174"/>
    <s v="AGOSTO"/>
    <x v="1"/>
    <n v="8"/>
    <s v="AGOSTO 2025"/>
    <s v="8 AGOSTO 2025"/>
    <x v="9"/>
    <x v="3"/>
    <n v="80.069999999999993"/>
    <m/>
    <m/>
    <s v="Viaggio Portogallo 2025"/>
  </r>
  <r>
    <x v="175"/>
    <s v="AGOSTO"/>
    <x v="1"/>
    <n v="8"/>
    <s v="AGOSTO 2025"/>
    <s v="8 AGOSTO 2025"/>
    <x v="0"/>
    <x v="0"/>
    <n v="39.200000000000003"/>
    <m/>
    <m/>
    <s v="Viaggio Portogallo 2025"/>
  </r>
  <r>
    <x v="176"/>
    <s v="AGOSTO"/>
    <x v="1"/>
    <n v="8"/>
    <s v="AGOSTO 2025"/>
    <s v="8 AGOSTO 2025"/>
    <x v="0"/>
    <x v="0"/>
    <n v="17.600000000000001"/>
    <m/>
    <m/>
    <s v="Viaggio Portogallo 2025"/>
  </r>
  <r>
    <x v="79"/>
    <s v="AGOSTO"/>
    <x v="1"/>
    <n v="8"/>
    <s v="AGOSTO 2025"/>
    <s v="8 AGOSTO 2025"/>
    <x v="16"/>
    <x v="5"/>
    <n v="3.91"/>
    <m/>
    <s v="PAYPAL"/>
    <s v="Viaggio Portogallo 2025"/>
  </r>
  <r>
    <x v="177"/>
    <s v="AGOSTO"/>
    <x v="1"/>
    <n v="8"/>
    <s v="AGOSTO 2025"/>
    <s v="8 AGOSTO 2025"/>
    <x v="0"/>
    <x v="0"/>
    <n v="42.46"/>
    <m/>
    <m/>
    <s v="Viaggio Portogallo 2025"/>
  </r>
  <r>
    <x v="178"/>
    <s v="AGOSTO"/>
    <x v="1"/>
    <n v="8"/>
    <s v="AGOSTO 2025"/>
    <s v="8 AGOSTO 2025"/>
    <x v="16"/>
    <x v="5"/>
    <n v="15"/>
    <m/>
    <m/>
    <s v="Viaggio Portogallo 2025"/>
  </r>
  <r>
    <x v="179"/>
    <s v="AGOSTO"/>
    <x v="1"/>
    <n v="8"/>
    <s v="AGOSTO 2025"/>
    <s v="8 AGOSTO 2025"/>
    <x v="0"/>
    <x v="0"/>
    <n v="7.5"/>
    <m/>
    <m/>
    <s v="Viaggio Portogallo 2025"/>
  </r>
  <r>
    <x v="180"/>
    <s v="AGOSTO"/>
    <x v="1"/>
    <n v="8"/>
    <s v="AGOSTO 2025"/>
    <s v="8 AGOSTO 2025"/>
    <x v="3"/>
    <x v="3"/>
    <n v="5"/>
    <m/>
    <m/>
    <m/>
  </r>
  <r>
    <x v="180"/>
    <s v="AGOSTO"/>
    <x v="1"/>
    <n v="8"/>
    <s v="AGOSTO 2025"/>
    <s v="8 AGOSTO 2025"/>
    <x v="16"/>
    <x v="5"/>
    <n v="5"/>
    <m/>
    <m/>
    <m/>
  </r>
  <r>
    <x v="118"/>
    <s v="AGOSTO"/>
    <x v="1"/>
    <n v="8"/>
    <s v="AGOSTO 2025"/>
    <s v="8 AGOSTO 2025"/>
    <x v="16"/>
    <x v="5"/>
    <n v="8.42"/>
    <m/>
    <m/>
    <s v="Viaggio Portogallo 2025"/>
  </r>
  <r>
    <x v="118"/>
    <s v="AGOSTO"/>
    <x v="1"/>
    <n v="8"/>
    <s v="AGOSTO 2025"/>
    <s v="8 AGOSTO 2025"/>
    <x v="16"/>
    <x v="5"/>
    <n v="8.91"/>
    <m/>
    <m/>
    <s v="Viaggio Portogallo 2025"/>
  </r>
  <r>
    <x v="118"/>
    <s v="AGOSTO"/>
    <x v="1"/>
    <n v="8"/>
    <s v="AGOSTO 2025"/>
    <s v="8 AGOSTO 2025"/>
    <x v="3"/>
    <x v="3"/>
    <n v="11.04"/>
    <m/>
    <m/>
    <s v="Viaggio Portogallo 2025"/>
  </r>
  <r>
    <x v="181"/>
    <s v="AGOSTO"/>
    <x v="1"/>
    <n v="8"/>
    <s v="AGOSTO 2025"/>
    <s v="8 AGOSTO 2025"/>
    <x v="3"/>
    <x v="3"/>
    <n v="1.99"/>
    <m/>
    <s v="PAYPAL"/>
    <m/>
  </r>
  <r>
    <x v="181"/>
    <s v="AGOSTO"/>
    <x v="1"/>
    <n v="8"/>
    <s v="AGOSTO 2025"/>
    <s v="8 AGOSTO 2025"/>
    <x v="3"/>
    <x v="3"/>
    <n v="5.99"/>
    <m/>
    <s v="PAYPAL"/>
    <m/>
  </r>
  <r>
    <x v="181"/>
    <s v="AGOSTO"/>
    <x v="1"/>
    <n v="8"/>
    <s v="AGOSTO 2025"/>
    <s v="8 AGOSTO 2025"/>
    <x v="3"/>
    <x v="3"/>
    <n v="6.75"/>
    <m/>
    <s v="PAYPAL"/>
    <m/>
  </r>
  <r>
    <x v="182"/>
    <s v="AGOSTO"/>
    <x v="1"/>
    <n v="8"/>
    <s v="AGOSTO 2025"/>
    <s v="8 AGOSTO 2025"/>
    <x v="0"/>
    <x v="0"/>
    <n v="3.7"/>
    <m/>
    <m/>
    <m/>
  </r>
  <r>
    <x v="183"/>
    <s v="AGOSTO"/>
    <x v="1"/>
    <n v="8"/>
    <s v="AGOSTO 2025"/>
    <s v="8 AGOSTO 2025"/>
    <x v="0"/>
    <x v="0"/>
    <n v="19.95"/>
    <m/>
    <m/>
    <s v="Venezia "/>
  </r>
  <r>
    <x v="184"/>
    <s v="AGOSTO"/>
    <x v="1"/>
    <n v="8"/>
    <s v="AGOSTO 2025"/>
    <s v="8 AGOSTO 2025"/>
    <x v="0"/>
    <x v="0"/>
    <n v="21.7"/>
    <m/>
    <m/>
    <s v="Viaggio Portogallo 2025"/>
  </r>
  <r>
    <x v="185"/>
    <s v="AGOSTO"/>
    <x v="1"/>
    <n v="8"/>
    <s v="AGOSTO 2025"/>
    <s v="8 AGOSTO 2025"/>
    <x v="16"/>
    <x v="5"/>
    <n v="20"/>
    <m/>
    <m/>
    <s v="Viaggio Portogallo 2025"/>
  </r>
  <r>
    <x v="185"/>
    <s v="AGOSTO"/>
    <x v="1"/>
    <n v="8"/>
    <s v="AGOSTO 2025"/>
    <s v="8 AGOSTO 2025"/>
    <x v="16"/>
    <x v="5"/>
    <n v="20"/>
    <m/>
    <m/>
    <s v="Viaggio Portogallo 2025"/>
  </r>
  <r>
    <x v="6"/>
    <s v="AGOSTO"/>
    <x v="1"/>
    <n v="8"/>
    <s v="AGOSTO 2025"/>
    <s v="8 AGOSTO 2025"/>
    <x v="14"/>
    <x v="2"/>
    <n v="6.5"/>
    <m/>
    <m/>
    <m/>
  </r>
  <r>
    <x v="6"/>
    <s v="AGOSTO"/>
    <x v="1"/>
    <n v="8"/>
    <s v="AGOSTO 2025"/>
    <s v="8 AGOSTO 2025"/>
    <x v="14"/>
    <x v="2"/>
    <n v="6.5"/>
    <m/>
    <m/>
    <m/>
  </r>
  <r>
    <x v="6"/>
    <s v="AGOSTO"/>
    <x v="1"/>
    <n v="8"/>
    <s v="AGOSTO 2025"/>
    <s v="8 AGOSTO 2025"/>
    <x v="14"/>
    <x v="2"/>
    <n v="6.5"/>
    <m/>
    <m/>
    <m/>
  </r>
  <r>
    <x v="186"/>
    <s v="AGOSTO"/>
    <x v="1"/>
    <n v="8"/>
    <s v="AGOSTO 2025"/>
    <s v="8 AGOSTO 2025"/>
    <x v="0"/>
    <x v="0"/>
    <n v="12.3"/>
    <m/>
    <m/>
    <m/>
  </r>
  <r>
    <x v="187"/>
    <s v="AGOSTO"/>
    <x v="1"/>
    <n v="8"/>
    <s v="AGOSTO 2025"/>
    <s v="8 AGOSTO 2025"/>
    <x v="0"/>
    <x v="0"/>
    <n v="9.5"/>
    <m/>
    <m/>
    <m/>
  </r>
  <r>
    <x v="91"/>
    <s v="AGOSTO"/>
    <x v="1"/>
    <n v="8"/>
    <s v="AGOSTO 2025"/>
    <s v="8 AGOSTO 2025"/>
    <x v="2"/>
    <x v="2"/>
    <n v="0.6"/>
    <m/>
    <m/>
    <m/>
  </r>
  <r>
    <x v="188"/>
    <s v="AGOSTO"/>
    <x v="1"/>
    <n v="8"/>
    <s v="AGOSTO 2025"/>
    <s v="8 AGOSTO 2025"/>
    <x v="11"/>
    <x v="6"/>
    <n v="20.18"/>
    <m/>
    <m/>
    <m/>
  </r>
  <r>
    <x v="6"/>
    <s v="AGOSTO"/>
    <x v="1"/>
    <n v="8"/>
    <s v="AGOSTO 2025"/>
    <s v="8 AGOSTO 2025"/>
    <x v="0"/>
    <x v="0"/>
    <n v="4.2"/>
    <m/>
    <m/>
    <m/>
  </r>
  <r>
    <x v="7"/>
    <s v="AGOSTO"/>
    <x v="1"/>
    <n v="8"/>
    <s v="AGOSTO 2025"/>
    <s v="8 AGOSTO 2025"/>
    <x v="5"/>
    <x v="5"/>
    <n v="557.46"/>
    <m/>
    <m/>
    <s v="Viaggio Portogallo 2025"/>
  </r>
  <r>
    <x v="7"/>
    <s v="AGOSTO"/>
    <x v="1"/>
    <n v="8"/>
    <s v="AGOSTO 2025"/>
    <s v="8 AGOSTO 2025"/>
    <x v="5"/>
    <x v="5"/>
    <n v="333.52"/>
    <m/>
    <m/>
    <s v="Viaggio Portogallo 2025"/>
  </r>
  <r>
    <x v="2"/>
    <s v="AGOSTO"/>
    <x v="1"/>
    <n v="8"/>
    <s v="AGOSTO 2025"/>
    <s v="8 AGOSTO 2025"/>
    <x v="11"/>
    <x v="6"/>
    <n v="-9.82"/>
    <m/>
    <s v="AMAZON"/>
    <s v="Reso Magliette BOSS"/>
  </r>
  <r>
    <x v="2"/>
    <s v="AGOSTO"/>
    <x v="1"/>
    <n v="8"/>
    <s v="AGOSTO 2025"/>
    <s v="8 AGOSTO 2025"/>
    <x v="8"/>
    <x v="6"/>
    <n v="16.899999999999999"/>
    <s v="2/3"/>
    <s v="AMAZON"/>
    <s v="MELICONI"/>
  </r>
  <r>
    <x v="189"/>
    <s v="AGOSTO"/>
    <x v="1"/>
    <n v="8"/>
    <s v="AGOSTO 2025"/>
    <s v="8 AGOSTO 2025"/>
    <x v="10"/>
    <x v="6"/>
    <n v="16.66"/>
    <s v="2/3"/>
    <s v="PAYPAL"/>
    <s v="Regalo Stefania 2025"/>
  </r>
  <r>
    <x v="190"/>
    <s v="AGOSTO"/>
    <x v="1"/>
    <n v="8"/>
    <s v="AGOSTO 2025"/>
    <s v="8 AGOSTO 2025"/>
    <x v="16"/>
    <x v="5"/>
    <n v="215.64"/>
    <s v="3/3"/>
    <s v="PAYPAL"/>
    <s v="Viaggio Portogallo 2025"/>
  </r>
  <r>
    <x v="2"/>
    <s v="AGOSTO"/>
    <x v="1"/>
    <n v="8"/>
    <s v="AGOSTO 2025"/>
    <s v="8 AGOSTO 2025"/>
    <x v="1"/>
    <x v="1"/>
    <n v="109.8"/>
    <s v="5/5"/>
    <s v="AMAZON"/>
    <s v="DREAME"/>
  </r>
  <r>
    <x v="35"/>
    <s v="AGOSTO"/>
    <x v="1"/>
    <n v="8"/>
    <s v="AGOSTO 2025"/>
    <s v="8 AGOSTO 2025"/>
    <x v="1"/>
    <x v="1"/>
    <n v="27.74"/>
    <m/>
    <m/>
    <m/>
  </r>
  <r>
    <x v="91"/>
    <s v="AGOSTO"/>
    <x v="1"/>
    <n v="8"/>
    <s v="AGOSTO 2025"/>
    <s v="8 AGOSTO 2025"/>
    <x v="2"/>
    <x v="2"/>
    <n v="0.4"/>
    <m/>
    <m/>
    <m/>
  </r>
  <r>
    <x v="91"/>
    <s v="AGOSTO"/>
    <x v="1"/>
    <n v="8"/>
    <s v="AGOSTO 2025"/>
    <s v="8 AGOSTO 2025"/>
    <x v="2"/>
    <x v="2"/>
    <n v="0.4"/>
    <m/>
    <m/>
    <m/>
  </r>
  <r>
    <x v="91"/>
    <s v="AGOSTO"/>
    <x v="1"/>
    <n v="8"/>
    <s v="AGOSTO 2025"/>
    <s v="8 AGOSTO 2025"/>
    <x v="2"/>
    <x v="2"/>
    <n v="0.4"/>
    <m/>
    <m/>
    <m/>
  </r>
  <r>
    <x v="91"/>
    <s v="AGOSTO"/>
    <x v="1"/>
    <n v="8"/>
    <s v="AGOSTO 2025"/>
    <s v="8 AGOSTO 2025"/>
    <x v="2"/>
    <x v="2"/>
    <n v="0.4"/>
    <m/>
    <m/>
    <m/>
  </r>
  <r>
    <x v="12"/>
    <s v="LUGLIO"/>
    <x v="1"/>
    <n v="7"/>
    <s v="LUGLIO 2025"/>
    <s v="7 LUGLIO 2025"/>
    <x v="7"/>
    <x v="2"/>
    <n v="2.68"/>
    <m/>
    <m/>
    <m/>
  </r>
  <r>
    <x v="61"/>
    <s v="LUGLIO"/>
    <x v="1"/>
    <n v="7"/>
    <s v="LUGLIO 2025"/>
    <s v="7 LUGLIO 2025"/>
    <x v="11"/>
    <x v="6"/>
    <n v="26.5"/>
    <m/>
    <m/>
    <m/>
  </r>
  <r>
    <x v="97"/>
    <s v="LUGLIO"/>
    <x v="1"/>
    <n v="7"/>
    <s v="LUGLIO 2025"/>
    <s v="7 LUGLIO 2025"/>
    <x v="11"/>
    <x v="6"/>
    <n v="102.77"/>
    <m/>
    <m/>
    <m/>
  </r>
  <r>
    <x v="191"/>
    <s v="LUGLIO"/>
    <x v="1"/>
    <n v="7"/>
    <s v="LUGLIO 2025"/>
    <s v="7 LUGLIO 2025"/>
    <x v="0"/>
    <x v="0"/>
    <n v="109.5"/>
    <m/>
    <m/>
    <m/>
  </r>
  <r>
    <x v="79"/>
    <s v="LUGLIO"/>
    <x v="1"/>
    <n v="7"/>
    <s v="LUGLIO 2025"/>
    <s v="7 LUGLIO 2025"/>
    <x v="3"/>
    <x v="3"/>
    <n v="5.29"/>
    <m/>
    <s v="PAYPAL"/>
    <m/>
  </r>
  <r>
    <x v="17"/>
    <s v="LUGLIO"/>
    <x v="1"/>
    <n v="7"/>
    <s v="LUGLIO 2025"/>
    <s v="7 LUGLIO 2025"/>
    <x v="7"/>
    <x v="2"/>
    <n v="4.33"/>
    <m/>
    <m/>
    <m/>
  </r>
  <r>
    <x v="11"/>
    <s v="LUGLIO"/>
    <x v="1"/>
    <n v="7"/>
    <s v="LUGLIO 2025"/>
    <s v="7 LUGLIO 2025"/>
    <x v="0"/>
    <x v="0"/>
    <n v="9"/>
    <m/>
    <m/>
    <m/>
  </r>
  <r>
    <x v="6"/>
    <s v="LUGLIO"/>
    <x v="1"/>
    <n v="7"/>
    <s v="LUGLIO 2025"/>
    <s v="7 LUGLIO 2025"/>
    <x v="14"/>
    <x v="2"/>
    <n v="6.5"/>
    <m/>
    <m/>
    <m/>
  </r>
  <r>
    <x v="192"/>
    <s v="LUGLIO"/>
    <x v="1"/>
    <n v="7"/>
    <s v="LUGLIO 2025"/>
    <s v="7 LUGLIO 2025"/>
    <x v="16"/>
    <x v="5"/>
    <n v="586.55999999999995"/>
    <m/>
    <m/>
    <s v="Viaggio Portogallo 2025"/>
  </r>
  <r>
    <x v="193"/>
    <s v="LUGLIO"/>
    <x v="1"/>
    <n v="7"/>
    <s v="LUGLIO 2025"/>
    <s v="7 LUGLIO 2025"/>
    <x v="0"/>
    <x v="0"/>
    <n v="1.81"/>
    <m/>
    <m/>
    <m/>
  </r>
  <r>
    <x v="194"/>
    <s v="LUGLIO"/>
    <x v="1"/>
    <n v="7"/>
    <s v="LUGLIO 2025"/>
    <s v="7 LUGLIO 2025"/>
    <x v="0"/>
    <x v="0"/>
    <n v="11.77"/>
    <m/>
    <m/>
    <m/>
  </r>
  <r>
    <x v="195"/>
    <s v="LUGLIO"/>
    <x v="1"/>
    <n v="7"/>
    <s v="LUGLIO 2025"/>
    <s v="7 LUGLIO 2025"/>
    <x v="0"/>
    <x v="0"/>
    <n v="6.16"/>
    <m/>
    <m/>
    <m/>
  </r>
  <r>
    <x v="196"/>
    <s v="LUGLIO"/>
    <x v="1"/>
    <n v="7"/>
    <s v="LUGLIO 2025"/>
    <s v="7 LUGLIO 2025"/>
    <x v="0"/>
    <x v="0"/>
    <n v="5.1499999999999995"/>
    <m/>
    <m/>
    <m/>
  </r>
  <r>
    <x v="35"/>
    <s v="LUGLIO"/>
    <x v="1"/>
    <n v="7"/>
    <s v="LUGLIO 2025"/>
    <s v="7 LUGLIO 2025"/>
    <x v="1"/>
    <x v="1"/>
    <n v="3.9"/>
    <m/>
    <m/>
    <m/>
  </r>
  <r>
    <x v="91"/>
    <s v="LUGLIO"/>
    <x v="1"/>
    <n v="7"/>
    <s v="LUGLIO 2025"/>
    <s v="7 LUGLIO 2025"/>
    <x v="2"/>
    <x v="2"/>
    <n v="0.4"/>
    <m/>
    <m/>
    <m/>
  </r>
  <r>
    <x v="91"/>
    <s v="LUGLIO"/>
    <x v="1"/>
    <n v="7"/>
    <s v="LUGLIO 2025"/>
    <s v="7 LUGLIO 2025"/>
    <x v="2"/>
    <x v="2"/>
    <n v="0.4"/>
    <m/>
    <m/>
    <m/>
  </r>
  <r>
    <x v="6"/>
    <s v="LUGLIO"/>
    <x v="1"/>
    <n v="7"/>
    <s v="LUGLIO 2025"/>
    <s v="7 LUGLIO 2025"/>
    <x v="14"/>
    <x v="2"/>
    <n v="6.5"/>
    <m/>
    <m/>
    <m/>
  </r>
  <r>
    <x v="189"/>
    <s v="LUGLIO"/>
    <x v="1"/>
    <n v="7"/>
    <s v="LUGLIO 2025"/>
    <s v="7 LUGLIO 2025"/>
    <x v="10"/>
    <x v="6"/>
    <n v="16.670000000000002"/>
    <s v="1/3"/>
    <s v="PAYPAL"/>
    <s v="Regalo Stefania 2025"/>
  </r>
  <r>
    <x v="197"/>
    <s v="LUGLIO"/>
    <x v="1"/>
    <n v="7"/>
    <s v="LUGLIO 2025"/>
    <s v="7 LUGLIO 2025"/>
    <x v="0"/>
    <x v="0"/>
    <n v="27"/>
    <m/>
    <m/>
    <m/>
  </r>
  <r>
    <x v="198"/>
    <s v="LUGLIO"/>
    <x v="1"/>
    <n v="7"/>
    <s v="LUGLIO 2025"/>
    <s v="7 LUGLIO 2025"/>
    <x v="0"/>
    <x v="0"/>
    <n v="15.5"/>
    <m/>
    <m/>
    <m/>
  </r>
  <r>
    <x v="12"/>
    <s v="LUGLIO"/>
    <x v="1"/>
    <n v="7"/>
    <s v="LUGLIO 2025"/>
    <s v="7 LUGLIO 2025"/>
    <x v="7"/>
    <x v="2"/>
    <n v="20.89"/>
    <m/>
    <m/>
    <m/>
  </r>
  <r>
    <x v="6"/>
    <s v="LUGLIO"/>
    <x v="1"/>
    <n v="7"/>
    <s v="LUGLIO 2025"/>
    <s v="7 LUGLIO 2025"/>
    <x v="14"/>
    <x v="2"/>
    <n v="2.8"/>
    <m/>
    <m/>
    <m/>
  </r>
  <r>
    <x v="53"/>
    <s v="LUGLIO"/>
    <x v="1"/>
    <n v="7"/>
    <s v="LUGLIO 2025"/>
    <s v="7 LUGLIO 2025"/>
    <x v="1"/>
    <x v="1"/>
    <n v="35.9"/>
    <m/>
    <m/>
    <m/>
  </r>
  <r>
    <x v="48"/>
    <s v="LUGLIO"/>
    <x v="1"/>
    <n v="7"/>
    <s v="LUGLIO 2025"/>
    <s v="7 LUGLIO 2025"/>
    <x v="10"/>
    <x v="6"/>
    <n v="48.99"/>
    <m/>
    <m/>
    <s v="Regalo chicco"/>
  </r>
  <r>
    <x v="6"/>
    <s v="LUGLIO"/>
    <x v="1"/>
    <n v="7"/>
    <s v="LUGLIO 2025"/>
    <s v="7 LUGLIO 2025"/>
    <x v="0"/>
    <x v="0"/>
    <n v="4.2"/>
    <m/>
    <m/>
    <m/>
  </r>
  <r>
    <x v="17"/>
    <s v="LUGLIO"/>
    <x v="1"/>
    <n v="7"/>
    <s v="LUGLIO 2025"/>
    <s v="7 LUGLIO 2025"/>
    <x v="7"/>
    <x v="2"/>
    <n v="12.21"/>
    <m/>
    <m/>
    <m/>
  </r>
  <r>
    <x v="199"/>
    <s v="LUGLIO"/>
    <x v="1"/>
    <n v="7"/>
    <s v="LUGLIO 2025"/>
    <s v="7 LUGLIO 2025"/>
    <x v="0"/>
    <x v="0"/>
    <n v="33.9"/>
    <m/>
    <m/>
    <m/>
  </r>
  <r>
    <x v="200"/>
    <s v="LUGLIO"/>
    <x v="1"/>
    <n v="7"/>
    <s v="LUGLIO 2025"/>
    <s v="7 LUGLIO 2025"/>
    <x v="0"/>
    <x v="0"/>
    <n v="46"/>
    <m/>
    <m/>
    <m/>
  </r>
  <r>
    <x v="79"/>
    <s v="LUGLIO"/>
    <x v="1"/>
    <n v="7"/>
    <s v="LUGLIO 2025"/>
    <s v="7 LUGLIO 2025"/>
    <x v="3"/>
    <x v="3"/>
    <n v="7.44"/>
    <m/>
    <s v="PAYPAL"/>
    <m/>
  </r>
  <r>
    <x v="201"/>
    <s v="LUGLIO"/>
    <x v="1"/>
    <n v="7"/>
    <s v="LUGLIO 2025"/>
    <s v="7 LUGLIO 2025"/>
    <x v="0"/>
    <x v="0"/>
    <n v="26"/>
    <m/>
    <m/>
    <m/>
  </r>
  <r>
    <x v="6"/>
    <s v="LUGLIO"/>
    <x v="1"/>
    <n v="7"/>
    <s v="LUGLIO 2025"/>
    <s v="7 LUGLIO 2025"/>
    <x v="14"/>
    <x v="2"/>
    <n v="6.5"/>
    <m/>
    <m/>
    <m/>
  </r>
  <r>
    <x v="91"/>
    <s v="LUGLIO"/>
    <x v="1"/>
    <n v="7"/>
    <s v="LUGLIO 2025"/>
    <s v="7 LUGLIO 2025"/>
    <x v="2"/>
    <x v="2"/>
    <n v="0.4"/>
    <m/>
    <m/>
    <m/>
  </r>
  <r>
    <x v="2"/>
    <s v="LUGLIO"/>
    <x v="1"/>
    <n v="7"/>
    <s v="LUGLIO 2025"/>
    <s v="7 LUGLIO 2025"/>
    <x v="8"/>
    <x v="6"/>
    <n v="30.678000000000001"/>
    <m/>
    <s v="AMAZON"/>
    <m/>
  </r>
  <r>
    <x v="6"/>
    <s v="LUGLIO"/>
    <x v="1"/>
    <n v="7"/>
    <s v="LUGLIO 2025"/>
    <s v="7 LUGLIO 2025"/>
    <x v="14"/>
    <x v="2"/>
    <n v="6.5"/>
    <m/>
    <m/>
    <m/>
  </r>
  <r>
    <x v="2"/>
    <s v="LUGLIO"/>
    <x v="1"/>
    <n v="7"/>
    <s v="LUGLIO 2025"/>
    <s v="7 LUGLIO 2025"/>
    <x v="8"/>
    <x v="6"/>
    <n v="22.99"/>
    <m/>
    <s v="AMAZON"/>
    <m/>
  </r>
  <r>
    <x v="2"/>
    <s v="LUGLIO"/>
    <x v="1"/>
    <n v="7"/>
    <s v="LUGLIO 2025"/>
    <s v="7 LUGLIO 2025"/>
    <x v="8"/>
    <x v="6"/>
    <n v="16.899999999999999"/>
    <s v="1/3"/>
    <s v="AMAZON"/>
    <s v="MELICONI"/>
  </r>
  <r>
    <x v="2"/>
    <s v="LUGLIO"/>
    <x v="1"/>
    <n v="7"/>
    <s v="LUGLIO 2025"/>
    <s v="7 LUGLIO 2025"/>
    <x v="8"/>
    <x v="6"/>
    <n v="9.82"/>
    <m/>
    <s v="AMAZON"/>
    <s v="Magliette BOSS"/>
  </r>
  <r>
    <x v="82"/>
    <s v="LUGLIO"/>
    <x v="1"/>
    <n v="7"/>
    <s v="LUGLIO 2025"/>
    <s v="7 LUGLIO 2025"/>
    <x v="7"/>
    <x v="2"/>
    <n v="21.2"/>
    <m/>
    <m/>
    <m/>
  </r>
  <r>
    <x v="11"/>
    <s v="LUGLIO"/>
    <x v="1"/>
    <n v="7"/>
    <s v="LUGLIO 2025"/>
    <s v="7 LUGLIO 2025"/>
    <x v="0"/>
    <x v="0"/>
    <n v="39"/>
    <m/>
    <m/>
    <m/>
  </r>
  <r>
    <x v="202"/>
    <s v="LUGLIO"/>
    <x v="1"/>
    <n v="7"/>
    <s v="LUGLIO 2025"/>
    <s v="7 LUGLIO 2025"/>
    <x v="11"/>
    <x v="6"/>
    <n v="40"/>
    <m/>
    <m/>
    <s v="Concerto Thirty Second to Mars"/>
  </r>
  <r>
    <x v="203"/>
    <s v="LUGLIO"/>
    <x v="1"/>
    <n v="7"/>
    <s v="LUGLIO 2025"/>
    <s v="7 LUGLIO 2025"/>
    <x v="8"/>
    <x v="6"/>
    <n v="26.69"/>
    <m/>
    <s v="PAYPAL"/>
    <m/>
  </r>
  <r>
    <x v="91"/>
    <s v="LUGLIO"/>
    <x v="1"/>
    <n v="7"/>
    <s v="LUGLIO 2025"/>
    <s v="7 LUGLIO 2025"/>
    <x v="2"/>
    <x v="2"/>
    <n v="0.4"/>
    <m/>
    <m/>
    <m/>
  </r>
  <r>
    <x v="91"/>
    <s v="LUGLIO"/>
    <x v="1"/>
    <n v="7"/>
    <s v="LUGLIO 2025"/>
    <s v="7 LUGLIO 2025"/>
    <x v="2"/>
    <x v="2"/>
    <n v="0.4"/>
    <m/>
    <m/>
    <m/>
  </r>
  <r>
    <x v="6"/>
    <s v="LUGLIO"/>
    <x v="1"/>
    <n v="7"/>
    <s v="LUGLIO 2025"/>
    <s v="7 LUGLIO 2025"/>
    <x v="0"/>
    <x v="0"/>
    <n v="2.8"/>
    <m/>
    <m/>
    <m/>
  </r>
  <r>
    <x v="17"/>
    <s v="LUGLIO"/>
    <x v="1"/>
    <n v="7"/>
    <s v="LUGLIO 2025"/>
    <s v="7 LUGLIO 2025"/>
    <x v="7"/>
    <x v="2"/>
    <n v="17.14"/>
    <m/>
    <m/>
    <m/>
  </r>
  <r>
    <x v="204"/>
    <s v="LUGLIO"/>
    <x v="1"/>
    <n v="7"/>
    <s v="LUGLIO 2025"/>
    <s v="7 LUGLIO 2025"/>
    <x v="1"/>
    <x v="1"/>
    <n v="150"/>
    <m/>
    <s v="REVOLUT"/>
    <s v="Pagamento rata condominio"/>
  </r>
  <r>
    <x v="190"/>
    <s v="LUGLIO"/>
    <x v="1"/>
    <n v="7"/>
    <s v="LUGLIO 2025"/>
    <s v="7 LUGLIO 2025"/>
    <x v="16"/>
    <x v="5"/>
    <n v="215.64"/>
    <s v="2/3"/>
    <s v="PAYPAL"/>
    <s v="Viaggio Portogallo 2025"/>
  </r>
  <r>
    <x v="205"/>
    <s v="LUGLIO"/>
    <x v="1"/>
    <n v="7"/>
    <s v="LUGLIO 2025"/>
    <s v="7 LUGLIO 2025"/>
    <x v="0"/>
    <x v="0"/>
    <n v="22.2"/>
    <m/>
    <m/>
    <m/>
  </r>
  <r>
    <x v="2"/>
    <s v="LUGLIO"/>
    <x v="1"/>
    <n v="7"/>
    <s v="LUGLIO 2025"/>
    <s v="7 LUGLIO 2025"/>
    <x v="1"/>
    <x v="1"/>
    <n v="109.8"/>
    <s v="4/5"/>
    <s v="AMAZON"/>
    <s v="DREAME"/>
  </r>
  <r>
    <x v="46"/>
    <s v="LUGLIO"/>
    <x v="1"/>
    <n v="7"/>
    <s v="LUGLIO 2025"/>
    <s v="7 LUGLIO 2025"/>
    <x v="0"/>
    <x v="0"/>
    <n v="75"/>
    <m/>
    <m/>
    <m/>
  </r>
  <r>
    <x v="206"/>
    <s v="LUGLIO"/>
    <x v="1"/>
    <n v="7"/>
    <s v="LUGLIO 2025"/>
    <s v="7 LUGLIO 2025"/>
    <x v="10"/>
    <x v="6"/>
    <n v="16.579999999999998"/>
    <m/>
    <s v="PAYPAL"/>
    <s v="Spesa per Papà"/>
  </r>
  <r>
    <x v="35"/>
    <s v="LUGLIO"/>
    <x v="1"/>
    <n v="7"/>
    <s v="LUGLIO 2025"/>
    <s v="7 LUGLIO 2025"/>
    <x v="1"/>
    <x v="1"/>
    <n v="12.68"/>
    <m/>
    <m/>
    <m/>
  </r>
  <r>
    <x v="17"/>
    <s v="LUGLIO"/>
    <x v="1"/>
    <n v="7"/>
    <s v="LUGLIO 2025"/>
    <s v="7 LUGLIO 2025"/>
    <x v="7"/>
    <x v="2"/>
    <n v="3.29"/>
    <m/>
    <m/>
    <m/>
  </r>
  <r>
    <x v="82"/>
    <s v="LUGLIO"/>
    <x v="1"/>
    <n v="7"/>
    <s v="LUGLIO 2025"/>
    <s v="7 LUGLIO 2025"/>
    <x v="7"/>
    <x v="2"/>
    <n v="29.5"/>
    <m/>
    <m/>
    <m/>
  </r>
  <r>
    <x v="6"/>
    <s v="LUGLIO"/>
    <x v="1"/>
    <n v="7"/>
    <s v="LUGLIO 2025"/>
    <s v="7 LUGLIO 2025"/>
    <x v="0"/>
    <x v="0"/>
    <n v="15"/>
    <m/>
    <m/>
    <m/>
  </r>
  <r>
    <x v="207"/>
    <s v="GIUGNO"/>
    <x v="1"/>
    <n v="6"/>
    <s v="GIUGNO 2025"/>
    <s v="6 GIUGNO 2025"/>
    <x v="13"/>
    <x v="7"/>
    <n v="0.52"/>
    <m/>
    <m/>
    <m/>
  </r>
  <r>
    <x v="82"/>
    <s v="GIUGNO"/>
    <x v="1"/>
    <n v="6"/>
    <s v="GIUGNO 2025"/>
    <s v="6 GIUGNO 2025"/>
    <x v="7"/>
    <x v="2"/>
    <n v="6.85"/>
    <m/>
    <m/>
    <m/>
  </r>
  <r>
    <x v="208"/>
    <s v="GIUGNO"/>
    <x v="1"/>
    <n v="6"/>
    <s v="GIUGNO 2025"/>
    <s v="6 GIUGNO 2025"/>
    <x v="12"/>
    <x v="0"/>
    <n v="52"/>
    <m/>
    <m/>
    <s v="Padel"/>
  </r>
  <r>
    <x v="209"/>
    <s v="GIUGNO"/>
    <x v="1"/>
    <n v="6"/>
    <s v="GIUGNO 2025"/>
    <s v="6 GIUGNO 2025"/>
    <x v="11"/>
    <x v="6"/>
    <n v="35"/>
    <m/>
    <m/>
    <s v="Concerto Linkin Park"/>
  </r>
  <r>
    <x v="210"/>
    <s v="GIUGNO"/>
    <x v="1"/>
    <n v="6"/>
    <s v="GIUGNO 2025"/>
    <s v="6 GIUGNO 2025"/>
    <x v="0"/>
    <x v="0"/>
    <n v="50"/>
    <m/>
    <m/>
    <s v="Concerto Linkin Park"/>
  </r>
  <r>
    <x v="211"/>
    <s v="GIUGNO"/>
    <x v="1"/>
    <n v="6"/>
    <s v="GIUGNO 2025"/>
    <s v="6 GIUGNO 2025"/>
    <x v="3"/>
    <x v="3"/>
    <n v="17.600000000000001"/>
    <m/>
    <m/>
    <m/>
  </r>
  <r>
    <x v="57"/>
    <s v="GIUGNO"/>
    <x v="1"/>
    <n v="6"/>
    <s v="GIUGNO 2025"/>
    <s v="6 GIUGNO 2025"/>
    <x v="0"/>
    <x v="0"/>
    <n v="23.6"/>
    <m/>
    <m/>
    <s v="Padova"/>
  </r>
  <r>
    <x v="91"/>
    <s v="GIUGNO"/>
    <x v="1"/>
    <n v="6"/>
    <s v="GIUGNO 2025"/>
    <s v="6 GIUGNO 2025"/>
    <x v="2"/>
    <x v="2"/>
    <n v="0.7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6"/>
    <s v="GIUGNO"/>
    <x v="1"/>
    <n v="6"/>
    <s v="GIUGNO 2025"/>
    <s v="6 GIUGNO 2025"/>
    <x v="0"/>
    <x v="0"/>
    <n v="4.2"/>
    <m/>
    <m/>
    <m/>
  </r>
  <r>
    <x v="212"/>
    <s v="GIUGNO"/>
    <x v="1"/>
    <n v="6"/>
    <s v="GIUGNO 2025"/>
    <s v="6 GIUGNO 2025"/>
    <x v="5"/>
    <x v="5"/>
    <n v="29.49"/>
    <m/>
    <m/>
    <s v="Ombrellone"/>
  </r>
  <r>
    <x v="6"/>
    <s v="GIUGNO"/>
    <x v="1"/>
    <n v="6"/>
    <s v="GIUGNO 2025"/>
    <s v="6 GIUGNO 2025"/>
    <x v="14"/>
    <x v="2"/>
    <n v="6.5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6"/>
    <s v="GIUGNO"/>
    <x v="1"/>
    <n v="6"/>
    <s v="GIUGNO 2025"/>
    <s v="6 GIUGNO 2025"/>
    <x v="0"/>
    <x v="0"/>
    <n v="2.8"/>
    <m/>
    <m/>
    <m/>
  </r>
  <r>
    <x v="17"/>
    <s v="GIUGNO"/>
    <x v="1"/>
    <n v="6"/>
    <s v="GIUGNO 2025"/>
    <s v="6 GIUGNO 2025"/>
    <x v="7"/>
    <x v="2"/>
    <n v="7.17"/>
    <m/>
    <m/>
    <m/>
  </r>
  <r>
    <x v="2"/>
    <s v="GIUGNO"/>
    <x v="1"/>
    <n v="6"/>
    <s v="GIUGNO 2025"/>
    <s v="6 GIUGNO 2025"/>
    <x v="8"/>
    <x v="6"/>
    <n v="24.96"/>
    <m/>
    <s v="AMAZON"/>
    <m/>
  </r>
  <r>
    <x v="35"/>
    <s v="GIUGNO"/>
    <x v="1"/>
    <n v="6"/>
    <s v="GIUGNO 2025"/>
    <s v="6 GIUGNO 2025"/>
    <x v="1"/>
    <x v="1"/>
    <n v="19.48"/>
    <m/>
    <m/>
    <m/>
  </r>
  <r>
    <x v="91"/>
    <s v="GIUGNO"/>
    <x v="1"/>
    <n v="6"/>
    <s v="GIUGNO 2025"/>
    <s v="6 GIUGNO 2025"/>
    <x v="2"/>
    <x v="2"/>
    <n v="0.4"/>
    <m/>
    <m/>
    <m/>
  </r>
  <r>
    <x v="82"/>
    <s v="GIUGNO"/>
    <x v="1"/>
    <n v="6"/>
    <s v="GIUGNO 2025"/>
    <s v="6 GIUGNO 2025"/>
    <x v="7"/>
    <x v="2"/>
    <n v="34.1"/>
    <m/>
    <m/>
    <m/>
  </r>
  <r>
    <x v="67"/>
    <s v="GIUGNO"/>
    <x v="1"/>
    <n v="6"/>
    <s v="GIUGNO 2025"/>
    <s v="6 GIUGNO 2025"/>
    <x v="7"/>
    <x v="2"/>
    <n v="121.38"/>
    <m/>
    <m/>
    <m/>
  </r>
  <r>
    <x v="213"/>
    <s v="GIUGNO"/>
    <x v="1"/>
    <n v="6"/>
    <s v="GIUGNO 2025"/>
    <s v="6 GIUGNO 2025"/>
    <x v="7"/>
    <x v="2"/>
    <n v="4"/>
    <m/>
    <m/>
    <m/>
  </r>
  <r>
    <x v="214"/>
    <s v="GIUGNO"/>
    <x v="1"/>
    <n v="6"/>
    <s v="GIUGNO 2025"/>
    <s v="6 GIUGNO 2025"/>
    <x v="15"/>
    <x v="8"/>
    <n v="7.0000000000000007E-2"/>
    <m/>
    <m/>
    <m/>
  </r>
  <r>
    <x v="215"/>
    <s v="GIUGNO"/>
    <x v="1"/>
    <n v="6"/>
    <s v="GIUGNO 2025"/>
    <s v="6 GIUGNO 2025"/>
    <x v="7"/>
    <x v="2"/>
    <n v="36.56"/>
    <m/>
    <m/>
    <m/>
  </r>
  <r>
    <x v="214"/>
    <s v="GIUGNO"/>
    <x v="1"/>
    <n v="6"/>
    <s v="GIUGNO 2025"/>
    <s v="6 GIUGNO 2025"/>
    <x v="15"/>
    <x v="8"/>
    <n v="0.64"/>
    <m/>
    <m/>
    <m/>
  </r>
  <r>
    <x v="6"/>
    <s v="GIUGNO"/>
    <x v="1"/>
    <n v="6"/>
    <s v="GIUGNO 2025"/>
    <s v="6 GIUGNO 2025"/>
    <x v="14"/>
    <x v="2"/>
    <n v="6.5"/>
    <m/>
    <m/>
    <m/>
  </r>
  <r>
    <x v="59"/>
    <s v="GIUGNO"/>
    <x v="1"/>
    <n v="6"/>
    <s v="GIUGNO 2025"/>
    <s v="6 GIUGNO 2025"/>
    <x v="0"/>
    <x v="0"/>
    <n v="31"/>
    <m/>
    <m/>
    <s v="La Lagunare"/>
  </r>
  <r>
    <x v="13"/>
    <s v="GIUGNO"/>
    <x v="1"/>
    <n v="6"/>
    <s v="GIUGNO 2025"/>
    <s v="6 GIUGNO 2025"/>
    <x v="0"/>
    <x v="0"/>
    <n v="45"/>
    <m/>
    <m/>
    <m/>
  </r>
  <r>
    <x v="6"/>
    <s v="GIUGNO"/>
    <x v="1"/>
    <n v="6"/>
    <s v="GIUGNO 2025"/>
    <s v="6 GIUGNO 2025"/>
    <x v="14"/>
    <x v="2"/>
    <n v="6.5"/>
    <m/>
    <m/>
    <m/>
  </r>
  <r>
    <x v="79"/>
    <s v="GIUGNO"/>
    <x v="1"/>
    <n v="6"/>
    <s v="GIUGNO 2025"/>
    <s v="6 GIUGNO 2025"/>
    <x v="3"/>
    <x v="3"/>
    <n v="4.5199999999999996"/>
    <m/>
    <s v="PAYPAL"/>
    <m/>
  </r>
  <r>
    <x v="17"/>
    <s v="GIUGNO"/>
    <x v="1"/>
    <n v="6"/>
    <s v="GIUGNO 2025"/>
    <s v="6 GIUGNO 2025"/>
    <x v="7"/>
    <x v="2"/>
    <n v="7.57"/>
    <m/>
    <m/>
    <m/>
  </r>
  <r>
    <x v="216"/>
    <s v="GIUGNO"/>
    <x v="1"/>
    <n v="6"/>
    <s v="GIUGNO 2025"/>
    <s v="6 GIUGNO 2025"/>
    <x v="0"/>
    <x v="0"/>
    <n v="48.5"/>
    <m/>
    <m/>
    <m/>
  </r>
  <r>
    <x v="6"/>
    <s v="GIUGNO"/>
    <x v="1"/>
    <n v="6"/>
    <s v="GIUGNO 2025"/>
    <s v="6 GIUGNO 2025"/>
    <x v="0"/>
    <x v="0"/>
    <n v="9.5"/>
    <m/>
    <m/>
    <m/>
  </r>
  <r>
    <x v="2"/>
    <s v="GIUGNO"/>
    <x v="1"/>
    <n v="6"/>
    <s v="GIUGNO 2025"/>
    <s v="6 GIUGNO 2025"/>
    <x v="8"/>
    <x v="6"/>
    <n v="23.2"/>
    <m/>
    <s v="AMAZON"/>
    <m/>
  </r>
  <r>
    <x v="12"/>
    <s v="GIUGNO"/>
    <x v="1"/>
    <n v="6"/>
    <s v="GIUGNO 2025"/>
    <s v="6 GIUGNO 2025"/>
    <x v="7"/>
    <x v="2"/>
    <n v="17.73"/>
    <m/>
    <m/>
    <m/>
  </r>
  <r>
    <x v="17"/>
    <s v="GIUGNO"/>
    <x v="1"/>
    <n v="6"/>
    <s v="GIUGNO 2025"/>
    <s v="6 GIUGNO 2025"/>
    <x v="7"/>
    <x v="2"/>
    <n v="3.74"/>
    <m/>
    <m/>
    <m/>
  </r>
  <r>
    <x v="190"/>
    <s v="GIUGNO"/>
    <x v="1"/>
    <n v="6"/>
    <s v="GIUGNO 2025"/>
    <s v="6 GIUGNO 2025"/>
    <x v="16"/>
    <x v="5"/>
    <n v="215.63"/>
    <s v="1/3"/>
    <s v="PAYPAL"/>
    <s v="Viaggio Portogallo 2025"/>
  </r>
  <r>
    <x v="217"/>
    <s v="GIUGNO"/>
    <x v="1"/>
    <n v="6"/>
    <s v="GIUGNO 2025"/>
    <s v="6 GIUGNO 2025"/>
    <x v="0"/>
    <x v="0"/>
    <n v="38.5"/>
    <m/>
    <m/>
    <m/>
  </r>
  <r>
    <x v="2"/>
    <s v="GIUGNO"/>
    <x v="1"/>
    <n v="6"/>
    <s v="GIUGNO 2025"/>
    <s v="6 GIUGNO 2025"/>
    <x v="8"/>
    <x v="6"/>
    <n v="15.39"/>
    <s v="5/5"/>
    <s v="AMAZON"/>
    <s v="FRIENT"/>
  </r>
  <r>
    <x v="2"/>
    <s v="GIUGNO"/>
    <x v="1"/>
    <n v="6"/>
    <s v="GIUGNO 2025"/>
    <s v="6 GIUGNO 2025"/>
    <x v="1"/>
    <x v="1"/>
    <n v="109.8"/>
    <s v="3/5"/>
    <s v="AMAZON"/>
    <s v="DREAME"/>
  </r>
  <r>
    <x v="11"/>
    <s v="GIUGNO"/>
    <x v="1"/>
    <n v="6"/>
    <s v="GIUGNO 2025"/>
    <s v="6 GIUGNO 2025"/>
    <x v="0"/>
    <x v="0"/>
    <n v="28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91"/>
    <s v="GIUGNO"/>
    <x v="1"/>
    <n v="6"/>
    <s v="GIUGNO 2025"/>
    <s v="6 GIUGNO 2025"/>
    <x v="2"/>
    <x v="2"/>
    <n v="0.4"/>
    <m/>
    <m/>
    <m/>
  </r>
  <r>
    <x v="6"/>
    <s v="GIUGNO"/>
    <x v="1"/>
    <n v="6"/>
    <s v="GIUGNO 2025"/>
    <s v="6 GIUGNO 2025"/>
    <x v="0"/>
    <x v="0"/>
    <n v="8.5"/>
    <m/>
    <m/>
    <m/>
  </r>
  <r>
    <x v="6"/>
    <s v="GIUGNO"/>
    <x v="1"/>
    <n v="6"/>
    <s v="GIUGNO 2025"/>
    <s v="6 GIUGNO 2025"/>
    <x v="14"/>
    <x v="2"/>
    <n v="6.5"/>
    <m/>
    <m/>
    <m/>
  </r>
  <r>
    <x v="82"/>
    <s v="GIUGNO"/>
    <x v="1"/>
    <n v="6"/>
    <s v="GIUGNO 2025"/>
    <s v="6 GIUGNO 2025"/>
    <x v="7"/>
    <x v="2"/>
    <n v="24.43"/>
    <m/>
    <m/>
    <m/>
  </r>
  <r>
    <x v="91"/>
    <s v="GIUGNO"/>
    <x v="1"/>
    <n v="6"/>
    <s v="GIUGNO 2025"/>
    <s v="6 GIUGNO 2025"/>
    <x v="2"/>
    <x v="2"/>
    <n v="0.4"/>
    <m/>
    <m/>
    <m/>
  </r>
  <r>
    <x v="2"/>
    <s v="GIUGNO"/>
    <x v="1"/>
    <n v="6"/>
    <s v="GIUGNO 2025"/>
    <s v="6 GIUGNO 2025"/>
    <x v="1"/>
    <x v="1"/>
    <n v="109.8"/>
    <s v="2/5"/>
    <s v="AMAZON"/>
    <s v="DREAME"/>
  </r>
  <r>
    <x v="207"/>
    <s v="MAGGIO"/>
    <x v="1"/>
    <n v="5"/>
    <s v="MAGGIO 2025"/>
    <s v="5 MAGGIO 2025"/>
    <x v="13"/>
    <x v="7"/>
    <n v="0.52"/>
    <m/>
    <m/>
    <m/>
  </r>
  <r>
    <x v="11"/>
    <s v="MAGGIO"/>
    <x v="1"/>
    <n v="5"/>
    <s v="MAGGIO 2025"/>
    <s v="5 MAGGIO 2025"/>
    <x v="0"/>
    <x v="0"/>
    <n v="22.5"/>
    <m/>
    <m/>
    <m/>
  </r>
  <r>
    <x v="11"/>
    <s v="MAGGIO"/>
    <x v="1"/>
    <n v="5"/>
    <s v="MAGGIO 2025"/>
    <s v="5 MAGGIO 2025"/>
    <x v="0"/>
    <x v="0"/>
    <n v="12.5"/>
    <m/>
    <m/>
    <m/>
  </r>
  <r>
    <x v="6"/>
    <s v="MAGGIO"/>
    <x v="1"/>
    <n v="5"/>
    <s v="MAGGIO 2025"/>
    <s v="5 MAGGIO 2025"/>
    <x v="14"/>
    <x v="2"/>
    <n v="6.5"/>
    <m/>
    <m/>
    <m/>
  </r>
  <r>
    <x v="82"/>
    <s v="MAGGIO"/>
    <x v="1"/>
    <n v="5"/>
    <s v="MAGGIO 2025"/>
    <s v="5 MAGGIO 2025"/>
    <x v="7"/>
    <x v="2"/>
    <n v="3.87"/>
    <m/>
    <m/>
    <m/>
  </r>
  <r>
    <x v="6"/>
    <s v="MAGGIO"/>
    <x v="1"/>
    <n v="5"/>
    <s v="MAGGIO 2025"/>
    <s v="5 MAGGIO 2025"/>
    <x v="0"/>
    <x v="0"/>
    <n v="4.2"/>
    <m/>
    <m/>
    <m/>
  </r>
  <r>
    <x v="91"/>
    <s v="MAGGIO"/>
    <x v="1"/>
    <n v="5"/>
    <s v="MAGGIO 2025"/>
    <s v="5 MAGGIO 2025"/>
    <x v="2"/>
    <x v="2"/>
    <n v="0.6"/>
    <m/>
    <m/>
    <m/>
  </r>
  <r>
    <x v="17"/>
    <s v="MAGGIO"/>
    <x v="1"/>
    <n v="5"/>
    <s v="MAGGIO 2025"/>
    <s v="5 MAGGIO 2025"/>
    <x v="7"/>
    <x v="2"/>
    <n v="4.25"/>
    <m/>
    <m/>
    <m/>
  </r>
  <r>
    <x v="91"/>
    <s v="MAGGIO"/>
    <x v="1"/>
    <n v="5"/>
    <s v="MAGGIO 2025"/>
    <s v="5 MAGGIO 2025"/>
    <x v="2"/>
    <x v="2"/>
    <n v="0.4"/>
    <m/>
    <m/>
    <m/>
  </r>
  <r>
    <x v="91"/>
    <s v="MAGGIO"/>
    <x v="1"/>
    <n v="5"/>
    <s v="MAGGIO 2025"/>
    <s v="5 MAGGIO 2025"/>
    <x v="2"/>
    <x v="2"/>
    <n v="0.4"/>
    <m/>
    <m/>
    <m/>
  </r>
  <r>
    <x v="12"/>
    <s v="MAGGIO"/>
    <x v="1"/>
    <n v="5"/>
    <s v="MAGGIO 2025"/>
    <s v="5 MAGGIO 2025"/>
    <x v="7"/>
    <x v="2"/>
    <n v="13.61"/>
    <m/>
    <m/>
    <m/>
  </r>
  <r>
    <x v="218"/>
    <s v="MAGGIO"/>
    <x v="1"/>
    <n v="5"/>
    <s v="MAGGIO 2025"/>
    <s v="5 MAGGIO 2025"/>
    <x v="0"/>
    <x v="0"/>
    <n v="83"/>
    <m/>
    <m/>
    <m/>
  </r>
  <r>
    <x v="82"/>
    <s v="MAGGIO"/>
    <x v="1"/>
    <n v="5"/>
    <s v="MAGGIO 2025"/>
    <s v="5 MAGGIO 2025"/>
    <x v="7"/>
    <x v="2"/>
    <n v="10.23"/>
    <m/>
    <m/>
    <m/>
  </r>
  <r>
    <x v="35"/>
    <s v="MAGGIO"/>
    <x v="1"/>
    <n v="5"/>
    <s v="MAGGIO 2025"/>
    <s v="5 MAGGIO 2025"/>
    <x v="1"/>
    <x v="1"/>
    <n v="16.03"/>
    <m/>
    <m/>
    <m/>
  </r>
  <r>
    <x v="219"/>
    <s v="MAGGIO"/>
    <x v="1"/>
    <n v="5"/>
    <s v="MAGGIO 2025"/>
    <s v="5 MAGGIO 2025"/>
    <x v="0"/>
    <x v="0"/>
    <n v="10"/>
    <m/>
    <m/>
    <m/>
  </r>
  <r>
    <x v="220"/>
    <s v="MAGGIO"/>
    <x v="1"/>
    <n v="5"/>
    <s v="MAGGIO 2025"/>
    <s v="5 MAGGIO 2025"/>
    <x v="0"/>
    <x v="0"/>
    <n v="5"/>
    <m/>
    <m/>
    <m/>
  </r>
  <r>
    <x v="11"/>
    <s v="MAGGIO"/>
    <x v="1"/>
    <n v="5"/>
    <s v="MAGGIO 2025"/>
    <s v="5 MAGGIO 2025"/>
    <x v="0"/>
    <x v="0"/>
    <n v="12.5"/>
    <m/>
    <m/>
    <m/>
  </r>
  <r>
    <x v="221"/>
    <s v="MAGGIO"/>
    <x v="1"/>
    <n v="5"/>
    <s v="MAGGIO 2025"/>
    <s v="5 MAGGIO 2025"/>
    <x v="0"/>
    <x v="0"/>
    <n v="7"/>
    <m/>
    <m/>
    <m/>
  </r>
  <r>
    <x v="221"/>
    <s v="MAGGIO"/>
    <x v="1"/>
    <n v="5"/>
    <s v="MAGGIO 2025"/>
    <s v="5 MAGGIO 2025"/>
    <x v="0"/>
    <x v="0"/>
    <n v="33"/>
    <m/>
    <m/>
    <m/>
  </r>
  <r>
    <x v="6"/>
    <s v="MAGGIO"/>
    <x v="1"/>
    <n v="5"/>
    <s v="MAGGIO 2025"/>
    <s v="5 MAGGIO 2025"/>
    <x v="14"/>
    <x v="2"/>
    <n v="6.5"/>
    <m/>
    <m/>
    <m/>
  </r>
  <r>
    <x v="91"/>
    <s v="MAGGIO"/>
    <x v="1"/>
    <n v="5"/>
    <s v="MAGGIO 2025"/>
    <s v="5 MAGGIO 2025"/>
    <x v="2"/>
    <x v="2"/>
    <n v="0.4"/>
    <m/>
    <m/>
    <m/>
  </r>
  <r>
    <x v="91"/>
    <s v="MAGGIO"/>
    <x v="1"/>
    <n v="5"/>
    <s v="MAGGIO 2025"/>
    <s v="5 MAGGIO 2025"/>
    <x v="2"/>
    <x v="2"/>
    <n v="0.4"/>
    <m/>
    <m/>
    <m/>
  </r>
  <r>
    <x v="91"/>
    <s v="MAGGIO"/>
    <x v="1"/>
    <n v="5"/>
    <s v="MAGGIO 2025"/>
    <s v="5 MAGGIO 2025"/>
    <x v="2"/>
    <x v="2"/>
    <n v="0.4"/>
    <m/>
    <m/>
    <m/>
  </r>
  <r>
    <x v="91"/>
    <s v="MAGGIO"/>
    <x v="1"/>
    <n v="5"/>
    <s v="MAGGIO 2025"/>
    <s v="5 MAGGIO 2025"/>
    <x v="2"/>
    <x v="2"/>
    <n v="0.4"/>
    <m/>
    <m/>
    <m/>
  </r>
  <r>
    <x v="6"/>
    <s v="MAGGIO"/>
    <x v="1"/>
    <n v="5"/>
    <s v="MAGGIO 2025"/>
    <s v="5 MAGGIO 2025"/>
    <x v="0"/>
    <x v="0"/>
    <n v="4.2"/>
    <m/>
    <m/>
    <m/>
  </r>
  <r>
    <x v="12"/>
    <s v="MAGGIO"/>
    <x v="1"/>
    <n v="5"/>
    <s v="MAGGIO 2025"/>
    <s v="5 MAGGIO 2025"/>
    <x v="7"/>
    <x v="2"/>
    <n v="17.71"/>
    <m/>
    <m/>
    <m/>
  </r>
  <r>
    <x v="11"/>
    <s v="MAGGIO"/>
    <x v="1"/>
    <n v="5"/>
    <s v="MAGGIO 2025"/>
    <s v="5 MAGGIO 2025"/>
    <x v="0"/>
    <x v="0"/>
    <n v="18"/>
    <m/>
    <m/>
    <m/>
  </r>
  <r>
    <x v="18"/>
    <s v="MAGGIO"/>
    <x v="1"/>
    <n v="5"/>
    <s v="MAGGIO 2025"/>
    <s v="5 MAGGIO 2025"/>
    <x v="0"/>
    <x v="0"/>
    <n v="46"/>
    <m/>
    <m/>
    <m/>
  </r>
  <r>
    <x v="59"/>
    <s v="MAGGIO"/>
    <x v="1"/>
    <n v="5"/>
    <s v="MAGGIO 2025"/>
    <s v="5 MAGGIO 2025"/>
    <x v="12"/>
    <x v="0"/>
    <n v="30"/>
    <m/>
    <m/>
    <s v="La Lagunare"/>
  </r>
  <r>
    <x v="6"/>
    <s v="MAGGIO"/>
    <x v="1"/>
    <n v="5"/>
    <s v="MAGGIO 2025"/>
    <s v="5 MAGGIO 2025"/>
    <x v="14"/>
    <x v="2"/>
    <n v="6.5"/>
    <m/>
    <m/>
    <m/>
  </r>
  <r>
    <x v="2"/>
    <s v="MAGGIO"/>
    <x v="1"/>
    <n v="5"/>
    <s v="MAGGIO 2025"/>
    <s v="5 MAGGIO 2025"/>
    <x v="8"/>
    <x v="6"/>
    <n v="42.49"/>
    <m/>
    <s v="AMAZON"/>
    <m/>
  </r>
  <r>
    <x v="2"/>
    <s v="MAGGIO"/>
    <x v="1"/>
    <n v="5"/>
    <s v="MAGGIO 2025"/>
    <s v="5 MAGGIO 2025"/>
    <x v="11"/>
    <x v="6"/>
    <n v="18.989999999999998"/>
    <m/>
    <s v="AMAZON"/>
    <m/>
  </r>
  <r>
    <x v="6"/>
    <s v="MAGGIO"/>
    <x v="1"/>
    <n v="5"/>
    <s v="MAGGIO 2025"/>
    <s v="5 MAGGIO 2025"/>
    <x v="0"/>
    <x v="0"/>
    <n v="4.2"/>
    <m/>
    <m/>
    <m/>
  </r>
  <r>
    <x v="17"/>
    <s v="MAGGIO"/>
    <x v="1"/>
    <n v="5"/>
    <s v="MAGGIO 2025"/>
    <s v="5 MAGGIO 2025"/>
    <x v="7"/>
    <x v="2"/>
    <n v="12.75"/>
    <m/>
    <m/>
    <m/>
  </r>
  <r>
    <x v="63"/>
    <s v="MAGGIO"/>
    <x v="1"/>
    <n v="5"/>
    <s v="MAGGIO 2025"/>
    <s v="5 MAGGIO 2025"/>
    <x v="12"/>
    <x v="0"/>
    <n v="38.19"/>
    <s v="3/3"/>
    <s v="PAYPAL"/>
    <s v="Concerto In Flames 2025"/>
  </r>
  <r>
    <x v="222"/>
    <s v="MAGGIO"/>
    <x v="1"/>
    <n v="5"/>
    <s v="MAGGIO 2025"/>
    <s v="5 MAGGIO 2025"/>
    <x v="11"/>
    <x v="6"/>
    <n v="40.98"/>
    <m/>
    <s v="PAYPAL"/>
    <m/>
  </r>
  <r>
    <x v="223"/>
    <s v="MAGGIO"/>
    <x v="1"/>
    <n v="5"/>
    <s v="MAGGIO 2025"/>
    <s v="5 MAGGIO 2025"/>
    <x v="16"/>
    <x v="5"/>
    <n v="77.72"/>
    <s v="3/3"/>
    <s v="PAYPAL"/>
    <s v="Viaggio Napoli 2025"/>
  </r>
  <r>
    <x v="146"/>
    <s v="MAGGIO"/>
    <x v="1"/>
    <n v="5"/>
    <s v="MAGGIO 2025"/>
    <s v="5 MAGGIO 2025"/>
    <x v="10"/>
    <x v="6"/>
    <n v="30.66"/>
    <s v="3/3"/>
    <s v="PAYPAL"/>
    <s v="Regalo a Michela"/>
  </r>
  <r>
    <x v="146"/>
    <s v="MAGGIO"/>
    <x v="1"/>
    <n v="5"/>
    <s v="MAGGIO 2025"/>
    <s v="5 MAGGIO 2025"/>
    <x v="10"/>
    <x v="6"/>
    <n v="30.67"/>
    <s v="2/3"/>
    <s v="PAYPAL"/>
    <s v="Regalo a Michela"/>
  </r>
  <r>
    <x v="35"/>
    <s v="MAGGIO"/>
    <x v="1"/>
    <n v="5"/>
    <s v="MAGGIO 2025"/>
    <s v="5 MAGGIO 2025"/>
    <x v="1"/>
    <x v="1"/>
    <n v="39.97"/>
    <m/>
    <m/>
    <m/>
  </r>
  <r>
    <x v="224"/>
    <s v="MAGGIO"/>
    <x v="1"/>
    <n v="5"/>
    <s v="MAGGIO 2025"/>
    <s v="5 MAGGIO 2025"/>
    <x v="10"/>
    <x v="6"/>
    <n v="50.3"/>
    <m/>
    <m/>
    <s v="Regalo Stefano"/>
  </r>
  <r>
    <x v="225"/>
    <s v="MAGGIO"/>
    <x v="1"/>
    <n v="5"/>
    <s v="MAGGIO 2025"/>
    <s v="5 MAGGIO 2025"/>
    <x v="11"/>
    <x v="6"/>
    <n v="53.33"/>
    <m/>
    <m/>
    <m/>
  </r>
  <r>
    <x v="77"/>
    <s v="MAGGIO"/>
    <x v="1"/>
    <n v="5"/>
    <s v="MAGGIO 2025"/>
    <s v="5 MAGGIO 2025"/>
    <x v="13"/>
    <x v="7"/>
    <n v="-25.82"/>
    <m/>
    <m/>
    <s v="Storno quota carta di credito"/>
  </r>
  <r>
    <x v="112"/>
    <s v="MAGGIO"/>
    <x v="1"/>
    <n v="5"/>
    <s v="MAGGIO 2025"/>
    <s v="5 MAGGIO 2025"/>
    <x v="1"/>
    <x v="1"/>
    <n v="8"/>
    <m/>
    <m/>
    <m/>
  </r>
  <r>
    <x v="12"/>
    <s v="MAGGIO"/>
    <x v="1"/>
    <n v="5"/>
    <s v="MAGGIO 2025"/>
    <s v="5 MAGGIO 2025"/>
    <x v="7"/>
    <x v="2"/>
    <n v="53.4"/>
    <m/>
    <m/>
    <m/>
  </r>
  <r>
    <x v="226"/>
    <s v="MAGGIO"/>
    <x v="1"/>
    <n v="5"/>
    <s v="MAGGIO 2025"/>
    <s v="5 MAGGIO 2025"/>
    <x v="0"/>
    <x v="0"/>
    <n v="19"/>
    <m/>
    <m/>
    <m/>
  </r>
  <r>
    <x v="5"/>
    <s v="MAGGIO"/>
    <x v="1"/>
    <n v="5"/>
    <s v="MAGGIO 2025"/>
    <s v="5 MAGGIO 2025"/>
    <x v="16"/>
    <x v="5"/>
    <n v="25"/>
    <m/>
    <s v="REVOLUT"/>
    <s v="Viaggio Napoli 2025"/>
  </r>
  <r>
    <x v="2"/>
    <s v="MAGGIO"/>
    <x v="1"/>
    <n v="5"/>
    <s v="MAGGIO 2025"/>
    <s v="5 MAGGIO 2025"/>
    <x v="8"/>
    <x v="6"/>
    <n v="15.39"/>
    <s v="4/5"/>
    <s v="AMAZON"/>
    <s v="FRIENT"/>
  </r>
  <r>
    <x v="95"/>
    <s v="MAGGIO"/>
    <x v="1"/>
    <n v="5"/>
    <s v="MAGGIO 2025"/>
    <s v="5 MAGGIO 2025"/>
    <x v="0"/>
    <x v="0"/>
    <n v="18"/>
    <m/>
    <m/>
    <m/>
  </r>
  <r>
    <x v="6"/>
    <s v="MAGGIO"/>
    <x v="1"/>
    <n v="5"/>
    <s v="MAGGIO 2025"/>
    <s v="5 MAGGIO 2025"/>
    <x v="0"/>
    <x v="0"/>
    <n v="15"/>
    <m/>
    <m/>
    <m/>
  </r>
  <r>
    <x v="227"/>
    <s v="APRILE"/>
    <x v="1"/>
    <n v="4"/>
    <s v="APRILE 2025"/>
    <s v="4 APRILE 2025"/>
    <x v="15"/>
    <x v="8"/>
    <n v="-0.19"/>
    <m/>
    <m/>
    <s v="Differenza sulla CC"/>
  </r>
  <r>
    <x v="228"/>
    <s v="APRILE"/>
    <x v="1"/>
    <n v="4"/>
    <s v="APRILE 2025"/>
    <s v="4 APRILE 2025"/>
    <x v="0"/>
    <x v="0"/>
    <n v="56"/>
    <m/>
    <m/>
    <s v="Viaggio Napoli 2025"/>
  </r>
  <r>
    <x v="229"/>
    <s v="APRILE"/>
    <x v="1"/>
    <n v="4"/>
    <s v="APRILE 2025"/>
    <s v="4 APRILE 2025"/>
    <x v="0"/>
    <x v="0"/>
    <n v="63.2"/>
    <m/>
    <m/>
    <s v="Viaggio Napoli 2025"/>
  </r>
  <r>
    <x v="6"/>
    <s v="APRILE"/>
    <x v="1"/>
    <n v="4"/>
    <s v="APRILE 2025"/>
    <s v="4 APRILE 2025"/>
    <x v="0"/>
    <x v="0"/>
    <n v="11"/>
    <m/>
    <m/>
    <m/>
  </r>
  <r>
    <x v="6"/>
    <s v="APRILE"/>
    <x v="1"/>
    <n v="4"/>
    <s v="APRILE 2025"/>
    <s v="4 APRILE 2025"/>
    <x v="14"/>
    <x v="2"/>
    <n v="6.5"/>
    <m/>
    <m/>
    <m/>
  </r>
  <r>
    <x v="144"/>
    <s v="APRILE"/>
    <x v="1"/>
    <n v="4"/>
    <s v="APRILE 2025"/>
    <s v="4 APRILE 2025"/>
    <x v="10"/>
    <x v="6"/>
    <n v="4"/>
    <m/>
    <m/>
    <s v="Regalo a Francesco"/>
  </r>
  <r>
    <x v="197"/>
    <s v="APRILE"/>
    <x v="1"/>
    <n v="4"/>
    <s v="APRILE 2025"/>
    <s v="4 APRILE 2025"/>
    <x v="19"/>
    <x v="6"/>
    <n v="51"/>
    <m/>
    <m/>
    <m/>
  </r>
  <r>
    <x v="11"/>
    <s v="APRILE"/>
    <x v="1"/>
    <n v="4"/>
    <s v="APRILE 2025"/>
    <s v="4 APRILE 2025"/>
    <x v="0"/>
    <x v="0"/>
    <n v="41"/>
    <m/>
    <m/>
    <m/>
  </r>
  <r>
    <x v="82"/>
    <s v="APRILE"/>
    <x v="1"/>
    <n v="4"/>
    <s v="APRILE 2025"/>
    <s v="4 APRILE 2025"/>
    <x v="7"/>
    <x v="2"/>
    <n v="28.44"/>
    <m/>
    <m/>
    <m/>
  </r>
  <r>
    <x v="12"/>
    <s v="APRILE"/>
    <x v="1"/>
    <n v="4"/>
    <s v="APRILE 2025"/>
    <s v="4 APRILE 2025"/>
    <x v="7"/>
    <x v="2"/>
    <n v="18.309999999999999"/>
    <m/>
    <m/>
    <m/>
  </r>
  <r>
    <x v="53"/>
    <s v="APRILE"/>
    <x v="1"/>
    <n v="4"/>
    <s v="APRILE 2025"/>
    <s v="4 APRILE 2025"/>
    <x v="1"/>
    <x v="1"/>
    <n v="58.85"/>
    <m/>
    <m/>
    <m/>
  </r>
  <r>
    <x v="6"/>
    <s v="APRILE"/>
    <x v="1"/>
    <n v="4"/>
    <s v="APRILE 2025"/>
    <s v="4 APRILE 2025"/>
    <x v="0"/>
    <x v="0"/>
    <n v="10.7"/>
    <m/>
    <m/>
    <m/>
  </r>
  <r>
    <x v="91"/>
    <s v="APRILE"/>
    <x v="1"/>
    <n v="4"/>
    <s v="APRILE 2025"/>
    <s v="4 APRILE 2025"/>
    <x v="2"/>
    <x v="2"/>
    <n v="0.4"/>
    <m/>
    <m/>
    <m/>
  </r>
  <r>
    <x v="91"/>
    <s v="APRILE"/>
    <x v="1"/>
    <n v="4"/>
    <s v="APRILE 2025"/>
    <s v="4 APRILE 2025"/>
    <x v="2"/>
    <x v="2"/>
    <n v="0.4"/>
    <m/>
    <m/>
    <m/>
  </r>
  <r>
    <x v="2"/>
    <s v="APRILE"/>
    <x v="1"/>
    <n v="4"/>
    <s v="APRILE 2025"/>
    <s v="4 APRILE 2025"/>
    <x v="8"/>
    <x v="6"/>
    <n v="40.799999999999997"/>
    <m/>
    <s v="AMAZON"/>
    <m/>
  </r>
  <r>
    <x v="91"/>
    <s v="APRILE"/>
    <x v="1"/>
    <n v="4"/>
    <s v="APRILE 2025"/>
    <s v="4 APRILE 2025"/>
    <x v="2"/>
    <x v="2"/>
    <n v="0.4"/>
    <m/>
    <m/>
    <m/>
  </r>
  <r>
    <x v="91"/>
    <s v="APRILE"/>
    <x v="1"/>
    <n v="4"/>
    <s v="APRILE 2025"/>
    <s v="4 APRILE 2025"/>
    <x v="2"/>
    <x v="2"/>
    <n v="0.4"/>
    <m/>
    <m/>
    <m/>
  </r>
  <r>
    <x v="230"/>
    <s v="APRILE"/>
    <x v="1"/>
    <n v="4"/>
    <s v="APRILE 2025"/>
    <s v="4 APRILE 2025"/>
    <x v="7"/>
    <x v="2"/>
    <n v="21.8"/>
    <m/>
    <m/>
    <m/>
  </r>
  <r>
    <x v="6"/>
    <s v="APRILE"/>
    <x v="1"/>
    <n v="4"/>
    <s v="APRILE 2025"/>
    <s v="4 APRILE 2025"/>
    <x v="0"/>
    <x v="0"/>
    <n v="5.6"/>
    <m/>
    <m/>
    <m/>
  </r>
  <r>
    <x v="91"/>
    <s v="APRILE"/>
    <x v="1"/>
    <n v="4"/>
    <s v="APRILE 2025"/>
    <s v="4 APRILE 2025"/>
    <x v="2"/>
    <x v="2"/>
    <n v="0.4"/>
    <m/>
    <m/>
    <m/>
  </r>
  <r>
    <x v="91"/>
    <s v="APRILE"/>
    <x v="1"/>
    <n v="4"/>
    <s v="APRILE 2025"/>
    <s v="4 APRILE 2025"/>
    <x v="2"/>
    <x v="2"/>
    <n v="0.4"/>
    <m/>
    <m/>
    <m/>
  </r>
  <r>
    <x v="231"/>
    <s v="APRILE"/>
    <x v="1"/>
    <n v="4"/>
    <s v="APRILE 2025"/>
    <s v="4 APRILE 2025"/>
    <x v="16"/>
    <x v="5"/>
    <n v="67.5"/>
    <m/>
    <m/>
    <s v="Viaggio Napoli 2025"/>
  </r>
  <r>
    <x v="232"/>
    <s v="APRILE"/>
    <x v="1"/>
    <n v="4"/>
    <s v="APRILE 2025"/>
    <s v="4 APRILE 2025"/>
    <x v="16"/>
    <x v="5"/>
    <n v="61.68"/>
    <m/>
    <s v="REVOLUT"/>
    <s v="Viaggio Napoli 2025"/>
  </r>
  <r>
    <x v="17"/>
    <s v="APRILE"/>
    <x v="1"/>
    <n v="4"/>
    <s v="APRILE 2025"/>
    <s v="4 APRILE 2025"/>
    <x v="7"/>
    <x v="2"/>
    <n v="6.04"/>
    <m/>
    <m/>
    <s v="Pagato con Revolut"/>
  </r>
  <r>
    <x v="12"/>
    <s v="APRILE"/>
    <x v="1"/>
    <n v="4"/>
    <s v="APRILE 2025"/>
    <s v="4 APRILE 2025"/>
    <x v="7"/>
    <x v="2"/>
    <n v="27.53"/>
    <m/>
    <m/>
    <s v="Pagato con Revolut"/>
  </r>
  <r>
    <x v="82"/>
    <s v="APRILE"/>
    <x v="1"/>
    <n v="4"/>
    <s v="APRILE 2025"/>
    <s v="4 APRILE 2025"/>
    <x v="7"/>
    <x v="2"/>
    <n v="19.95"/>
    <m/>
    <m/>
    <s v="Pagato con Revolut"/>
  </r>
  <r>
    <x v="21"/>
    <s v="APRILE"/>
    <x v="1"/>
    <n v="4"/>
    <s v="APRILE 2025"/>
    <s v="4 APRILE 2025"/>
    <x v="9"/>
    <x v="3"/>
    <n v="7"/>
    <m/>
    <m/>
    <m/>
  </r>
  <r>
    <x v="67"/>
    <s v="APRILE"/>
    <x v="1"/>
    <n v="4"/>
    <s v="APRILE 2025"/>
    <s v="4 APRILE 2025"/>
    <x v="10"/>
    <x v="6"/>
    <n v="34.549999999999997"/>
    <m/>
    <m/>
    <s v="Regalo a Francesco"/>
  </r>
  <r>
    <x v="233"/>
    <s v="APRILE"/>
    <x v="1"/>
    <n v="4"/>
    <s v="APRILE 2025"/>
    <s v="4 APRILE 2025"/>
    <x v="0"/>
    <x v="0"/>
    <n v="7"/>
    <m/>
    <m/>
    <m/>
  </r>
  <r>
    <x v="146"/>
    <s v="APRILE"/>
    <x v="1"/>
    <n v="4"/>
    <s v="APRILE 2025"/>
    <s v="4 APRILE 2025"/>
    <x v="10"/>
    <x v="6"/>
    <n v="30.67"/>
    <s v="1/3"/>
    <s v="PAYPAL"/>
    <s v="Regalo a Michela"/>
  </r>
  <r>
    <x v="6"/>
    <s v="APRILE"/>
    <x v="1"/>
    <n v="4"/>
    <s v="APRILE 2025"/>
    <s v="4 APRILE 2025"/>
    <x v="14"/>
    <x v="2"/>
    <n v="6.5"/>
    <m/>
    <m/>
    <m/>
  </r>
  <r>
    <x v="7"/>
    <s v="APRILE"/>
    <x v="1"/>
    <n v="4"/>
    <s v="APRILE 2025"/>
    <s v="4 APRILE 2025"/>
    <x v="5"/>
    <x v="5"/>
    <n v="181.17"/>
    <m/>
    <m/>
    <s v="Viaggio Napoli 2025"/>
  </r>
  <r>
    <x v="91"/>
    <s v="APRILE"/>
    <x v="1"/>
    <n v="4"/>
    <s v="APRILE 2025"/>
    <s v="4 APRILE 2025"/>
    <x v="2"/>
    <x v="2"/>
    <n v="0.4"/>
    <m/>
    <m/>
    <m/>
  </r>
  <r>
    <x v="91"/>
    <s v="APRILE"/>
    <x v="1"/>
    <n v="4"/>
    <s v="APRILE 2025"/>
    <s v="4 APRILE 2025"/>
    <x v="2"/>
    <x v="2"/>
    <n v="0.4"/>
    <m/>
    <m/>
    <m/>
  </r>
  <r>
    <x v="6"/>
    <s v="APRILE"/>
    <x v="1"/>
    <n v="4"/>
    <s v="APRILE 2025"/>
    <s v="4 APRILE 2025"/>
    <x v="0"/>
    <x v="0"/>
    <n v="4.2"/>
    <m/>
    <m/>
    <m/>
  </r>
  <r>
    <x v="91"/>
    <s v="APRILE"/>
    <x v="1"/>
    <n v="4"/>
    <s v="APRILE 2025"/>
    <s v="4 APRILE 2025"/>
    <x v="2"/>
    <x v="2"/>
    <n v="0.4"/>
    <m/>
    <m/>
    <m/>
  </r>
  <r>
    <x v="6"/>
    <s v="APRILE"/>
    <x v="1"/>
    <n v="4"/>
    <s v="APRILE 2025"/>
    <s v="4 APRILE 2025"/>
    <x v="14"/>
    <x v="2"/>
    <n v="6.5"/>
    <m/>
    <m/>
    <m/>
  </r>
  <r>
    <x v="234"/>
    <s v="APRILE"/>
    <x v="1"/>
    <n v="4"/>
    <s v="APRILE 2025"/>
    <s v="4 APRILE 2025"/>
    <x v="0"/>
    <x v="0"/>
    <n v="65"/>
    <m/>
    <m/>
    <m/>
  </r>
  <r>
    <x v="53"/>
    <s v="APRILE"/>
    <x v="1"/>
    <n v="4"/>
    <s v="APRILE 2025"/>
    <s v="4 APRILE 2025"/>
    <x v="1"/>
    <x v="1"/>
    <n v="141.85"/>
    <m/>
    <m/>
    <m/>
  </r>
  <r>
    <x v="235"/>
    <s v="APRILE"/>
    <x v="1"/>
    <n v="4"/>
    <s v="APRILE 2025"/>
    <s v="4 APRILE 2025"/>
    <x v="0"/>
    <x v="0"/>
    <n v="26"/>
    <m/>
    <m/>
    <m/>
  </r>
  <r>
    <x v="11"/>
    <s v="APRILE"/>
    <x v="1"/>
    <n v="4"/>
    <s v="APRILE 2025"/>
    <s v="4 APRILE 2025"/>
    <x v="0"/>
    <x v="0"/>
    <n v="7"/>
    <m/>
    <m/>
    <m/>
  </r>
  <r>
    <x v="82"/>
    <s v="APRILE"/>
    <x v="1"/>
    <n v="4"/>
    <s v="APRILE 2025"/>
    <s v="4 APRILE 2025"/>
    <x v="7"/>
    <x v="2"/>
    <n v="2.38"/>
    <m/>
    <m/>
    <m/>
  </r>
  <r>
    <x v="6"/>
    <s v="APRILE"/>
    <x v="1"/>
    <n v="4"/>
    <s v="APRILE 2025"/>
    <s v="4 APRILE 2025"/>
    <x v="0"/>
    <x v="0"/>
    <n v="18"/>
    <m/>
    <m/>
    <m/>
  </r>
  <r>
    <x v="6"/>
    <s v="APRILE"/>
    <x v="1"/>
    <n v="4"/>
    <s v="APRILE 2025"/>
    <s v="4 APRILE 2025"/>
    <x v="14"/>
    <x v="2"/>
    <n v="6.5"/>
    <m/>
    <m/>
    <m/>
  </r>
  <r>
    <x v="17"/>
    <s v="APRILE"/>
    <x v="1"/>
    <n v="4"/>
    <s v="APRILE 2025"/>
    <s v="4 APRILE 2025"/>
    <x v="7"/>
    <x v="2"/>
    <n v="5.01"/>
    <m/>
    <m/>
    <m/>
  </r>
  <r>
    <x v="6"/>
    <s v="APRILE"/>
    <x v="1"/>
    <n v="4"/>
    <s v="APRILE 2025"/>
    <s v="4 APRILE 2025"/>
    <x v="14"/>
    <x v="2"/>
    <n v="6.5"/>
    <m/>
    <m/>
    <m/>
  </r>
  <r>
    <x v="91"/>
    <s v="APRILE"/>
    <x v="1"/>
    <n v="4"/>
    <s v="APRILE 2025"/>
    <s v="4 APRILE 2025"/>
    <x v="2"/>
    <x v="2"/>
    <n v="0.4"/>
    <m/>
    <m/>
    <m/>
  </r>
  <r>
    <x v="2"/>
    <s v="APRILE"/>
    <x v="1"/>
    <n v="4"/>
    <s v="APRILE 2025"/>
    <s v="4 APRILE 2025"/>
    <x v="8"/>
    <x v="6"/>
    <n v="25.49"/>
    <m/>
    <s v="AMAZON"/>
    <m/>
  </r>
  <r>
    <x v="2"/>
    <s v="APRILE"/>
    <x v="1"/>
    <n v="4"/>
    <s v="APRILE 2025"/>
    <s v="4 APRILE 2025"/>
    <x v="1"/>
    <x v="1"/>
    <n v="109.8"/>
    <s v="1/5"/>
    <s v="AMAZON"/>
    <s v="DREAME"/>
  </r>
  <r>
    <x v="236"/>
    <s v="APRILE"/>
    <x v="1"/>
    <n v="4"/>
    <s v="APRILE 2025"/>
    <s v="4 APRILE 2025"/>
    <x v="21"/>
    <x v="2"/>
    <n v="17.79"/>
    <s v="3/3"/>
    <s v="PAYPAL"/>
    <m/>
  </r>
  <r>
    <x v="223"/>
    <s v="APRILE"/>
    <x v="1"/>
    <n v="4"/>
    <s v="APRILE 2025"/>
    <s v="4 APRILE 2025"/>
    <x v="16"/>
    <x v="5"/>
    <n v="77.72"/>
    <s v="2/3"/>
    <s v="PAYPAL"/>
    <s v="Viaggio Napoli 2025"/>
  </r>
  <r>
    <x v="12"/>
    <s v="APRILE"/>
    <x v="1"/>
    <n v="4"/>
    <s v="APRILE 2025"/>
    <s v="4 APRILE 2025"/>
    <x v="7"/>
    <x v="2"/>
    <n v="27.57"/>
    <m/>
    <m/>
    <m/>
  </r>
  <r>
    <x v="53"/>
    <s v="APRILE"/>
    <x v="1"/>
    <n v="4"/>
    <s v="APRILE 2025"/>
    <s v="4 APRILE 2025"/>
    <x v="1"/>
    <x v="1"/>
    <n v="10"/>
    <m/>
    <m/>
    <m/>
  </r>
  <r>
    <x v="237"/>
    <s v="APRILE"/>
    <x v="1"/>
    <n v="4"/>
    <s v="APRILE 2025"/>
    <s v="4 APRILE 2025"/>
    <x v="0"/>
    <x v="0"/>
    <n v="63.4"/>
    <m/>
    <m/>
    <m/>
  </r>
  <r>
    <x v="2"/>
    <s v="APRILE"/>
    <x v="1"/>
    <n v="4"/>
    <s v="APRILE 2025"/>
    <s v="4 APRILE 2025"/>
    <x v="8"/>
    <x v="6"/>
    <n v="15.39"/>
    <s v="3/5"/>
    <s v="AMAZON"/>
    <s v="FRIENT"/>
  </r>
  <r>
    <x v="238"/>
    <s v="APRILE"/>
    <x v="1"/>
    <n v="4"/>
    <s v="APRILE 2025"/>
    <s v="4 APRILE 2025"/>
    <x v="0"/>
    <x v="0"/>
    <n v="16"/>
    <m/>
    <m/>
    <m/>
  </r>
  <r>
    <x v="53"/>
    <s v="APRILE"/>
    <x v="1"/>
    <n v="4"/>
    <s v="APRILE 2025"/>
    <s v="4 APRILE 2025"/>
    <x v="1"/>
    <x v="1"/>
    <n v="26.9"/>
    <m/>
    <m/>
    <m/>
  </r>
  <r>
    <x v="91"/>
    <s v="APRILE"/>
    <x v="1"/>
    <n v="4"/>
    <s v="APRILE 2025"/>
    <s v="4 APRILE 2025"/>
    <x v="2"/>
    <x v="2"/>
    <n v="0.4"/>
    <m/>
    <m/>
    <m/>
  </r>
  <r>
    <x v="6"/>
    <s v="APRILE"/>
    <x v="1"/>
    <n v="4"/>
    <s v="APRILE 2025"/>
    <s v="4 APRILE 2025"/>
    <x v="14"/>
    <x v="2"/>
    <n v="6.5"/>
    <m/>
    <m/>
    <m/>
  </r>
  <r>
    <x v="2"/>
    <s v="MARZO"/>
    <x v="1"/>
    <n v="3"/>
    <s v="MARZO 2025"/>
    <s v="3 MARZO 2025"/>
    <x v="8"/>
    <x v="6"/>
    <n v="30.59"/>
    <s v="5/5"/>
    <s v="AMAZON"/>
    <s v="NANO LEAF"/>
  </r>
  <r>
    <x v="2"/>
    <s v="MARZO"/>
    <x v="1"/>
    <n v="3"/>
    <s v="MARZO 2025"/>
    <s v="3 MARZO 2025"/>
    <x v="8"/>
    <x v="6"/>
    <n v="19.71"/>
    <m/>
    <s v="AMAZON"/>
    <m/>
  </r>
  <r>
    <x v="6"/>
    <s v="MARZO"/>
    <x v="1"/>
    <n v="3"/>
    <s v="MARZO 2025"/>
    <s v="3 MARZO 2025"/>
    <x v="0"/>
    <x v="0"/>
    <n v="2.8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7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5"/>
    <s v="MARZO"/>
    <x v="1"/>
    <n v="3"/>
    <s v="MARZO 2025"/>
    <s v="3 MARZO 2025"/>
    <x v="17"/>
    <x v="4"/>
    <n v="75"/>
    <m/>
    <s v="REVOLUT"/>
    <s v="Errore"/>
  </r>
  <r>
    <x v="239"/>
    <s v="MARZO"/>
    <x v="1"/>
    <n v="3"/>
    <s v="MARZO 2025"/>
    <s v="3 MARZO 2025"/>
    <x v="0"/>
    <x v="0"/>
    <n v="48"/>
    <m/>
    <m/>
    <m/>
  </r>
  <r>
    <x v="240"/>
    <s v="MARZO"/>
    <x v="1"/>
    <n v="3"/>
    <s v="MARZO 2025"/>
    <s v="3 MARZO 2025"/>
    <x v="1"/>
    <x v="1"/>
    <n v="9.99"/>
    <m/>
    <m/>
    <m/>
  </r>
  <r>
    <x v="2"/>
    <s v="MARZO"/>
    <x v="1"/>
    <n v="3"/>
    <s v="MARZO 2025"/>
    <s v="3 MARZO 2025"/>
    <x v="8"/>
    <x v="6"/>
    <n v="31.22"/>
    <m/>
    <s v="AMAZON"/>
    <m/>
  </r>
  <r>
    <x v="241"/>
    <s v="MARZO"/>
    <x v="1"/>
    <n v="3"/>
    <s v="MARZO 2025"/>
    <s v="3 MARZO 2025"/>
    <x v="0"/>
    <x v="0"/>
    <n v="14.5"/>
    <m/>
    <m/>
    <m/>
  </r>
  <r>
    <x v="242"/>
    <s v="MARZO"/>
    <x v="1"/>
    <n v="3"/>
    <s v="MARZO 2025"/>
    <s v="3 MARZO 2025"/>
    <x v="0"/>
    <x v="0"/>
    <n v="30"/>
    <m/>
    <s v="REVOLUT"/>
    <s v="Stefano Savanelli Sa di tappo"/>
  </r>
  <r>
    <x v="6"/>
    <s v="MARZO"/>
    <x v="1"/>
    <n v="3"/>
    <s v="MARZO 2025"/>
    <s v="3 MARZO 2025"/>
    <x v="14"/>
    <x v="2"/>
    <n v="6.5"/>
    <m/>
    <m/>
    <m/>
  </r>
  <r>
    <x v="7"/>
    <s v="MARZO"/>
    <x v="1"/>
    <n v="3"/>
    <s v="MARZO 2025"/>
    <s v="3 MARZO 2025"/>
    <x v="5"/>
    <x v="5"/>
    <n v="17.850000000000001"/>
    <m/>
    <m/>
    <s v="Viaggio Napoli 2025"/>
  </r>
  <r>
    <x v="2"/>
    <s v="MARZO"/>
    <x v="1"/>
    <n v="3"/>
    <s v="MARZO 2025"/>
    <s v="3 MARZO 2025"/>
    <x v="8"/>
    <x v="6"/>
    <n v="25.08"/>
    <m/>
    <s v="AMAZON"/>
    <m/>
  </r>
  <r>
    <x v="6"/>
    <s v="MARZO"/>
    <x v="1"/>
    <n v="3"/>
    <s v="MARZO 2025"/>
    <s v="3 MARZO 2025"/>
    <x v="14"/>
    <x v="2"/>
    <n v="6.5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91"/>
    <s v="MARZO"/>
    <x v="1"/>
    <n v="3"/>
    <s v="MARZO 2025"/>
    <s v="3 MARZO 2025"/>
    <x v="2"/>
    <x v="2"/>
    <n v="0.4"/>
    <m/>
    <m/>
    <m/>
  </r>
  <r>
    <x v="6"/>
    <s v="MARZO"/>
    <x v="1"/>
    <n v="3"/>
    <s v="MARZO 2025"/>
    <s v="3 MARZO 2025"/>
    <x v="0"/>
    <x v="0"/>
    <n v="4.2"/>
    <m/>
    <m/>
    <m/>
  </r>
  <r>
    <x v="243"/>
    <s v="MARZO"/>
    <x v="1"/>
    <n v="3"/>
    <s v="MARZO 2025"/>
    <s v="3 MARZO 2025"/>
    <x v="18"/>
    <x v="0"/>
    <n v="75"/>
    <s v="2/2"/>
    <s v="REVOLUT"/>
    <s v="SECONDA RATA BASKET TERZO"/>
  </r>
  <r>
    <x v="223"/>
    <s v="MARZO"/>
    <x v="1"/>
    <n v="3"/>
    <s v="MARZO 2025"/>
    <s v="3 MARZO 2025"/>
    <x v="16"/>
    <x v="5"/>
    <n v="60.58"/>
    <m/>
    <m/>
    <s v="Viaggio Napoli 2025"/>
  </r>
  <r>
    <x v="223"/>
    <s v="MARZO"/>
    <x v="1"/>
    <n v="3"/>
    <s v="MARZO 2025"/>
    <s v="3 MARZO 2025"/>
    <x v="16"/>
    <x v="5"/>
    <n v="77.72"/>
    <s v="1/3"/>
    <s v="PAYPAL"/>
    <s v="Viaggio Napoli 2025"/>
  </r>
  <r>
    <x v="236"/>
    <s v="MARZO"/>
    <x v="1"/>
    <n v="3"/>
    <s v="MARZO 2025"/>
    <s v="3 MARZO 2025"/>
    <x v="21"/>
    <x v="2"/>
    <n v="17.8"/>
    <s v="2/3"/>
    <s v="PAYPAL"/>
    <m/>
  </r>
  <r>
    <x v="12"/>
    <s v="MARZO"/>
    <x v="1"/>
    <n v="3"/>
    <s v="MARZO 2025"/>
    <s v="3 MARZO 2025"/>
    <x v="7"/>
    <x v="2"/>
    <n v="28.19"/>
    <m/>
    <m/>
    <m/>
  </r>
  <r>
    <x v="11"/>
    <s v="MARZO"/>
    <x v="1"/>
    <n v="3"/>
    <s v="MARZO 2025"/>
    <s v="3 MARZO 2025"/>
    <x v="0"/>
    <x v="0"/>
    <n v="16"/>
    <m/>
    <m/>
    <m/>
  </r>
  <r>
    <x v="244"/>
    <s v="MARZO"/>
    <x v="1"/>
    <n v="3"/>
    <s v="MARZO 2025"/>
    <s v="3 MARZO 2025"/>
    <x v="0"/>
    <x v="0"/>
    <n v="79"/>
    <m/>
    <m/>
    <m/>
  </r>
  <r>
    <x v="82"/>
    <s v="MARZO"/>
    <x v="1"/>
    <n v="3"/>
    <s v="MARZO 2025"/>
    <s v="3 MARZO 2025"/>
    <x v="7"/>
    <x v="2"/>
    <n v="14.04"/>
    <m/>
    <m/>
    <m/>
  </r>
  <r>
    <x v="17"/>
    <s v="MARZO"/>
    <x v="1"/>
    <n v="3"/>
    <s v="MARZO 2025"/>
    <s v="3 MARZO 2025"/>
    <x v="7"/>
    <x v="2"/>
    <n v="13.16"/>
    <m/>
    <m/>
    <m/>
  </r>
  <r>
    <x v="6"/>
    <s v="MARZO"/>
    <x v="1"/>
    <n v="3"/>
    <s v="MARZO 2025"/>
    <s v="3 MARZO 2025"/>
    <x v="14"/>
    <x v="2"/>
    <n v="6.5"/>
    <m/>
    <m/>
    <m/>
  </r>
  <r>
    <x v="2"/>
    <s v="MARZO"/>
    <x v="1"/>
    <n v="3"/>
    <s v="MARZO 2025"/>
    <s v="3 MARZO 2025"/>
    <x v="8"/>
    <x v="6"/>
    <n v="36.9"/>
    <m/>
    <s v="AMAZON"/>
    <m/>
  </r>
  <r>
    <x v="53"/>
    <s v="MARZO"/>
    <x v="1"/>
    <n v="3"/>
    <s v="MARZO 2025"/>
    <s v="3 MARZO 2025"/>
    <x v="1"/>
    <x v="1"/>
    <n v="59.6"/>
    <m/>
    <m/>
    <m/>
  </r>
  <r>
    <x v="6"/>
    <s v="MARZO"/>
    <x v="1"/>
    <n v="3"/>
    <s v="MARZO 2025"/>
    <s v="3 MARZO 2025"/>
    <x v="14"/>
    <x v="2"/>
    <n v="6.5"/>
    <m/>
    <m/>
    <m/>
  </r>
  <r>
    <x v="2"/>
    <s v="MARZO"/>
    <x v="1"/>
    <n v="3"/>
    <s v="MARZO 2025"/>
    <s v="3 MARZO 2025"/>
    <x v="8"/>
    <x v="6"/>
    <n v="19"/>
    <m/>
    <s v="AMAZON"/>
    <m/>
  </r>
  <r>
    <x v="12"/>
    <s v="MARZO"/>
    <x v="1"/>
    <n v="3"/>
    <s v="MARZO 2025"/>
    <s v="3 MARZO 2025"/>
    <x v="7"/>
    <x v="2"/>
    <n v="19.649999999999999"/>
    <m/>
    <m/>
    <m/>
  </r>
  <r>
    <x v="35"/>
    <s v="MARZO"/>
    <x v="1"/>
    <n v="3"/>
    <s v="MARZO 2025"/>
    <s v="3 MARZO 2025"/>
    <x v="1"/>
    <x v="1"/>
    <n v="15.38"/>
    <m/>
    <m/>
    <m/>
  </r>
  <r>
    <x v="2"/>
    <s v="FEBBRAIO"/>
    <x v="1"/>
    <n v="2"/>
    <s v="FEBBRAIO 2025"/>
    <s v="2 FEBBRAIO 2025"/>
    <x v="8"/>
    <x v="6"/>
    <n v="15.39"/>
    <s v="2/5"/>
    <s v="AMAZON"/>
    <s v="FRIENT"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2"/>
    <s v="FEBBRAIO"/>
    <x v="1"/>
    <n v="2"/>
    <s v="FEBBRAIO 2025"/>
    <s v="2 FEBBRAIO 2025"/>
    <x v="7"/>
    <x v="2"/>
    <n v="16.899999999999999"/>
    <m/>
    <s v="AMAZON"/>
    <m/>
  </r>
  <r>
    <x v="245"/>
    <s v="FEBBRAIO"/>
    <x v="1"/>
    <n v="2"/>
    <s v="FEBBRAIO 2025"/>
    <s v="2 FEBBRAIO 2025"/>
    <x v="0"/>
    <x v="0"/>
    <n v="25"/>
    <m/>
    <s v="REVOLUT"/>
    <s v="Bacaro Tour - Savanelli"/>
  </r>
  <r>
    <x v="246"/>
    <s v="FEBBRAIO"/>
    <x v="1"/>
    <n v="2"/>
    <s v="FEBBRAIO 2025"/>
    <s v="2 FEBBRAIO 2025"/>
    <x v="10"/>
    <x v="6"/>
    <n v="60"/>
    <m/>
    <s v="PAYPAL"/>
    <s v="Regalo Sorgi 2025"/>
  </r>
  <r>
    <x v="76"/>
    <s v="FEBBRAIO"/>
    <x v="1"/>
    <n v="2"/>
    <s v="FEBBRAIO 2025"/>
    <s v="2 FEBBRAIO 2025"/>
    <x v="0"/>
    <x v="0"/>
    <n v="35.6"/>
    <m/>
    <m/>
    <m/>
  </r>
  <r>
    <x v="6"/>
    <s v="FEBBRAIO"/>
    <x v="1"/>
    <n v="2"/>
    <s v="FEBBRAIO 2025"/>
    <s v="2 FEBBRAIO 2025"/>
    <x v="0"/>
    <x v="0"/>
    <n v="4.2"/>
    <m/>
    <m/>
    <m/>
  </r>
  <r>
    <x v="6"/>
    <s v="FEBBRAIO"/>
    <x v="1"/>
    <n v="2"/>
    <s v="FEBBRAIO 2025"/>
    <s v="2 FEBBRAIO 2025"/>
    <x v="14"/>
    <x v="2"/>
    <n v="6.5"/>
    <m/>
    <m/>
    <m/>
  </r>
  <r>
    <x v="91"/>
    <s v="FEBBRAIO"/>
    <x v="1"/>
    <n v="2"/>
    <s v="FEBBRAIO 2025"/>
    <s v="2 FEBBRAIO 2025"/>
    <x v="2"/>
    <x v="2"/>
    <n v="0.4"/>
    <m/>
    <m/>
    <m/>
  </r>
  <r>
    <x v="6"/>
    <s v="FEBBRAIO"/>
    <x v="1"/>
    <n v="2"/>
    <s v="FEBBRAIO 2025"/>
    <s v="2 FEBBRAIO 2025"/>
    <x v="0"/>
    <x v="0"/>
    <n v="4.2"/>
    <m/>
    <m/>
    <m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2"/>
    <s v="FEBBRAIO"/>
    <x v="1"/>
    <n v="2"/>
    <s v="FEBBRAIO 2025"/>
    <s v="2 FEBBRAIO 2025"/>
    <x v="8"/>
    <x v="6"/>
    <n v="30.6"/>
    <s v="4/5"/>
    <s v="AMAZON"/>
    <s v="NANO LEAF"/>
  </r>
  <r>
    <x v="91"/>
    <s v="FEBBRAIO"/>
    <x v="1"/>
    <n v="2"/>
    <s v="FEBBRAIO 2025"/>
    <s v="2 FEBBRAIO 2025"/>
    <x v="2"/>
    <x v="2"/>
    <n v="0.4"/>
    <m/>
    <m/>
    <m/>
  </r>
  <r>
    <x v="230"/>
    <s v="FEBBRAIO"/>
    <x v="1"/>
    <n v="2"/>
    <s v="FEBBRAIO 2025"/>
    <s v="2 FEBBRAIO 2025"/>
    <x v="7"/>
    <x v="2"/>
    <n v="4.25"/>
    <m/>
    <m/>
    <m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91"/>
    <s v="FEBBRAIO"/>
    <x v="1"/>
    <n v="2"/>
    <s v="FEBBRAIO 2025"/>
    <s v="2 FEBBRAIO 2025"/>
    <x v="2"/>
    <x v="2"/>
    <n v="0.4"/>
    <m/>
    <m/>
    <m/>
  </r>
  <r>
    <x v="12"/>
    <s v="FEBBRAIO"/>
    <x v="1"/>
    <n v="2"/>
    <s v="FEBBRAIO 2025"/>
    <s v="2 FEBBRAIO 2025"/>
    <x v="7"/>
    <x v="2"/>
    <n v="16.52"/>
    <m/>
    <m/>
    <m/>
  </r>
  <r>
    <x v="247"/>
    <s v="FEBBRAIO"/>
    <x v="1"/>
    <n v="2"/>
    <s v="FEBBRAIO 2025"/>
    <s v="2 FEBBRAIO 2025"/>
    <x v="0"/>
    <x v="0"/>
    <n v="74"/>
    <m/>
    <m/>
    <m/>
  </r>
  <r>
    <x v="248"/>
    <s v="FEBBRAIO"/>
    <x v="1"/>
    <n v="2"/>
    <s v="FEBBRAIO 2025"/>
    <s v="2 FEBBRAIO 2025"/>
    <x v="0"/>
    <x v="0"/>
    <n v="28"/>
    <m/>
    <m/>
    <m/>
  </r>
  <r>
    <x v="35"/>
    <s v="FEBBRAIO"/>
    <x v="1"/>
    <n v="2"/>
    <s v="FEBBRAIO 2025"/>
    <s v="2 FEBBRAIO 2025"/>
    <x v="1"/>
    <x v="1"/>
    <n v="14.07"/>
    <m/>
    <m/>
    <m/>
  </r>
  <r>
    <x v="82"/>
    <s v="FEBBRAIO"/>
    <x v="1"/>
    <n v="2"/>
    <s v="FEBBRAIO 2025"/>
    <s v="2 FEBBRAIO 2025"/>
    <x v="7"/>
    <x v="2"/>
    <n v="20.5"/>
    <m/>
    <m/>
    <m/>
  </r>
  <r>
    <x v="6"/>
    <s v="FEBBRAIO"/>
    <x v="1"/>
    <n v="2"/>
    <s v="FEBBRAIO 2025"/>
    <s v="2 FEBBRAIO 2025"/>
    <x v="14"/>
    <x v="2"/>
    <n v="6.5"/>
    <m/>
    <m/>
    <m/>
  </r>
  <r>
    <x v="53"/>
    <s v="FEBBRAIO"/>
    <x v="1"/>
    <n v="2"/>
    <s v="FEBBRAIO 2025"/>
    <s v="2 FEBBRAIO 2025"/>
    <x v="1"/>
    <x v="1"/>
    <n v="40.75"/>
    <m/>
    <m/>
    <m/>
  </r>
  <r>
    <x v="94"/>
    <s v="FEBBRAIO"/>
    <x v="1"/>
    <n v="2"/>
    <s v="FEBBRAIO 2025"/>
    <s v="2 FEBBRAIO 2025"/>
    <x v="15"/>
    <x v="8"/>
    <n v="20.45"/>
    <m/>
    <m/>
    <m/>
  </r>
  <r>
    <x v="2"/>
    <s v="FEBBRAIO"/>
    <x v="1"/>
    <n v="2"/>
    <s v="FEBBRAIO 2025"/>
    <s v="2 FEBBRAIO 2025"/>
    <x v="22"/>
    <x v="6"/>
    <n v="44.42"/>
    <m/>
    <s v="AMAZON"/>
    <m/>
  </r>
  <r>
    <x v="236"/>
    <s v="FEBBRAIO"/>
    <x v="1"/>
    <n v="2"/>
    <s v="FEBBRAIO 2025"/>
    <s v="2 FEBBRAIO 2025"/>
    <x v="21"/>
    <x v="2"/>
    <n v="17.79"/>
    <s v="1/3"/>
    <s v="PAYPAL"/>
    <m/>
  </r>
  <r>
    <x v="12"/>
    <s v="FEBBRAIO"/>
    <x v="1"/>
    <n v="2"/>
    <s v="FEBBRAIO 2025"/>
    <s v="2 FEBBRAIO 2025"/>
    <x v="7"/>
    <x v="2"/>
    <n v="20.46"/>
    <m/>
    <m/>
    <m/>
  </r>
  <r>
    <x v="17"/>
    <s v="FEBBRAIO"/>
    <x v="1"/>
    <n v="2"/>
    <s v="FEBBRAIO 2025"/>
    <s v="2 FEBBRAIO 2025"/>
    <x v="7"/>
    <x v="2"/>
    <n v="22.31"/>
    <m/>
    <m/>
    <m/>
  </r>
  <r>
    <x v="76"/>
    <s v="FEBBRAIO"/>
    <x v="1"/>
    <n v="2"/>
    <s v="FEBBRAIO 2025"/>
    <s v="2 FEBBRAIO 2025"/>
    <x v="0"/>
    <x v="0"/>
    <n v="30.8"/>
    <m/>
    <m/>
    <m/>
  </r>
  <r>
    <x v="6"/>
    <s v="FEBBRAIO"/>
    <x v="1"/>
    <n v="2"/>
    <s v="FEBBRAIO 2025"/>
    <s v="2 FEBBRAIO 2025"/>
    <x v="0"/>
    <x v="0"/>
    <n v="15.4"/>
    <m/>
    <m/>
    <m/>
  </r>
  <r>
    <x v="6"/>
    <s v="FEBBRAIO"/>
    <x v="1"/>
    <n v="2"/>
    <s v="FEBBRAIO 2025"/>
    <s v="2 FEBBRAIO 2025"/>
    <x v="14"/>
    <x v="2"/>
    <n v="6.5"/>
    <m/>
    <m/>
    <m/>
  </r>
  <r>
    <x v="91"/>
    <s v="FEBBRAIO"/>
    <x v="1"/>
    <n v="2"/>
    <s v="FEBBRAIO 2025"/>
    <s v="2 FEBBRAIO 2025"/>
    <x v="2"/>
    <x v="2"/>
    <n v="0.7"/>
    <m/>
    <m/>
    <m/>
  </r>
  <r>
    <x v="6"/>
    <s v="FEBBRAIO"/>
    <x v="1"/>
    <n v="2"/>
    <s v="FEBBRAIO 2025"/>
    <s v="2 FEBBRAIO 2025"/>
    <x v="0"/>
    <x v="0"/>
    <n v="4.2"/>
    <m/>
    <m/>
    <m/>
  </r>
  <r>
    <x v="102"/>
    <s v="FEBBRAIO"/>
    <x v="1"/>
    <n v="2"/>
    <s v="FEBBRAIO 2025"/>
    <s v="2 FEBBRAIO 2025"/>
    <x v="7"/>
    <x v="2"/>
    <n v="20"/>
    <m/>
    <s v="PAYPAL"/>
    <s v="Arance Siciliane"/>
  </r>
  <r>
    <x v="41"/>
    <s v="FEBBRAIO"/>
    <x v="1"/>
    <n v="2"/>
    <s v="FEBBRAIO 2025"/>
    <s v="2 FEBBRAIO 2025"/>
    <x v="3"/>
    <x v="3"/>
    <n v="1.7"/>
    <m/>
    <m/>
    <m/>
  </r>
  <r>
    <x v="53"/>
    <s v="FEBBRAIO"/>
    <x v="1"/>
    <n v="2"/>
    <s v="FEBBRAIO 2025"/>
    <s v="2 FEBBRAIO 2025"/>
    <x v="1"/>
    <x v="1"/>
    <n v="60.45"/>
    <m/>
    <m/>
    <m/>
  </r>
  <r>
    <x v="2"/>
    <s v="FEBBRAIO"/>
    <x v="1"/>
    <n v="2"/>
    <s v="FEBBRAIO 2025"/>
    <s v="2 FEBBRAIO 2025"/>
    <x v="8"/>
    <x v="6"/>
    <n v="8.99"/>
    <m/>
    <s v="AMAZON"/>
    <m/>
  </r>
  <r>
    <x v="2"/>
    <s v="FEBBRAIO"/>
    <x v="1"/>
    <n v="2"/>
    <s v="FEBBRAIO 2025"/>
    <s v="2 FEBBRAIO 2025"/>
    <x v="10"/>
    <x v="6"/>
    <n v="15"/>
    <s v="5/5"/>
    <s v="AMAZON"/>
    <s v="DJ BOX Regalo compleanno Davide"/>
  </r>
  <r>
    <x v="12"/>
    <s v="FEBBRAIO"/>
    <x v="1"/>
    <n v="2"/>
    <s v="FEBBRAIO 2025"/>
    <s v="2 FEBBRAIO 2025"/>
    <x v="7"/>
    <x v="2"/>
    <n v="18.079999999999998"/>
    <m/>
    <m/>
    <m/>
  </r>
  <r>
    <x v="6"/>
    <s v="FEBBRAIO"/>
    <x v="1"/>
    <n v="2"/>
    <s v="FEBBRAIO 2025"/>
    <s v="2 FEBBRAIO 2025"/>
    <x v="0"/>
    <x v="0"/>
    <n v="17.8"/>
    <m/>
    <m/>
    <m/>
  </r>
  <r>
    <x v="6"/>
    <s v="FEBBRAIO"/>
    <x v="1"/>
    <n v="2"/>
    <s v="FEBBRAIO 2025"/>
    <s v="2 FEBBRAIO 2025"/>
    <x v="14"/>
    <x v="2"/>
    <n v="6.5"/>
    <m/>
    <m/>
    <m/>
  </r>
  <r>
    <x v="249"/>
    <s v="FEBBRAIO"/>
    <x v="1"/>
    <n v="2"/>
    <s v="FEBBRAIO 2025"/>
    <s v="2 FEBBRAIO 2025"/>
    <x v="0"/>
    <x v="0"/>
    <n v="25"/>
    <m/>
    <m/>
    <m/>
  </r>
  <r>
    <x v="250"/>
    <s v="FEBBRAIO"/>
    <x v="1"/>
    <n v="2"/>
    <s v="FEBBRAIO 2025"/>
    <s v="2 FEBBRAIO 2025"/>
    <x v="0"/>
    <x v="0"/>
    <n v="85.2"/>
    <m/>
    <m/>
    <m/>
  </r>
  <r>
    <x v="53"/>
    <s v="FEBBRAIO"/>
    <x v="1"/>
    <n v="2"/>
    <s v="FEBBRAIO 2025"/>
    <s v="2 FEBBRAIO 2025"/>
    <x v="1"/>
    <x v="1"/>
    <n v="37.35"/>
    <m/>
    <m/>
    <m/>
  </r>
  <r>
    <x v="53"/>
    <s v="FEBBRAIO"/>
    <x v="1"/>
    <n v="2"/>
    <s v="FEBBRAIO 2025"/>
    <s v="2 FEBBRAIO 2025"/>
    <x v="1"/>
    <x v="1"/>
    <n v="24.9"/>
    <m/>
    <m/>
    <m/>
  </r>
  <r>
    <x v="2"/>
    <s v="FEBBRAIO"/>
    <x v="1"/>
    <n v="2"/>
    <s v="FEBBRAIO 2025"/>
    <s v="2 FEBBRAIO 2025"/>
    <x v="8"/>
    <x v="6"/>
    <n v="11.99"/>
    <m/>
    <s v="AMAZON"/>
    <m/>
  </r>
  <r>
    <x v="91"/>
    <s v="FEBBRAIO"/>
    <x v="1"/>
    <n v="2"/>
    <s v="FEBBRAIO 2025"/>
    <s v="2 FEBBRAIO 2025"/>
    <x v="2"/>
    <x v="2"/>
    <n v="0.4"/>
    <m/>
    <m/>
    <m/>
  </r>
  <r>
    <x v="6"/>
    <s v="FEBBRAIO"/>
    <x v="1"/>
    <n v="2"/>
    <s v="FEBBRAIO 2025"/>
    <s v="2 FEBBRAIO 2025"/>
    <x v="14"/>
    <x v="2"/>
    <n v="6.5"/>
    <m/>
    <m/>
    <m/>
  </r>
  <r>
    <x v="2"/>
    <s v="FEBBRAIO"/>
    <x v="1"/>
    <n v="2"/>
    <s v="FEBBRAIO 2025"/>
    <s v="2 FEBBRAIO 2025"/>
    <x v="8"/>
    <x v="6"/>
    <n v="15.39"/>
    <s v="1/5"/>
    <s v="AMAZON"/>
    <s v="FRIENT"/>
  </r>
  <r>
    <x v="2"/>
    <s v="FEBBRAIO"/>
    <x v="1"/>
    <n v="2"/>
    <s v="FEBBRAIO 2025"/>
    <s v="2 FEBBRAIO 2025"/>
    <x v="11"/>
    <x v="6"/>
    <n v="45.33"/>
    <m/>
    <s v="AMAZON"/>
    <m/>
  </r>
  <r>
    <x v="204"/>
    <s v="FEBBRAIO"/>
    <x v="1"/>
    <n v="2"/>
    <s v="FEBBRAIO 2025"/>
    <s v="2 FEBBRAIO 2025"/>
    <x v="1"/>
    <x v="1"/>
    <n v="220"/>
    <m/>
    <s v="REVOLUT"/>
    <s v="Pagamento rata condominio + tari"/>
  </r>
  <r>
    <x v="91"/>
    <s v="GENNAIO"/>
    <x v="1"/>
    <n v="1"/>
    <s v="GENNAIO 2025"/>
    <s v="1 GENNAIO 2025"/>
    <x v="2"/>
    <x v="2"/>
    <n v="0.4"/>
    <m/>
    <m/>
    <m/>
  </r>
  <r>
    <x v="91"/>
    <s v="GENNAIO"/>
    <x v="1"/>
    <n v="1"/>
    <s v="GENNAIO 2025"/>
    <s v="1 GENNAIO 2025"/>
    <x v="2"/>
    <x v="2"/>
    <n v="0.4"/>
    <m/>
    <m/>
    <m/>
  </r>
  <r>
    <x v="6"/>
    <s v="GENNAIO"/>
    <x v="1"/>
    <n v="1"/>
    <s v="GENNAIO 2025"/>
    <s v="1 GENNAIO 2025"/>
    <x v="14"/>
    <x v="2"/>
    <n v="6.5"/>
    <m/>
    <m/>
    <m/>
  </r>
  <r>
    <x v="8"/>
    <s v="GENNAIO"/>
    <x v="1"/>
    <n v="1"/>
    <s v="GENNAIO 2025"/>
    <s v="1 GENNAIO 2025"/>
    <x v="6"/>
    <x v="2"/>
    <n v="33"/>
    <m/>
    <m/>
    <m/>
  </r>
  <r>
    <x v="6"/>
    <s v="GENNAIO"/>
    <x v="1"/>
    <n v="1"/>
    <s v="GENNAIO 2025"/>
    <s v="1 GENNAIO 2025"/>
    <x v="14"/>
    <x v="2"/>
    <n v="6.5"/>
    <m/>
    <m/>
    <m/>
  </r>
  <r>
    <x v="2"/>
    <s v="GENNAIO"/>
    <x v="1"/>
    <n v="1"/>
    <s v="GENNAIO 2025"/>
    <s v="1 GENNAIO 2025"/>
    <x v="8"/>
    <x v="6"/>
    <n v="16.71"/>
    <m/>
    <s v="AMAZON"/>
    <m/>
  </r>
  <r>
    <x v="91"/>
    <s v="GENNAIO"/>
    <x v="1"/>
    <n v="1"/>
    <s v="GENNAIO 2025"/>
    <s v="1 GENNAIO 2025"/>
    <x v="2"/>
    <x v="2"/>
    <n v="0.4"/>
    <m/>
    <m/>
    <m/>
  </r>
  <r>
    <x v="91"/>
    <s v="GENNAIO"/>
    <x v="1"/>
    <n v="1"/>
    <s v="GENNAIO 2025"/>
    <s v="1 GENNAIO 2025"/>
    <x v="2"/>
    <x v="2"/>
    <n v="0.4"/>
    <m/>
    <m/>
    <m/>
  </r>
  <r>
    <x v="2"/>
    <s v="GENNAIO"/>
    <x v="1"/>
    <n v="1"/>
    <s v="GENNAIO 2025"/>
    <s v="1 GENNAIO 2025"/>
    <x v="8"/>
    <x v="6"/>
    <n v="30.6"/>
    <s v="3/5"/>
    <s v="AMAZON"/>
    <s v="NANO LEAF"/>
  </r>
  <r>
    <x v="91"/>
    <s v="GENNAIO"/>
    <x v="1"/>
    <n v="1"/>
    <s v="GENNAIO 2025"/>
    <s v="1 GENNAIO 2025"/>
    <x v="2"/>
    <x v="2"/>
    <n v="0.4"/>
    <m/>
    <m/>
    <m/>
  </r>
  <r>
    <x v="251"/>
    <s v="GENNAIO"/>
    <x v="1"/>
    <n v="1"/>
    <s v="GENNAIO 2025"/>
    <s v="1 GENNAIO 2025"/>
    <x v="0"/>
    <x v="0"/>
    <n v="64.400000000000006"/>
    <m/>
    <m/>
    <m/>
  </r>
  <r>
    <x v="6"/>
    <s v="GENNAIO"/>
    <x v="1"/>
    <n v="1"/>
    <s v="GENNAIO 2025"/>
    <s v="1 GENNAIO 2025"/>
    <x v="14"/>
    <x v="2"/>
    <n v="8.8000000000000007"/>
    <m/>
    <m/>
    <m/>
  </r>
  <r>
    <x v="6"/>
    <s v="GENNAIO"/>
    <x v="1"/>
    <n v="1"/>
    <s v="GENNAIO 2025"/>
    <s v="1 GENNAIO 2025"/>
    <x v="14"/>
    <x v="2"/>
    <n v="6.5"/>
    <m/>
    <m/>
    <m/>
  </r>
  <r>
    <x v="252"/>
    <s v="GENNAIO"/>
    <x v="1"/>
    <n v="1"/>
    <s v="GENNAIO 2025"/>
    <s v="1 GENNAIO 2025"/>
    <x v="10"/>
    <x v="6"/>
    <n v="29.95"/>
    <m/>
    <m/>
    <s v="Regalo compleanno DEBBY"/>
  </r>
  <r>
    <x v="2"/>
    <s v="GENNAIO"/>
    <x v="1"/>
    <n v="1"/>
    <s v="GENNAIO 2025"/>
    <s v="1 GENNAIO 2025"/>
    <x v="8"/>
    <x v="6"/>
    <n v="45.87"/>
    <m/>
    <s v="AMAZON"/>
    <m/>
  </r>
  <r>
    <x v="253"/>
    <s v="GENNAIO"/>
    <x v="1"/>
    <n v="1"/>
    <s v="GENNAIO 2025"/>
    <s v="1 GENNAIO 2025"/>
    <x v="7"/>
    <x v="2"/>
    <n v="4.33"/>
    <m/>
    <m/>
    <m/>
  </r>
  <r>
    <x v="11"/>
    <s v="GENNAIO"/>
    <x v="1"/>
    <n v="1"/>
    <s v="GENNAIO 2025"/>
    <s v="1 GENNAIO 2025"/>
    <x v="0"/>
    <x v="0"/>
    <n v="11.5"/>
    <m/>
    <m/>
    <m/>
  </r>
  <r>
    <x v="254"/>
    <s v="GENNAIO"/>
    <x v="1"/>
    <n v="1"/>
    <s v="GENNAIO 2025"/>
    <s v="1 GENNAIO 2025"/>
    <x v="0"/>
    <x v="0"/>
    <n v="21"/>
    <m/>
    <m/>
    <m/>
  </r>
  <r>
    <x v="35"/>
    <s v="GENNAIO"/>
    <x v="1"/>
    <n v="1"/>
    <s v="GENNAIO 2025"/>
    <s v="1 GENNAIO 2025"/>
    <x v="1"/>
    <x v="1"/>
    <n v="26.19"/>
    <m/>
    <m/>
    <m/>
  </r>
  <r>
    <x v="112"/>
    <s v="GENNAIO"/>
    <x v="1"/>
    <n v="1"/>
    <s v="GENNAIO 2025"/>
    <s v="1 GENNAIO 2025"/>
    <x v="10"/>
    <x v="6"/>
    <n v="20.7"/>
    <m/>
    <m/>
    <m/>
  </r>
  <r>
    <x v="82"/>
    <s v="GENNAIO"/>
    <x v="1"/>
    <n v="1"/>
    <s v="GENNAIO 2025"/>
    <s v="1 GENNAIO 2025"/>
    <x v="7"/>
    <x v="2"/>
    <n v="7.73"/>
    <m/>
    <m/>
    <m/>
  </r>
  <r>
    <x v="17"/>
    <s v="GENNAIO"/>
    <x v="1"/>
    <n v="1"/>
    <s v="GENNAIO 2025"/>
    <s v="1 GENNAIO 2025"/>
    <x v="7"/>
    <x v="2"/>
    <n v="41.98"/>
    <m/>
    <m/>
    <m/>
  </r>
  <r>
    <x v="112"/>
    <s v="GENNAIO"/>
    <x v="1"/>
    <n v="1"/>
    <s v="GENNAIO 2025"/>
    <s v="1 GENNAIO 2025"/>
    <x v="10"/>
    <x v="6"/>
    <n v="17.899999999999999"/>
    <m/>
    <m/>
    <m/>
  </r>
  <r>
    <x v="255"/>
    <s v="GENNAIO"/>
    <x v="1"/>
    <n v="1"/>
    <s v="GENNAIO 2025"/>
    <s v="1 GENNAIO 2025"/>
    <x v="1"/>
    <x v="1"/>
    <n v="6.4"/>
    <m/>
    <m/>
    <m/>
  </r>
  <r>
    <x v="53"/>
    <s v="GENNAIO"/>
    <x v="1"/>
    <n v="1"/>
    <s v="GENNAIO 2025"/>
    <s v="1 GENNAIO 2025"/>
    <x v="1"/>
    <x v="1"/>
    <n v="53.55"/>
    <m/>
    <m/>
    <m/>
  </r>
  <r>
    <x v="35"/>
    <s v="GENNAIO"/>
    <x v="1"/>
    <n v="1"/>
    <s v="GENNAIO 2025"/>
    <s v="1 GENNAIO 2025"/>
    <x v="1"/>
    <x v="1"/>
    <n v="7.4"/>
    <m/>
    <m/>
    <m/>
  </r>
  <r>
    <x v="255"/>
    <s v="GENNAIO"/>
    <x v="1"/>
    <n v="1"/>
    <s v="GENNAIO 2025"/>
    <s v="1 GENNAIO 2025"/>
    <x v="1"/>
    <x v="1"/>
    <n v="7"/>
    <m/>
    <m/>
    <m/>
  </r>
  <r>
    <x v="2"/>
    <s v="GENNAIO"/>
    <x v="1"/>
    <n v="1"/>
    <s v="GENNAIO 2025"/>
    <s v="1 GENNAIO 2025"/>
    <x v="8"/>
    <x v="6"/>
    <n v="11.98"/>
    <m/>
    <s v="AMAZON"/>
    <m/>
  </r>
  <r>
    <x v="53"/>
    <s v="GENNAIO"/>
    <x v="1"/>
    <n v="1"/>
    <s v="GENNAIO 2025"/>
    <s v="1 GENNAIO 2025"/>
    <x v="1"/>
    <x v="1"/>
    <n v="71.400000000000006"/>
    <m/>
    <m/>
    <m/>
  </r>
  <r>
    <x v="2"/>
    <s v="GENNAIO"/>
    <x v="1"/>
    <n v="1"/>
    <s v="GENNAIO 2025"/>
    <s v="1 GENNAIO 2025"/>
    <x v="8"/>
    <x v="6"/>
    <n v="63.6"/>
    <m/>
    <s v="AMAZON"/>
    <m/>
  </r>
  <r>
    <x v="2"/>
    <s v="GENNAIO"/>
    <x v="1"/>
    <n v="1"/>
    <s v="GENNAIO 2025"/>
    <s v="1 GENNAIO 2025"/>
    <x v="10"/>
    <x v="6"/>
    <n v="15"/>
    <s v="4/5"/>
    <s v="AMAZON"/>
    <s v="DJ BOX Regalo compleanno Davide"/>
  </r>
  <r>
    <x v="256"/>
    <s v="DICEMBRE"/>
    <x v="2"/>
    <n v="12"/>
    <s v="DICEMBRE 2024"/>
    <s v="12 DICEMBRE 2024"/>
    <x v="0"/>
    <x v="0"/>
    <n v="14.4"/>
    <m/>
    <m/>
    <m/>
  </r>
  <r>
    <x v="35"/>
    <s v="DICEMBRE"/>
    <x v="2"/>
    <n v="12"/>
    <s v="DICEMBRE 2024"/>
    <s v="12 DICEMBRE 2024"/>
    <x v="1"/>
    <x v="1"/>
    <n v="4.9000000000000004"/>
    <m/>
    <m/>
    <m/>
  </r>
  <r>
    <x v="257"/>
    <s v="DICEMBRE"/>
    <x v="2"/>
    <n v="12"/>
    <s v="DICEMBRE 2024"/>
    <s v="12 DICEMBRE 2024"/>
    <x v="3"/>
    <x v="3"/>
    <n v="1.3"/>
    <m/>
    <m/>
    <m/>
  </r>
  <r>
    <x v="6"/>
    <s v="DICEMBRE"/>
    <x v="2"/>
    <n v="12"/>
    <s v="DICEMBRE 2024"/>
    <s v="12 DICEMBRE 2024"/>
    <x v="14"/>
    <x v="2"/>
    <n v="6.5"/>
    <m/>
    <m/>
    <m/>
  </r>
  <r>
    <x v="6"/>
    <s v="DICEMBRE"/>
    <x v="2"/>
    <n v="12"/>
    <s v="DICEMBRE 2024"/>
    <s v="12 DICEMBRE 2024"/>
    <x v="14"/>
    <x v="2"/>
    <n v="6.5"/>
    <m/>
    <m/>
    <m/>
  </r>
  <r>
    <x v="230"/>
    <s v="DICEMBRE"/>
    <x v="2"/>
    <n v="12"/>
    <s v="DICEMBRE 2024"/>
    <s v="12 DICEMBRE 2024"/>
    <x v="7"/>
    <x v="2"/>
    <n v="9.99"/>
    <m/>
    <m/>
    <m/>
  </r>
  <r>
    <x v="258"/>
    <s v="DICEMBRE"/>
    <x v="2"/>
    <n v="12"/>
    <s v="DICEMBRE 2024"/>
    <s v="12 DICEMBRE 2024"/>
    <x v="0"/>
    <x v="0"/>
    <n v="18"/>
    <m/>
    <m/>
    <s v="Compleanno"/>
  </r>
  <r>
    <x v="230"/>
    <s v="DICEMBRE"/>
    <x v="2"/>
    <n v="12"/>
    <s v="DICEMBRE 2024"/>
    <s v="12 DICEMBRE 2024"/>
    <x v="7"/>
    <x v="2"/>
    <n v="83.13"/>
    <m/>
    <m/>
    <s v="Compleanno"/>
  </r>
  <r>
    <x v="82"/>
    <s v="DICEMBRE"/>
    <x v="2"/>
    <n v="12"/>
    <s v="DICEMBRE 2024"/>
    <s v="12 DICEMBRE 2024"/>
    <x v="7"/>
    <x v="2"/>
    <n v="18.39"/>
    <m/>
    <m/>
    <m/>
  </r>
  <r>
    <x v="102"/>
    <s v="DICEMBRE"/>
    <x v="2"/>
    <n v="12"/>
    <s v="DICEMBRE 2024"/>
    <s v="12 DICEMBRE 2024"/>
    <x v="7"/>
    <x v="2"/>
    <n v="20"/>
    <m/>
    <s v="PAYPAL"/>
    <m/>
  </r>
  <r>
    <x v="91"/>
    <s v="DICEMBRE"/>
    <x v="2"/>
    <n v="12"/>
    <s v="DICEMBRE 2024"/>
    <s v="12 DICEMBRE 2024"/>
    <x v="2"/>
    <x v="2"/>
    <n v="0.4"/>
    <m/>
    <m/>
    <m/>
  </r>
  <r>
    <x v="91"/>
    <s v="DICEMBRE"/>
    <x v="2"/>
    <n v="12"/>
    <s v="DICEMBRE 2024"/>
    <s v="12 DICEMBRE 2024"/>
    <x v="2"/>
    <x v="2"/>
    <n v="0.4"/>
    <m/>
    <m/>
    <m/>
  </r>
  <r>
    <x v="2"/>
    <s v="DICEMBRE"/>
    <x v="2"/>
    <n v="12"/>
    <s v="DICEMBRE 2024"/>
    <s v="12 DICEMBRE 2024"/>
    <x v="10"/>
    <x v="6"/>
    <n v="55.99"/>
    <m/>
    <s v="AMAZON"/>
    <s v="Regali natale 2024"/>
  </r>
  <r>
    <x v="6"/>
    <s v="DICEMBRE"/>
    <x v="2"/>
    <n v="12"/>
    <s v="DICEMBRE 2024"/>
    <s v="12 DICEMBRE 2024"/>
    <x v="0"/>
    <x v="0"/>
    <n v="30.4"/>
    <m/>
    <m/>
    <m/>
  </r>
  <r>
    <x v="6"/>
    <s v="DICEMBRE"/>
    <x v="2"/>
    <n v="12"/>
    <s v="DICEMBRE 2024"/>
    <s v="12 DICEMBRE 2024"/>
    <x v="14"/>
    <x v="2"/>
    <n v="6.5"/>
    <m/>
    <m/>
    <m/>
  </r>
  <r>
    <x v="91"/>
    <s v="DICEMBRE"/>
    <x v="2"/>
    <n v="12"/>
    <s v="DICEMBRE 2024"/>
    <s v="12 DICEMBRE 2024"/>
    <x v="2"/>
    <x v="2"/>
    <n v="0.4"/>
    <m/>
    <m/>
    <m/>
  </r>
  <r>
    <x v="259"/>
    <s v="DICEMBRE"/>
    <x v="2"/>
    <n v="12"/>
    <s v="DICEMBRE 2024"/>
    <s v="12 DICEMBRE 2024"/>
    <x v="7"/>
    <x v="2"/>
    <n v="39.5"/>
    <m/>
    <m/>
    <s v="Compleanno"/>
  </r>
  <r>
    <x v="144"/>
    <s v="DICEMBRE"/>
    <x v="2"/>
    <n v="12"/>
    <s v="DICEMBRE 2024"/>
    <s v="12 DICEMBRE 2024"/>
    <x v="23"/>
    <x v="6"/>
    <n v="25.9"/>
    <m/>
    <m/>
    <s v="Regali natale 2024"/>
  </r>
  <r>
    <x v="163"/>
    <s v="DICEMBRE"/>
    <x v="2"/>
    <n v="12"/>
    <s v="DICEMBRE 2024"/>
    <s v="12 DICEMBRE 2024"/>
    <x v="10"/>
    <x v="6"/>
    <n v="30.18"/>
    <m/>
    <m/>
    <s v="Regali natale 2024"/>
  </r>
  <r>
    <x v="7"/>
    <s v="DICEMBRE"/>
    <x v="2"/>
    <n v="12"/>
    <s v="DICEMBRE 2024"/>
    <s v="12 DICEMBRE 2024"/>
    <x v="5"/>
    <x v="5"/>
    <n v="154.76"/>
    <m/>
    <m/>
    <s v="Vacanza Lubiana"/>
  </r>
  <r>
    <x v="260"/>
    <s v="DICEMBRE"/>
    <x v="2"/>
    <n v="12"/>
    <s v="DICEMBRE 2024"/>
    <s v="12 DICEMBRE 2024"/>
    <x v="0"/>
    <x v="0"/>
    <n v="30.8"/>
    <m/>
    <m/>
    <s v="Vacanza Lubiana"/>
  </r>
  <r>
    <x v="6"/>
    <s v="DICEMBRE"/>
    <x v="2"/>
    <n v="12"/>
    <s v="DICEMBRE 2024"/>
    <s v="12 DICEMBRE 2024"/>
    <x v="0"/>
    <x v="0"/>
    <n v="40"/>
    <m/>
    <m/>
    <m/>
  </r>
  <r>
    <x v="6"/>
    <s v="DICEMBRE"/>
    <x v="2"/>
    <n v="12"/>
    <s v="DICEMBRE 2024"/>
    <s v="12 DICEMBRE 2024"/>
    <x v="14"/>
    <x v="2"/>
    <n v="6.5"/>
    <m/>
    <m/>
    <m/>
  </r>
  <r>
    <x v="91"/>
    <s v="DICEMBRE"/>
    <x v="2"/>
    <n v="12"/>
    <s v="DICEMBRE 2024"/>
    <s v="12 DICEMBRE 2024"/>
    <x v="2"/>
    <x v="2"/>
    <n v="0.4"/>
    <m/>
    <m/>
    <m/>
  </r>
  <r>
    <x v="6"/>
    <s v="DICEMBRE"/>
    <x v="2"/>
    <n v="12"/>
    <s v="DICEMBRE 2024"/>
    <s v="12 DICEMBRE 2024"/>
    <x v="14"/>
    <x v="2"/>
    <n v="6.5"/>
    <m/>
    <m/>
    <m/>
  </r>
  <r>
    <x v="6"/>
    <s v="DICEMBRE"/>
    <x v="2"/>
    <n v="12"/>
    <s v="DICEMBRE 2024"/>
    <s v="12 DICEMBRE 2024"/>
    <x v="14"/>
    <x v="2"/>
    <n v="6.5"/>
    <m/>
    <m/>
    <m/>
  </r>
  <r>
    <x v="2"/>
    <s v="DICEMBRE"/>
    <x v="2"/>
    <n v="12"/>
    <s v="DICEMBRE 2024"/>
    <s v="12 DICEMBRE 2024"/>
    <x v="8"/>
    <x v="6"/>
    <n v="14.99"/>
    <m/>
    <s v="AMAZON"/>
    <m/>
  </r>
  <r>
    <x v="2"/>
    <s v="DICEMBRE"/>
    <x v="2"/>
    <n v="12"/>
    <s v="DICEMBRE 2024"/>
    <s v="12 DICEMBRE 2024"/>
    <x v="8"/>
    <x v="6"/>
    <n v="11.69"/>
    <m/>
    <s v="AMAZON"/>
    <m/>
  </r>
  <r>
    <x v="261"/>
    <s v="DICEMBRE"/>
    <x v="2"/>
    <n v="12"/>
    <s v="DICEMBRE 2024"/>
    <s v="12 DICEMBRE 2024"/>
    <x v="0"/>
    <x v="0"/>
    <n v="54"/>
    <m/>
    <m/>
    <m/>
  </r>
  <r>
    <x v="12"/>
    <s v="DICEMBRE"/>
    <x v="2"/>
    <n v="12"/>
    <s v="DICEMBRE 2024"/>
    <s v="12 DICEMBRE 2024"/>
    <x v="7"/>
    <x v="2"/>
    <n v="16.3"/>
    <m/>
    <m/>
    <m/>
  </r>
  <r>
    <x v="230"/>
    <s v="DICEMBRE"/>
    <x v="2"/>
    <n v="12"/>
    <s v="DICEMBRE 2024"/>
    <s v="12 DICEMBRE 2024"/>
    <x v="7"/>
    <x v="2"/>
    <n v="13.38"/>
    <m/>
    <m/>
    <m/>
  </r>
  <r>
    <x v="35"/>
    <s v="DICEMBRE"/>
    <x v="2"/>
    <n v="12"/>
    <s v="DICEMBRE 2024"/>
    <s v="12 DICEMBRE 2024"/>
    <x v="1"/>
    <x v="1"/>
    <n v="32.369999999999997"/>
    <m/>
    <m/>
    <m/>
  </r>
  <r>
    <x v="2"/>
    <s v="DICEMBRE"/>
    <x v="2"/>
    <n v="12"/>
    <s v="DICEMBRE 2024"/>
    <s v="12 DICEMBRE 2024"/>
    <x v="8"/>
    <x v="6"/>
    <n v="6.39"/>
    <m/>
    <s v="AMAZON"/>
    <m/>
  </r>
  <r>
    <x v="262"/>
    <s v="DICEMBRE"/>
    <x v="2"/>
    <n v="12"/>
    <s v="DICEMBRE 2024"/>
    <s v="12 DICEMBRE 2024"/>
    <x v="10"/>
    <x v="6"/>
    <n v="40"/>
    <m/>
    <s v="PAYPAL"/>
    <s v="Regalo compleanno Arturo"/>
  </r>
  <r>
    <x v="2"/>
    <s v="DICEMBRE"/>
    <x v="2"/>
    <n v="12"/>
    <s v="DICEMBRE 2024"/>
    <s v="12 DICEMBRE 2024"/>
    <x v="8"/>
    <x v="6"/>
    <n v="30.6"/>
    <s v="2/5"/>
    <s v="AMAZON"/>
    <s v="NANO LEAF"/>
  </r>
  <r>
    <x v="63"/>
    <s v="DICEMBRE"/>
    <x v="2"/>
    <n v="12"/>
    <s v="DICEMBRE 2024"/>
    <s v="12 DICEMBRE 2024"/>
    <x v="12"/>
    <x v="0"/>
    <n v="52.08"/>
    <s v="3/3"/>
    <s v="PAYPAL"/>
    <s v="Biglietti per Cremonini per michela"/>
  </r>
  <r>
    <x v="2"/>
    <s v="DICEMBRE"/>
    <x v="2"/>
    <n v="12"/>
    <s v="DICEMBRE 2024"/>
    <s v="12 DICEMBRE 2024"/>
    <x v="8"/>
    <x v="6"/>
    <n v="16.63"/>
    <s v="3/3"/>
    <s v="AMAZON"/>
    <m/>
  </r>
  <r>
    <x v="2"/>
    <s v="DICEMBRE"/>
    <x v="2"/>
    <n v="12"/>
    <s v="DICEMBRE 2024"/>
    <s v="12 DICEMBRE 2024"/>
    <x v="10"/>
    <x v="6"/>
    <n v="15"/>
    <s v="3/5"/>
    <s v="AMAZON"/>
    <s v="DJ BOX Regalo compleanno Davide"/>
  </r>
  <r>
    <x v="222"/>
    <s v="DICEMBRE"/>
    <x v="2"/>
    <n v="12"/>
    <s v="DICEMBRE 2024"/>
    <s v="12 DICEMBRE 2024"/>
    <x v="8"/>
    <x v="6"/>
    <n v="36.32"/>
    <s v="3/3"/>
    <s v="PAYPAL"/>
    <m/>
  </r>
  <r>
    <x v="8"/>
    <s v="NOVEMBRE"/>
    <x v="2"/>
    <n v="11"/>
    <s v="NOVEMBRE 2024"/>
    <s v="11 NOVEMBRE 2024"/>
    <x v="6"/>
    <x v="2"/>
    <n v="33"/>
    <m/>
    <m/>
    <m/>
  </r>
  <r>
    <x v="41"/>
    <s v="NOVEMBRE"/>
    <x v="2"/>
    <n v="11"/>
    <s v="NOVEMBRE 2024"/>
    <s v="11 NOVEMBRE 2024"/>
    <x v="3"/>
    <x v="3"/>
    <n v="11.5"/>
    <m/>
    <m/>
    <m/>
  </r>
  <r>
    <x v="2"/>
    <s v="NOVEMBRE"/>
    <x v="2"/>
    <n v="11"/>
    <s v="NOVEMBRE 2024"/>
    <s v="11 NOVEMBRE 2024"/>
    <x v="8"/>
    <x v="6"/>
    <n v="30.6"/>
    <s v="1/5"/>
    <s v="AMAZON"/>
    <s v="NANO LEAF"/>
  </r>
  <r>
    <x v="263"/>
    <s v="NOVEMBRE"/>
    <x v="2"/>
    <n v="11"/>
    <s v="NOVEMBRE 2024"/>
    <s v="11 NOVEMBRE 2024"/>
    <x v="0"/>
    <x v="0"/>
    <n v="75"/>
    <m/>
    <m/>
    <m/>
  </r>
  <r>
    <x v="2"/>
    <s v="NOVEMBRE"/>
    <x v="2"/>
    <n v="11"/>
    <s v="NOVEMBRE 2024"/>
    <s v="11 NOVEMBRE 2024"/>
    <x v="11"/>
    <x v="6"/>
    <n v="47.08"/>
    <m/>
    <s v="AMAZON"/>
    <m/>
  </r>
  <r>
    <x v="11"/>
    <s v="NOVEMBRE"/>
    <x v="2"/>
    <n v="11"/>
    <s v="NOVEMBRE 2024"/>
    <s v="11 NOVEMBRE 2024"/>
    <x v="0"/>
    <x v="0"/>
    <n v="11.5"/>
    <m/>
    <m/>
    <m/>
  </r>
  <r>
    <x v="264"/>
    <s v="NOVEMBRE"/>
    <x v="2"/>
    <n v="11"/>
    <s v="NOVEMBRE 2024"/>
    <s v="11 NOVEMBRE 2024"/>
    <x v="10"/>
    <x v="6"/>
    <n v="60"/>
    <m/>
    <s v="PAYPAL"/>
    <s v="Regalo compleanno Toso"/>
  </r>
  <r>
    <x v="91"/>
    <s v="NOVEMBRE"/>
    <x v="2"/>
    <n v="11"/>
    <s v="NOVEMBRE 2024"/>
    <s v="11 NOVEMBRE 2024"/>
    <x v="2"/>
    <x v="2"/>
    <n v="0.35"/>
    <m/>
    <m/>
    <m/>
  </r>
  <r>
    <x v="265"/>
    <s v="NOVEMBRE"/>
    <x v="2"/>
    <n v="11"/>
    <s v="NOVEMBRE 2024"/>
    <s v="11 NOVEMBRE 2024"/>
    <x v="3"/>
    <x v="3"/>
    <n v="72"/>
    <m/>
    <m/>
    <s v="nota spese di Novembre"/>
  </r>
  <r>
    <x v="266"/>
    <s v="NOVEMBRE"/>
    <x v="2"/>
    <n v="11"/>
    <s v="NOVEMBRE 2024"/>
    <s v="11 NOVEMBRE 2024"/>
    <x v="10"/>
    <x v="6"/>
    <n v="28.6"/>
    <m/>
    <m/>
    <m/>
  </r>
  <r>
    <x v="63"/>
    <s v="NOVEMBRE"/>
    <x v="2"/>
    <n v="11"/>
    <s v="NOVEMBRE 2024"/>
    <s v="11 NOVEMBRE 2024"/>
    <x v="12"/>
    <x v="0"/>
    <n v="232.39"/>
    <m/>
    <m/>
    <s v="Biglietti per Robbie Williams"/>
  </r>
  <r>
    <x v="265"/>
    <s v="NOVEMBRE"/>
    <x v="2"/>
    <n v="11"/>
    <s v="NOVEMBRE 2024"/>
    <s v="11 NOVEMBRE 2024"/>
    <x v="3"/>
    <x v="3"/>
    <n v="72"/>
    <m/>
    <m/>
    <s v="nota spese di Novembre"/>
  </r>
  <r>
    <x v="267"/>
    <s v="NOVEMBRE"/>
    <x v="2"/>
    <n v="11"/>
    <s v="NOVEMBRE 2024"/>
    <s v="11 NOVEMBRE 2024"/>
    <x v="0"/>
    <x v="0"/>
    <n v="11.2"/>
    <m/>
    <m/>
    <m/>
  </r>
  <r>
    <x v="6"/>
    <s v="NOVEMBRE"/>
    <x v="2"/>
    <n v="11"/>
    <s v="NOVEMBRE 2024"/>
    <s v="11 NOVEMBRE 2024"/>
    <x v="14"/>
    <x v="2"/>
    <n v="6.5"/>
    <m/>
    <m/>
    <m/>
  </r>
  <r>
    <x v="2"/>
    <s v="NOVEMBRE"/>
    <x v="2"/>
    <n v="11"/>
    <s v="NOVEMBRE 2024"/>
    <s v="11 NOVEMBRE 2024"/>
    <x v="11"/>
    <x v="6"/>
    <n v="67.959999999999994"/>
    <m/>
    <s v="AMAZON"/>
    <m/>
  </r>
  <r>
    <x v="35"/>
    <s v="NOVEMBRE"/>
    <x v="2"/>
    <n v="11"/>
    <s v="NOVEMBRE 2024"/>
    <s v="11 NOVEMBRE 2024"/>
    <x v="1"/>
    <x v="1"/>
    <n v="8.15"/>
    <m/>
    <m/>
    <m/>
  </r>
  <r>
    <x v="82"/>
    <s v="NOVEMBRE"/>
    <x v="2"/>
    <n v="11"/>
    <s v="NOVEMBRE 2024"/>
    <s v="11 NOVEMBRE 2024"/>
    <x v="7"/>
    <x v="2"/>
    <n v="8.25"/>
    <m/>
    <m/>
    <m/>
  </r>
  <r>
    <x v="21"/>
    <s v="NOVEMBRE"/>
    <x v="2"/>
    <n v="11"/>
    <s v="NOVEMBRE 2024"/>
    <s v="11 NOVEMBRE 2024"/>
    <x v="9"/>
    <x v="3"/>
    <n v="11"/>
    <m/>
    <m/>
    <m/>
  </r>
  <r>
    <x v="137"/>
    <s v="NOVEMBRE"/>
    <x v="2"/>
    <n v="11"/>
    <s v="NOVEMBRE 2024"/>
    <s v="11 NOVEMBRE 2024"/>
    <x v="6"/>
    <x v="2"/>
    <n v="50"/>
    <m/>
    <m/>
    <m/>
  </r>
  <r>
    <x v="268"/>
    <s v="NOVEMBRE"/>
    <x v="2"/>
    <n v="11"/>
    <s v="NOVEMBRE 2024"/>
    <s v="11 NOVEMBRE 2024"/>
    <x v="24"/>
    <x v="2"/>
    <n v="11.5"/>
    <m/>
    <m/>
    <m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2"/>
    <s v="NOVEMBRE"/>
    <x v="2"/>
    <n v="11"/>
    <s v="NOVEMBRE 2024"/>
    <s v="11 NOVEMBRE 2024"/>
    <x v="11"/>
    <x v="6"/>
    <n v="34.99"/>
    <m/>
    <s v="AMAZON"/>
    <m/>
  </r>
  <r>
    <x v="2"/>
    <s v="NOVEMBRE"/>
    <x v="2"/>
    <n v="11"/>
    <s v="NOVEMBRE 2024"/>
    <s v="11 NOVEMBRE 2024"/>
    <x v="11"/>
    <x v="6"/>
    <n v="50.84"/>
    <m/>
    <s v="AMAZON"/>
    <m/>
  </r>
  <r>
    <x v="2"/>
    <s v="NOVEMBRE"/>
    <x v="2"/>
    <n v="11"/>
    <s v="NOVEMBRE 2024"/>
    <s v="11 NOVEMBRE 2024"/>
    <x v="11"/>
    <x v="6"/>
    <n v="55.49"/>
    <m/>
    <s v="AMAZON"/>
    <m/>
  </r>
  <r>
    <x v="17"/>
    <s v="NOVEMBRE"/>
    <x v="2"/>
    <n v="11"/>
    <s v="NOVEMBRE 2024"/>
    <s v="11 NOVEMBRE 2024"/>
    <x v="7"/>
    <x v="2"/>
    <n v="8.24"/>
    <m/>
    <m/>
    <m/>
  </r>
  <r>
    <x v="12"/>
    <s v="NOVEMBRE"/>
    <x v="2"/>
    <n v="11"/>
    <s v="NOVEMBRE 2024"/>
    <s v="11 NOVEMBRE 2024"/>
    <x v="7"/>
    <x v="2"/>
    <n v="25.69"/>
    <m/>
    <m/>
    <m/>
  </r>
  <r>
    <x v="269"/>
    <s v="NOVEMBRE"/>
    <x v="2"/>
    <n v="11"/>
    <s v="NOVEMBRE 2024"/>
    <s v="11 NOVEMBRE 2024"/>
    <x v="0"/>
    <x v="0"/>
    <n v="55"/>
    <m/>
    <m/>
    <s v="Vacanza Viterbo"/>
  </r>
  <r>
    <x v="41"/>
    <s v="NOVEMBRE"/>
    <x v="2"/>
    <n v="11"/>
    <s v="NOVEMBRE 2024"/>
    <s v="11 NOVEMBRE 2024"/>
    <x v="3"/>
    <x v="3"/>
    <n v="1.7"/>
    <m/>
    <m/>
    <m/>
  </r>
  <r>
    <x v="57"/>
    <s v="NOVEMBRE"/>
    <x v="2"/>
    <n v="11"/>
    <s v="NOVEMBRE 2024"/>
    <s v="11 NOVEMBRE 2024"/>
    <x v="0"/>
    <x v="0"/>
    <n v="5.3"/>
    <m/>
    <m/>
    <m/>
  </r>
  <r>
    <x v="57"/>
    <s v="NOVEMBRE"/>
    <x v="2"/>
    <n v="11"/>
    <s v="NOVEMBRE 2024"/>
    <s v="11 NOVEMBRE 2024"/>
    <x v="0"/>
    <x v="0"/>
    <n v="20.3"/>
    <m/>
    <m/>
    <m/>
  </r>
  <r>
    <x v="6"/>
    <s v="NOVEMBRE"/>
    <x v="2"/>
    <n v="11"/>
    <s v="NOVEMBRE 2024"/>
    <s v="11 NOVEMBRE 2024"/>
    <x v="14"/>
    <x v="2"/>
    <n v="6.5"/>
    <m/>
    <m/>
    <m/>
  </r>
  <r>
    <x v="63"/>
    <s v="NOVEMBRE"/>
    <x v="2"/>
    <n v="11"/>
    <s v="NOVEMBRE 2024"/>
    <s v="11 NOVEMBRE 2024"/>
    <x v="12"/>
    <x v="0"/>
    <n v="63.99"/>
    <m/>
    <m/>
    <s v="Biglietti per 30 Second to mars (Debby)"/>
  </r>
  <r>
    <x v="63"/>
    <s v="NOVEMBRE"/>
    <x v="2"/>
    <n v="11"/>
    <s v="NOVEMBRE 2024"/>
    <s v="11 NOVEMBRE 2024"/>
    <x v="12"/>
    <x v="0"/>
    <n v="136.94999999999999"/>
    <m/>
    <m/>
    <s v="Biglietti per 30 Second to mars"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91"/>
    <s v="NOVEMBRE"/>
    <x v="2"/>
    <n v="11"/>
    <s v="NOVEMBRE 2024"/>
    <s v="11 NOVEMBRE 2024"/>
    <x v="2"/>
    <x v="2"/>
    <n v="0.4"/>
    <m/>
    <m/>
    <m/>
  </r>
  <r>
    <x v="63"/>
    <s v="NOVEMBRE"/>
    <x v="2"/>
    <n v="11"/>
    <s v="NOVEMBRE 2024"/>
    <s v="11 NOVEMBRE 2024"/>
    <x v="12"/>
    <x v="0"/>
    <n v="52.09"/>
    <s v="2/3"/>
    <s v="PAYPAL"/>
    <s v="Biglietti per Cremonini per michela"/>
  </r>
  <r>
    <x v="2"/>
    <s v="NOVEMBRE"/>
    <x v="2"/>
    <n v="11"/>
    <s v="NOVEMBRE 2024"/>
    <s v="11 NOVEMBRE 2024"/>
    <x v="8"/>
    <x v="6"/>
    <n v="16.63"/>
    <s v="2/3"/>
    <s v="AMAZON"/>
    <m/>
  </r>
  <r>
    <x v="2"/>
    <s v="NOVEMBRE"/>
    <x v="2"/>
    <n v="11"/>
    <s v="NOVEMBRE 2024"/>
    <s v="11 NOVEMBRE 2024"/>
    <x v="8"/>
    <x v="6"/>
    <n v="13.99"/>
    <s v="5/5"/>
    <s v="AMAZON"/>
    <s v="TAPO TELECAMERE"/>
  </r>
  <r>
    <x v="2"/>
    <s v="NOVEMBRE"/>
    <x v="2"/>
    <n v="11"/>
    <s v="NOVEMBRE 2024"/>
    <s v="11 NOVEMBRE 2024"/>
    <x v="10"/>
    <x v="6"/>
    <n v="15"/>
    <s v="2/5"/>
    <s v="AMAZON"/>
    <s v="DJ BOX Regalo compleanno Davide"/>
  </r>
  <r>
    <x v="222"/>
    <s v="NOVEMBRE"/>
    <x v="2"/>
    <n v="11"/>
    <s v="NOVEMBRE 2024"/>
    <s v="11 NOVEMBRE 2024"/>
    <x v="11"/>
    <x v="6"/>
    <n v="36.32"/>
    <s v="2/3"/>
    <s v="PAYPAL"/>
    <m/>
  </r>
  <r>
    <x v="12"/>
    <s v="NOVEMBRE"/>
    <x v="2"/>
    <n v="11"/>
    <s v="NOVEMBRE 2024"/>
    <s v="11 NOVEMBRE 2024"/>
    <x v="7"/>
    <x v="2"/>
    <n v="20.239999999999998"/>
    <m/>
    <m/>
    <m/>
  </r>
  <r>
    <x v="91"/>
    <s v="NOVEMBRE"/>
    <x v="2"/>
    <n v="11"/>
    <s v="NOVEMBRE 2024"/>
    <s v="11 NOVEMBRE 2024"/>
    <x v="2"/>
    <x v="2"/>
    <n v="0.4"/>
    <m/>
    <m/>
    <m/>
  </r>
  <r>
    <x v="270"/>
    <s v="OTTOBRE"/>
    <x v="2"/>
    <n v="10"/>
    <s v="OTTOBRE 2024"/>
    <s v="10 OTTOBRE 2024"/>
    <x v="0"/>
    <x v="0"/>
    <n v="43.6"/>
    <m/>
    <m/>
    <m/>
  </r>
  <r>
    <x v="271"/>
    <s v="OTTOBRE"/>
    <x v="2"/>
    <n v="10"/>
    <s v="OTTOBRE 2024"/>
    <s v="10 OTTOBRE 2024"/>
    <x v="0"/>
    <x v="0"/>
    <n v="12.5"/>
    <m/>
    <m/>
    <m/>
  </r>
  <r>
    <x v="272"/>
    <s v="OTTOBRE"/>
    <x v="2"/>
    <n v="10"/>
    <s v="OTTOBRE 2024"/>
    <s v="10 OTTOBRE 2024"/>
    <x v="0"/>
    <x v="0"/>
    <n v="47.3"/>
    <m/>
    <m/>
    <m/>
  </r>
  <r>
    <x v="91"/>
    <s v="OTTOBRE"/>
    <x v="2"/>
    <n v="10"/>
    <s v="OTTOBRE 2024"/>
    <s v="10 OTTOBRE 2024"/>
    <x v="2"/>
    <x v="2"/>
    <n v="0.4"/>
    <m/>
    <m/>
    <m/>
  </r>
  <r>
    <x v="6"/>
    <s v="OTTOBRE"/>
    <x v="2"/>
    <n v="10"/>
    <s v="OTTOBRE 2024"/>
    <s v="10 OTTOBRE 2024"/>
    <x v="14"/>
    <x v="2"/>
    <n v="6.5"/>
    <m/>
    <m/>
    <m/>
  </r>
  <r>
    <x v="17"/>
    <s v="OTTOBRE"/>
    <x v="2"/>
    <n v="10"/>
    <s v="OTTOBRE 2024"/>
    <s v="10 OTTOBRE 2024"/>
    <x v="7"/>
    <x v="2"/>
    <n v="5.95"/>
    <m/>
    <m/>
    <m/>
  </r>
  <r>
    <x v="12"/>
    <s v="OTTOBRE"/>
    <x v="2"/>
    <n v="10"/>
    <s v="OTTOBRE 2024"/>
    <s v="10 OTTOBRE 2024"/>
    <x v="7"/>
    <x v="2"/>
    <n v="11.93"/>
    <m/>
    <m/>
    <m/>
  </r>
  <r>
    <x v="35"/>
    <s v="OTTOBRE"/>
    <x v="2"/>
    <n v="10"/>
    <s v="OTTOBRE 2024"/>
    <s v="10 OTTOBRE 2024"/>
    <x v="1"/>
    <x v="1"/>
    <n v="4.9000000000000004"/>
    <m/>
    <m/>
    <m/>
  </r>
  <r>
    <x v="82"/>
    <s v="OTTOBRE"/>
    <x v="2"/>
    <n v="10"/>
    <s v="OTTOBRE 2024"/>
    <s v="10 OTTOBRE 2024"/>
    <x v="7"/>
    <x v="2"/>
    <n v="21.82"/>
    <m/>
    <m/>
    <m/>
  </r>
  <r>
    <x v="6"/>
    <s v="OTTOBRE"/>
    <x v="2"/>
    <n v="10"/>
    <s v="OTTOBRE 2024"/>
    <s v="10 OTTOBRE 2024"/>
    <x v="14"/>
    <x v="2"/>
    <n v="6.5"/>
    <m/>
    <m/>
    <m/>
  </r>
  <r>
    <x v="98"/>
    <s v="OTTOBRE"/>
    <x v="2"/>
    <n v="10"/>
    <s v="OTTOBRE 2024"/>
    <s v="10 OTTOBRE 2024"/>
    <x v="11"/>
    <x v="6"/>
    <n v="89"/>
    <m/>
    <m/>
    <m/>
  </r>
  <r>
    <x v="6"/>
    <s v="OTTOBRE"/>
    <x v="2"/>
    <n v="10"/>
    <s v="OTTOBRE 2024"/>
    <s v="10 OTTOBRE 2024"/>
    <x v="0"/>
    <x v="0"/>
    <n v="2.8"/>
    <m/>
    <m/>
    <m/>
  </r>
  <r>
    <x v="2"/>
    <s v="OTTOBRE"/>
    <x v="2"/>
    <n v="10"/>
    <s v="OTTOBRE 2024"/>
    <s v="10 OTTOBRE 2024"/>
    <x v="8"/>
    <x v="6"/>
    <n v="3.58"/>
    <m/>
    <s v="AMAZON"/>
    <m/>
  </r>
  <r>
    <x v="63"/>
    <s v="OTTOBRE"/>
    <x v="2"/>
    <n v="10"/>
    <s v="OTTOBRE 2024"/>
    <s v="10 OTTOBRE 2024"/>
    <x v="12"/>
    <x v="0"/>
    <n v="52.09"/>
    <s v="1/3"/>
    <s v="PAYPAL"/>
    <s v="Biglietti per Cremonini per michela"/>
  </r>
  <r>
    <x v="6"/>
    <s v="OTTOBRE"/>
    <x v="2"/>
    <n v="10"/>
    <s v="OTTOBRE 2024"/>
    <s v="10 OTTOBRE 2024"/>
    <x v="14"/>
    <x v="2"/>
    <n v="6.5"/>
    <m/>
    <m/>
    <m/>
  </r>
  <r>
    <x v="2"/>
    <s v="OTTOBRE"/>
    <x v="2"/>
    <n v="10"/>
    <s v="OTTOBRE 2024"/>
    <s v="10 OTTOBRE 2024"/>
    <x v="8"/>
    <x v="6"/>
    <n v="16.64"/>
    <s v="1/3"/>
    <s v="AMAZON"/>
    <m/>
  </r>
  <r>
    <x v="12"/>
    <s v="OTTOBRE"/>
    <x v="2"/>
    <n v="10"/>
    <s v="OTTOBRE 2024"/>
    <s v="10 OTTOBRE 2024"/>
    <x v="7"/>
    <x v="2"/>
    <n v="12.35"/>
    <m/>
    <m/>
    <m/>
  </r>
  <r>
    <x v="273"/>
    <s v="OTTOBRE"/>
    <x v="2"/>
    <n v="10"/>
    <s v="OTTOBRE 2024"/>
    <s v="10 OTTOBRE 2024"/>
    <x v="0"/>
    <x v="0"/>
    <n v="26.8"/>
    <m/>
    <m/>
    <m/>
  </r>
  <r>
    <x v="225"/>
    <s v="OTTOBRE"/>
    <x v="2"/>
    <n v="10"/>
    <s v="OTTOBRE 2024"/>
    <s v="10 OTTOBRE 2024"/>
    <x v="11"/>
    <x v="6"/>
    <n v="103.99"/>
    <m/>
    <s v="PAYPAL"/>
    <m/>
  </r>
  <r>
    <x v="274"/>
    <s v="OTTOBRE"/>
    <x v="2"/>
    <n v="10"/>
    <s v="OTTOBRE 2024"/>
    <s v="10 OTTOBRE 2024"/>
    <x v="8"/>
    <x v="6"/>
    <n v="16.16"/>
    <m/>
    <s v="PAYPAL"/>
    <m/>
  </r>
  <r>
    <x v="230"/>
    <s v="OTTOBRE"/>
    <x v="2"/>
    <n v="10"/>
    <s v="OTTOBRE 2024"/>
    <s v="10 OTTOBRE 2024"/>
    <x v="7"/>
    <x v="2"/>
    <n v="11.3"/>
    <m/>
    <m/>
    <m/>
  </r>
  <r>
    <x v="6"/>
    <s v="OTTOBRE"/>
    <x v="2"/>
    <n v="10"/>
    <s v="OTTOBRE 2024"/>
    <s v="10 OTTOBRE 2024"/>
    <x v="14"/>
    <x v="2"/>
    <n v="6.5"/>
    <m/>
    <m/>
    <m/>
  </r>
  <r>
    <x v="243"/>
    <s v="OTTOBRE"/>
    <x v="2"/>
    <n v="10"/>
    <s v="OTTOBRE 2024"/>
    <s v="10 OTTOBRE 2024"/>
    <x v="18"/>
    <x v="0"/>
    <n v="75"/>
    <s v="1/2"/>
    <s v="REVOLUT"/>
    <s v="Prima Rata Basket Terzo"/>
  </r>
  <r>
    <x v="2"/>
    <s v="OTTOBRE"/>
    <x v="2"/>
    <n v="10"/>
    <s v="OTTOBRE 2024"/>
    <s v="10 OTTOBRE 2024"/>
    <x v="8"/>
    <x v="6"/>
    <n v="14"/>
    <s v="4/5"/>
    <s v="AMAZON"/>
    <s v="TAPO TELECAMERE"/>
  </r>
  <r>
    <x v="2"/>
    <s v="OTTOBRE"/>
    <x v="2"/>
    <n v="10"/>
    <s v="OTTOBRE 2024"/>
    <s v="10 OTTOBRE 2024"/>
    <x v="8"/>
    <x v="6"/>
    <n v="44.19"/>
    <m/>
    <s v="AMAZON"/>
    <m/>
  </r>
  <r>
    <x v="53"/>
    <s v="OTTOBRE"/>
    <x v="2"/>
    <n v="10"/>
    <s v="OTTOBRE 2024"/>
    <s v="10 OTTOBRE 2024"/>
    <x v="1"/>
    <x v="1"/>
    <n v="5.95"/>
    <m/>
    <m/>
    <m/>
  </r>
  <r>
    <x v="53"/>
    <s v="OTTOBRE"/>
    <x v="2"/>
    <n v="10"/>
    <s v="OTTOBRE 2024"/>
    <s v="10 OTTOBRE 2024"/>
    <x v="1"/>
    <x v="1"/>
    <n v="52.75"/>
    <m/>
    <m/>
    <m/>
  </r>
  <r>
    <x v="41"/>
    <s v="OTTOBRE"/>
    <x v="2"/>
    <n v="10"/>
    <s v="OTTOBRE 2024"/>
    <s v="10 OTTOBRE 2024"/>
    <x v="3"/>
    <x v="3"/>
    <n v="3.3"/>
    <m/>
    <m/>
    <m/>
  </r>
  <r>
    <x v="2"/>
    <s v="OTTOBRE"/>
    <x v="2"/>
    <n v="10"/>
    <s v="OTTOBRE 2024"/>
    <s v="10 OTTOBRE 2024"/>
    <x v="8"/>
    <x v="6"/>
    <n v="29.99"/>
    <m/>
    <s v="AMAZON"/>
    <m/>
  </r>
  <r>
    <x v="6"/>
    <s v="OTTOBRE"/>
    <x v="2"/>
    <n v="10"/>
    <s v="OTTOBRE 2024"/>
    <s v="10 OTTOBRE 2024"/>
    <x v="14"/>
    <x v="2"/>
    <n v="6.5"/>
    <m/>
    <m/>
    <m/>
  </r>
  <r>
    <x v="41"/>
    <s v="OTTOBRE"/>
    <x v="2"/>
    <n v="10"/>
    <s v="OTTOBRE 2024"/>
    <s v="10 OTTOBRE 2024"/>
    <x v="3"/>
    <x v="3"/>
    <n v="1.7"/>
    <m/>
    <m/>
    <m/>
  </r>
  <r>
    <x v="2"/>
    <s v="OTTOBRE"/>
    <x v="2"/>
    <n v="10"/>
    <s v="OTTOBRE 2024"/>
    <s v="10 OTTOBRE 2024"/>
    <x v="10"/>
    <x v="6"/>
    <n v="15"/>
    <s v="1/5"/>
    <s v="AMAZON"/>
    <s v="DJ BOX Regalo compleanno Davide"/>
  </r>
  <r>
    <x v="8"/>
    <s v="OTTOBRE"/>
    <x v="2"/>
    <n v="10"/>
    <s v="OTTOBRE 2024"/>
    <s v="10 OTTOBRE 2024"/>
    <x v="6"/>
    <x v="2"/>
    <n v="33"/>
    <m/>
    <m/>
    <m/>
  </r>
  <r>
    <x v="12"/>
    <s v="OTTOBRE"/>
    <x v="2"/>
    <n v="10"/>
    <s v="OTTOBRE 2024"/>
    <s v="10 OTTOBRE 2024"/>
    <x v="7"/>
    <x v="2"/>
    <n v="14.22"/>
    <m/>
    <m/>
    <m/>
  </r>
  <r>
    <x v="91"/>
    <s v="OTTOBRE"/>
    <x v="2"/>
    <n v="10"/>
    <s v="OTTOBRE 2024"/>
    <s v="10 OTTOBRE 2024"/>
    <x v="2"/>
    <x v="2"/>
    <n v="0.4"/>
    <m/>
    <m/>
    <m/>
  </r>
  <r>
    <x v="91"/>
    <s v="OTTOBRE"/>
    <x v="2"/>
    <n v="10"/>
    <s v="OTTOBRE 2024"/>
    <s v="10 OTTOBRE 2024"/>
    <x v="2"/>
    <x v="2"/>
    <n v="0.4"/>
    <m/>
    <m/>
    <m/>
  </r>
  <r>
    <x v="91"/>
    <s v="OTTOBRE"/>
    <x v="2"/>
    <n v="10"/>
    <s v="OTTOBRE 2024"/>
    <s v="10 OTTOBRE 2024"/>
    <x v="2"/>
    <x v="2"/>
    <n v="0.4"/>
    <m/>
    <m/>
    <m/>
  </r>
  <r>
    <x v="222"/>
    <s v="OTTOBRE"/>
    <x v="2"/>
    <n v="10"/>
    <s v="OTTOBRE 2024"/>
    <s v="10 OTTOBRE 2024"/>
    <x v="8"/>
    <x v="6"/>
    <n v="36.32"/>
    <s v="1/3"/>
    <s v="PAYPAL"/>
    <m/>
  </r>
  <r>
    <x v="21"/>
    <s v="OTTOBRE"/>
    <x v="2"/>
    <n v="10"/>
    <s v="OTTOBRE 2024"/>
    <s v="10 OTTOBRE 2024"/>
    <x v="9"/>
    <x v="3"/>
    <n v="11"/>
    <m/>
    <m/>
    <m/>
  </r>
  <r>
    <x v="82"/>
    <s v="OTTOBRE"/>
    <x v="2"/>
    <n v="10"/>
    <s v="OTTOBRE 2024"/>
    <s v="10 OTTOBRE 2024"/>
    <x v="7"/>
    <x v="2"/>
    <n v="11.93"/>
    <m/>
    <m/>
    <m/>
  </r>
  <r>
    <x v="6"/>
    <s v="OTTOBRE"/>
    <x v="2"/>
    <n v="10"/>
    <s v="OTTOBRE 2024"/>
    <s v="10 OTTOBRE 2024"/>
    <x v="0"/>
    <x v="0"/>
    <n v="11.6"/>
    <m/>
    <m/>
    <m/>
  </r>
  <r>
    <x v="6"/>
    <s v="OTTOBRE"/>
    <x v="2"/>
    <n v="10"/>
    <s v="OTTOBRE 2024"/>
    <s v="10 OTTOBRE 2024"/>
    <x v="14"/>
    <x v="2"/>
    <n v="6.5"/>
    <m/>
    <m/>
    <m/>
  </r>
  <r>
    <x v="91"/>
    <s v="SETTEMBRE"/>
    <x v="2"/>
    <n v="9"/>
    <s v="SETTEMBRE 2024"/>
    <s v="9 SETTEMBRE 2024"/>
    <x v="2"/>
    <x v="2"/>
    <n v="0.7"/>
    <m/>
    <m/>
    <m/>
  </r>
  <r>
    <x v="91"/>
    <s v="SETTEMBRE"/>
    <x v="2"/>
    <n v="9"/>
    <s v="SETTEMBRE 2024"/>
    <s v="9 SETTEMBRE 2024"/>
    <x v="2"/>
    <x v="2"/>
    <n v="0.7"/>
    <m/>
    <m/>
    <m/>
  </r>
  <r>
    <x v="17"/>
    <s v="SETTEMBRE"/>
    <x v="2"/>
    <n v="9"/>
    <s v="SETTEMBRE 2024"/>
    <s v="9 SETTEMBRE 2024"/>
    <x v="7"/>
    <x v="2"/>
    <n v="6.11"/>
    <m/>
    <m/>
    <m/>
  </r>
  <r>
    <x v="35"/>
    <s v="SETTEMBRE"/>
    <x v="2"/>
    <n v="9"/>
    <s v="SETTEMBRE 2024"/>
    <s v="9 SETTEMBRE 2024"/>
    <x v="1"/>
    <x v="1"/>
    <n v="8.7899999999999991"/>
    <m/>
    <m/>
    <m/>
  </r>
  <r>
    <x v="275"/>
    <s v="SETTEMBRE"/>
    <x v="2"/>
    <n v="9"/>
    <s v="SETTEMBRE 2024"/>
    <s v="9 SETTEMBRE 2024"/>
    <x v="15"/>
    <x v="8"/>
    <n v="19.850000000000001"/>
    <m/>
    <m/>
    <m/>
  </r>
  <r>
    <x v="91"/>
    <s v="SETTEMBRE"/>
    <x v="2"/>
    <n v="9"/>
    <s v="SETTEMBRE 2024"/>
    <s v="9 SETTEMBRE 2024"/>
    <x v="2"/>
    <x v="2"/>
    <n v="0.4"/>
    <m/>
    <m/>
    <m/>
  </r>
  <r>
    <x v="91"/>
    <s v="SETTEMBRE"/>
    <x v="2"/>
    <n v="9"/>
    <s v="SETTEMBRE 2024"/>
    <s v="9 SETTEMBRE 2024"/>
    <x v="2"/>
    <x v="2"/>
    <n v="0.4"/>
    <m/>
    <m/>
    <m/>
  </r>
  <r>
    <x v="91"/>
    <s v="SETTEMBRE"/>
    <x v="2"/>
    <n v="9"/>
    <s v="SETTEMBRE 2024"/>
    <s v="9 SETTEMBRE 2024"/>
    <x v="2"/>
    <x v="2"/>
    <n v="0.4"/>
    <m/>
    <m/>
    <m/>
  </r>
  <r>
    <x v="230"/>
    <s v="SETTEMBRE"/>
    <x v="2"/>
    <n v="9"/>
    <s v="SETTEMBRE 2024"/>
    <s v="9 SETTEMBRE 2024"/>
    <x v="7"/>
    <x v="2"/>
    <n v="8.83"/>
    <m/>
    <m/>
    <m/>
  </r>
  <r>
    <x v="6"/>
    <s v="SETTEMBRE"/>
    <x v="2"/>
    <n v="9"/>
    <s v="SETTEMBRE 2024"/>
    <s v="9 SETTEMBRE 2024"/>
    <x v="14"/>
    <x v="2"/>
    <n v="6.5"/>
    <m/>
    <m/>
    <m/>
  </r>
  <r>
    <x v="53"/>
    <s v="SETTEMBRE"/>
    <x v="2"/>
    <n v="9"/>
    <s v="SETTEMBRE 2024"/>
    <s v="9 SETTEMBRE 2024"/>
    <x v="1"/>
    <x v="1"/>
    <n v="41.7"/>
    <m/>
    <m/>
    <m/>
  </r>
  <r>
    <x v="6"/>
    <s v="SETTEMBRE"/>
    <x v="2"/>
    <n v="9"/>
    <s v="SETTEMBRE 2024"/>
    <s v="9 SETTEMBRE 2024"/>
    <x v="14"/>
    <x v="2"/>
    <n v="6.5"/>
    <m/>
    <m/>
    <m/>
  </r>
  <r>
    <x v="156"/>
    <s v="SETTEMBRE"/>
    <x v="2"/>
    <n v="9"/>
    <s v="SETTEMBRE 2024"/>
    <s v="9 SETTEMBRE 2024"/>
    <x v="20"/>
    <x v="9"/>
    <n v="8.49"/>
    <m/>
    <s v="PAYPAL"/>
    <m/>
  </r>
  <r>
    <x v="6"/>
    <s v="SETTEMBRE"/>
    <x v="2"/>
    <n v="9"/>
    <s v="SETTEMBRE 2024"/>
    <s v="9 SETTEMBRE 2024"/>
    <x v="0"/>
    <x v="0"/>
    <n v="4.2"/>
    <m/>
    <m/>
    <m/>
  </r>
  <r>
    <x v="91"/>
    <s v="SETTEMBRE"/>
    <x v="2"/>
    <n v="9"/>
    <s v="SETTEMBRE 2024"/>
    <s v="9 SETTEMBRE 2024"/>
    <x v="2"/>
    <x v="2"/>
    <n v="0.4"/>
    <m/>
    <m/>
    <m/>
  </r>
  <r>
    <x v="82"/>
    <s v="SETTEMBRE"/>
    <x v="2"/>
    <n v="9"/>
    <s v="SETTEMBRE 2024"/>
    <s v="9 SETTEMBRE 2024"/>
    <x v="7"/>
    <x v="2"/>
    <n v="14.03"/>
    <m/>
    <m/>
    <m/>
  </r>
  <r>
    <x v="35"/>
    <s v="SETTEMBRE"/>
    <x v="2"/>
    <n v="9"/>
    <s v="SETTEMBRE 2024"/>
    <s v="9 SETTEMBRE 2024"/>
    <x v="1"/>
    <x v="1"/>
    <n v="4.9800000000000004"/>
    <m/>
    <m/>
    <m/>
  </r>
  <r>
    <x v="91"/>
    <s v="SETTEMBRE"/>
    <x v="2"/>
    <n v="9"/>
    <s v="SETTEMBRE 2024"/>
    <s v="9 SETTEMBRE 2024"/>
    <x v="2"/>
    <x v="2"/>
    <n v="0.4"/>
    <m/>
    <m/>
    <m/>
  </r>
  <r>
    <x v="91"/>
    <s v="SETTEMBRE"/>
    <x v="2"/>
    <n v="9"/>
    <s v="SETTEMBRE 2024"/>
    <s v="9 SETTEMBRE 2024"/>
    <x v="2"/>
    <x v="2"/>
    <n v="0.4"/>
    <m/>
    <m/>
    <m/>
  </r>
  <r>
    <x v="91"/>
    <s v="SETTEMBRE"/>
    <x v="2"/>
    <n v="9"/>
    <s v="SETTEMBRE 2024"/>
    <s v="9 SETTEMBRE 2024"/>
    <x v="2"/>
    <x v="2"/>
    <n v="0.4"/>
    <m/>
    <m/>
    <m/>
  </r>
  <r>
    <x v="12"/>
    <s v="SETTEMBRE"/>
    <x v="2"/>
    <n v="9"/>
    <s v="SETTEMBRE 2024"/>
    <s v="9 SETTEMBRE 2024"/>
    <x v="7"/>
    <x v="2"/>
    <n v="16.07"/>
    <m/>
    <m/>
    <m/>
  </r>
  <r>
    <x v="276"/>
    <s v="SETTEMBRE"/>
    <x v="2"/>
    <n v="9"/>
    <s v="SETTEMBRE 2024"/>
    <s v="9 SETTEMBRE 2024"/>
    <x v="0"/>
    <x v="0"/>
    <n v="32"/>
    <m/>
    <m/>
    <m/>
  </r>
  <r>
    <x v="276"/>
    <s v="SETTEMBRE"/>
    <x v="2"/>
    <n v="9"/>
    <s v="SETTEMBRE 2024"/>
    <s v="9 SETTEMBRE 2024"/>
    <x v="0"/>
    <x v="0"/>
    <n v="35"/>
    <m/>
    <m/>
    <m/>
  </r>
  <r>
    <x v="276"/>
    <s v="SETTEMBRE"/>
    <x v="2"/>
    <n v="9"/>
    <s v="SETTEMBRE 2024"/>
    <s v="9 SETTEMBRE 2024"/>
    <x v="0"/>
    <x v="0"/>
    <n v="25"/>
    <m/>
    <m/>
    <m/>
  </r>
  <r>
    <x v="41"/>
    <s v="SETTEMBRE"/>
    <x v="2"/>
    <n v="9"/>
    <s v="SETTEMBRE 2024"/>
    <s v="9 SETTEMBRE 2024"/>
    <x v="3"/>
    <x v="3"/>
    <n v="1.7"/>
    <m/>
    <m/>
    <m/>
  </r>
  <r>
    <x v="2"/>
    <s v="SETTEMBRE"/>
    <x v="2"/>
    <n v="9"/>
    <s v="SETTEMBRE 2024"/>
    <s v="9 SETTEMBRE 2024"/>
    <x v="8"/>
    <x v="6"/>
    <n v="22.9"/>
    <m/>
    <s v="AMAZON"/>
    <m/>
  </r>
  <r>
    <x v="230"/>
    <s v="SETTEMBRE"/>
    <x v="2"/>
    <n v="9"/>
    <s v="SETTEMBRE 2024"/>
    <s v="9 SETTEMBRE 2024"/>
    <x v="7"/>
    <x v="2"/>
    <n v="12.84"/>
    <m/>
    <m/>
    <m/>
  </r>
  <r>
    <x v="277"/>
    <s v="SETTEMBRE"/>
    <x v="2"/>
    <n v="9"/>
    <s v="SETTEMBRE 2024"/>
    <s v="9 SETTEMBRE 2024"/>
    <x v="22"/>
    <x v="6"/>
    <n v="10.98"/>
    <m/>
    <m/>
    <m/>
  </r>
  <r>
    <x v="6"/>
    <s v="SETTEMBRE"/>
    <x v="2"/>
    <n v="9"/>
    <s v="SETTEMBRE 2024"/>
    <s v="9 SETTEMBRE 2024"/>
    <x v="14"/>
    <x v="2"/>
    <n v="6.5"/>
    <m/>
    <m/>
    <m/>
  </r>
  <r>
    <x v="12"/>
    <s v="SETTEMBRE"/>
    <x v="2"/>
    <n v="9"/>
    <s v="SETTEMBRE 2024"/>
    <s v="9 SETTEMBRE 2024"/>
    <x v="7"/>
    <x v="2"/>
    <n v="6.43"/>
    <m/>
    <m/>
    <m/>
  </r>
  <r>
    <x v="91"/>
    <s v="SETTEMBRE"/>
    <x v="2"/>
    <n v="9"/>
    <s v="SETTEMBRE 2024"/>
    <s v="9 SETTEMBRE 2024"/>
    <x v="2"/>
    <x v="2"/>
    <n v="0.7"/>
    <m/>
    <m/>
    <m/>
  </r>
  <r>
    <x v="35"/>
    <s v="SETTEMBRE"/>
    <x v="2"/>
    <n v="9"/>
    <s v="SETTEMBRE 2024"/>
    <s v="9 SETTEMBRE 2024"/>
    <x v="1"/>
    <x v="1"/>
    <n v="14.4"/>
    <m/>
    <m/>
    <m/>
  </r>
  <r>
    <x v="278"/>
    <s v="SETTEMBRE"/>
    <x v="2"/>
    <n v="9"/>
    <s v="SETTEMBRE 2024"/>
    <s v="9 SETTEMBRE 2024"/>
    <x v="15"/>
    <x v="8"/>
    <n v="165"/>
    <m/>
    <s v="REVOLUT"/>
    <s v="Multa 160€ Austria"/>
  </r>
  <r>
    <x v="12"/>
    <s v="SETTEMBRE"/>
    <x v="2"/>
    <n v="9"/>
    <s v="SETTEMBRE 2024"/>
    <s v="9 SETTEMBRE 2024"/>
    <x v="7"/>
    <x v="2"/>
    <n v="8.82"/>
    <m/>
    <m/>
    <m/>
  </r>
  <r>
    <x v="2"/>
    <s v="SETTEMBRE"/>
    <x v="2"/>
    <n v="9"/>
    <s v="SETTEMBRE 2024"/>
    <s v="9 SETTEMBRE 2024"/>
    <x v="8"/>
    <x v="6"/>
    <n v="26.29"/>
    <m/>
    <s v="AMAZON"/>
    <m/>
  </r>
  <r>
    <x v="6"/>
    <s v="SETTEMBRE"/>
    <x v="2"/>
    <n v="9"/>
    <s v="SETTEMBRE 2024"/>
    <s v="9 SETTEMBRE 2024"/>
    <x v="14"/>
    <x v="2"/>
    <n v="5"/>
    <m/>
    <m/>
    <m/>
  </r>
  <r>
    <x v="212"/>
    <s v="SETTEMBRE"/>
    <x v="2"/>
    <n v="9"/>
    <s v="SETTEMBRE 2024"/>
    <s v="9 SETTEMBRE 2024"/>
    <x v="5"/>
    <x v="5"/>
    <n v="29.49"/>
    <m/>
    <m/>
    <s v="Ombrellone"/>
  </r>
  <r>
    <x v="279"/>
    <s v="SETTEMBRE"/>
    <x v="2"/>
    <n v="9"/>
    <s v="SETTEMBRE 2024"/>
    <s v="9 SETTEMBRE 2024"/>
    <x v="9"/>
    <x v="3"/>
    <n v="260"/>
    <m/>
    <m/>
    <m/>
  </r>
  <r>
    <x v="21"/>
    <s v="SETTEMBRE"/>
    <x v="2"/>
    <n v="9"/>
    <s v="SETTEMBRE 2024"/>
    <s v="9 SETTEMBRE 2024"/>
    <x v="9"/>
    <x v="3"/>
    <n v="9"/>
    <m/>
    <m/>
    <m/>
  </r>
  <r>
    <x v="2"/>
    <s v="SETTEMBRE"/>
    <x v="2"/>
    <n v="9"/>
    <s v="SETTEMBRE 2024"/>
    <s v="9 SETTEMBRE 2024"/>
    <x v="8"/>
    <x v="6"/>
    <n v="14.82"/>
    <s v="3/3"/>
    <s v="AMAZON"/>
    <s v="VANS"/>
  </r>
  <r>
    <x v="2"/>
    <s v="SETTEMBRE"/>
    <x v="2"/>
    <n v="9"/>
    <s v="SETTEMBRE 2024"/>
    <s v="9 SETTEMBRE 2024"/>
    <x v="8"/>
    <x v="6"/>
    <n v="14"/>
    <s v="3/5"/>
    <s v="AMAZON"/>
    <s v="TAPO TELECAMERE"/>
  </r>
  <r>
    <x v="2"/>
    <s v="SETTEMBRE"/>
    <x v="2"/>
    <n v="9"/>
    <s v="SETTEMBRE 2024"/>
    <s v="9 SETTEMBRE 2024"/>
    <x v="8"/>
    <x v="6"/>
    <n v="9.0500000000000007"/>
    <s v="3/3"/>
    <s v="AMAZON"/>
    <s v="REGALO DAVIDE 2024"/>
  </r>
  <r>
    <x v="82"/>
    <s v="SETTEMBRE"/>
    <x v="2"/>
    <n v="9"/>
    <s v="SETTEMBRE 2024"/>
    <s v="9 SETTEMBRE 2024"/>
    <x v="7"/>
    <x v="2"/>
    <n v="8.84"/>
    <m/>
    <m/>
    <m/>
  </r>
  <r>
    <x v="230"/>
    <s v="SETTEMBRE"/>
    <x v="2"/>
    <n v="9"/>
    <s v="SETTEMBRE 2024"/>
    <s v="9 SETTEMBRE 2024"/>
    <x v="7"/>
    <x v="2"/>
    <n v="20.2"/>
    <m/>
    <m/>
    <m/>
  </r>
  <r>
    <x v="35"/>
    <s v="AGOSTO"/>
    <x v="2"/>
    <n v="8"/>
    <s v="AGOSTO 2024"/>
    <s v="8 AGOSTO 2024"/>
    <x v="1"/>
    <x v="1"/>
    <n v="3.97"/>
    <m/>
    <m/>
    <m/>
  </r>
  <r>
    <x v="280"/>
    <s v="AGOSTO"/>
    <x v="2"/>
    <n v="8"/>
    <s v="AGOSTO 2024"/>
    <s v="8 AGOSTO 2024"/>
    <x v="0"/>
    <x v="0"/>
    <n v="14"/>
    <m/>
    <m/>
    <m/>
  </r>
  <r>
    <x v="12"/>
    <s v="AGOSTO"/>
    <x v="2"/>
    <n v="8"/>
    <s v="AGOSTO 2024"/>
    <s v="8 AGOSTO 2024"/>
    <x v="7"/>
    <x v="2"/>
    <n v="8.3000000000000007"/>
    <m/>
    <m/>
    <m/>
  </r>
  <r>
    <x v="246"/>
    <s v="AGOSTO"/>
    <x v="2"/>
    <n v="8"/>
    <s v="AGOSTO 2024"/>
    <s v="8 AGOSTO 2024"/>
    <x v="10"/>
    <x v="6"/>
    <n v="20"/>
    <m/>
    <s v="PAYPAL"/>
    <s v="Regalo Farfa 2024"/>
  </r>
  <r>
    <x v="12"/>
    <s v="AGOSTO"/>
    <x v="2"/>
    <n v="8"/>
    <s v="AGOSTO 2024"/>
    <s v="8 AGOSTO 2024"/>
    <x v="7"/>
    <x v="2"/>
    <n v="26.61"/>
    <m/>
    <m/>
    <m/>
  </r>
  <r>
    <x v="268"/>
    <s v="AGOSTO"/>
    <x v="2"/>
    <n v="8"/>
    <s v="AGOSTO 2024"/>
    <s v="8 AGOSTO 2024"/>
    <x v="24"/>
    <x v="2"/>
    <n v="12.9"/>
    <m/>
    <m/>
    <m/>
  </r>
  <r>
    <x v="35"/>
    <s v="AGOSTO"/>
    <x v="2"/>
    <n v="8"/>
    <s v="AGOSTO 2024"/>
    <s v="8 AGOSTO 2024"/>
    <x v="1"/>
    <x v="1"/>
    <n v="21.38"/>
    <m/>
    <m/>
    <m/>
  </r>
  <r>
    <x v="268"/>
    <s v="AGOSTO"/>
    <x v="2"/>
    <n v="8"/>
    <s v="AGOSTO 2024"/>
    <s v="8 AGOSTO 2024"/>
    <x v="24"/>
    <x v="2"/>
    <n v="12.8"/>
    <m/>
    <m/>
    <m/>
  </r>
  <r>
    <x v="13"/>
    <s v="AGOSTO"/>
    <x v="2"/>
    <n v="8"/>
    <s v="AGOSTO 2024"/>
    <s v="8 AGOSTO 2024"/>
    <x v="0"/>
    <x v="0"/>
    <n v="20"/>
    <m/>
    <m/>
    <m/>
  </r>
  <r>
    <x v="281"/>
    <s v="AGOSTO"/>
    <x v="2"/>
    <n v="8"/>
    <s v="AGOSTO 2024"/>
    <s v="8 AGOSTO 2024"/>
    <x v="0"/>
    <x v="0"/>
    <n v="36"/>
    <m/>
    <m/>
    <m/>
  </r>
  <r>
    <x v="282"/>
    <s v="AGOSTO"/>
    <x v="2"/>
    <n v="8"/>
    <s v="AGOSTO 2024"/>
    <s v="8 AGOSTO 2024"/>
    <x v="0"/>
    <x v="0"/>
    <n v="2"/>
    <m/>
    <m/>
    <s v="Spese Creta"/>
  </r>
  <r>
    <x v="283"/>
    <s v="AGOSTO"/>
    <x v="2"/>
    <n v="8"/>
    <s v="AGOSTO 2024"/>
    <s v="8 AGOSTO 2024"/>
    <x v="16"/>
    <x v="5"/>
    <n v="31.51"/>
    <m/>
    <m/>
    <s v="Spese Creta"/>
  </r>
  <r>
    <x v="284"/>
    <s v="AGOSTO"/>
    <x v="2"/>
    <n v="8"/>
    <s v="AGOSTO 2024"/>
    <s v="8 AGOSTO 2024"/>
    <x v="10"/>
    <x v="6"/>
    <n v="12"/>
    <m/>
    <m/>
    <s v="Spese Creta"/>
  </r>
  <r>
    <x v="285"/>
    <s v="AGOSTO"/>
    <x v="2"/>
    <n v="8"/>
    <s v="AGOSTO 2024"/>
    <s v="8 AGOSTO 2024"/>
    <x v="10"/>
    <x v="6"/>
    <n v="12"/>
    <m/>
    <m/>
    <s v="Spese Creta"/>
  </r>
  <r>
    <x v="286"/>
    <s v="AGOSTO"/>
    <x v="2"/>
    <n v="8"/>
    <s v="AGOSTO 2024"/>
    <s v="8 AGOSTO 2024"/>
    <x v="10"/>
    <x v="6"/>
    <n v="31.2"/>
    <m/>
    <m/>
    <s v="Spese Creta"/>
  </r>
  <r>
    <x v="287"/>
    <s v="AGOSTO"/>
    <x v="2"/>
    <n v="8"/>
    <s v="AGOSTO 2024"/>
    <s v="8 AGOSTO 2024"/>
    <x v="0"/>
    <x v="0"/>
    <n v="12.1"/>
    <m/>
    <m/>
    <s v="Spese Creta"/>
  </r>
  <r>
    <x v="288"/>
    <s v="AGOSTO"/>
    <x v="2"/>
    <n v="8"/>
    <s v="AGOSTO 2024"/>
    <s v="8 AGOSTO 2024"/>
    <x v="16"/>
    <x v="5"/>
    <n v="63.04"/>
    <m/>
    <m/>
    <s v="Spese Creta"/>
  </r>
  <r>
    <x v="289"/>
    <s v="AGOSTO"/>
    <x v="2"/>
    <n v="8"/>
    <s v="AGOSTO 2024"/>
    <s v="8 AGOSTO 2024"/>
    <x v="0"/>
    <x v="0"/>
    <n v="4.5"/>
    <m/>
    <m/>
    <s v="Spese Creta"/>
  </r>
  <r>
    <x v="289"/>
    <s v="AGOSTO"/>
    <x v="2"/>
    <n v="8"/>
    <s v="AGOSTO 2024"/>
    <s v="8 AGOSTO 2024"/>
    <x v="0"/>
    <x v="0"/>
    <n v="24.5"/>
    <m/>
    <m/>
    <s v="Spese Creta"/>
  </r>
  <r>
    <x v="290"/>
    <s v="AGOSTO"/>
    <x v="2"/>
    <n v="8"/>
    <s v="AGOSTO 2024"/>
    <s v="8 AGOSTO 2024"/>
    <x v="0"/>
    <x v="0"/>
    <n v="10.5"/>
    <m/>
    <m/>
    <s v="Spese Creta"/>
  </r>
  <r>
    <x v="291"/>
    <s v="AGOSTO"/>
    <x v="2"/>
    <n v="8"/>
    <s v="AGOSTO 2024"/>
    <s v="8 AGOSTO 2024"/>
    <x v="0"/>
    <x v="0"/>
    <n v="7.5"/>
    <m/>
    <m/>
    <s v="Spese Creta"/>
  </r>
  <r>
    <x v="292"/>
    <s v="AGOSTO"/>
    <x v="2"/>
    <n v="8"/>
    <s v="AGOSTO 2024"/>
    <s v="8 AGOSTO 2024"/>
    <x v="0"/>
    <x v="0"/>
    <n v="7.4"/>
    <m/>
    <m/>
    <s v="Spese Creta"/>
  </r>
  <r>
    <x v="293"/>
    <s v="AGOSTO"/>
    <x v="2"/>
    <n v="8"/>
    <s v="AGOSTO 2024"/>
    <s v="8 AGOSTO 2024"/>
    <x v="0"/>
    <x v="0"/>
    <n v="6.5"/>
    <m/>
    <m/>
    <s v="Spese Creta"/>
  </r>
  <r>
    <x v="294"/>
    <s v="AGOSTO"/>
    <x v="2"/>
    <n v="8"/>
    <s v="AGOSTO 2024"/>
    <s v="8 AGOSTO 2024"/>
    <x v="0"/>
    <x v="0"/>
    <n v="6"/>
    <m/>
    <m/>
    <s v="Spese Creta"/>
  </r>
  <r>
    <x v="295"/>
    <s v="AGOSTO"/>
    <x v="2"/>
    <n v="8"/>
    <s v="AGOSTO 2024"/>
    <s v="8 AGOSTO 2024"/>
    <x v="0"/>
    <x v="0"/>
    <n v="6"/>
    <m/>
    <m/>
    <s v="Spese Creta"/>
  </r>
  <r>
    <x v="2"/>
    <s v="AGOSTO"/>
    <x v="2"/>
    <n v="8"/>
    <s v="AGOSTO 2024"/>
    <s v="8 AGOSTO 2024"/>
    <x v="8"/>
    <x v="6"/>
    <n v="9.06"/>
    <s v="2/3"/>
    <s v="AMAZON"/>
    <s v="Regalo Davide 2024"/>
  </r>
  <r>
    <x v="296"/>
    <s v="AGOSTO"/>
    <x v="2"/>
    <n v="8"/>
    <s v="AGOSTO 2024"/>
    <s v="8 AGOSTO 2024"/>
    <x v="0"/>
    <x v="0"/>
    <n v="13.7"/>
    <m/>
    <m/>
    <s v="Spese Creta"/>
  </r>
  <r>
    <x v="297"/>
    <s v="AGOSTO"/>
    <x v="2"/>
    <n v="8"/>
    <s v="AGOSTO 2024"/>
    <s v="8 AGOSTO 2024"/>
    <x v="0"/>
    <x v="0"/>
    <n v="5.0999999999999996"/>
    <m/>
    <m/>
    <s v="Spese Creta"/>
  </r>
  <r>
    <x v="298"/>
    <s v="AGOSTO"/>
    <x v="2"/>
    <n v="8"/>
    <s v="AGOSTO 2024"/>
    <s v="8 AGOSTO 2024"/>
    <x v="0"/>
    <x v="0"/>
    <n v="6.9"/>
    <m/>
    <m/>
    <s v="Spese Creta"/>
  </r>
  <r>
    <x v="35"/>
    <s v="AGOSTO"/>
    <x v="2"/>
    <n v="8"/>
    <s v="AGOSTO 2024"/>
    <s v="8 AGOSTO 2024"/>
    <x v="1"/>
    <x v="1"/>
    <n v="14.89"/>
    <m/>
    <m/>
    <m/>
  </r>
  <r>
    <x v="2"/>
    <s v="AGOSTO"/>
    <x v="2"/>
    <n v="8"/>
    <s v="AGOSTO 2024"/>
    <s v="8 AGOSTO 2024"/>
    <x v="8"/>
    <x v="6"/>
    <n v="19.899999999999999"/>
    <m/>
    <s v="AMAZON"/>
    <m/>
  </r>
  <r>
    <x v="226"/>
    <s v="AGOSTO"/>
    <x v="2"/>
    <n v="8"/>
    <s v="AGOSTO 2024"/>
    <s v="8 AGOSTO 2024"/>
    <x v="0"/>
    <x v="0"/>
    <n v="29"/>
    <m/>
    <m/>
    <m/>
  </r>
  <r>
    <x v="7"/>
    <s v="AGOSTO"/>
    <x v="2"/>
    <n v="8"/>
    <s v="AGOSTO 2024"/>
    <s v="8 AGOSTO 2024"/>
    <x v="5"/>
    <x v="5"/>
    <n v="149.56"/>
    <m/>
    <m/>
    <s v="Hotel Creta"/>
  </r>
  <r>
    <x v="2"/>
    <s v="AGOSTO"/>
    <x v="2"/>
    <n v="8"/>
    <s v="AGOSTO 2024"/>
    <s v="8 AGOSTO 2024"/>
    <x v="8"/>
    <x v="6"/>
    <n v="30.9"/>
    <m/>
    <s v="AMAZON"/>
    <m/>
  </r>
  <r>
    <x v="7"/>
    <s v="AGOSTO"/>
    <x v="2"/>
    <n v="8"/>
    <s v="AGOSTO 2024"/>
    <s v="8 AGOSTO 2024"/>
    <x v="5"/>
    <x v="5"/>
    <n v="307.2"/>
    <m/>
    <m/>
    <s v="Hotel Creta"/>
  </r>
  <r>
    <x v="7"/>
    <s v="AGOSTO"/>
    <x v="2"/>
    <n v="8"/>
    <s v="AGOSTO 2024"/>
    <s v="8 AGOSTO 2024"/>
    <x v="5"/>
    <x v="5"/>
    <n v="270"/>
    <m/>
    <m/>
    <s v="Hotel Creta"/>
  </r>
  <r>
    <x v="2"/>
    <s v="AGOSTO"/>
    <x v="2"/>
    <n v="8"/>
    <s v="AGOSTO 2024"/>
    <s v="8 AGOSTO 2024"/>
    <x v="8"/>
    <x v="6"/>
    <n v="11.95"/>
    <m/>
    <s v="AMAZON"/>
    <m/>
  </r>
  <r>
    <x v="2"/>
    <s v="AGOSTO"/>
    <x v="2"/>
    <n v="8"/>
    <s v="AGOSTO 2024"/>
    <s v="8 AGOSTO 2024"/>
    <x v="8"/>
    <x v="6"/>
    <n v="21.66"/>
    <m/>
    <s v="AMAZON"/>
    <m/>
  </r>
  <r>
    <x v="7"/>
    <s v="AGOSTO"/>
    <x v="2"/>
    <n v="8"/>
    <s v="AGOSTO 2024"/>
    <s v="8 AGOSTO 2024"/>
    <x v="5"/>
    <x v="5"/>
    <n v="318"/>
    <m/>
    <m/>
    <s v="Hotel Creta"/>
  </r>
  <r>
    <x v="8"/>
    <s v="AGOSTO"/>
    <x v="2"/>
    <n v="8"/>
    <s v="AGOSTO 2024"/>
    <s v="8 AGOSTO 2024"/>
    <x v="6"/>
    <x v="2"/>
    <n v="33"/>
    <m/>
    <m/>
    <m/>
  </r>
  <r>
    <x v="57"/>
    <s v="AGOSTO"/>
    <x v="2"/>
    <n v="8"/>
    <s v="AGOSTO 2024"/>
    <s v="8 AGOSTO 2024"/>
    <x v="0"/>
    <x v="0"/>
    <n v="0.52"/>
    <m/>
    <m/>
    <m/>
  </r>
  <r>
    <x v="299"/>
    <s v="AGOSTO"/>
    <x v="2"/>
    <n v="8"/>
    <s v="AGOSTO 2024"/>
    <s v="8 AGOSTO 2024"/>
    <x v="0"/>
    <x v="0"/>
    <n v="5.33"/>
    <m/>
    <m/>
    <m/>
  </r>
  <r>
    <x v="57"/>
    <s v="AGOSTO"/>
    <x v="2"/>
    <n v="8"/>
    <s v="AGOSTO 2024"/>
    <s v="8 AGOSTO 2024"/>
    <x v="0"/>
    <x v="0"/>
    <n v="3.95"/>
    <m/>
    <m/>
    <m/>
  </r>
  <r>
    <x v="300"/>
    <s v="AGOSTO"/>
    <x v="2"/>
    <n v="8"/>
    <s v="AGOSTO 2024"/>
    <s v="8 AGOSTO 2024"/>
    <x v="24"/>
    <x v="2"/>
    <n v="12.85"/>
    <m/>
    <m/>
    <m/>
  </r>
  <r>
    <x v="45"/>
    <s v="AGOSTO"/>
    <x v="2"/>
    <n v="8"/>
    <s v="AGOSTO 2024"/>
    <s v="8 AGOSTO 2024"/>
    <x v="0"/>
    <x v="0"/>
    <n v="27.5"/>
    <m/>
    <m/>
    <m/>
  </r>
  <r>
    <x v="45"/>
    <s v="AGOSTO"/>
    <x v="2"/>
    <n v="8"/>
    <s v="AGOSTO 2024"/>
    <s v="8 AGOSTO 2024"/>
    <x v="0"/>
    <x v="0"/>
    <n v="16.5"/>
    <m/>
    <m/>
    <m/>
  </r>
  <r>
    <x v="82"/>
    <s v="AGOSTO"/>
    <x v="2"/>
    <n v="8"/>
    <s v="AGOSTO 2024"/>
    <s v="8 AGOSTO 2024"/>
    <x v="7"/>
    <x v="2"/>
    <n v="20.16"/>
    <m/>
    <m/>
    <m/>
  </r>
  <r>
    <x v="2"/>
    <s v="AGOSTO"/>
    <x v="2"/>
    <n v="8"/>
    <s v="AGOSTO 2024"/>
    <s v="8 AGOSTO 2024"/>
    <x v="8"/>
    <x v="6"/>
    <n v="14.82"/>
    <s v="2/3"/>
    <s v="AMAZON"/>
    <s v="VANS"/>
  </r>
  <r>
    <x v="2"/>
    <s v="AGOSTO"/>
    <x v="2"/>
    <n v="8"/>
    <s v="AGOSTO 2024"/>
    <s v="8 AGOSTO 2024"/>
    <x v="8"/>
    <x v="6"/>
    <n v="14"/>
    <s v="2/5"/>
    <s v="AMAZON"/>
    <s v="TAPO TELECAMERE"/>
  </r>
  <r>
    <x v="35"/>
    <s v="LUGLIO"/>
    <x v="2"/>
    <n v="7"/>
    <s v="LUGLIO 2024"/>
    <s v="7 LUGLIO 2024"/>
    <x v="1"/>
    <x v="1"/>
    <n v="14.27"/>
    <m/>
    <m/>
    <m/>
  </r>
  <r>
    <x v="301"/>
    <s v="LUGLIO"/>
    <x v="2"/>
    <n v="7"/>
    <s v="LUGLIO 2024"/>
    <s v="7 LUGLIO 2024"/>
    <x v="7"/>
    <x v="2"/>
    <n v="55.99"/>
    <m/>
    <m/>
    <m/>
  </r>
  <r>
    <x v="91"/>
    <s v="LUGLIO"/>
    <x v="2"/>
    <n v="7"/>
    <s v="LUGLIO 2024"/>
    <s v="7 LUGLIO 2024"/>
    <x v="2"/>
    <x v="2"/>
    <n v="0.7"/>
    <m/>
    <m/>
    <m/>
  </r>
  <r>
    <x v="230"/>
    <s v="LUGLIO"/>
    <x v="2"/>
    <n v="7"/>
    <s v="LUGLIO 2024"/>
    <s v="7 LUGLIO 2024"/>
    <x v="7"/>
    <x v="2"/>
    <n v="7.49"/>
    <m/>
    <m/>
    <m/>
  </r>
  <r>
    <x v="17"/>
    <s v="LUGLIO"/>
    <x v="2"/>
    <n v="7"/>
    <s v="LUGLIO 2024"/>
    <s v="7 LUGLIO 2024"/>
    <x v="7"/>
    <x v="2"/>
    <n v="5.88"/>
    <m/>
    <m/>
    <m/>
  </r>
  <r>
    <x v="2"/>
    <s v="LUGLIO"/>
    <x v="2"/>
    <n v="7"/>
    <s v="LUGLIO 2024"/>
    <s v="7 LUGLIO 2024"/>
    <x v="8"/>
    <x v="6"/>
    <n v="14"/>
    <s v="1/5"/>
    <s v="AMAZON"/>
    <s v="TAPO TELECAMERE"/>
  </r>
  <r>
    <x v="91"/>
    <s v="LUGLIO"/>
    <x v="2"/>
    <n v="7"/>
    <s v="LUGLIO 2024"/>
    <s v="7 LUGLIO 2024"/>
    <x v="2"/>
    <x v="2"/>
    <n v="0.7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6"/>
    <s v="LUGLIO"/>
    <x v="2"/>
    <n v="7"/>
    <s v="LUGLIO 2024"/>
    <s v="7 LUGLIO 2024"/>
    <x v="14"/>
    <x v="2"/>
    <n v="5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6"/>
    <s v="LUGLIO"/>
    <x v="2"/>
    <n v="7"/>
    <s v="LUGLIO 2024"/>
    <s v="7 LUGLIO 2024"/>
    <x v="14"/>
    <x v="2"/>
    <n v="5"/>
    <m/>
    <m/>
    <m/>
  </r>
  <r>
    <x v="302"/>
    <s v="LUGLIO"/>
    <x v="2"/>
    <n v="7"/>
    <s v="LUGLIO 2024"/>
    <s v="7 LUGLIO 2024"/>
    <x v="0"/>
    <x v="0"/>
    <n v="28.7"/>
    <m/>
    <m/>
    <m/>
  </r>
  <r>
    <x v="2"/>
    <s v="LUGLIO"/>
    <x v="2"/>
    <n v="7"/>
    <s v="LUGLIO 2024"/>
    <s v="7 LUGLIO 2024"/>
    <x v="8"/>
    <x v="6"/>
    <n v="14.82"/>
    <s v="1/3"/>
    <s v="AMAZON"/>
    <s v="VANS"/>
  </r>
  <r>
    <x v="12"/>
    <s v="LUGLIO"/>
    <x v="2"/>
    <n v="7"/>
    <s v="LUGLIO 2024"/>
    <s v="7 LUGLIO 2024"/>
    <x v="7"/>
    <x v="2"/>
    <n v="14.65"/>
    <m/>
    <m/>
    <m/>
  </r>
  <r>
    <x v="303"/>
    <s v="LUGLIO"/>
    <x v="2"/>
    <n v="7"/>
    <s v="LUGLIO 2024"/>
    <s v="7 LUGLIO 2024"/>
    <x v="0"/>
    <x v="0"/>
    <n v="12"/>
    <m/>
    <m/>
    <m/>
  </r>
  <r>
    <x v="82"/>
    <s v="LUGLIO"/>
    <x v="2"/>
    <n v="7"/>
    <s v="LUGLIO 2024"/>
    <s v="7 LUGLIO 2024"/>
    <x v="7"/>
    <x v="2"/>
    <n v="13.23"/>
    <m/>
    <m/>
    <m/>
  </r>
  <r>
    <x v="21"/>
    <s v="LUGLIO"/>
    <x v="2"/>
    <n v="7"/>
    <s v="LUGLIO 2024"/>
    <s v="7 LUGLIO 2024"/>
    <x v="9"/>
    <x v="3"/>
    <n v="9"/>
    <m/>
    <m/>
    <m/>
  </r>
  <r>
    <x v="91"/>
    <s v="LUGLIO"/>
    <x v="2"/>
    <n v="7"/>
    <s v="LUGLIO 2024"/>
    <s v="7 LUGLIO 2024"/>
    <x v="2"/>
    <x v="2"/>
    <n v="0.4"/>
    <m/>
    <m/>
    <m/>
  </r>
  <r>
    <x v="304"/>
    <s v="LUGLIO"/>
    <x v="2"/>
    <n v="7"/>
    <s v="LUGLIO 2024"/>
    <s v="7 LUGLIO 2024"/>
    <x v="1"/>
    <x v="1"/>
    <n v="20"/>
    <m/>
    <m/>
    <m/>
  </r>
  <r>
    <x v="2"/>
    <s v="LUGLIO"/>
    <x v="2"/>
    <n v="7"/>
    <s v="LUGLIO 2024"/>
    <s v="7 LUGLIO 2024"/>
    <x v="8"/>
    <x v="6"/>
    <n v="9.06"/>
    <m/>
    <s v="AMAZON"/>
    <m/>
  </r>
  <r>
    <x v="6"/>
    <s v="LUGLIO"/>
    <x v="2"/>
    <n v="7"/>
    <s v="LUGLIO 2024"/>
    <s v="7 LUGLIO 2024"/>
    <x v="14"/>
    <x v="2"/>
    <n v="5"/>
    <m/>
    <m/>
    <m/>
  </r>
  <r>
    <x v="230"/>
    <s v="LUGLIO"/>
    <x v="2"/>
    <n v="7"/>
    <s v="LUGLIO 2024"/>
    <s v="7 LUGLIO 2024"/>
    <x v="7"/>
    <x v="2"/>
    <n v="10.86"/>
    <m/>
    <m/>
    <m/>
  </r>
  <r>
    <x v="35"/>
    <s v="LUGLIO"/>
    <x v="2"/>
    <n v="7"/>
    <s v="LUGLIO 2024"/>
    <s v="7 LUGLIO 2024"/>
    <x v="1"/>
    <x v="1"/>
    <n v="9.59"/>
    <m/>
    <m/>
    <m/>
  </r>
  <r>
    <x v="91"/>
    <s v="LUGLIO"/>
    <x v="2"/>
    <n v="7"/>
    <s v="LUGLIO 2024"/>
    <s v="7 LUGLIO 2024"/>
    <x v="2"/>
    <x v="2"/>
    <n v="0.4"/>
    <m/>
    <m/>
    <m/>
  </r>
  <r>
    <x v="305"/>
    <s v="LUGLIO"/>
    <x v="2"/>
    <n v="7"/>
    <s v="LUGLIO 2024"/>
    <s v="7 LUGLIO 2024"/>
    <x v="16"/>
    <x v="5"/>
    <n v="20"/>
    <m/>
    <m/>
    <s v="I-DAYS 2024"/>
  </r>
  <r>
    <x v="306"/>
    <s v="LUGLIO"/>
    <x v="2"/>
    <n v="7"/>
    <s v="LUGLIO 2024"/>
    <s v="7 LUGLIO 2024"/>
    <x v="0"/>
    <x v="0"/>
    <n v="8"/>
    <m/>
    <m/>
    <s v="I-DAYS 2024"/>
  </r>
  <r>
    <x v="57"/>
    <s v="LUGLIO"/>
    <x v="2"/>
    <n v="7"/>
    <s v="LUGLIO 2024"/>
    <s v="7 LUGLIO 2024"/>
    <x v="0"/>
    <x v="0"/>
    <n v="2.39"/>
    <m/>
    <m/>
    <s v="I-DAYS 2024"/>
  </r>
  <r>
    <x v="57"/>
    <s v="LUGLIO"/>
    <x v="2"/>
    <n v="7"/>
    <s v="LUGLIO 2024"/>
    <s v="7 LUGLIO 2024"/>
    <x v="0"/>
    <x v="0"/>
    <n v="7.1"/>
    <m/>
    <m/>
    <s v="I-DAYS 2024"/>
  </r>
  <r>
    <x v="306"/>
    <s v="LUGLIO"/>
    <x v="2"/>
    <n v="7"/>
    <s v="LUGLIO 2024"/>
    <s v="7 LUGLIO 2024"/>
    <x v="0"/>
    <x v="0"/>
    <n v="10"/>
    <m/>
    <m/>
    <s v="I-DAYS 2024"/>
  </r>
  <r>
    <x v="306"/>
    <s v="LUGLIO"/>
    <x v="2"/>
    <n v="7"/>
    <s v="LUGLIO 2024"/>
    <s v="7 LUGLIO 2024"/>
    <x v="0"/>
    <x v="0"/>
    <n v="20"/>
    <m/>
    <m/>
    <s v="I-DAYS 2024"/>
  </r>
  <r>
    <x v="226"/>
    <s v="LUGLIO"/>
    <x v="2"/>
    <n v="7"/>
    <s v="LUGLIO 2024"/>
    <s v="7 LUGLIO 2024"/>
    <x v="0"/>
    <x v="0"/>
    <n v="20"/>
    <m/>
    <m/>
    <m/>
  </r>
  <r>
    <x v="212"/>
    <s v="LUGLIO"/>
    <x v="2"/>
    <n v="7"/>
    <s v="LUGLIO 2024"/>
    <s v="7 LUGLIO 2024"/>
    <x v="5"/>
    <x v="5"/>
    <n v="37.99"/>
    <m/>
    <m/>
    <s v="Ombrellone"/>
  </r>
  <r>
    <x v="82"/>
    <s v="LUGLIO"/>
    <x v="2"/>
    <n v="7"/>
    <s v="LUGLIO 2024"/>
    <s v="7 LUGLIO 2024"/>
    <x v="7"/>
    <x v="2"/>
    <n v="1.99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7"/>
    <m/>
    <m/>
    <m/>
  </r>
  <r>
    <x v="91"/>
    <s v="LUGLIO"/>
    <x v="2"/>
    <n v="7"/>
    <s v="LUGLIO 2024"/>
    <s v="7 LUGLIO 2024"/>
    <x v="2"/>
    <x v="2"/>
    <n v="0.4"/>
    <m/>
    <m/>
    <m/>
  </r>
  <r>
    <x v="91"/>
    <s v="LUGLIO"/>
    <x v="2"/>
    <n v="7"/>
    <s v="LUGLIO 2024"/>
    <s v="7 LUGLIO 2024"/>
    <x v="2"/>
    <x v="2"/>
    <n v="0.4"/>
    <m/>
    <m/>
    <m/>
  </r>
  <r>
    <x v="192"/>
    <s v="LUGLIO"/>
    <x v="2"/>
    <n v="7"/>
    <s v="LUGLIO 2024"/>
    <s v="7 LUGLIO 2024"/>
    <x v="16"/>
    <x v="5"/>
    <n v="470.43"/>
    <m/>
    <m/>
    <s v="Vacanza 2024"/>
  </r>
  <r>
    <x v="21"/>
    <s v="LUGLIO"/>
    <x v="2"/>
    <n v="7"/>
    <s v="LUGLIO 2024"/>
    <s v="7 LUGLIO 2024"/>
    <x v="9"/>
    <x v="3"/>
    <n v="9"/>
    <m/>
    <m/>
    <m/>
  </r>
  <r>
    <x v="35"/>
    <s v="LUGLIO"/>
    <x v="2"/>
    <n v="7"/>
    <s v="LUGLIO 2024"/>
    <s v="7 LUGLIO 2024"/>
    <x v="1"/>
    <x v="1"/>
    <n v="12.59"/>
    <m/>
    <m/>
    <m/>
  </r>
  <r>
    <x v="17"/>
    <s v="LUGLIO"/>
    <x v="2"/>
    <n v="7"/>
    <s v="LUGLIO 2024"/>
    <s v="7 LUGLIO 2024"/>
    <x v="7"/>
    <x v="2"/>
    <n v="8.16"/>
    <m/>
    <m/>
    <m/>
  </r>
  <r>
    <x v="82"/>
    <s v="LUGLIO"/>
    <x v="2"/>
    <n v="7"/>
    <s v="LUGLIO 2024"/>
    <s v="7 LUGLIO 2024"/>
    <x v="7"/>
    <x v="2"/>
    <n v="14.18"/>
    <m/>
    <m/>
    <m/>
  </r>
  <r>
    <x v="91"/>
    <s v="LUGLIO"/>
    <x v="2"/>
    <n v="7"/>
    <s v="LUGLIO 2024"/>
    <s v="7 LUGLIO 2024"/>
    <x v="2"/>
    <x v="2"/>
    <n v="0.7"/>
    <m/>
    <m/>
    <m/>
  </r>
  <r>
    <x v="6"/>
    <s v="LUGLIO"/>
    <x v="2"/>
    <n v="7"/>
    <s v="LUGLIO 2024"/>
    <s v="7 LUGLIO 2024"/>
    <x v="14"/>
    <x v="2"/>
    <n v="7"/>
    <m/>
    <m/>
    <m/>
  </r>
  <r>
    <x v="2"/>
    <s v="LUGLIO"/>
    <x v="2"/>
    <n v="7"/>
    <s v="LUGLIO 2024"/>
    <s v="7 LUGLIO 2024"/>
    <x v="8"/>
    <x v="6"/>
    <n v="40.01"/>
    <m/>
    <s v="AMAZON"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1.2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12"/>
    <s v="GIUGNO"/>
    <x v="2"/>
    <n v="6"/>
    <s v="GIUGNO 2024"/>
    <s v="6 GIUGNO 2024"/>
    <x v="7"/>
    <x v="2"/>
    <n v="12.66"/>
    <m/>
    <m/>
    <m/>
  </r>
  <r>
    <x v="307"/>
    <s v="GIUGNO"/>
    <x v="2"/>
    <n v="6"/>
    <s v="GIUGNO 2024"/>
    <s v="6 GIUGNO 2024"/>
    <x v="0"/>
    <x v="0"/>
    <n v="37.5"/>
    <m/>
    <m/>
    <m/>
  </r>
  <r>
    <x v="308"/>
    <s v="GIUGNO"/>
    <x v="2"/>
    <n v="6"/>
    <s v="GIUGNO 2024"/>
    <s v="6 GIUGNO 2024"/>
    <x v="0"/>
    <x v="0"/>
    <n v="25.5"/>
    <m/>
    <m/>
    <m/>
  </r>
  <r>
    <x v="309"/>
    <s v="GIUGNO"/>
    <x v="2"/>
    <n v="6"/>
    <s v="GIUGNO 2024"/>
    <s v="6 GIUGNO 2024"/>
    <x v="5"/>
    <x v="5"/>
    <n v="70"/>
    <m/>
    <m/>
    <s v="Hotel Matrimonio Dave"/>
  </r>
  <r>
    <x v="97"/>
    <s v="GIUGNO"/>
    <x v="2"/>
    <n v="6"/>
    <s v="GIUGNO 2024"/>
    <s v="6 GIUGNO 2024"/>
    <x v="11"/>
    <x v="6"/>
    <n v="59.95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6"/>
    <s v="GIUGNO"/>
    <x v="2"/>
    <n v="6"/>
    <s v="GIUGNO 2024"/>
    <s v="6 GIUGNO 2024"/>
    <x v="14"/>
    <x v="2"/>
    <n v="5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4"/>
    <m/>
    <m/>
    <m/>
  </r>
  <r>
    <x v="2"/>
    <s v="GIUGNO"/>
    <x v="2"/>
    <n v="6"/>
    <s v="GIUGNO 2024"/>
    <s v="6 GIUGNO 2024"/>
    <x v="8"/>
    <x v="6"/>
    <n v="14.99"/>
    <m/>
    <s v="AMAZON"/>
    <m/>
  </r>
  <r>
    <x v="97"/>
    <s v="GIUGNO"/>
    <x v="2"/>
    <n v="6"/>
    <s v="GIUGNO 2024"/>
    <s v="6 GIUGNO 2024"/>
    <x v="11"/>
    <x v="6"/>
    <n v="89.8"/>
    <m/>
    <m/>
    <m/>
  </r>
  <r>
    <x v="12"/>
    <s v="GIUGNO"/>
    <x v="2"/>
    <n v="6"/>
    <s v="GIUGNO 2024"/>
    <s v="6 GIUGNO 2024"/>
    <x v="7"/>
    <x v="2"/>
    <n v="5.18"/>
    <m/>
    <m/>
    <m/>
  </r>
  <r>
    <x v="82"/>
    <s v="GIUGNO"/>
    <x v="2"/>
    <n v="6"/>
    <s v="GIUGNO 2024"/>
    <s v="6 GIUGNO 2024"/>
    <x v="7"/>
    <x v="2"/>
    <n v="1.19"/>
    <m/>
    <m/>
    <m/>
  </r>
  <r>
    <x v="13"/>
    <s v="GIUGNO"/>
    <x v="2"/>
    <n v="6"/>
    <s v="GIUGNO 2024"/>
    <s v="6 GIUGNO 2024"/>
    <x v="0"/>
    <x v="0"/>
    <n v="28"/>
    <m/>
    <m/>
    <m/>
  </r>
  <r>
    <x v="21"/>
    <s v="GIUGNO"/>
    <x v="2"/>
    <n v="6"/>
    <s v="GIUGNO 2024"/>
    <s v="6 GIUGNO 2024"/>
    <x v="9"/>
    <x v="3"/>
    <n v="9"/>
    <m/>
    <m/>
    <m/>
  </r>
  <r>
    <x v="8"/>
    <s v="GIUGNO"/>
    <x v="2"/>
    <n v="6"/>
    <s v="GIUGNO 2024"/>
    <s v="6 GIUGNO 2024"/>
    <x v="6"/>
    <x v="2"/>
    <n v="33"/>
    <m/>
    <m/>
    <m/>
  </r>
  <r>
    <x v="91"/>
    <s v="GIUGNO"/>
    <x v="2"/>
    <n v="6"/>
    <s v="GIUGNO 2024"/>
    <s v="6 GIUGNO 2024"/>
    <x v="2"/>
    <x v="2"/>
    <n v="0.4"/>
    <m/>
    <m/>
    <m/>
  </r>
  <r>
    <x v="6"/>
    <s v="GIUGNO"/>
    <x v="2"/>
    <n v="6"/>
    <s v="GIUGNO 2024"/>
    <s v="6 GIUGNO 2024"/>
    <x v="14"/>
    <x v="2"/>
    <n v="5"/>
    <m/>
    <m/>
    <m/>
  </r>
  <r>
    <x v="230"/>
    <s v="GIUGNO"/>
    <x v="2"/>
    <n v="6"/>
    <s v="GIUGNO 2024"/>
    <s v="6 GIUGNO 2024"/>
    <x v="7"/>
    <x v="2"/>
    <n v="8.3000000000000007"/>
    <m/>
    <m/>
    <m/>
  </r>
  <r>
    <x v="91"/>
    <s v="GIUGNO"/>
    <x v="2"/>
    <n v="6"/>
    <s v="GIUGNO 2024"/>
    <s v="6 GIUGNO 2024"/>
    <x v="2"/>
    <x v="2"/>
    <n v="0.4"/>
    <m/>
    <m/>
    <m/>
  </r>
  <r>
    <x v="91"/>
    <s v="GIUGNO"/>
    <x v="2"/>
    <n v="6"/>
    <s v="GIUGNO 2024"/>
    <s v="6 GIUGNO 2024"/>
    <x v="2"/>
    <x v="2"/>
    <n v="0.7"/>
    <m/>
    <m/>
    <m/>
  </r>
  <r>
    <x v="12"/>
    <s v="GIUGNO"/>
    <x v="2"/>
    <n v="6"/>
    <s v="GIUGNO 2024"/>
    <s v="6 GIUGNO 2024"/>
    <x v="7"/>
    <x v="2"/>
    <n v="14.83"/>
    <m/>
    <m/>
    <m/>
  </r>
  <r>
    <x v="11"/>
    <s v="GIUGNO"/>
    <x v="2"/>
    <n v="6"/>
    <s v="GIUGNO 2024"/>
    <s v="6 GIUGNO 2024"/>
    <x v="0"/>
    <x v="0"/>
    <n v="35.5"/>
    <m/>
    <m/>
    <m/>
  </r>
  <r>
    <x v="82"/>
    <s v="GIUGNO"/>
    <x v="2"/>
    <n v="6"/>
    <s v="GIUGNO 2024"/>
    <s v="6 GIUGNO 2024"/>
    <x v="7"/>
    <x v="2"/>
    <n v="9.0299999999999994"/>
    <m/>
    <m/>
    <m/>
  </r>
  <r>
    <x v="35"/>
    <s v="GIUGNO"/>
    <x v="2"/>
    <n v="6"/>
    <s v="GIUGNO 2024"/>
    <s v="6 GIUGNO 2024"/>
    <x v="1"/>
    <x v="1"/>
    <n v="18.09"/>
    <m/>
    <m/>
    <m/>
  </r>
  <r>
    <x v="303"/>
    <s v="GIUGNO"/>
    <x v="2"/>
    <n v="6"/>
    <s v="GIUGNO 2024"/>
    <s v="6 GIUGNO 2024"/>
    <x v="0"/>
    <x v="0"/>
    <n v="30"/>
    <m/>
    <m/>
    <m/>
  </r>
  <r>
    <x v="6"/>
    <s v="GIUGNO"/>
    <x v="2"/>
    <n v="6"/>
    <s v="GIUGNO 2024"/>
    <s v="6 GIUGNO 2024"/>
    <x v="14"/>
    <x v="2"/>
    <n v="5"/>
    <m/>
    <m/>
    <m/>
  </r>
  <r>
    <x v="91"/>
    <s v="GIUGNO"/>
    <x v="2"/>
    <n v="6"/>
    <s v="GIUGNO 2024"/>
    <s v="6 GIUGNO 2024"/>
    <x v="2"/>
    <x v="2"/>
    <n v="0.4"/>
    <m/>
    <m/>
    <m/>
  </r>
  <r>
    <x v="6"/>
    <s v="GIUGNO"/>
    <x v="2"/>
    <n v="6"/>
    <s v="GIUGNO 2024"/>
    <s v="6 GIUGNO 2024"/>
    <x v="14"/>
    <x v="2"/>
    <n v="5"/>
    <m/>
    <m/>
    <m/>
  </r>
  <r>
    <x v="21"/>
    <s v="GIUGNO"/>
    <x v="2"/>
    <n v="6"/>
    <s v="GIUGNO 2024"/>
    <s v="6 GIUGNO 2024"/>
    <x v="9"/>
    <x v="3"/>
    <n v="7"/>
    <m/>
    <m/>
    <m/>
  </r>
  <r>
    <x v="12"/>
    <s v="GIUGNO"/>
    <x v="2"/>
    <n v="6"/>
    <s v="GIUGNO 2024"/>
    <s v="6 GIUGNO 2024"/>
    <x v="7"/>
    <x v="2"/>
    <n v="13.98"/>
    <m/>
    <m/>
    <m/>
  </r>
  <r>
    <x v="301"/>
    <s v="GIUGNO"/>
    <x v="2"/>
    <n v="6"/>
    <s v="GIUGNO 2024"/>
    <s v="6 GIUGNO 2024"/>
    <x v="7"/>
    <x v="2"/>
    <n v="25"/>
    <m/>
    <m/>
    <m/>
  </r>
  <r>
    <x v="199"/>
    <s v="GIUGNO"/>
    <x v="2"/>
    <n v="6"/>
    <s v="GIUGNO 2024"/>
    <s v="6 GIUGNO 2024"/>
    <x v="0"/>
    <x v="0"/>
    <n v="71"/>
    <m/>
    <m/>
    <m/>
  </r>
  <r>
    <x v="91"/>
    <s v="GIUGNO"/>
    <x v="2"/>
    <n v="6"/>
    <s v="GIUGNO 2024"/>
    <s v="6 GIUGNO 2024"/>
    <x v="2"/>
    <x v="2"/>
    <n v="0.4"/>
    <m/>
    <m/>
    <m/>
  </r>
  <r>
    <x v="6"/>
    <s v="GIUGNO"/>
    <x v="2"/>
    <n v="6"/>
    <s v="GIUGNO 2024"/>
    <s v="6 GIUGNO 2024"/>
    <x v="14"/>
    <x v="2"/>
    <n v="5"/>
    <m/>
    <m/>
    <m/>
  </r>
  <r>
    <x v="142"/>
    <s v="GIUGNO"/>
    <x v="2"/>
    <n v="6"/>
    <s v="GIUGNO 2024"/>
    <s v="6 GIUGNO 2024"/>
    <x v="0"/>
    <x v="0"/>
    <n v="61.9"/>
    <m/>
    <m/>
    <m/>
  </r>
  <r>
    <x v="302"/>
    <s v="GIUGNO"/>
    <x v="2"/>
    <n v="6"/>
    <s v="GIUGNO 2024"/>
    <s v="6 GIUGNO 2024"/>
    <x v="0"/>
    <x v="0"/>
    <n v="24.7"/>
    <m/>
    <m/>
    <m/>
  </r>
  <r>
    <x v="203"/>
    <s v="GIUGNO"/>
    <x v="2"/>
    <n v="6"/>
    <s v="GIUGNO 2024"/>
    <s v="6 GIUGNO 2024"/>
    <x v="8"/>
    <x v="6"/>
    <n v="18.23"/>
    <m/>
    <s v="PAYPAL"/>
    <m/>
  </r>
  <r>
    <x v="82"/>
    <s v="GIUGNO"/>
    <x v="2"/>
    <n v="6"/>
    <s v="GIUGNO 2024"/>
    <s v="6 GIUGNO 2024"/>
    <x v="7"/>
    <x v="2"/>
    <n v="28.26"/>
    <m/>
    <m/>
    <m/>
  </r>
  <r>
    <x v="91"/>
    <s v="GIUGNO"/>
    <x v="2"/>
    <n v="6"/>
    <s v="GIUGNO 2024"/>
    <s v="6 GIUGNO 2024"/>
    <x v="2"/>
    <x v="2"/>
    <n v="0.4"/>
    <m/>
    <m/>
    <m/>
  </r>
  <r>
    <x v="6"/>
    <s v="GIUGNO"/>
    <x v="2"/>
    <n v="6"/>
    <s v="GIUGNO 2024"/>
    <s v="6 GIUGNO 2024"/>
    <x v="14"/>
    <x v="2"/>
    <n v="5"/>
    <m/>
    <m/>
    <m/>
  </r>
  <r>
    <x v="310"/>
    <s v="MAGGIO"/>
    <x v="2"/>
    <n v="5"/>
    <s v="MAGGIO 2024"/>
    <s v="5 MAGGIO 2024"/>
    <x v="10"/>
    <x v="6"/>
    <n v="10"/>
    <m/>
    <m/>
    <s v="Souvenir Alicante"/>
  </r>
  <r>
    <x v="311"/>
    <s v="MAGGIO"/>
    <x v="2"/>
    <n v="5"/>
    <s v="MAGGIO 2024"/>
    <s v="5 MAGGIO 2024"/>
    <x v="0"/>
    <x v="0"/>
    <n v="27.8"/>
    <m/>
    <m/>
    <m/>
  </r>
  <r>
    <x v="35"/>
    <s v="MAGGIO"/>
    <x v="2"/>
    <n v="5"/>
    <s v="MAGGIO 2024"/>
    <s v="5 MAGGIO 2024"/>
    <x v="1"/>
    <x v="1"/>
    <n v="15.8"/>
    <m/>
    <m/>
    <m/>
  </r>
  <r>
    <x v="6"/>
    <s v="MAGGIO"/>
    <x v="2"/>
    <n v="5"/>
    <s v="MAGGIO 2024"/>
    <s v="5 MAGGIO 2024"/>
    <x v="0"/>
    <x v="0"/>
    <n v="2.6"/>
    <m/>
    <m/>
    <m/>
  </r>
  <r>
    <x v="91"/>
    <s v="MAGGIO"/>
    <x v="2"/>
    <n v="5"/>
    <s v="MAGGIO 2024"/>
    <s v="5 MAGGIO 2024"/>
    <x v="2"/>
    <x v="2"/>
    <n v="0.4"/>
    <m/>
    <m/>
    <m/>
  </r>
  <r>
    <x v="91"/>
    <s v="MAGGIO"/>
    <x v="2"/>
    <n v="5"/>
    <s v="MAGGIO 2024"/>
    <s v="5 MAGGIO 2024"/>
    <x v="2"/>
    <x v="2"/>
    <n v="0.4"/>
    <m/>
    <m/>
    <m/>
  </r>
  <r>
    <x v="312"/>
    <s v="MAGGIO"/>
    <x v="2"/>
    <n v="5"/>
    <s v="MAGGIO 2024"/>
    <s v="5 MAGGIO 2024"/>
    <x v="10"/>
    <x v="6"/>
    <n v="8.6300000000000008"/>
    <m/>
    <m/>
    <s v="Souvenir Polonia"/>
  </r>
  <r>
    <x v="91"/>
    <s v="MAGGIO"/>
    <x v="2"/>
    <n v="5"/>
    <s v="MAGGIO 2024"/>
    <s v="5 MAGGIO 2024"/>
    <x v="2"/>
    <x v="2"/>
    <n v="0.4"/>
    <m/>
    <m/>
    <m/>
  </r>
  <r>
    <x v="313"/>
    <s v="MAGGIO"/>
    <x v="2"/>
    <n v="5"/>
    <s v="MAGGIO 2024"/>
    <s v="5 MAGGIO 2024"/>
    <x v="0"/>
    <x v="0"/>
    <n v="6.4"/>
    <m/>
    <m/>
    <m/>
  </r>
  <r>
    <x v="2"/>
    <s v="MAGGIO"/>
    <x v="2"/>
    <n v="5"/>
    <s v="MAGGIO 2024"/>
    <s v="5 MAGGIO 2024"/>
    <x v="8"/>
    <x v="6"/>
    <n v="14.99"/>
    <s v="3/3"/>
    <s v="AMAZON"/>
    <s v="XBOX Controller"/>
  </r>
  <r>
    <x v="6"/>
    <s v="MAGGIO"/>
    <x v="2"/>
    <n v="5"/>
    <s v="MAGGIO 2024"/>
    <s v="5 MAGGIO 2024"/>
    <x v="14"/>
    <x v="2"/>
    <n v="5"/>
    <m/>
    <m/>
    <m/>
  </r>
  <r>
    <x v="91"/>
    <s v="MAGGIO"/>
    <x v="2"/>
    <n v="5"/>
    <s v="MAGGIO 2024"/>
    <s v="5 MAGGIO 2024"/>
    <x v="2"/>
    <x v="2"/>
    <n v="0.4"/>
    <m/>
    <m/>
    <m/>
  </r>
  <r>
    <x v="91"/>
    <s v="MAGGIO"/>
    <x v="2"/>
    <n v="5"/>
    <s v="MAGGIO 2024"/>
    <s v="5 MAGGIO 2024"/>
    <x v="2"/>
    <x v="2"/>
    <n v="0.4"/>
    <m/>
    <m/>
    <m/>
  </r>
  <r>
    <x v="91"/>
    <s v="MAGGIO"/>
    <x v="2"/>
    <n v="5"/>
    <s v="MAGGIO 2024"/>
    <s v="5 MAGGIO 2024"/>
    <x v="2"/>
    <x v="2"/>
    <n v="0.4"/>
    <m/>
    <m/>
    <m/>
  </r>
  <r>
    <x v="314"/>
    <s v="MAGGIO"/>
    <x v="2"/>
    <n v="5"/>
    <s v="MAGGIO 2024"/>
    <s v="5 MAGGIO 2024"/>
    <x v="0"/>
    <x v="0"/>
    <n v="3.89"/>
    <m/>
    <m/>
    <m/>
  </r>
  <r>
    <x v="17"/>
    <s v="MAGGIO"/>
    <x v="2"/>
    <n v="5"/>
    <s v="MAGGIO 2024"/>
    <s v="5 MAGGIO 2024"/>
    <x v="7"/>
    <x v="2"/>
    <n v="3.4"/>
    <m/>
    <m/>
    <m/>
  </r>
  <r>
    <x v="82"/>
    <s v="MAGGIO"/>
    <x v="2"/>
    <n v="5"/>
    <s v="MAGGIO 2024"/>
    <s v="5 MAGGIO 2024"/>
    <x v="7"/>
    <x v="2"/>
    <n v="14.74"/>
    <m/>
    <m/>
    <m/>
  </r>
  <r>
    <x v="315"/>
    <s v="MAGGIO"/>
    <x v="2"/>
    <n v="5"/>
    <s v="MAGGIO 2024"/>
    <s v="5 MAGGIO 2024"/>
    <x v="0"/>
    <x v="0"/>
    <n v="16.7"/>
    <m/>
    <m/>
    <m/>
  </r>
  <r>
    <x v="230"/>
    <s v="MAGGIO"/>
    <x v="2"/>
    <n v="5"/>
    <s v="MAGGIO 2024"/>
    <s v="5 MAGGIO 2024"/>
    <x v="7"/>
    <x v="2"/>
    <n v="15.18"/>
    <m/>
    <m/>
    <m/>
  </r>
  <r>
    <x v="6"/>
    <s v="MAGGIO"/>
    <x v="2"/>
    <n v="5"/>
    <s v="MAGGIO 2024"/>
    <s v="5 MAGGIO 2024"/>
    <x v="14"/>
    <x v="2"/>
    <n v="5"/>
    <m/>
    <m/>
    <m/>
  </r>
  <r>
    <x v="316"/>
    <s v="MAGGIO"/>
    <x v="2"/>
    <n v="5"/>
    <s v="MAGGIO 2024"/>
    <s v="5 MAGGIO 2024"/>
    <x v="10"/>
    <x v="6"/>
    <n v="9.99"/>
    <m/>
    <m/>
    <s v="Souvenir Austria"/>
  </r>
  <r>
    <x v="57"/>
    <s v="MAGGIO"/>
    <x v="2"/>
    <n v="5"/>
    <s v="MAGGIO 2024"/>
    <s v="5 MAGGIO 2024"/>
    <x v="15"/>
    <x v="8"/>
    <n v="0.62"/>
    <m/>
    <m/>
    <s v="Commissione Vignetta"/>
  </r>
  <r>
    <x v="57"/>
    <s v="MAGGIO"/>
    <x v="2"/>
    <n v="5"/>
    <s v="MAGGIO 2024"/>
    <s v="5 MAGGIO 2024"/>
    <x v="15"/>
    <x v="8"/>
    <n v="0.62"/>
    <m/>
    <m/>
    <s v="Commissione"/>
  </r>
  <r>
    <x v="57"/>
    <s v="MAGGIO"/>
    <x v="2"/>
    <n v="5"/>
    <s v="MAGGIO 2024"/>
    <s v="5 MAGGIO 2024"/>
    <x v="16"/>
    <x v="5"/>
    <n v="11.5"/>
    <m/>
    <m/>
    <s v="Vignetta"/>
  </r>
  <r>
    <x v="57"/>
    <s v="MAGGIO"/>
    <x v="2"/>
    <n v="5"/>
    <s v="MAGGIO 2024"/>
    <s v="5 MAGGIO 2024"/>
    <x v="0"/>
    <x v="0"/>
    <n v="7.29"/>
    <m/>
    <m/>
    <m/>
  </r>
  <r>
    <x v="91"/>
    <s v="MAGGIO"/>
    <x v="2"/>
    <n v="5"/>
    <s v="MAGGIO 2024"/>
    <s v="5 MAGGIO 2024"/>
    <x v="2"/>
    <x v="2"/>
    <n v="0.4"/>
    <m/>
    <m/>
    <m/>
  </r>
  <r>
    <x v="35"/>
    <s v="MAGGIO"/>
    <x v="2"/>
    <n v="5"/>
    <s v="MAGGIO 2024"/>
    <s v="5 MAGGIO 2024"/>
    <x v="1"/>
    <x v="1"/>
    <n v="15.44"/>
    <m/>
    <m/>
    <m/>
  </r>
  <r>
    <x v="6"/>
    <s v="MAGGIO"/>
    <x v="2"/>
    <n v="5"/>
    <s v="MAGGIO 2024"/>
    <s v="5 MAGGIO 2024"/>
    <x v="0"/>
    <x v="0"/>
    <n v="3.9"/>
    <m/>
    <m/>
    <m/>
  </r>
  <r>
    <x v="317"/>
    <s v="MAGGIO"/>
    <x v="2"/>
    <n v="5"/>
    <s v="MAGGIO 2024"/>
    <s v="5 MAGGIO 2024"/>
    <x v="0"/>
    <x v="0"/>
    <n v="46"/>
    <m/>
    <m/>
    <m/>
  </r>
  <r>
    <x v="6"/>
    <s v="MAGGIO"/>
    <x v="2"/>
    <n v="5"/>
    <s v="MAGGIO 2024"/>
    <s v="5 MAGGIO 2024"/>
    <x v="14"/>
    <x v="2"/>
    <n v="5"/>
    <m/>
    <m/>
    <m/>
  </r>
  <r>
    <x v="112"/>
    <s v="MAGGIO"/>
    <x v="2"/>
    <n v="5"/>
    <s v="MAGGIO 2024"/>
    <s v="5 MAGGIO 2024"/>
    <x v="10"/>
    <x v="6"/>
    <n v="20"/>
    <m/>
    <m/>
    <s v="Regalo Stefano"/>
  </r>
  <r>
    <x v="35"/>
    <s v="MAGGIO"/>
    <x v="2"/>
    <n v="5"/>
    <s v="MAGGIO 2024"/>
    <s v="5 MAGGIO 2024"/>
    <x v="1"/>
    <x v="1"/>
    <n v="22.02"/>
    <m/>
    <m/>
    <m/>
  </r>
  <r>
    <x v="91"/>
    <s v="MAGGIO"/>
    <x v="2"/>
    <n v="5"/>
    <s v="MAGGIO 2024"/>
    <s v="5 MAGGIO 2024"/>
    <x v="2"/>
    <x v="2"/>
    <n v="0.4"/>
    <m/>
    <m/>
    <m/>
  </r>
  <r>
    <x v="17"/>
    <s v="MAGGIO"/>
    <x v="2"/>
    <n v="5"/>
    <s v="MAGGIO 2024"/>
    <s v="5 MAGGIO 2024"/>
    <x v="7"/>
    <x v="2"/>
    <n v="5.19"/>
    <m/>
    <m/>
    <m/>
  </r>
  <r>
    <x v="6"/>
    <s v="MAGGIO"/>
    <x v="2"/>
    <n v="5"/>
    <s v="MAGGIO 2024"/>
    <s v="5 MAGGIO 2024"/>
    <x v="0"/>
    <x v="0"/>
    <n v="2.6"/>
    <m/>
    <m/>
    <m/>
  </r>
  <r>
    <x v="12"/>
    <s v="MAGGIO"/>
    <x v="2"/>
    <n v="5"/>
    <s v="MAGGIO 2024"/>
    <s v="5 MAGGIO 2024"/>
    <x v="7"/>
    <x v="2"/>
    <n v="14.7"/>
    <m/>
    <m/>
    <m/>
  </r>
  <r>
    <x v="318"/>
    <s v="MAGGIO"/>
    <x v="2"/>
    <n v="5"/>
    <s v="MAGGIO 2024"/>
    <s v="5 MAGGIO 2024"/>
    <x v="19"/>
    <x v="6"/>
    <n v="38.9"/>
    <m/>
    <m/>
    <m/>
  </r>
  <r>
    <x v="233"/>
    <s v="MAGGIO"/>
    <x v="2"/>
    <n v="5"/>
    <s v="MAGGIO 2024"/>
    <s v="5 MAGGIO 2024"/>
    <x v="0"/>
    <x v="0"/>
    <n v="7.5"/>
    <m/>
    <m/>
    <m/>
  </r>
  <r>
    <x v="91"/>
    <s v="MAGGIO"/>
    <x v="2"/>
    <n v="5"/>
    <s v="MAGGIO 2024"/>
    <s v="5 MAGGIO 2024"/>
    <x v="2"/>
    <x v="2"/>
    <n v="0.4"/>
    <m/>
    <m/>
    <m/>
  </r>
  <r>
    <x v="6"/>
    <s v="APRILE"/>
    <x v="2"/>
    <n v="4"/>
    <s v="APRILE 2024"/>
    <s v="4 APRILE 2024"/>
    <x v="14"/>
    <x v="2"/>
    <n v="5"/>
    <m/>
    <m/>
    <m/>
  </r>
  <r>
    <x v="82"/>
    <s v="APRILE"/>
    <x v="2"/>
    <n v="4"/>
    <s v="APRILE 2024"/>
    <s v="4 APRILE 2024"/>
    <x v="7"/>
    <x v="2"/>
    <n v="8.44"/>
    <m/>
    <m/>
    <m/>
  </r>
  <r>
    <x v="12"/>
    <s v="APRILE"/>
    <x v="2"/>
    <n v="4"/>
    <s v="APRILE 2024"/>
    <s v="4 APRILE 2024"/>
    <x v="7"/>
    <x v="2"/>
    <n v="15.36"/>
    <m/>
    <m/>
    <m/>
  </r>
  <r>
    <x v="6"/>
    <s v="APRILE"/>
    <x v="2"/>
    <n v="4"/>
    <s v="APRILE 2024"/>
    <s v="4 APRILE 2024"/>
    <x v="14"/>
    <x v="2"/>
    <n v="5"/>
    <m/>
    <m/>
    <m/>
  </r>
  <r>
    <x v="35"/>
    <s v="APRILE"/>
    <x v="2"/>
    <n v="4"/>
    <s v="APRILE 2024"/>
    <s v="4 APRILE 2024"/>
    <x v="1"/>
    <x v="1"/>
    <n v="7.69"/>
    <m/>
    <m/>
    <m/>
  </r>
  <r>
    <x v="91"/>
    <s v="APRILE"/>
    <x v="2"/>
    <n v="4"/>
    <s v="APRILE 2024"/>
    <s v="4 APRILE 2024"/>
    <x v="2"/>
    <x v="2"/>
    <n v="0.4"/>
    <m/>
    <m/>
    <m/>
  </r>
  <r>
    <x v="7"/>
    <s v="APRILE"/>
    <x v="2"/>
    <n v="4"/>
    <s v="APRILE 2024"/>
    <s v="4 APRILE 2024"/>
    <x v="5"/>
    <x v="5"/>
    <n v="254"/>
    <m/>
    <m/>
    <s v="Hotel Lazise"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17"/>
    <s v="APRILE"/>
    <x v="2"/>
    <n v="4"/>
    <s v="APRILE 2024"/>
    <s v="4 APRILE 2024"/>
    <x v="7"/>
    <x v="2"/>
    <n v="5.15"/>
    <m/>
    <m/>
    <m/>
  </r>
  <r>
    <x v="12"/>
    <s v="APRILE"/>
    <x v="2"/>
    <n v="4"/>
    <s v="APRILE 2024"/>
    <s v="4 APRILE 2024"/>
    <x v="7"/>
    <x v="2"/>
    <n v="6.45"/>
    <m/>
    <m/>
    <m/>
  </r>
  <r>
    <x v="319"/>
    <s v="APRILE"/>
    <x v="2"/>
    <n v="4"/>
    <s v="APRILE 2024"/>
    <s v="4 APRILE 2024"/>
    <x v="10"/>
    <x v="6"/>
    <n v="29.95"/>
    <m/>
    <m/>
    <s v="Regalo francesco"/>
  </r>
  <r>
    <x v="82"/>
    <s v="APRILE"/>
    <x v="2"/>
    <n v="4"/>
    <s v="APRILE 2024"/>
    <s v="4 APRILE 2024"/>
    <x v="7"/>
    <x v="2"/>
    <n v="9.94"/>
    <m/>
    <m/>
    <m/>
  </r>
  <r>
    <x v="82"/>
    <s v="APRILE"/>
    <x v="2"/>
    <n v="4"/>
    <s v="APRILE 2024"/>
    <s v="4 APRILE 2024"/>
    <x v="7"/>
    <x v="2"/>
    <n v="1.99"/>
    <m/>
    <m/>
    <m/>
  </r>
  <r>
    <x v="6"/>
    <s v="APRILE"/>
    <x v="2"/>
    <n v="4"/>
    <s v="APRILE 2024"/>
    <s v="4 APRILE 2024"/>
    <x v="14"/>
    <x v="2"/>
    <n v="5"/>
    <m/>
    <m/>
    <m/>
  </r>
  <r>
    <x v="91"/>
    <s v="APRILE"/>
    <x v="2"/>
    <n v="4"/>
    <s v="APRILE 2024"/>
    <s v="4 APRILE 2024"/>
    <x v="2"/>
    <x v="2"/>
    <n v="0.4"/>
    <m/>
    <m/>
    <m/>
  </r>
  <r>
    <x v="17"/>
    <s v="APRILE"/>
    <x v="2"/>
    <n v="4"/>
    <s v="APRILE 2024"/>
    <s v="4 APRILE 2024"/>
    <x v="7"/>
    <x v="2"/>
    <n v="3.4"/>
    <m/>
    <m/>
    <m/>
  </r>
  <r>
    <x v="12"/>
    <s v="APRILE"/>
    <x v="2"/>
    <n v="4"/>
    <s v="APRILE 2024"/>
    <s v="4 APRILE 2024"/>
    <x v="7"/>
    <x v="2"/>
    <n v="17.899999999999999"/>
    <m/>
    <m/>
    <s v="Pasquetta 2024"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91"/>
    <s v="APRILE"/>
    <x v="2"/>
    <n v="4"/>
    <s v="APRILE 2024"/>
    <s v="4 APRILE 2024"/>
    <x v="2"/>
    <x v="2"/>
    <n v="0.4"/>
    <m/>
    <m/>
    <m/>
  </r>
  <r>
    <x v="12"/>
    <s v="APRILE"/>
    <x v="2"/>
    <n v="4"/>
    <s v="APRILE 2024"/>
    <s v="4 APRILE 2024"/>
    <x v="7"/>
    <x v="2"/>
    <n v="10.63"/>
    <m/>
    <m/>
    <s v="Pasquetta 2024"/>
  </r>
  <r>
    <x v="112"/>
    <s v="APRILE"/>
    <x v="2"/>
    <n v="4"/>
    <s v="APRILE 2024"/>
    <s v="4 APRILE 2024"/>
    <x v="1"/>
    <x v="1"/>
    <n v="12"/>
    <m/>
    <m/>
    <s v="Pasquetta 2024"/>
  </r>
  <r>
    <x v="112"/>
    <s v="APRILE"/>
    <x v="2"/>
    <n v="4"/>
    <s v="APRILE 2024"/>
    <s v="4 APRILE 2024"/>
    <x v="1"/>
    <x v="1"/>
    <n v="14.5"/>
    <m/>
    <m/>
    <m/>
  </r>
  <r>
    <x v="35"/>
    <s v="APRILE"/>
    <x v="2"/>
    <n v="4"/>
    <s v="APRILE 2024"/>
    <s v="4 APRILE 2024"/>
    <x v="1"/>
    <x v="1"/>
    <n v="17.12"/>
    <m/>
    <m/>
    <m/>
  </r>
  <r>
    <x v="67"/>
    <s v="APRILE"/>
    <x v="2"/>
    <n v="4"/>
    <s v="APRILE 2024"/>
    <s v="4 APRILE 2024"/>
    <x v="7"/>
    <x v="2"/>
    <n v="64.56"/>
    <m/>
    <m/>
    <s v="Pasquetta 2024"/>
  </r>
  <r>
    <x v="11"/>
    <s v="APRILE"/>
    <x v="2"/>
    <n v="4"/>
    <s v="APRILE 2024"/>
    <s v="4 APRILE 2024"/>
    <x v="0"/>
    <x v="0"/>
    <n v="14"/>
    <m/>
    <m/>
    <m/>
  </r>
  <r>
    <x v="2"/>
    <s v="APRILE"/>
    <x v="2"/>
    <n v="4"/>
    <s v="APRILE 2024"/>
    <s v="4 APRILE 2024"/>
    <x v="8"/>
    <x v="6"/>
    <n v="17.48"/>
    <m/>
    <s v="AMAZON"/>
    <m/>
  </r>
  <r>
    <x v="320"/>
    <s v="APRILE"/>
    <x v="2"/>
    <n v="4"/>
    <s v="APRILE 2024"/>
    <s v="4 APRILE 2024"/>
    <x v="15"/>
    <x v="8"/>
    <n v="20.190000000000001"/>
    <m/>
    <m/>
    <m/>
  </r>
  <r>
    <x v="17"/>
    <s v="APRILE"/>
    <x v="2"/>
    <n v="4"/>
    <s v="APRILE 2024"/>
    <s v="4 APRILE 2024"/>
    <x v="7"/>
    <x v="2"/>
    <n v="32.520000000000003"/>
    <m/>
    <m/>
    <s v="29,97€ di uova di pasqua"/>
  </r>
  <r>
    <x v="2"/>
    <s v="APRILE"/>
    <x v="2"/>
    <n v="4"/>
    <s v="APRILE 2024"/>
    <s v="4 APRILE 2024"/>
    <x v="8"/>
    <x v="6"/>
    <n v="15"/>
    <s v="2/3"/>
    <s v="AMAZON"/>
    <s v="XBOX Controller"/>
  </r>
  <r>
    <x v="6"/>
    <s v="APRILE"/>
    <x v="2"/>
    <n v="4"/>
    <s v="APRILE 2024"/>
    <s v="4 APRILE 2024"/>
    <x v="14"/>
    <x v="2"/>
    <n v="5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12"/>
    <s v="MARZO"/>
    <x v="2"/>
    <n v="3"/>
    <s v="MARZO 2024"/>
    <s v="3 MARZO 2024"/>
    <x v="7"/>
    <x v="2"/>
    <n v="12.13"/>
    <m/>
    <m/>
    <m/>
  </r>
  <r>
    <x v="91"/>
    <s v="MARZO"/>
    <x v="2"/>
    <n v="3"/>
    <s v="MARZO 2024"/>
    <s v="3 MARZO 2024"/>
    <x v="2"/>
    <x v="2"/>
    <n v="0.4"/>
    <m/>
    <m/>
    <m/>
  </r>
  <r>
    <x v="6"/>
    <s v="MARZO"/>
    <x v="2"/>
    <n v="3"/>
    <s v="MARZO 2024"/>
    <s v="3 MARZO 2024"/>
    <x v="14"/>
    <x v="2"/>
    <n v="5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230"/>
    <s v="MARZO"/>
    <x v="2"/>
    <n v="3"/>
    <s v="MARZO 2024"/>
    <s v="3 MARZO 2024"/>
    <x v="7"/>
    <x v="2"/>
    <n v="15.48"/>
    <m/>
    <m/>
    <m/>
  </r>
  <r>
    <x v="2"/>
    <s v="MARZO"/>
    <x v="2"/>
    <n v="3"/>
    <s v="MARZO 2024"/>
    <s v="3 MARZO 2024"/>
    <x v="8"/>
    <x v="6"/>
    <n v="24.68"/>
    <m/>
    <s v="AMAZON"/>
    <m/>
  </r>
  <r>
    <x v="17"/>
    <s v="MARZO"/>
    <x v="2"/>
    <n v="3"/>
    <s v="MARZO 2024"/>
    <s v="3 MARZO 2024"/>
    <x v="7"/>
    <x v="2"/>
    <n v="5.13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321"/>
    <s v="MARZO"/>
    <x v="2"/>
    <n v="3"/>
    <s v="MARZO 2024"/>
    <s v="3 MARZO 2024"/>
    <x v="0"/>
    <x v="0"/>
    <n v="2.39"/>
    <m/>
    <m/>
    <m/>
  </r>
  <r>
    <x v="2"/>
    <s v="MARZO"/>
    <x v="2"/>
    <n v="3"/>
    <s v="MARZO 2024"/>
    <s v="3 MARZO 2024"/>
    <x v="8"/>
    <x v="6"/>
    <n v="15"/>
    <s v="1/3"/>
    <s v="AMAZON"/>
    <s v="XBOX Controller"/>
  </r>
  <r>
    <x v="91"/>
    <s v="MARZO"/>
    <x v="2"/>
    <n v="3"/>
    <s v="MARZO 2024"/>
    <s v="3 MARZO 2024"/>
    <x v="2"/>
    <x v="2"/>
    <n v="0.4"/>
    <m/>
    <m/>
    <m/>
  </r>
  <r>
    <x v="79"/>
    <s v="MARZO"/>
    <x v="2"/>
    <n v="3"/>
    <s v="MARZO 2024"/>
    <s v="3 MARZO 2024"/>
    <x v="3"/>
    <x v="3"/>
    <n v="6.3"/>
    <m/>
    <s v="PAYPAL"/>
    <m/>
  </r>
  <r>
    <x v="12"/>
    <s v="MARZO"/>
    <x v="2"/>
    <n v="3"/>
    <s v="MARZO 2024"/>
    <s v="3 MARZO 2024"/>
    <x v="7"/>
    <x v="2"/>
    <n v="10.82"/>
    <m/>
    <m/>
    <m/>
  </r>
  <r>
    <x v="258"/>
    <s v="MARZO"/>
    <x v="2"/>
    <n v="3"/>
    <s v="MARZO 2024"/>
    <s v="3 MARZO 2024"/>
    <x v="0"/>
    <x v="0"/>
    <n v="7.5"/>
    <m/>
    <m/>
    <m/>
  </r>
  <r>
    <x v="11"/>
    <s v="MARZO"/>
    <x v="2"/>
    <n v="3"/>
    <s v="MARZO 2024"/>
    <s v="3 MARZO 2024"/>
    <x v="0"/>
    <x v="0"/>
    <n v="33"/>
    <m/>
    <m/>
    <m/>
  </r>
  <r>
    <x v="2"/>
    <s v="MARZO"/>
    <x v="2"/>
    <n v="3"/>
    <s v="MARZO 2024"/>
    <s v="3 MARZO 2024"/>
    <x v="8"/>
    <x v="6"/>
    <n v="50"/>
    <m/>
    <s v="AMAZON"/>
    <m/>
  </r>
  <r>
    <x v="8"/>
    <s v="MARZO"/>
    <x v="2"/>
    <n v="3"/>
    <s v="MARZO 2024"/>
    <s v="3 MARZO 2024"/>
    <x v="6"/>
    <x v="2"/>
    <n v="33"/>
    <m/>
    <m/>
    <m/>
  </r>
  <r>
    <x v="6"/>
    <s v="MARZO"/>
    <x v="2"/>
    <n v="3"/>
    <s v="MARZO 2024"/>
    <s v="3 MARZO 2024"/>
    <x v="0"/>
    <x v="0"/>
    <n v="2.6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12"/>
    <s v="MARZO"/>
    <x v="2"/>
    <n v="3"/>
    <s v="MARZO 2024"/>
    <s v="3 MARZO 2024"/>
    <x v="7"/>
    <x v="2"/>
    <n v="7.67"/>
    <m/>
    <m/>
    <m/>
  </r>
  <r>
    <x v="53"/>
    <s v="MARZO"/>
    <x v="2"/>
    <n v="3"/>
    <s v="MARZO 2024"/>
    <s v="3 MARZO 2024"/>
    <x v="1"/>
    <x v="1"/>
    <n v="43.85"/>
    <m/>
    <m/>
    <m/>
  </r>
  <r>
    <x v="11"/>
    <s v="MARZO"/>
    <x v="2"/>
    <n v="3"/>
    <s v="MARZO 2024"/>
    <s v="3 MARZO 2024"/>
    <x v="0"/>
    <x v="0"/>
    <n v="9"/>
    <m/>
    <m/>
    <m/>
  </r>
  <r>
    <x v="17"/>
    <s v="MARZO"/>
    <x v="2"/>
    <n v="3"/>
    <s v="MARZO 2024"/>
    <s v="3 MARZO 2024"/>
    <x v="7"/>
    <x v="2"/>
    <n v="5.4"/>
    <m/>
    <m/>
    <m/>
  </r>
  <r>
    <x v="82"/>
    <s v="MARZO"/>
    <x v="2"/>
    <n v="3"/>
    <s v="MARZO 2024"/>
    <s v="3 MARZO 2024"/>
    <x v="7"/>
    <x v="2"/>
    <n v="11.06"/>
    <m/>
    <m/>
    <m/>
  </r>
  <r>
    <x v="322"/>
    <s v="MARZO"/>
    <x v="2"/>
    <n v="3"/>
    <s v="MARZO 2024"/>
    <s v="3 MARZO 2024"/>
    <x v="0"/>
    <x v="0"/>
    <n v="46"/>
    <m/>
    <m/>
    <m/>
  </r>
  <r>
    <x v="6"/>
    <s v="MARZO"/>
    <x v="2"/>
    <n v="3"/>
    <s v="MARZO 2024"/>
    <s v="3 MARZO 2024"/>
    <x v="14"/>
    <x v="2"/>
    <n v="5"/>
    <m/>
    <m/>
    <m/>
  </r>
  <r>
    <x v="6"/>
    <s v="MARZO"/>
    <x v="2"/>
    <n v="3"/>
    <s v="MARZO 2024"/>
    <s v="3 MARZO 2024"/>
    <x v="0"/>
    <x v="0"/>
    <n v="3.9"/>
    <m/>
    <m/>
    <m/>
  </r>
  <r>
    <x v="91"/>
    <s v="MARZO"/>
    <x v="2"/>
    <n v="3"/>
    <s v="MARZO 2024"/>
    <s v="3 MARZO 2024"/>
    <x v="2"/>
    <x v="2"/>
    <n v="0.4"/>
    <m/>
    <m/>
    <m/>
  </r>
  <r>
    <x v="63"/>
    <s v="MARZO"/>
    <x v="2"/>
    <n v="3"/>
    <s v="MARZO 2024"/>
    <s v="3 MARZO 2024"/>
    <x v="12"/>
    <x v="0"/>
    <n v="31.08"/>
    <s v="3/3"/>
    <s v="PAYPAL"/>
    <m/>
  </r>
  <r>
    <x v="17"/>
    <s v="MARZO"/>
    <x v="2"/>
    <n v="3"/>
    <s v="MARZO 2024"/>
    <s v="3 MARZO 2024"/>
    <x v="7"/>
    <x v="2"/>
    <n v="11.69"/>
    <m/>
    <m/>
    <m/>
  </r>
  <r>
    <x v="12"/>
    <s v="MARZO"/>
    <x v="2"/>
    <n v="3"/>
    <s v="MARZO 2024"/>
    <s v="3 MARZO 2024"/>
    <x v="7"/>
    <x v="2"/>
    <n v="7.66"/>
    <m/>
    <m/>
    <m/>
  </r>
  <r>
    <x v="5"/>
    <s v="MARZO"/>
    <x v="2"/>
    <n v="3"/>
    <s v="MARZO 2024"/>
    <s v="3 MARZO 2024"/>
    <x v="8"/>
    <x v="6"/>
    <n v="6.99"/>
    <m/>
    <s v="REVOLUT"/>
    <m/>
  </r>
  <r>
    <x v="82"/>
    <s v="MARZO"/>
    <x v="2"/>
    <n v="3"/>
    <s v="MARZO 2024"/>
    <s v="3 MARZO 2024"/>
    <x v="7"/>
    <x v="2"/>
    <n v="14.12"/>
    <m/>
    <m/>
    <m/>
  </r>
  <r>
    <x v="2"/>
    <s v="MARZO"/>
    <x v="2"/>
    <n v="3"/>
    <s v="MARZO 2024"/>
    <s v="3 MARZO 2024"/>
    <x v="8"/>
    <x v="6"/>
    <n v="0.99"/>
    <m/>
    <s v="AMAZON"/>
    <m/>
  </r>
  <r>
    <x v="35"/>
    <s v="MARZO"/>
    <x v="2"/>
    <n v="3"/>
    <s v="MARZO 2024"/>
    <s v="3 MARZO 2024"/>
    <x v="1"/>
    <x v="1"/>
    <n v="15.93"/>
    <m/>
    <m/>
    <m/>
  </r>
  <r>
    <x v="17"/>
    <s v="MARZO"/>
    <x v="2"/>
    <n v="3"/>
    <s v="MARZO 2024"/>
    <s v="3 MARZO 2024"/>
    <x v="7"/>
    <x v="2"/>
    <n v="8.65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91"/>
    <s v="MARZO"/>
    <x v="2"/>
    <n v="3"/>
    <s v="MARZO 2024"/>
    <s v="3 MARZO 2024"/>
    <x v="2"/>
    <x v="2"/>
    <n v="0.4"/>
    <m/>
    <m/>
    <m/>
  </r>
  <r>
    <x v="323"/>
    <s v="MARZO"/>
    <x v="2"/>
    <n v="3"/>
    <s v="MARZO 2024"/>
    <s v="3 MARZO 2024"/>
    <x v="12"/>
    <x v="0"/>
    <n v="7.9"/>
    <m/>
    <m/>
    <m/>
  </r>
  <r>
    <x v="323"/>
    <s v="MARZO"/>
    <x v="2"/>
    <n v="3"/>
    <s v="MARZO 2024"/>
    <s v="3 MARZO 2024"/>
    <x v="12"/>
    <x v="0"/>
    <n v="18.8"/>
    <m/>
    <m/>
    <m/>
  </r>
  <r>
    <x v="2"/>
    <s v="FEBBRAIO"/>
    <x v="2"/>
    <n v="2"/>
    <s v="FEBBRAIO 2024"/>
    <s v="2 FEBBRAIO 2024"/>
    <x v="8"/>
    <x v="6"/>
    <n v="0.99"/>
    <m/>
    <s v="AMAZON"/>
    <m/>
  </r>
  <r>
    <x v="12"/>
    <s v="FEBBRAIO"/>
    <x v="2"/>
    <n v="2"/>
    <s v="FEBBRAIO 2024"/>
    <s v="2 FEBBRAIO 2024"/>
    <x v="7"/>
    <x v="2"/>
    <n v="12.91"/>
    <m/>
    <m/>
    <m/>
  </r>
  <r>
    <x v="142"/>
    <s v="FEBBRAIO"/>
    <x v="2"/>
    <n v="2"/>
    <s v="FEBBRAIO 2024"/>
    <s v="2 FEBBRAIO 2024"/>
    <x v="0"/>
    <x v="0"/>
    <n v="75.88"/>
    <m/>
    <m/>
    <m/>
  </r>
  <r>
    <x v="11"/>
    <s v="FEBBRAIO"/>
    <x v="2"/>
    <n v="2"/>
    <s v="FEBBRAIO 2024"/>
    <s v="2 FEBBRAIO 2024"/>
    <x v="0"/>
    <x v="0"/>
    <n v="18"/>
    <m/>
    <m/>
    <m/>
  </r>
  <r>
    <x v="254"/>
    <s v="FEBBRAIO"/>
    <x v="2"/>
    <n v="2"/>
    <s v="FEBBRAIO 2024"/>
    <s v="2 FEBBRAIO 2024"/>
    <x v="0"/>
    <x v="0"/>
    <n v="15"/>
    <m/>
    <m/>
    <m/>
  </r>
  <r>
    <x v="324"/>
    <s v="FEBBRAIO"/>
    <x v="2"/>
    <n v="2"/>
    <s v="FEBBRAIO 2024"/>
    <s v="2 FEBBRAIO 2024"/>
    <x v="0"/>
    <x v="0"/>
    <n v="82.6"/>
    <m/>
    <m/>
    <m/>
  </r>
  <r>
    <x v="11"/>
    <s v="FEBBRAIO"/>
    <x v="2"/>
    <n v="2"/>
    <s v="FEBBRAIO 2024"/>
    <s v="2 FEBBRAIO 2024"/>
    <x v="0"/>
    <x v="0"/>
    <n v="15.5"/>
    <m/>
    <m/>
    <m/>
  </r>
  <r>
    <x v="17"/>
    <s v="FEBBRAIO"/>
    <x v="2"/>
    <n v="2"/>
    <s v="FEBBRAIO 2024"/>
    <s v="2 FEBBRAIO 2024"/>
    <x v="7"/>
    <x v="2"/>
    <n v="6.46"/>
    <m/>
    <m/>
    <m/>
  </r>
  <r>
    <x v="82"/>
    <s v="FEBBRAIO"/>
    <x v="2"/>
    <n v="2"/>
    <s v="FEBBRAIO 2024"/>
    <s v="2 FEBBRAIO 2024"/>
    <x v="7"/>
    <x v="2"/>
    <n v="5.86"/>
    <m/>
    <m/>
    <m/>
  </r>
  <r>
    <x v="6"/>
    <s v="FEBBRAIO"/>
    <x v="2"/>
    <n v="2"/>
    <s v="FEBBRAIO 2024"/>
    <s v="2 FEBBRAIO 2024"/>
    <x v="14"/>
    <x v="2"/>
    <n v="5"/>
    <m/>
    <m/>
    <m/>
  </r>
  <r>
    <x v="311"/>
    <s v="FEBBRAIO"/>
    <x v="2"/>
    <n v="2"/>
    <s v="FEBBRAIO 2024"/>
    <s v="2 FEBBRAIO 2024"/>
    <x v="0"/>
    <x v="0"/>
    <n v="18"/>
    <m/>
    <m/>
    <m/>
  </r>
  <r>
    <x v="325"/>
    <s v="FEBBRAIO"/>
    <x v="2"/>
    <n v="2"/>
    <s v="FEBBRAIO 2024"/>
    <s v="2 FEBBRAIO 2024"/>
    <x v="8"/>
    <x v="6"/>
    <n v="1"/>
    <m/>
    <m/>
    <m/>
  </r>
  <r>
    <x v="12"/>
    <s v="FEBBRAIO"/>
    <x v="2"/>
    <n v="2"/>
    <s v="FEBBRAIO 2024"/>
    <s v="2 FEBBRAIO 2024"/>
    <x v="7"/>
    <x v="2"/>
    <n v="8.06"/>
    <m/>
    <m/>
    <m/>
  </r>
  <r>
    <x v="2"/>
    <s v="FEBBRAIO"/>
    <x v="2"/>
    <n v="2"/>
    <s v="FEBBRAIO 2024"/>
    <s v="2 FEBBRAIO 2024"/>
    <x v="8"/>
    <x v="6"/>
    <n v="29.99"/>
    <m/>
    <s v="AMAZON"/>
    <m/>
  </r>
  <r>
    <x v="326"/>
    <s v="FEBBRAIO"/>
    <x v="2"/>
    <n v="2"/>
    <s v="FEBBRAIO 2024"/>
    <s v="2 FEBBRAIO 2024"/>
    <x v="0"/>
    <x v="0"/>
    <n v="35"/>
    <m/>
    <m/>
    <m/>
  </r>
  <r>
    <x v="17"/>
    <s v="FEBBRAIO"/>
    <x v="2"/>
    <n v="2"/>
    <s v="FEBBRAIO 2024"/>
    <s v="2 FEBBRAIO 2024"/>
    <x v="7"/>
    <x v="2"/>
    <n v="3.4"/>
    <m/>
    <m/>
    <m/>
  </r>
  <r>
    <x v="6"/>
    <s v="FEBBRAIO"/>
    <x v="2"/>
    <n v="2"/>
    <s v="FEBBRAIO 2024"/>
    <s v="2 FEBBRAIO 2024"/>
    <x v="0"/>
    <x v="0"/>
    <n v="3.9"/>
    <m/>
    <m/>
    <m/>
  </r>
  <r>
    <x v="327"/>
    <s v="FEBBRAIO"/>
    <x v="2"/>
    <n v="2"/>
    <s v="FEBBRAIO 2024"/>
    <s v="2 FEBBRAIO 2024"/>
    <x v="0"/>
    <x v="0"/>
    <n v="16"/>
    <m/>
    <m/>
    <m/>
  </r>
  <r>
    <x v="12"/>
    <s v="FEBBRAIO"/>
    <x v="2"/>
    <n v="2"/>
    <s v="FEBBRAIO 2024"/>
    <s v="2 FEBBRAIO 2024"/>
    <x v="7"/>
    <x v="2"/>
    <n v="13.78"/>
    <m/>
    <m/>
    <m/>
  </r>
  <r>
    <x v="328"/>
    <s v="FEBBRAIO"/>
    <x v="2"/>
    <n v="2"/>
    <s v="FEBBRAIO 2024"/>
    <s v="2 FEBBRAIO 2024"/>
    <x v="0"/>
    <x v="0"/>
    <n v="20"/>
    <m/>
    <m/>
    <m/>
  </r>
  <r>
    <x v="18"/>
    <s v="FEBBRAIO"/>
    <x v="2"/>
    <n v="2"/>
    <s v="FEBBRAIO 2024"/>
    <s v="2 FEBBRAIO 2024"/>
    <x v="0"/>
    <x v="0"/>
    <n v="22"/>
    <m/>
    <m/>
    <m/>
  </r>
  <r>
    <x v="35"/>
    <s v="FEBBRAIO"/>
    <x v="2"/>
    <n v="2"/>
    <s v="FEBBRAIO 2024"/>
    <s v="2 FEBBRAIO 2024"/>
    <x v="1"/>
    <x v="1"/>
    <n v="4.99"/>
    <m/>
    <m/>
    <m/>
  </r>
  <r>
    <x v="91"/>
    <s v="FEBBRAIO"/>
    <x v="2"/>
    <n v="2"/>
    <s v="FEBBRAIO 2024"/>
    <s v="2 FEBBRAIO 2024"/>
    <x v="2"/>
    <x v="2"/>
    <n v="0.4"/>
    <m/>
    <m/>
    <m/>
  </r>
  <r>
    <x v="91"/>
    <s v="FEBBRAIO"/>
    <x v="2"/>
    <n v="2"/>
    <s v="FEBBRAIO 2024"/>
    <s v="2 FEBBRAIO 2024"/>
    <x v="2"/>
    <x v="2"/>
    <n v="0.4"/>
    <m/>
    <m/>
    <m/>
  </r>
  <r>
    <x v="91"/>
    <s v="FEBBRAIO"/>
    <x v="2"/>
    <n v="2"/>
    <s v="FEBBRAIO 2024"/>
    <s v="2 FEBBRAIO 2024"/>
    <x v="2"/>
    <x v="2"/>
    <n v="0.4"/>
    <m/>
    <m/>
    <m/>
  </r>
  <r>
    <x v="91"/>
    <s v="FEBBRAIO"/>
    <x v="2"/>
    <n v="2"/>
    <s v="FEBBRAIO 2024"/>
    <s v="2 FEBBRAIO 2024"/>
    <x v="2"/>
    <x v="2"/>
    <n v="0.4"/>
    <m/>
    <m/>
    <m/>
  </r>
  <r>
    <x v="8"/>
    <s v="FEBBRAIO"/>
    <x v="2"/>
    <n v="2"/>
    <s v="FEBBRAIO 2024"/>
    <s v="2 FEBBRAIO 2024"/>
    <x v="6"/>
    <x v="2"/>
    <n v="33"/>
    <m/>
    <m/>
    <m/>
  </r>
  <r>
    <x v="63"/>
    <s v="FEBBRAIO"/>
    <x v="2"/>
    <n v="2"/>
    <s v="FEBBRAIO 2024"/>
    <s v="2 FEBBRAIO 2024"/>
    <x v="12"/>
    <x v="0"/>
    <n v="31.09"/>
    <s v="2/3"/>
    <s v="PAYPAL"/>
    <m/>
  </r>
  <r>
    <x v="53"/>
    <s v="FEBBRAIO"/>
    <x v="2"/>
    <n v="2"/>
    <s v="FEBBRAIO 2024"/>
    <s v="2 FEBBRAIO 2024"/>
    <x v="1"/>
    <x v="1"/>
    <n v="22.16"/>
    <m/>
    <m/>
    <m/>
  </r>
  <r>
    <x v="35"/>
    <s v="FEBBRAIO"/>
    <x v="2"/>
    <n v="2"/>
    <s v="FEBBRAIO 2024"/>
    <s v="2 FEBBRAIO 2024"/>
    <x v="1"/>
    <x v="1"/>
    <n v="19.690000000000001"/>
    <m/>
    <m/>
    <m/>
  </r>
  <r>
    <x v="82"/>
    <s v="FEBBRAIO"/>
    <x v="2"/>
    <n v="2"/>
    <s v="FEBBRAIO 2024"/>
    <s v="2 FEBBRAIO 2024"/>
    <x v="7"/>
    <x v="2"/>
    <n v="20.73"/>
    <m/>
    <m/>
    <m/>
  </r>
  <r>
    <x v="12"/>
    <s v="FEBBRAIO"/>
    <x v="2"/>
    <n v="2"/>
    <s v="FEBBRAIO 2024"/>
    <s v="2 FEBBRAIO 2024"/>
    <x v="7"/>
    <x v="2"/>
    <n v="8.76"/>
    <m/>
    <m/>
    <m/>
  </r>
  <r>
    <x v="17"/>
    <s v="FEBBRAIO"/>
    <x v="2"/>
    <n v="2"/>
    <s v="FEBBRAIO 2024"/>
    <s v="2 FEBBRAIO 2024"/>
    <x v="7"/>
    <x v="2"/>
    <n v="11.15"/>
    <m/>
    <m/>
    <m/>
  </r>
  <r>
    <x v="91"/>
    <s v="FEBBRAIO"/>
    <x v="2"/>
    <n v="2"/>
    <s v="FEBBRAIO 2024"/>
    <s v="2 FEBBRAIO 2024"/>
    <x v="2"/>
    <x v="2"/>
    <n v="1.5"/>
    <m/>
    <m/>
    <m/>
  </r>
  <r>
    <x v="91"/>
    <s v="FEBBRAIO"/>
    <x v="2"/>
    <n v="2"/>
    <s v="FEBBRAIO 2024"/>
    <s v="2 FEBBRAIO 2024"/>
    <x v="2"/>
    <x v="2"/>
    <n v="1.3"/>
    <m/>
    <m/>
    <m/>
  </r>
  <r>
    <x v="91"/>
    <s v="FEBBRAIO"/>
    <x v="2"/>
    <n v="2"/>
    <s v="FEBBRAIO 2024"/>
    <s v="2 FEBBR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12"/>
    <s v="GENNAIO"/>
    <x v="2"/>
    <n v="1"/>
    <s v="GENNAIO 2024"/>
    <s v="1 GENNAIO 2024"/>
    <x v="7"/>
    <x v="2"/>
    <n v="11.69"/>
    <m/>
    <m/>
    <m/>
  </r>
  <r>
    <x v="6"/>
    <s v="GENNAIO"/>
    <x v="2"/>
    <n v="1"/>
    <s v="GENNAIO 2024"/>
    <s v="1 GENNAIO 2024"/>
    <x v="14"/>
    <x v="2"/>
    <n v="5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91"/>
    <s v="GENNAIO"/>
    <x v="2"/>
    <n v="1"/>
    <s v="GENNAIO 2024"/>
    <s v="1 GENNAIO 2024"/>
    <x v="2"/>
    <x v="2"/>
    <n v="0.4"/>
    <m/>
    <m/>
    <m/>
  </r>
  <r>
    <x v="82"/>
    <s v="GENNAIO"/>
    <x v="2"/>
    <n v="1"/>
    <s v="GENNAIO 2024"/>
    <s v="1 GENNAIO 2024"/>
    <x v="7"/>
    <x v="2"/>
    <n v="8.33"/>
    <m/>
    <m/>
    <m/>
  </r>
  <r>
    <x v="6"/>
    <s v="GENNAIO"/>
    <x v="2"/>
    <n v="1"/>
    <s v="GENNAIO 2024"/>
    <s v="1 GENNAIO 2024"/>
    <x v="0"/>
    <x v="0"/>
    <n v="3.9"/>
    <m/>
    <m/>
    <m/>
  </r>
  <r>
    <x v="254"/>
    <s v="GENNAIO"/>
    <x v="2"/>
    <n v="1"/>
    <s v="GENNAIO 2024"/>
    <s v="1 GENNAIO 2024"/>
    <x v="0"/>
    <x v="0"/>
    <n v="16"/>
    <m/>
    <m/>
    <m/>
  </r>
  <r>
    <x v="69"/>
    <s v="GENNAIO"/>
    <x v="2"/>
    <n v="1"/>
    <s v="GENNAIO 2024"/>
    <s v="1 GENNAIO 2024"/>
    <x v="0"/>
    <x v="0"/>
    <n v="56"/>
    <m/>
    <m/>
    <m/>
  </r>
  <r>
    <x v="2"/>
    <s v="GENNAIO"/>
    <x v="2"/>
    <n v="1"/>
    <s v="GENNAIO 2024"/>
    <s v="1 GENNAIO 2024"/>
    <x v="8"/>
    <x v="6"/>
    <n v="30.1"/>
    <m/>
    <s v="AMAZON"/>
    <m/>
  </r>
  <r>
    <x v="53"/>
    <s v="GENNAIO"/>
    <x v="2"/>
    <n v="1"/>
    <s v="GENNAIO 2024"/>
    <s v="1 GENNAIO 2024"/>
    <x v="1"/>
    <x v="1"/>
    <n v="13.7"/>
    <m/>
    <m/>
    <m/>
  </r>
  <r>
    <x v="17"/>
    <s v="GENNAIO"/>
    <x v="2"/>
    <n v="1"/>
    <s v="GENNAIO 2024"/>
    <s v="1 GENNAIO 2024"/>
    <x v="7"/>
    <x v="2"/>
    <n v="21.23"/>
    <m/>
    <m/>
    <m/>
  </r>
  <r>
    <x v="311"/>
    <s v="GENNAIO"/>
    <x v="2"/>
    <n v="1"/>
    <s v="GENNAIO 2024"/>
    <s v="1 GENNAIO 2024"/>
    <x v="0"/>
    <x v="0"/>
    <n v="19"/>
    <m/>
    <m/>
    <m/>
  </r>
  <r>
    <x v="35"/>
    <s v="GENNAIO"/>
    <x v="2"/>
    <n v="1"/>
    <s v="GENNAIO 2024"/>
    <s v="1 GENNAIO 2024"/>
    <x v="1"/>
    <x v="1"/>
    <n v="12.69"/>
    <m/>
    <m/>
    <m/>
  </r>
  <r>
    <x v="63"/>
    <s v="GENNAIO"/>
    <x v="2"/>
    <n v="1"/>
    <s v="GENNAIO 2024"/>
    <s v="1 GENNAIO 2024"/>
    <x v="12"/>
    <x v="0"/>
    <n v="31.09"/>
    <s v="1/3"/>
    <s v="PAYPAL"/>
    <m/>
  </r>
  <r>
    <x v="277"/>
    <s v="GENNAIO"/>
    <x v="2"/>
    <n v="1"/>
    <s v="GENNAIO 2024"/>
    <s v="1 GENNAIO 2024"/>
    <x v="22"/>
    <x v="6"/>
    <n v="23.32"/>
    <s v="3/3"/>
    <s v="PAYPAL"/>
    <m/>
  </r>
  <r>
    <x v="142"/>
    <s v="GENNAIO"/>
    <x v="2"/>
    <n v="1"/>
    <s v="GENNAIO 2024"/>
    <s v="1 GENNAIO 2024"/>
    <x v="0"/>
    <x v="0"/>
    <n v="59"/>
    <m/>
    <m/>
    <m/>
  </r>
  <r>
    <x v="21"/>
    <s v="GENNAIO"/>
    <x v="2"/>
    <n v="1"/>
    <s v="GENNAIO 2024"/>
    <s v="1 GENNAIO 2024"/>
    <x v="9"/>
    <x v="3"/>
    <n v="27"/>
    <m/>
    <m/>
    <m/>
  </r>
  <r>
    <x v="329"/>
    <s v="GENNAIO"/>
    <x v="2"/>
    <n v="1"/>
    <s v="GENNAIO 2024"/>
    <s v="1 GENNAIO 2024"/>
    <x v="0"/>
    <x v="0"/>
    <n v="24.2"/>
    <m/>
    <m/>
    <m/>
  </r>
  <r>
    <x v="76"/>
    <s v="GENNAIO"/>
    <x v="2"/>
    <n v="1"/>
    <s v="GENNAIO 2024"/>
    <s v="1 GENNAIO 2024"/>
    <x v="0"/>
    <x v="0"/>
    <n v="25.2"/>
    <m/>
    <m/>
    <m/>
  </r>
  <r>
    <x v="82"/>
    <s v="GENNAIO"/>
    <x v="2"/>
    <n v="1"/>
    <s v="GENNAIO 2024"/>
    <s v="1 GENNAIO 2024"/>
    <x v="7"/>
    <x v="2"/>
    <n v="26.56"/>
    <m/>
    <m/>
    <m/>
  </r>
  <r>
    <x v="330"/>
    <s v="GENNAIO"/>
    <x v="2"/>
    <n v="1"/>
    <s v="GENNAIO 2024"/>
    <s v="1 GENNAIO 2024"/>
    <x v="1"/>
    <x v="1"/>
    <n v="43.27"/>
    <s v="3/3"/>
    <s v="PAYPAL"/>
    <m/>
  </r>
  <r>
    <x v="17"/>
    <s v="GENNAIO"/>
    <x v="2"/>
    <n v="1"/>
    <s v="GENNAIO 2024"/>
    <s v="1 GENNAIO 2024"/>
    <x v="7"/>
    <x v="2"/>
    <n v="4.4000000000000004"/>
    <m/>
    <m/>
    <m/>
  </r>
  <r>
    <x v="331"/>
    <s v="DICEMBRE"/>
    <x v="3"/>
    <n v="12"/>
    <s v="DICEMBRE 2023"/>
    <s v="12 DICEMBRE 2023"/>
    <x v="10"/>
    <x v="6"/>
    <n v="11"/>
    <m/>
    <m/>
    <s v="Regali natale 2023"/>
  </r>
  <r>
    <x v="145"/>
    <s v="DICEMBRE"/>
    <x v="3"/>
    <n v="12"/>
    <s v="DICEMBRE 2023"/>
    <s v="12 DICEMBRE 2023"/>
    <x v="10"/>
    <x v="6"/>
    <n v="44.99"/>
    <m/>
    <m/>
    <s v="Regali natale 2023"/>
  </r>
  <r>
    <x v="144"/>
    <s v="DICEMBRE"/>
    <x v="3"/>
    <n v="12"/>
    <s v="DICEMBRE 2023"/>
    <s v="12 DICEMBRE 2023"/>
    <x v="23"/>
    <x v="6"/>
    <n v="15.9"/>
    <m/>
    <m/>
    <s v="Regali natale 2023"/>
  </r>
  <r>
    <x v="332"/>
    <s v="DICEMBRE"/>
    <x v="3"/>
    <n v="12"/>
    <s v="DICEMBRE 2023"/>
    <s v="12 DICEMBRE 2023"/>
    <x v="10"/>
    <x v="6"/>
    <n v="67"/>
    <m/>
    <m/>
    <s v="Regali natale 2023"/>
  </r>
  <r>
    <x v="224"/>
    <s v="DICEMBRE"/>
    <x v="3"/>
    <n v="12"/>
    <s v="DICEMBRE 2023"/>
    <s v="12 DICEMBRE 2023"/>
    <x v="10"/>
    <x v="6"/>
    <n v="37.9"/>
    <m/>
    <m/>
    <s v="Regali natale 2023"/>
  </r>
  <r>
    <x v="6"/>
    <s v="DICEMBRE"/>
    <x v="3"/>
    <n v="12"/>
    <s v="DICEMBRE 2023"/>
    <s v="12 DICEMBRE 2023"/>
    <x v="0"/>
    <x v="0"/>
    <n v="23"/>
    <m/>
    <m/>
    <m/>
  </r>
  <r>
    <x v="82"/>
    <s v="DICEMBRE"/>
    <x v="3"/>
    <n v="12"/>
    <s v="DICEMBRE 2023"/>
    <s v="12 DICEMBRE 2023"/>
    <x v="7"/>
    <x v="2"/>
    <n v="9.0399999999999991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2"/>
    <s v="DICEMBRE"/>
    <x v="3"/>
    <n v="12"/>
    <s v="DICEMBRE 2023"/>
    <s v="12 DICEMBRE 2023"/>
    <x v="10"/>
    <x v="6"/>
    <n v="22.49"/>
    <m/>
    <s v="AMAZON"/>
    <s v="Regali natale 2023"/>
  </r>
  <r>
    <x v="76"/>
    <s v="DICEMBRE"/>
    <x v="3"/>
    <n v="12"/>
    <s v="DICEMBRE 2023"/>
    <s v="12 DICEMBRE 2023"/>
    <x v="0"/>
    <x v="0"/>
    <n v="26.2"/>
    <m/>
    <m/>
    <m/>
  </r>
  <r>
    <x v="333"/>
    <s v="DICEMBRE"/>
    <x v="3"/>
    <n v="12"/>
    <s v="DICEMBRE 2023"/>
    <s v="12 DICEMBRE 2023"/>
    <x v="7"/>
    <x v="2"/>
    <n v="6.78"/>
    <m/>
    <m/>
    <s v="compleanno"/>
  </r>
  <r>
    <x v="6"/>
    <s v="DICEMBRE"/>
    <x v="3"/>
    <n v="12"/>
    <s v="DICEMBRE 2023"/>
    <s v="12 DICEMBRE 2023"/>
    <x v="14"/>
    <x v="2"/>
    <n v="5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91"/>
    <s v="DICEMBRE"/>
    <x v="3"/>
    <n v="12"/>
    <s v="DICEMBRE 2023"/>
    <s v="12 DICEMBRE 2023"/>
    <x v="2"/>
    <x v="2"/>
    <n v="0.4"/>
    <m/>
    <m/>
    <m/>
  </r>
  <r>
    <x v="259"/>
    <s v="DICEMBRE"/>
    <x v="3"/>
    <n v="12"/>
    <s v="DICEMBRE 2023"/>
    <s v="12 DICEMBRE 2023"/>
    <x v="7"/>
    <x v="2"/>
    <n v="34"/>
    <m/>
    <m/>
    <s v="compleanno"/>
  </r>
  <r>
    <x v="35"/>
    <s v="DICEMBRE"/>
    <x v="3"/>
    <n v="12"/>
    <s v="DICEMBRE 2023"/>
    <s v="12 DICEMBRE 2023"/>
    <x v="1"/>
    <x v="1"/>
    <n v="5.98"/>
    <m/>
    <m/>
    <m/>
  </r>
  <r>
    <x v="55"/>
    <s v="DICEMBRE"/>
    <x v="3"/>
    <n v="12"/>
    <s v="DICEMBRE 2023"/>
    <s v="12 DICEMBRE 2023"/>
    <x v="7"/>
    <x v="2"/>
    <n v="22.36"/>
    <m/>
    <m/>
    <s v="compleanno"/>
  </r>
  <r>
    <x v="82"/>
    <s v="DICEMBRE"/>
    <x v="3"/>
    <n v="12"/>
    <s v="DICEMBRE 2023"/>
    <s v="12 DICEMBRE 2023"/>
    <x v="7"/>
    <x v="2"/>
    <n v="24.35"/>
    <m/>
    <m/>
    <s v="compleanno"/>
  </r>
  <r>
    <x v="2"/>
    <s v="DICEMBRE"/>
    <x v="3"/>
    <n v="12"/>
    <s v="DICEMBRE 2023"/>
    <s v="12 DICEMBRE 2023"/>
    <x v="10"/>
    <x v="6"/>
    <n v="56.91"/>
    <m/>
    <s v="AMAZON"/>
    <s v="Regali natale 2023"/>
  </r>
  <r>
    <x v="334"/>
    <s v="DICEMBRE"/>
    <x v="3"/>
    <n v="12"/>
    <s v="DICEMBRE 2023"/>
    <s v="12 DICEMBRE 2023"/>
    <x v="0"/>
    <x v="0"/>
    <n v="6"/>
    <m/>
    <m/>
    <m/>
  </r>
  <r>
    <x v="335"/>
    <s v="DICEMBRE"/>
    <x v="3"/>
    <n v="12"/>
    <s v="DICEMBRE 2023"/>
    <s v="12 DICEMBRE 2023"/>
    <x v="0"/>
    <x v="0"/>
    <n v="69"/>
    <m/>
    <m/>
    <m/>
  </r>
  <r>
    <x v="336"/>
    <s v="DICEMBRE"/>
    <x v="3"/>
    <n v="12"/>
    <s v="DICEMBRE 2023"/>
    <s v="12 DICEMBRE 2023"/>
    <x v="0"/>
    <x v="0"/>
    <n v="12"/>
    <m/>
    <m/>
    <m/>
  </r>
  <r>
    <x v="8"/>
    <s v="DICEMBRE"/>
    <x v="3"/>
    <n v="12"/>
    <s v="DICEMBRE 2023"/>
    <s v="12 DICEMBRE 2023"/>
    <x v="6"/>
    <x v="2"/>
    <n v="33"/>
    <m/>
    <m/>
    <m/>
  </r>
  <r>
    <x v="2"/>
    <s v="DICEMBRE"/>
    <x v="3"/>
    <n v="12"/>
    <s v="DICEMBRE 2023"/>
    <s v="12 DICEMBRE 2023"/>
    <x v="8"/>
    <x v="6"/>
    <n v="18.989999999999998"/>
    <m/>
    <s v="AMAZON"/>
    <m/>
  </r>
  <r>
    <x v="7"/>
    <s v="DICEMBRE"/>
    <x v="3"/>
    <n v="12"/>
    <s v="DICEMBRE 2023"/>
    <s v="12 DICEMBRE 2023"/>
    <x v="5"/>
    <x v="5"/>
    <n v="350.78"/>
    <m/>
    <m/>
    <m/>
  </r>
  <r>
    <x v="2"/>
    <s v="DICEMBRE"/>
    <x v="3"/>
    <n v="12"/>
    <s v="DICEMBRE 2023"/>
    <s v="12 DICEMBRE 2023"/>
    <x v="8"/>
    <x v="6"/>
    <n v="20.99"/>
    <m/>
    <s v="AMAZON"/>
    <m/>
  </r>
  <r>
    <x v="12"/>
    <s v="DICEMBRE"/>
    <x v="3"/>
    <n v="12"/>
    <s v="DICEMBRE 2023"/>
    <s v="12 DICEMBRE 2023"/>
    <x v="7"/>
    <x v="2"/>
    <n v="16.84"/>
    <m/>
    <m/>
    <m/>
  </r>
  <r>
    <x v="337"/>
    <s v="DICEMBRE"/>
    <x v="3"/>
    <n v="12"/>
    <s v="DICEMBRE 2023"/>
    <s v="12 DICEMBRE 2023"/>
    <x v="11"/>
    <x v="6"/>
    <n v="27.19"/>
    <m/>
    <m/>
    <m/>
  </r>
  <r>
    <x v="61"/>
    <s v="DICEMBRE"/>
    <x v="3"/>
    <n v="12"/>
    <s v="DICEMBRE 2023"/>
    <s v="12 DICEMBRE 2023"/>
    <x v="11"/>
    <x v="6"/>
    <n v="21.63"/>
    <m/>
    <m/>
    <m/>
  </r>
  <r>
    <x v="35"/>
    <s v="DICEMBRE"/>
    <x v="3"/>
    <n v="12"/>
    <s v="DICEMBRE 2023"/>
    <s v="12 DICEMBRE 2023"/>
    <x v="1"/>
    <x v="1"/>
    <n v="15.57"/>
    <m/>
    <m/>
    <m/>
  </r>
  <r>
    <x v="82"/>
    <s v="DICEMBRE"/>
    <x v="3"/>
    <n v="12"/>
    <s v="DICEMBRE 2023"/>
    <s v="12 DICEMBRE 2023"/>
    <x v="7"/>
    <x v="2"/>
    <n v="26.62"/>
    <m/>
    <m/>
    <m/>
  </r>
  <r>
    <x v="338"/>
    <s v="DICEMBRE"/>
    <x v="3"/>
    <n v="12"/>
    <s v="DICEMBRE 2023"/>
    <s v="12 DICEMBRE 2023"/>
    <x v="5"/>
    <x v="5"/>
    <n v="2"/>
    <m/>
    <m/>
    <m/>
  </r>
  <r>
    <x v="277"/>
    <s v="DICEMBRE"/>
    <x v="3"/>
    <n v="12"/>
    <s v="DICEMBRE 2023"/>
    <s v="12 DICEMBRE 2023"/>
    <x v="22"/>
    <x v="6"/>
    <n v="23.33"/>
    <s v="2/3"/>
    <s v="PAYPAL"/>
    <m/>
  </r>
  <r>
    <x v="330"/>
    <s v="DICEMBRE"/>
    <x v="3"/>
    <n v="12"/>
    <s v="DICEMBRE 2023"/>
    <s v="12 DICEMBRE 2023"/>
    <x v="1"/>
    <x v="1"/>
    <n v="43.27"/>
    <s v="2/3"/>
    <s v="PAYPAL"/>
    <m/>
  </r>
  <r>
    <x v="339"/>
    <s v="DICEMBRE"/>
    <x v="3"/>
    <n v="12"/>
    <s v="DICEMBRE 2023"/>
    <s v="12 DICEMBRE 2023"/>
    <x v="0"/>
    <x v="0"/>
    <n v="1.7"/>
    <m/>
    <m/>
    <m/>
  </r>
  <r>
    <x v="340"/>
    <s v="DICEMBRE"/>
    <x v="3"/>
    <n v="12"/>
    <s v="DICEMBRE 2023"/>
    <s v="12 DICEMBRE 2023"/>
    <x v="23"/>
    <x v="6"/>
    <n v="30.45"/>
    <m/>
    <m/>
    <m/>
  </r>
  <r>
    <x v="341"/>
    <s v="DICEMBRE"/>
    <x v="3"/>
    <n v="12"/>
    <s v="DICEMBRE 2023"/>
    <s v="12 DICEMBRE 2023"/>
    <x v="23"/>
    <x v="6"/>
    <n v="20.399999999999999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6"/>
    <s v="NOVEMBRE"/>
    <x v="3"/>
    <n v="11"/>
    <s v="NOVEMBRE 2023"/>
    <s v="11 NOVEMBRE 2023"/>
    <x v="14"/>
    <x v="2"/>
    <n v="5"/>
    <m/>
    <m/>
    <m/>
  </r>
  <r>
    <x v="76"/>
    <s v="NOVEMBRE"/>
    <x v="3"/>
    <n v="11"/>
    <s v="NOVEMBRE 2023"/>
    <s v="11 NOVEMBRE 2023"/>
    <x v="0"/>
    <x v="0"/>
    <n v="28.3"/>
    <m/>
    <m/>
    <m/>
  </r>
  <r>
    <x v="6"/>
    <s v="NOVEMBRE"/>
    <x v="3"/>
    <n v="11"/>
    <s v="NOVEMBRE 2023"/>
    <s v="11 NOVEMBRE 2023"/>
    <x v="14"/>
    <x v="2"/>
    <n v="5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2"/>
    <s v="NOVEMBRE"/>
    <x v="3"/>
    <n v="11"/>
    <s v="NOVEMBRE 2023"/>
    <s v="11 NOVEMBRE 2023"/>
    <x v="8"/>
    <x v="6"/>
    <n v="1.26"/>
    <m/>
    <s v="AMAZON"/>
    <m/>
  </r>
  <r>
    <x v="53"/>
    <s v="NOVEMBRE"/>
    <x v="3"/>
    <n v="11"/>
    <s v="NOVEMBRE 2023"/>
    <s v="11 NOVEMBRE 2023"/>
    <x v="1"/>
    <x v="1"/>
    <n v="9.9"/>
    <m/>
    <m/>
    <m/>
  </r>
  <r>
    <x v="2"/>
    <s v="NOVEMBRE"/>
    <x v="3"/>
    <n v="11"/>
    <s v="NOVEMBRE 2023"/>
    <s v="11 NOVEMBRE 2023"/>
    <x v="11"/>
    <x v="6"/>
    <n v="23"/>
    <m/>
    <s v="AMAZON"/>
    <m/>
  </r>
  <r>
    <x v="82"/>
    <s v="NOVEMBRE"/>
    <x v="3"/>
    <n v="11"/>
    <s v="NOVEMBRE 2023"/>
    <s v="11 NOVEMBRE 2023"/>
    <x v="7"/>
    <x v="2"/>
    <n v="9.0399999999999991"/>
    <m/>
    <m/>
    <m/>
  </r>
  <r>
    <x v="277"/>
    <s v="NOVEMBRE"/>
    <x v="3"/>
    <n v="11"/>
    <s v="NOVEMBRE 2023"/>
    <s v="11 NOVEMBRE 2023"/>
    <x v="22"/>
    <x v="6"/>
    <n v="23.32"/>
    <s v="1/3"/>
    <s v="PAYPAL"/>
    <m/>
  </r>
  <r>
    <x v="325"/>
    <s v="NOVEMBRE"/>
    <x v="3"/>
    <n v="11"/>
    <s v="NOVEMBRE 2023"/>
    <s v="11 NOVEMBRE 2023"/>
    <x v="22"/>
    <x v="6"/>
    <n v="9.99"/>
    <m/>
    <s v="PAYPAL"/>
    <m/>
  </r>
  <r>
    <x v="53"/>
    <s v="NOVEMBRE"/>
    <x v="3"/>
    <n v="11"/>
    <s v="NOVEMBRE 2023"/>
    <s v="11 NOVEMBRE 2023"/>
    <x v="1"/>
    <x v="1"/>
    <n v="27.25"/>
    <m/>
    <m/>
    <m/>
  </r>
  <r>
    <x v="342"/>
    <s v="NOVEMBRE"/>
    <x v="3"/>
    <n v="11"/>
    <s v="NOVEMBRE 2023"/>
    <s v="11 NOVEMBRE 2023"/>
    <x v="0"/>
    <x v="0"/>
    <n v="36.1"/>
    <m/>
    <m/>
    <m/>
  </r>
  <r>
    <x v="332"/>
    <s v="NOVEMBRE"/>
    <x v="3"/>
    <n v="11"/>
    <s v="NOVEMBRE 2023"/>
    <s v="11 NOVEMBRE 2023"/>
    <x v="24"/>
    <x v="2"/>
    <n v="30"/>
    <m/>
    <m/>
    <m/>
  </r>
  <r>
    <x v="332"/>
    <s v="NOVEMBRE"/>
    <x v="3"/>
    <n v="11"/>
    <s v="NOVEMBRE 2023"/>
    <s v="11 NOVEMBRE 2023"/>
    <x v="24"/>
    <x v="2"/>
    <n v="10"/>
    <m/>
    <m/>
    <m/>
  </r>
  <r>
    <x v="82"/>
    <s v="NOVEMBRE"/>
    <x v="3"/>
    <n v="11"/>
    <s v="NOVEMBRE 2023"/>
    <s v="11 NOVEMBRE 2023"/>
    <x v="7"/>
    <x v="2"/>
    <n v="2.48"/>
    <m/>
    <m/>
    <m/>
  </r>
  <r>
    <x v="82"/>
    <s v="NOVEMBRE"/>
    <x v="3"/>
    <n v="11"/>
    <s v="NOVEMBRE 2023"/>
    <s v="11 NOVEMBRE 2023"/>
    <x v="7"/>
    <x v="2"/>
    <n v="0.99"/>
    <m/>
    <m/>
    <m/>
  </r>
  <r>
    <x v="35"/>
    <s v="NOVEMBRE"/>
    <x v="3"/>
    <n v="11"/>
    <s v="NOVEMBRE 2023"/>
    <s v="11 NOVEMBRE 2023"/>
    <x v="1"/>
    <x v="1"/>
    <n v="8.3000000000000007"/>
    <m/>
    <m/>
    <m/>
  </r>
  <r>
    <x v="6"/>
    <s v="NOVEMBRE"/>
    <x v="3"/>
    <n v="11"/>
    <s v="NOVEMBRE 2023"/>
    <s v="11 NOVEMBRE 2023"/>
    <x v="0"/>
    <x v="0"/>
    <n v="3.9"/>
    <m/>
    <m/>
    <m/>
  </r>
  <r>
    <x v="6"/>
    <s v="NOVEMBRE"/>
    <x v="3"/>
    <n v="11"/>
    <s v="NOVEMBRE 2023"/>
    <s v="11 NOVEMBRE 2023"/>
    <x v="14"/>
    <x v="2"/>
    <n v="5"/>
    <m/>
    <m/>
    <m/>
  </r>
  <r>
    <x v="82"/>
    <s v="NOVEMBRE"/>
    <x v="3"/>
    <n v="11"/>
    <s v="NOVEMBRE 2023"/>
    <s v="11 NOVEMBRE 2023"/>
    <x v="7"/>
    <x v="2"/>
    <n v="16.72"/>
    <m/>
    <m/>
    <m/>
  </r>
  <r>
    <x v="52"/>
    <s v="NOVEMBRE"/>
    <x v="3"/>
    <n v="11"/>
    <s v="NOVEMBRE 2023"/>
    <s v="11 NOVEMBRE 2023"/>
    <x v="0"/>
    <x v="0"/>
    <n v="18.5"/>
    <m/>
    <m/>
    <m/>
  </r>
  <r>
    <x v="91"/>
    <s v="NOVEMBRE"/>
    <x v="3"/>
    <n v="11"/>
    <s v="NOVEMBRE 2023"/>
    <s v="11 NOVEMBRE 2023"/>
    <x v="2"/>
    <x v="2"/>
    <n v="1.5"/>
    <m/>
    <m/>
    <m/>
  </r>
  <r>
    <x v="343"/>
    <s v="NOVEMBRE"/>
    <x v="3"/>
    <n v="11"/>
    <s v="NOVEMBRE 2023"/>
    <s v="11 NOVEMBRE 2023"/>
    <x v="0"/>
    <x v="0"/>
    <n v="10"/>
    <m/>
    <m/>
    <m/>
  </r>
  <r>
    <x v="343"/>
    <s v="NOVEMBRE"/>
    <x v="3"/>
    <n v="11"/>
    <s v="NOVEMBRE 2023"/>
    <s v="11 NOVEMBRE 2023"/>
    <x v="0"/>
    <x v="0"/>
    <n v="48"/>
    <m/>
    <m/>
    <m/>
  </r>
  <r>
    <x v="137"/>
    <s v="NOVEMBRE"/>
    <x v="3"/>
    <n v="11"/>
    <s v="NOVEMBRE 2023"/>
    <s v="11 NOVEMBRE 2023"/>
    <x v="6"/>
    <x v="2"/>
    <n v="50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35"/>
    <s v="NOVEMBRE"/>
    <x v="3"/>
    <n v="11"/>
    <s v="NOVEMBRE 2023"/>
    <s v="11 NOVEMBRE 2023"/>
    <x v="1"/>
    <x v="1"/>
    <n v="4.3899999999999997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82"/>
    <s v="NOVEMBRE"/>
    <x v="3"/>
    <n v="11"/>
    <s v="NOVEMBRE 2023"/>
    <s v="11 NOVEMBRE 2023"/>
    <x v="7"/>
    <x v="2"/>
    <n v="9.82"/>
    <m/>
    <m/>
    <m/>
  </r>
  <r>
    <x v="12"/>
    <s v="NOVEMBRE"/>
    <x v="3"/>
    <n v="11"/>
    <s v="NOVEMBRE 2023"/>
    <s v="11 NOVEMBRE 2023"/>
    <x v="7"/>
    <x v="2"/>
    <n v="12.75"/>
    <m/>
    <m/>
    <m/>
  </r>
  <r>
    <x v="331"/>
    <s v="NOVEMBRE"/>
    <x v="3"/>
    <n v="11"/>
    <s v="NOVEMBRE 2023"/>
    <s v="11 NOVEMBRE 2023"/>
    <x v="1"/>
    <x v="1"/>
    <n v="16"/>
    <m/>
    <m/>
    <m/>
  </r>
  <r>
    <x v="91"/>
    <s v="NOVEMBRE"/>
    <x v="3"/>
    <n v="11"/>
    <s v="NOVEMBRE 2023"/>
    <s v="11 NOVEMBRE 2023"/>
    <x v="2"/>
    <x v="2"/>
    <n v="0.4"/>
    <m/>
    <m/>
    <m/>
  </r>
  <r>
    <x v="325"/>
    <s v="NOVEMBRE"/>
    <x v="3"/>
    <n v="11"/>
    <s v="NOVEMBRE 2023"/>
    <s v="11 NOVEMBRE 2023"/>
    <x v="22"/>
    <x v="6"/>
    <n v="1"/>
    <m/>
    <s v="PAYPAL"/>
    <m/>
  </r>
  <r>
    <x v="91"/>
    <s v="NOVEMBRE"/>
    <x v="3"/>
    <n v="11"/>
    <s v="NOVEMBRE 2023"/>
    <s v="11 NOVEMBRE 2023"/>
    <x v="2"/>
    <x v="2"/>
    <n v="0.4"/>
    <m/>
    <m/>
    <m/>
  </r>
  <r>
    <x v="344"/>
    <s v="NOVEMBRE"/>
    <x v="3"/>
    <n v="11"/>
    <s v="NOVEMBRE 2023"/>
    <s v="11 NOVEMBRE 2023"/>
    <x v="0"/>
    <x v="0"/>
    <n v="25"/>
    <m/>
    <m/>
    <m/>
  </r>
  <r>
    <x v="345"/>
    <s v="NOVEMBRE"/>
    <x v="3"/>
    <n v="11"/>
    <s v="NOVEMBRE 2023"/>
    <s v="11 NOVEMBRE 2023"/>
    <x v="1"/>
    <x v="1"/>
    <n v="30.19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91"/>
    <s v="NOVEMBRE"/>
    <x v="3"/>
    <n v="11"/>
    <s v="NOVEMBRE 2023"/>
    <s v="11 NOVEMBRE 2023"/>
    <x v="2"/>
    <x v="2"/>
    <n v="0.4"/>
    <m/>
    <m/>
    <m/>
  </r>
  <r>
    <x v="82"/>
    <s v="NOVEMBRE"/>
    <x v="3"/>
    <n v="11"/>
    <s v="NOVEMBRE 2023"/>
    <s v="11 NOVEMBRE 2023"/>
    <x v="7"/>
    <x v="2"/>
    <n v="39.770000000000003"/>
    <m/>
    <m/>
    <m/>
  </r>
  <r>
    <x v="330"/>
    <s v="NOVEMBRE"/>
    <x v="3"/>
    <n v="11"/>
    <s v="NOVEMBRE 2023"/>
    <s v="11 NOVEMBRE 2023"/>
    <x v="1"/>
    <x v="1"/>
    <n v="43.27"/>
    <s v="1/3"/>
    <s v="PAYPAL"/>
    <m/>
  </r>
  <r>
    <x v="91"/>
    <s v="NOVEMBRE"/>
    <x v="3"/>
    <n v="11"/>
    <s v="NOVEMBRE 2023"/>
    <s v="11 NOVEMBRE 2023"/>
    <x v="2"/>
    <x v="2"/>
    <n v="0.4"/>
    <m/>
    <m/>
    <m/>
  </r>
  <r>
    <x v="35"/>
    <s v="NOVEMBRE"/>
    <x v="3"/>
    <n v="11"/>
    <s v="NOVEMBRE 2023"/>
    <s v="11 NOVEMBRE 2023"/>
    <x v="1"/>
    <x v="1"/>
    <n v="17.29"/>
    <m/>
    <m/>
    <m/>
  </r>
  <r>
    <x v="225"/>
    <s v="NOVEMBRE"/>
    <x v="3"/>
    <n v="11"/>
    <s v="NOVEMBRE 2023"/>
    <s v="11 NOVEMBRE 2023"/>
    <x v="11"/>
    <x v="6"/>
    <n v="30.32"/>
    <s v="3/3"/>
    <s v="PAYPAL"/>
    <m/>
  </r>
  <r>
    <x v="63"/>
    <s v="NOVEMBRE"/>
    <x v="3"/>
    <n v="11"/>
    <s v="NOVEMBRE 2023"/>
    <s v="11 NOVEMBRE 2023"/>
    <x v="12"/>
    <x v="0"/>
    <n v="34.78"/>
    <s v="3/3"/>
    <s v="PAYPAL"/>
    <m/>
  </r>
  <r>
    <x v="50"/>
    <s v="NOVEMBRE"/>
    <x v="3"/>
    <n v="11"/>
    <s v="NOVEMBRE 2023"/>
    <s v="11 NOVEMBRE 2023"/>
    <x v="0"/>
    <x v="0"/>
    <n v="29"/>
    <m/>
    <m/>
    <m/>
  </r>
  <r>
    <x v="11"/>
    <s v="NOVEMBRE"/>
    <x v="3"/>
    <n v="11"/>
    <s v="NOVEMBRE 2023"/>
    <s v="11 NOVEMBRE 2023"/>
    <x v="0"/>
    <x v="0"/>
    <n v="22"/>
    <m/>
    <m/>
    <m/>
  </r>
  <r>
    <x v="82"/>
    <s v="NOVEMBRE"/>
    <x v="3"/>
    <n v="11"/>
    <s v="NOVEMBRE 2023"/>
    <s v="11 NOVEMBRE 2023"/>
    <x v="7"/>
    <x v="2"/>
    <n v="8.14"/>
    <m/>
    <m/>
    <m/>
  </r>
  <r>
    <x v="6"/>
    <s v="NOVEMBRE"/>
    <x v="3"/>
    <n v="11"/>
    <s v="NOVEMBRE 2023"/>
    <s v="11 NOVEMBRE 2023"/>
    <x v="14"/>
    <x v="2"/>
    <n v="5"/>
    <m/>
    <m/>
    <m/>
  </r>
  <r>
    <x v="6"/>
    <s v="OTTOBRE"/>
    <x v="3"/>
    <n v="10"/>
    <s v="OTTOBRE 2023"/>
    <s v="10 OTTOBRE 2023"/>
    <x v="0"/>
    <x v="0"/>
    <n v="2.6"/>
    <m/>
    <m/>
    <m/>
  </r>
  <r>
    <x v="91"/>
    <s v="OTTOBRE"/>
    <x v="3"/>
    <n v="10"/>
    <s v="OTTOBRE 2023"/>
    <s v="10 OTTOBRE 2023"/>
    <x v="2"/>
    <x v="2"/>
    <n v="0.4"/>
    <m/>
    <m/>
    <m/>
  </r>
  <r>
    <x v="91"/>
    <s v="OTTOBRE"/>
    <x v="3"/>
    <n v="10"/>
    <s v="OTTOBRE 2023"/>
    <s v="10 OTTOBRE 2023"/>
    <x v="2"/>
    <x v="2"/>
    <n v="0.4"/>
    <m/>
    <m/>
    <m/>
  </r>
  <r>
    <x v="91"/>
    <s v="OTTOBRE"/>
    <x v="3"/>
    <n v="10"/>
    <s v="OTTOBRE 2023"/>
    <s v="10 OTTOBRE 2023"/>
    <x v="2"/>
    <x v="2"/>
    <n v="0.4"/>
    <m/>
    <m/>
    <m/>
  </r>
  <r>
    <x v="142"/>
    <s v="OTTOBRE"/>
    <x v="3"/>
    <n v="10"/>
    <s v="OTTOBRE 2023"/>
    <s v="10 OTTOBRE 2023"/>
    <x v="0"/>
    <x v="0"/>
    <n v="54.3"/>
    <m/>
    <m/>
    <m/>
  </r>
  <r>
    <x v="12"/>
    <s v="OTTOBRE"/>
    <x v="3"/>
    <n v="10"/>
    <s v="OTTOBRE 2023"/>
    <s v="10 OTTOBRE 2023"/>
    <x v="7"/>
    <x v="2"/>
    <n v="9"/>
    <m/>
    <m/>
    <m/>
  </r>
  <r>
    <x v="91"/>
    <s v="OTTOBRE"/>
    <x v="3"/>
    <n v="10"/>
    <s v="OTTOBRE 2023"/>
    <s v="10 OTTOBRE 2023"/>
    <x v="2"/>
    <x v="2"/>
    <n v="0.4"/>
    <m/>
    <m/>
    <m/>
  </r>
  <r>
    <x v="91"/>
    <s v="OTTOBRE"/>
    <x v="3"/>
    <n v="10"/>
    <s v="OTTOBRE 2023"/>
    <s v="10 OTTOBRE 2023"/>
    <x v="2"/>
    <x v="2"/>
    <n v="0.4"/>
    <m/>
    <m/>
    <m/>
  </r>
  <r>
    <x v="12"/>
    <s v="OTTOBRE"/>
    <x v="3"/>
    <n v="10"/>
    <s v="OTTOBRE 2023"/>
    <s v="10 OTTOBRE 2023"/>
    <x v="7"/>
    <x v="2"/>
    <n v="26.12"/>
    <m/>
    <m/>
    <m/>
  </r>
  <r>
    <x v="53"/>
    <s v="OTTOBRE"/>
    <x v="3"/>
    <n v="10"/>
    <s v="OTTOBRE 2023"/>
    <s v="10 OTTOBRE 2023"/>
    <x v="1"/>
    <x v="1"/>
    <n v="5.5"/>
    <m/>
    <m/>
    <m/>
  </r>
  <r>
    <x v="82"/>
    <s v="OTTOBRE"/>
    <x v="3"/>
    <n v="10"/>
    <s v="OTTOBRE 2023"/>
    <s v="10 OTTOBRE 2023"/>
    <x v="7"/>
    <x v="2"/>
    <n v="17.989999999999998"/>
    <m/>
    <m/>
    <m/>
  </r>
  <r>
    <x v="325"/>
    <s v="OTTOBRE"/>
    <x v="3"/>
    <n v="10"/>
    <s v="OTTOBRE 2023"/>
    <s v="10 OTTOBRE 2023"/>
    <x v="22"/>
    <x v="6"/>
    <n v="9.99"/>
    <m/>
    <s v="PAYPAL"/>
    <m/>
  </r>
  <r>
    <x v="91"/>
    <s v="OTTOBRE"/>
    <x v="3"/>
    <n v="10"/>
    <s v="OTTOBRE 2023"/>
    <s v="10 OTTOBRE 2023"/>
    <x v="2"/>
    <x v="2"/>
    <n v="0.4"/>
    <m/>
    <m/>
    <m/>
  </r>
  <r>
    <x v="80"/>
    <s v="OTTOBRE"/>
    <x v="3"/>
    <n v="10"/>
    <s v="OTTOBRE 2023"/>
    <s v="10 OTTOBRE 2023"/>
    <x v="0"/>
    <x v="0"/>
    <n v="34"/>
    <m/>
    <m/>
    <m/>
  </r>
  <r>
    <x v="53"/>
    <s v="OTTOBRE"/>
    <x v="3"/>
    <n v="10"/>
    <s v="OTTOBRE 2023"/>
    <s v="10 OTTOBRE 2023"/>
    <x v="1"/>
    <x v="1"/>
    <n v="51.25"/>
    <m/>
    <m/>
    <m/>
  </r>
  <r>
    <x v="346"/>
    <s v="OTTOBRE"/>
    <x v="3"/>
    <n v="10"/>
    <s v="OTTOBRE 2023"/>
    <s v="10 OTTOBRE 2023"/>
    <x v="11"/>
    <x v="6"/>
    <n v="34"/>
    <m/>
    <m/>
    <m/>
  </r>
  <r>
    <x v="347"/>
    <s v="OTTOBRE"/>
    <x v="3"/>
    <n v="10"/>
    <s v="OTTOBRE 2023"/>
    <s v="10 OTTOBRE 2023"/>
    <x v="11"/>
    <x v="6"/>
    <n v="48.3"/>
    <m/>
    <m/>
    <m/>
  </r>
  <r>
    <x v="53"/>
    <s v="OTTOBRE"/>
    <x v="3"/>
    <n v="10"/>
    <s v="OTTOBRE 2023"/>
    <s v="10 OTTOBRE 2023"/>
    <x v="1"/>
    <x v="1"/>
    <n v="25.85"/>
    <m/>
    <m/>
    <m/>
  </r>
  <r>
    <x v="6"/>
    <s v="OTTOBRE"/>
    <x v="3"/>
    <n v="10"/>
    <s v="OTTOBRE 2023"/>
    <s v="10 OTTOBRE 2023"/>
    <x v="14"/>
    <x v="2"/>
    <n v="7"/>
    <m/>
    <m/>
    <m/>
  </r>
  <r>
    <x v="348"/>
    <s v="OTTOBRE"/>
    <x v="3"/>
    <n v="10"/>
    <s v="OTTOBRE 2023"/>
    <s v="10 OTTOBRE 2023"/>
    <x v="7"/>
    <x v="2"/>
    <n v="9.81"/>
    <m/>
    <m/>
    <m/>
  </r>
  <r>
    <x v="2"/>
    <s v="OTTOBRE"/>
    <x v="3"/>
    <n v="10"/>
    <s v="OTTOBRE 2023"/>
    <s v="10 OTTOBRE 2023"/>
    <x v="8"/>
    <x v="6"/>
    <n v="34.799999999999997"/>
    <m/>
    <s v="AMAZON"/>
    <m/>
  </r>
  <r>
    <x v="225"/>
    <s v="OTTOBRE"/>
    <x v="3"/>
    <n v="10"/>
    <s v="OTTOBRE 2023"/>
    <s v="10 OTTOBRE 2023"/>
    <x v="11"/>
    <x v="6"/>
    <n v="19.989999999999998"/>
    <m/>
    <s v="PAYPAL"/>
    <m/>
  </r>
  <r>
    <x v="8"/>
    <s v="OTTOBRE"/>
    <x v="3"/>
    <n v="10"/>
    <s v="OTTOBRE 2023"/>
    <s v="10 OTTOBRE 2023"/>
    <x v="6"/>
    <x v="2"/>
    <n v="33"/>
    <m/>
    <m/>
    <m/>
  </r>
  <r>
    <x v="225"/>
    <s v="OTTOBRE"/>
    <x v="3"/>
    <n v="10"/>
    <s v="OTTOBRE 2023"/>
    <s v="10 OTTOBRE 2023"/>
    <x v="11"/>
    <x v="6"/>
    <n v="30.33"/>
    <s v="2/3"/>
    <s v="PAYPAL"/>
    <m/>
  </r>
  <r>
    <x v="12"/>
    <s v="OTTOBRE"/>
    <x v="3"/>
    <n v="10"/>
    <s v="OTTOBRE 2023"/>
    <s v="10 OTTOBRE 2023"/>
    <x v="7"/>
    <x v="2"/>
    <n v="16.79"/>
    <m/>
    <m/>
    <m/>
  </r>
  <r>
    <x v="35"/>
    <s v="OTTOBRE"/>
    <x v="3"/>
    <n v="10"/>
    <s v="OTTOBRE 2023"/>
    <s v="10 OTTOBRE 2023"/>
    <x v="1"/>
    <x v="1"/>
    <n v="26.51"/>
    <m/>
    <m/>
    <m/>
  </r>
  <r>
    <x v="51"/>
    <s v="OTTOBRE"/>
    <x v="3"/>
    <n v="10"/>
    <s v="OTTOBRE 2023"/>
    <s v="10 OTTOBRE 2023"/>
    <x v="0"/>
    <x v="0"/>
    <n v="5"/>
    <m/>
    <m/>
    <m/>
  </r>
  <r>
    <x v="82"/>
    <s v="OTTOBRE"/>
    <x v="3"/>
    <n v="10"/>
    <s v="OTTOBRE 2023"/>
    <s v="10 OTTOBRE 2023"/>
    <x v="7"/>
    <x v="2"/>
    <n v="20.059999999999999"/>
    <m/>
    <m/>
    <m/>
  </r>
  <r>
    <x v="6"/>
    <s v="OTTOBRE"/>
    <x v="3"/>
    <n v="10"/>
    <s v="OTTOBRE 2023"/>
    <s v="10 OTTOBRE 2023"/>
    <x v="14"/>
    <x v="2"/>
    <n v="7"/>
    <m/>
    <m/>
    <m/>
  </r>
  <r>
    <x v="2"/>
    <s v="OTTOBRE"/>
    <x v="3"/>
    <n v="10"/>
    <s v="OTTOBRE 2023"/>
    <s v="10 OTTOBRE 2023"/>
    <x v="8"/>
    <x v="6"/>
    <n v="39.9"/>
    <m/>
    <s v="AMAZON"/>
    <m/>
  </r>
  <r>
    <x v="63"/>
    <s v="OTTOBRE"/>
    <x v="3"/>
    <n v="10"/>
    <s v="OTTOBRE 2023"/>
    <s v="10 OTTOBRE 2023"/>
    <x v="12"/>
    <x v="0"/>
    <n v="34.78"/>
    <s v="2/3"/>
    <s v="PAYPAL"/>
    <m/>
  </r>
  <r>
    <x v="323"/>
    <s v="SETTEMBRE"/>
    <x v="3"/>
    <n v="9"/>
    <s v="SETTEMBRE 2023"/>
    <s v="9 SETTEMBRE 2023"/>
    <x v="12"/>
    <x v="0"/>
    <n v="9"/>
    <m/>
    <m/>
    <m/>
  </r>
  <r>
    <x v="91"/>
    <s v="SETTEMBRE"/>
    <x v="3"/>
    <n v="9"/>
    <s v="SETTEMBRE 2023"/>
    <s v="9 SETTEMBRE 2023"/>
    <x v="2"/>
    <x v="2"/>
    <n v="0.7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6"/>
    <s v="SETTEMBRE"/>
    <x v="3"/>
    <n v="9"/>
    <s v="SETTEMBRE 2023"/>
    <s v="9 SETTEMBRE 2023"/>
    <x v="0"/>
    <x v="0"/>
    <n v="5.2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7"/>
    <m/>
    <m/>
    <m/>
  </r>
  <r>
    <x v="156"/>
    <s v="SETTEMBRE"/>
    <x v="3"/>
    <n v="9"/>
    <s v="SETTEMBRE 2023"/>
    <s v="9 SETTEMBRE 2023"/>
    <x v="20"/>
    <x v="9"/>
    <n v="8.49"/>
    <m/>
    <s v="PAYPAL"/>
    <m/>
  </r>
  <r>
    <x v="82"/>
    <s v="SETTEMBRE"/>
    <x v="3"/>
    <n v="9"/>
    <s v="SETTEMBRE 2023"/>
    <s v="9 SETTEMBRE 2023"/>
    <x v="7"/>
    <x v="2"/>
    <n v="17.68"/>
    <m/>
    <m/>
    <m/>
  </r>
  <r>
    <x v="91"/>
    <s v="SETTEMBRE"/>
    <x v="3"/>
    <n v="9"/>
    <s v="SETTEMBRE 2023"/>
    <s v="9 SETTEMBRE 2023"/>
    <x v="2"/>
    <x v="2"/>
    <n v="0.4"/>
    <m/>
    <m/>
    <m/>
  </r>
  <r>
    <x v="6"/>
    <s v="SETTEMBRE"/>
    <x v="3"/>
    <n v="9"/>
    <s v="SETTEMBRE 2023"/>
    <s v="9 SETTEMBRE 2023"/>
    <x v="14"/>
    <x v="2"/>
    <n v="5"/>
    <m/>
    <m/>
    <m/>
  </r>
  <r>
    <x v="82"/>
    <s v="SETTEMBRE"/>
    <x v="3"/>
    <n v="9"/>
    <s v="SETTEMBRE 2023"/>
    <s v="9 SETTEMBRE 2023"/>
    <x v="7"/>
    <x v="2"/>
    <n v="11.03"/>
    <m/>
    <m/>
    <m/>
  </r>
  <r>
    <x v="12"/>
    <s v="SETTEMBRE"/>
    <x v="3"/>
    <n v="9"/>
    <s v="SETTEMBRE 2023"/>
    <s v="9 SETTEMBRE 2023"/>
    <x v="7"/>
    <x v="2"/>
    <n v="10.76"/>
    <m/>
    <m/>
    <m/>
  </r>
  <r>
    <x v="6"/>
    <s v="SETTEMBRE"/>
    <x v="3"/>
    <n v="9"/>
    <s v="SETTEMBRE 2023"/>
    <s v="9 SETTEMBRE 2023"/>
    <x v="0"/>
    <x v="0"/>
    <n v="3.9"/>
    <m/>
    <m/>
    <m/>
  </r>
  <r>
    <x v="13"/>
    <s v="SETTEMBRE"/>
    <x v="3"/>
    <n v="9"/>
    <s v="SETTEMBRE 2023"/>
    <s v="9 SETTEMBRE 2023"/>
    <x v="0"/>
    <x v="0"/>
    <n v="48"/>
    <m/>
    <m/>
    <m/>
  </r>
  <r>
    <x v="225"/>
    <s v="SETTEMBRE"/>
    <x v="3"/>
    <n v="9"/>
    <s v="SETTEMBRE 2023"/>
    <s v="9 SETTEMBRE 2023"/>
    <x v="11"/>
    <x v="6"/>
    <n v="30.32"/>
    <s v="1/3"/>
    <s v="PAYPAL"/>
    <m/>
  </r>
  <r>
    <x v="6"/>
    <s v="SETTEMBRE"/>
    <x v="3"/>
    <n v="9"/>
    <s v="SETTEMBRE 2023"/>
    <s v="9 SETTEMBRE 2023"/>
    <x v="14"/>
    <x v="2"/>
    <n v="5"/>
    <m/>
    <m/>
    <m/>
  </r>
  <r>
    <x v="98"/>
    <s v="SETTEMBRE"/>
    <x v="3"/>
    <n v="9"/>
    <s v="SETTEMBRE 2023"/>
    <s v="9 SETTEMBRE 2023"/>
    <x v="11"/>
    <x v="6"/>
    <n v="70"/>
    <m/>
    <m/>
    <m/>
  </r>
  <r>
    <x v="91"/>
    <s v="SETTEMBRE"/>
    <x v="3"/>
    <n v="9"/>
    <s v="SETTEMBRE 2023"/>
    <s v="9 SETTEMBRE 2023"/>
    <x v="2"/>
    <x v="2"/>
    <n v="1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82"/>
    <s v="SETTEMBRE"/>
    <x v="3"/>
    <n v="9"/>
    <s v="SETTEMBRE 2023"/>
    <s v="9 SETTEMBRE 2023"/>
    <x v="7"/>
    <x v="2"/>
    <n v="21.26"/>
    <m/>
    <m/>
    <m/>
  </r>
  <r>
    <x v="35"/>
    <s v="SETTEMBRE"/>
    <x v="3"/>
    <n v="9"/>
    <s v="SETTEMBRE 2023"/>
    <s v="9 SETTEMBRE 2023"/>
    <x v="1"/>
    <x v="1"/>
    <n v="25.52"/>
    <m/>
    <m/>
    <m/>
  </r>
  <r>
    <x v="12"/>
    <s v="SETTEMBRE"/>
    <x v="3"/>
    <n v="9"/>
    <s v="SETTEMBRE 2023"/>
    <s v="9 SETTEMBRE 2023"/>
    <x v="7"/>
    <x v="2"/>
    <n v="13.52"/>
    <m/>
    <m/>
    <m/>
  </r>
  <r>
    <x v="6"/>
    <s v="SETTEMBRE"/>
    <x v="3"/>
    <n v="9"/>
    <s v="SETTEMBRE 2023"/>
    <s v="9 SETTEMBRE 2023"/>
    <x v="0"/>
    <x v="0"/>
    <n v="3.9"/>
    <m/>
    <m/>
    <m/>
  </r>
  <r>
    <x v="82"/>
    <s v="SETTEMBRE"/>
    <x v="3"/>
    <n v="9"/>
    <s v="SETTEMBRE 2023"/>
    <s v="9 SETTEMBRE 2023"/>
    <x v="7"/>
    <x v="2"/>
    <n v="7.9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91"/>
    <s v="SETTEMBRE"/>
    <x v="3"/>
    <n v="9"/>
    <s v="SETTEMBRE 2023"/>
    <s v="9 SETTEMBRE 2023"/>
    <x v="2"/>
    <x v="2"/>
    <n v="0.4"/>
    <m/>
    <m/>
    <m/>
  </r>
  <r>
    <x v="63"/>
    <s v="SETTEMBRE"/>
    <x v="3"/>
    <n v="9"/>
    <s v="SETTEMBRE 2023"/>
    <s v="9 SETTEMBRE 2023"/>
    <x v="12"/>
    <x v="0"/>
    <n v="34.78"/>
    <s v="1/3"/>
    <s v="PAYPAL"/>
    <m/>
  </r>
  <r>
    <x v="82"/>
    <s v="SETTEMBRE"/>
    <x v="3"/>
    <n v="9"/>
    <s v="SETTEMBRE 2023"/>
    <s v="9 SETTEMBRE 2023"/>
    <x v="7"/>
    <x v="2"/>
    <n v="17.98"/>
    <m/>
    <m/>
    <m/>
  </r>
  <r>
    <x v="12"/>
    <s v="SETTEMBRE"/>
    <x v="3"/>
    <n v="9"/>
    <s v="SETTEMBRE 2023"/>
    <s v="9 SETTEMBRE 2023"/>
    <x v="7"/>
    <x v="2"/>
    <n v="20.12"/>
    <m/>
    <m/>
    <m/>
  </r>
  <r>
    <x v="63"/>
    <s v="SETTEMBRE"/>
    <x v="3"/>
    <n v="9"/>
    <s v="SETTEMBRE 2023"/>
    <s v="9 SETTEMBRE 2023"/>
    <x v="12"/>
    <x v="0"/>
    <n v="40.9"/>
    <s v="3/3"/>
    <s v="PAYPAL"/>
    <m/>
  </r>
  <r>
    <x v="82"/>
    <s v="AGOSTO"/>
    <x v="3"/>
    <n v="8"/>
    <s v="AGOSTO 2023"/>
    <s v="8 AGOSTO 2023"/>
    <x v="7"/>
    <x v="2"/>
    <n v="16.899999999999999"/>
    <m/>
    <m/>
    <m/>
  </r>
  <r>
    <x v="57"/>
    <s v="AGOSTO"/>
    <x v="3"/>
    <n v="8"/>
    <s v="AGOSTO 2023"/>
    <s v="8 AGOSTO 2023"/>
    <x v="0"/>
    <x v="0"/>
    <n v="3.2"/>
    <m/>
    <m/>
    <m/>
  </r>
  <r>
    <x v="57"/>
    <s v="AGOSTO"/>
    <x v="3"/>
    <n v="8"/>
    <s v="AGOSTO 2023"/>
    <s v="8 AGOSTO 2023"/>
    <x v="0"/>
    <x v="0"/>
    <n v="6.9"/>
    <m/>
    <m/>
    <m/>
  </r>
  <r>
    <x v="349"/>
    <s v="AGOSTO"/>
    <x v="3"/>
    <n v="8"/>
    <s v="AGOSTO 2023"/>
    <s v="8 AGOSTO 2023"/>
    <x v="5"/>
    <x v="5"/>
    <n v="238.9"/>
    <m/>
    <m/>
    <m/>
  </r>
  <r>
    <x v="350"/>
    <s v="AGOSTO"/>
    <x v="3"/>
    <n v="8"/>
    <s v="AGOSTO 2023"/>
    <s v="8 AGOSTO 2023"/>
    <x v="3"/>
    <x v="3"/>
    <n v="5.85"/>
    <m/>
    <m/>
    <m/>
  </r>
  <r>
    <x v="351"/>
    <s v="AGOSTO"/>
    <x v="3"/>
    <n v="8"/>
    <s v="AGOSTO 2023"/>
    <s v="8 AGOSTO 2023"/>
    <x v="5"/>
    <x v="5"/>
    <n v="322"/>
    <m/>
    <m/>
    <m/>
  </r>
  <r>
    <x v="352"/>
    <s v="AGOSTO"/>
    <x v="3"/>
    <n v="8"/>
    <s v="AGOSTO 2023"/>
    <s v="8 AGOSTO 2023"/>
    <x v="0"/>
    <x v="0"/>
    <n v="63.4"/>
    <m/>
    <m/>
    <m/>
  </r>
  <r>
    <x v="353"/>
    <s v="AGOSTO"/>
    <x v="3"/>
    <n v="8"/>
    <s v="AGOSTO 2023"/>
    <s v="8 AGOSTO 2023"/>
    <x v="0"/>
    <x v="0"/>
    <n v="49.5"/>
    <m/>
    <m/>
    <m/>
  </r>
  <r>
    <x v="82"/>
    <s v="AGOSTO"/>
    <x v="3"/>
    <n v="8"/>
    <s v="AGOSTO 2023"/>
    <s v="8 AGOSTO 2023"/>
    <x v="7"/>
    <x v="2"/>
    <n v="8.93"/>
    <m/>
    <m/>
    <m/>
  </r>
  <r>
    <x v="35"/>
    <s v="AGOSTO"/>
    <x v="3"/>
    <n v="8"/>
    <s v="AGOSTO 2023"/>
    <s v="8 AGOSTO 2023"/>
    <x v="1"/>
    <x v="1"/>
    <n v="8.39"/>
    <m/>
    <m/>
    <m/>
  </r>
  <r>
    <x v="354"/>
    <s v="AGOSTO"/>
    <x v="3"/>
    <n v="8"/>
    <s v="AGOSTO 2023"/>
    <s v="8 AGOSTO 2023"/>
    <x v="1"/>
    <x v="1"/>
    <n v="2.9"/>
    <m/>
    <m/>
    <m/>
  </r>
  <r>
    <x v="112"/>
    <s v="AGOSTO"/>
    <x v="3"/>
    <n v="8"/>
    <s v="AGOSTO 2023"/>
    <s v="8 AGOSTO 2023"/>
    <x v="1"/>
    <x v="1"/>
    <n v="10.9"/>
    <m/>
    <m/>
    <m/>
  </r>
  <r>
    <x v="92"/>
    <s v="AGOSTO"/>
    <x v="3"/>
    <n v="8"/>
    <s v="AGOSTO 2023"/>
    <s v="8 AGOSTO 2023"/>
    <x v="0"/>
    <x v="0"/>
    <n v="29"/>
    <m/>
    <m/>
    <m/>
  </r>
  <r>
    <x v="82"/>
    <s v="AGOSTO"/>
    <x v="3"/>
    <n v="8"/>
    <s v="AGOSTO 2023"/>
    <s v="8 AGOSTO 2023"/>
    <x v="7"/>
    <x v="2"/>
    <n v="4.26"/>
    <m/>
    <m/>
    <m/>
  </r>
  <r>
    <x v="355"/>
    <s v="AGOSTO"/>
    <x v="3"/>
    <n v="8"/>
    <s v="AGOSTO 2023"/>
    <s v="8 AGOSTO 2023"/>
    <x v="0"/>
    <x v="0"/>
    <n v="79.7"/>
    <m/>
    <m/>
    <m/>
  </r>
  <r>
    <x v="6"/>
    <s v="AGOSTO"/>
    <x v="3"/>
    <n v="8"/>
    <s v="AGOSTO 2023"/>
    <s v="8 AGOSTO 2023"/>
    <x v="0"/>
    <x v="0"/>
    <n v="16"/>
    <m/>
    <m/>
    <m/>
  </r>
  <r>
    <x v="6"/>
    <s v="AGOSTO"/>
    <x v="3"/>
    <n v="8"/>
    <s v="AGOSTO 2023"/>
    <s v="8 AGOSTO 2023"/>
    <x v="14"/>
    <x v="2"/>
    <n v="5"/>
    <m/>
    <m/>
    <m/>
  </r>
  <r>
    <x v="8"/>
    <s v="AGOSTO"/>
    <x v="3"/>
    <n v="8"/>
    <s v="AGOSTO 2023"/>
    <s v="8 AGOSTO 2023"/>
    <x v="6"/>
    <x v="2"/>
    <n v="33"/>
    <m/>
    <m/>
    <m/>
  </r>
  <r>
    <x v="2"/>
    <s v="AGOSTO"/>
    <x v="3"/>
    <n v="8"/>
    <s v="AGOSTO 2023"/>
    <s v="8 AGOSTO 2023"/>
    <x v="8"/>
    <x v="6"/>
    <n v="8.07"/>
    <m/>
    <s v="AMAZON"/>
    <m/>
  </r>
  <r>
    <x v="82"/>
    <s v="AGOSTO"/>
    <x v="3"/>
    <n v="8"/>
    <s v="AGOSTO 2023"/>
    <s v="8 AGOSTO 2023"/>
    <x v="7"/>
    <x v="2"/>
    <n v="24.11"/>
    <m/>
    <m/>
    <m/>
  </r>
  <r>
    <x v="12"/>
    <s v="AGOSTO"/>
    <x v="3"/>
    <n v="8"/>
    <s v="AGOSTO 2023"/>
    <s v="8 AGOSTO 2023"/>
    <x v="7"/>
    <x v="2"/>
    <n v="13.49"/>
    <m/>
    <m/>
    <m/>
  </r>
  <r>
    <x v="18"/>
    <s v="AGOSTO"/>
    <x v="3"/>
    <n v="8"/>
    <s v="AGOSTO 2023"/>
    <s v="8 AGOSTO 2023"/>
    <x v="0"/>
    <x v="0"/>
    <n v="11.5"/>
    <m/>
    <m/>
    <m/>
  </r>
  <r>
    <x v="356"/>
    <s v="AGOSTO"/>
    <x v="3"/>
    <n v="8"/>
    <s v="AGOSTO 2023"/>
    <s v="8 AGOSTO 2023"/>
    <x v="9"/>
    <x v="3"/>
    <n v="380"/>
    <m/>
    <m/>
    <m/>
  </r>
  <r>
    <x v="357"/>
    <s v="AGOSTO"/>
    <x v="3"/>
    <n v="8"/>
    <s v="AGOSTO 2023"/>
    <s v="8 AGOSTO 2023"/>
    <x v="21"/>
    <x v="2"/>
    <n v="15.11"/>
    <s v="3/3"/>
    <s v="PAYPAL"/>
    <m/>
  </r>
  <r>
    <x v="63"/>
    <s v="AGOSTO"/>
    <x v="3"/>
    <n v="8"/>
    <s v="AGOSTO 2023"/>
    <s v="8 AGOSTO 2023"/>
    <x v="12"/>
    <x v="0"/>
    <n v="40.909999999999997"/>
    <s v="2/3"/>
    <s v="PAYPAL"/>
    <m/>
  </r>
  <r>
    <x v="199"/>
    <s v="LUGLIO"/>
    <x v="3"/>
    <n v="7"/>
    <s v="LUGLIO 2023"/>
    <s v="7 LUGLIO 2023"/>
    <x v="0"/>
    <x v="0"/>
    <n v="66.8"/>
    <m/>
    <m/>
    <m/>
  </r>
  <r>
    <x v="41"/>
    <s v="LUGLIO"/>
    <x v="3"/>
    <n v="7"/>
    <s v="LUGLIO 2023"/>
    <s v="7 LUGLIO 2023"/>
    <x v="3"/>
    <x v="3"/>
    <n v="1.7"/>
    <m/>
    <m/>
    <m/>
  </r>
  <r>
    <x v="41"/>
    <s v="LUGLIO"/>
    <x v="3"/>
    <n v="7"/>
    <s v="LUGLIO 2023"/>
    <s v="7 LUGLIO 2023"/>
    <x v="3"/>
    <x v="3"/>
    <n v="7.8"/>
    <m/>
    <m/>
    <m/>
  </r>
  <r>
    <x v="41"/>
    <s v="LUGLIO"/>
    <x v="3"/>
    <n v="7"/>
    <s v="LUGLIO 2023"/>
    <s v="7 LUGLIO 2023"/>
    <x v="3"/>
    <x v="3"/>
    <n v="1.7"/>
    <m/>
    <m/>
    <m/>
  </r>
  <r>
    <x v="35"/>
    <s v="LUGLIO"/>
    <x v="3"/>
    <n v="7"/>
    <s v="LUGLIO 2023"/>
    <s v="7 LUGLIO 2023"/>
    <x v="1"/>
    <x v="1"/>
    <n v="4.49"/>
    <m/>
    <m/>
    <m/>
  </r>
  <r>
    <x v="12"/>
    <s v="LUGLIO"/>
    <x v="3"/>
    <n v="7"/>
    <s v="LUGLIO 2023"/>
    <s v="7 LUGLIO 2023"/>
    <x v="7"/>
    <x v="2"/>
    <n v="6.4"/>
    <m/>
    <m/>
    <m/>
  </r>
  <r>
    <x v="82"/>
    <s v="LUGLIO"/>
    <x v="3"/>
    <n v="7"/>
    <s v="LUGLIO 2023"/>
    <s v="7 LUGLIO 2023"/>
    <x v="7"/>
    <x v="2"/>
    <n v="18.27"/>
    <m/>
    <m/>
    <m/>
  </r>
  <r>
    <x v="6"/>
    <s v="LUGLIO"/>
    <x v="3"/>
    <n v="7"/>
    <s v="LUGLIO 2023"/>
    <s v="7 LUGLIO 2023"/>
    <x v="14"/>
    <x v="2"/>
    <n v="5"/>
    <m/>
    <m/>
    <m/>
  </r>
  <r>
    <x v="358"/>
    <s v="LUGLIO"/>
    <x v="3"/>
    <n v="7"/>
    <s v="LUGLIO 2023"/>
    <s v="7 LUGLIO 2023"/>
    <x v="21"/>
    <x v="2"/>
    <n v="20.9"/>
    <m/>
    <m/>
    <m/>
  </r>
  <r>
    <x v="2"/>
    <s v="LUGLIO"/>
    <x v="3"/>
    <n v="7"/>
    <s v="LUGLIO 2023"/>
    <s v="7 LUGLIO 2023"/>
    <x v="8"/>
    <x v="6"/>
    <n v="20.47"/>
    <m/>
    <s v="AMAZON"/>
    <m/>
  </r>
  <r>
    <x v="48"/>
    <s v="LUGLIO"/>
    <x v="3"/>
    <n v="7"/>
    <s v="LUGLIO 2023"/>
    <s v="7 LUGLIO 2023"/>
    <x v="11"/>
    <x v="6"/>
    <n v="30.88"/>
    <m/>
    <m/>
    <m/>
  </r>
  <r>
    <x v="35"/>
    <s v="LUGLIO"/>
    <x v="3"/>
    <n v="7"/>
    <s v="LUGLIO 2023"/>
    <s v="7 LUGLIO 2023"/>
    <x v="1"/>
    <x v="1"/>
    <n v="12.86"/>
    <m/>
    <m/>
    <m/>
  </r>
  <r>
    <x v="82"/>
    <s v="LUGLIO"/>
    <x v="3"/>
    <n v="7"/>
    <s v="LUGLIO 2023"/>
    <s v="7 LUGLIO 2023"/>
    <x v="7"/>
    <x v="2"/>
    <n v="18.899999999999999"/>
    <m/>
    <m/>
    <m/>
  </r>
  <r>
    <x v="12"/>
    <s v="LUGLIO"/>
    <x v="3"/>
    <n v="7"/>
    <s v="LUGLIO 2023"/>
    <s v="7 LUGLIO 2023"/>
    <x v="7"/>
    <x v="2"/>
    <n v="8.41"/>
    <m/>
    <m/>
    <m/>
  </r>
  <r>
    <x v="13"/>
    <s v="LUGLIO"/>
    <x v="3"/>
    <n v="7"/>
    <s v="LUGLIO 2023"/>
    <s v="7 LUGLIO 2023"/>
    <x v="0"/>
    <x v="0"/>
    <n v="12"/>
    <m/>
    <m/>
    <m/>
  </r>
  <r>
    <x v="82"/>
    <s v="LUGLIO"/>
    <x v="3"/>
    <n v="7"/>
    <s v="LUGLIO 2023"/>
    <s v="7 LUGLIO 2023"/>
    <x v="7"/>
    <x v="2"/>
    <n v="16.38"/>
    <m/>
    <m/>
    <m/>
  </r>
  <r>
    <x v="2"/>
    <s v="LUGLIO"/>
    <x v="3"/>
    <n v="7"/>
    <s v="LUGLIO 2023"/>
    <s v="7 LUGLIO 2023"/>
    <x v="8"/>
    <x v="6"/>
    <n v="20.99"/>
    <m/>
    <s v="AMAZON"/>
    <m/>
  </r>
  <r>
    <x v="320"/>
    <s v="LUGLIO"/>
    <x v="3"/>
    <n v="7"/>
    <s v="LUGLIO 2023"/>
    <s v="7 LUGLIO 2023"/>
    <x v="15"/>
    <x v="8"/>
    <n v="21.77"/>
    <m/>
    <m/>
    <m/>
  </r>
  <r>
    <x v="12"/>
    <s v="LUGLIO"/>
    <x v="3"/>
    <n v="7"/>
    <s v="LUGLIO 2023"/>
    <s v="7 LUGLIO 2023"/>
    <x v="7"/>
    <x v="2"/>
    <n v="11.77"/>
    <m/>
    <m/>
    <m/>
  </r>
  <r>
    <x v="2"/>
    <s v="LUGLIO"/>
    <x v="3"/>
    <n v="7"/>
    <s v="LUGLIO 2023"/>
    <s v="7 LUGLIO 2023"/>
    <x v="8"/>
    <x v="6"/>
    <n v="24"/>
    <m/>
    <s v="AMAZON"/>
    <m/>
  </r>
  <r>
    <x v="2"/>
    <s v="LUGLIO"/>
    <x v="3"/>
    <n v="7"/>
    <s v="LUGLIO 2023"/>
    <s v="7 LUGLIO 2023"/>
    <x v="8"/>
    <x v="6"/>
    <n v="13.6"/>
    <m/>
    <s v="AMAZON"/>
    <m/>
  </r>
  <r>
    <x v="226"/>
    <s v="LUGLIO"/>
    <x v="3"/>
    <n v="7"/>
    <s v="LUGLIO 2023"/>
    <s v="7 LUGLIO 2023"/>
    <x v="0"/>
    <x v="0"/>
    <n v="10"/>
    <m/>
    <m/>
    <m/>
  </r>
  <r>
    <x v="35"/>
    <s v="LUGLIO"/>
    <x v="3"/>
    <n v="7"/>
    <s v="LUGLIO 2023"/>
    <s v="7 LUGLIO 2023"/>
    <x v="1"/>
    <x v="1"/>
    <n v="7.79"/>
    <m/>
    <m/>
    <m/>
  </r>
  <r>
    <x v="82"/>
    <s v="LUGLIO"/>
    <x v="3"/>
    <n v="7"/>
    <s v="LUGLIO 2023"/>
    <s v="7 LUGLIO 2023"/>
    <x v="7"/>
    <x v="2"/>
    <n v="13.06"/>
    <m/>
    <m/>
    <m/>
  </r>
  <r>
    <x v="6"/>
    <s v="LUGLIO"/>
    <x v="3"/>
    <n v="7"/>
    <s v="LUGLIO 2023"/>
    <s v="7 LUGLIO 2023"/>
    <x v="14"/>
    <x v="2"/>
    <n v="5"/>
    <m/>
    <m/>
    <m/>
  </r>
  <r>
    <x v="91"/>
    <s v="LUGLIO"/>
    <x v="3"/>
    <n v="7"/>
    <s v="LUGLIO 2023"/>
    <s v="7 LUGLIO 2023"/>
    <x v="2"/>
    <x v="2"/>
    <n v="0.4"/>
    <m/>
    <m/>
    <m/>
  </r>
  <r>
    <x v="359"/>
    <s v="LUGLIO"/>
    <x v="3"/>
    <n v="7"/>
    <s v="LUGLIO 2023"/>
    <s v="7 LUGLIO 2023"/>
    <x v="0"/>
    <x v="0"/>
    <n v="59"/>
    <m/>
    <m/>
    <m/>
  </r>
  <r>
    <x v="91"/>
    <s v="LUGLIO"/>
    <x v="3"/>
    <n v="7"/>
    <s v="LUGLIO 2023"/>
    <s v="7 LUGLIO 2023"/>
    <x v="2"/>
    <x v="2"/>
    <n v="0.7"/>
    <m/>
    <m/>
    <m/>
  </r>
  <r>
    <x v="91"/>
    <s v="LUGLIO"/>
    <x v="3"/>
    <n v="7"/>
    <s v="LUGLIO 2023"/>
    <s v="7 LUGLIO 2023"/>
    <x v="2"/>
    <x v="2"/>
    <n v="0.4"/>
    <m/>
    <m/>
    <m/>
  </r>
  <r>
    <x v="360"/>
    <s v="LUGLIO"/>
    <x v="3"/>
    <n v="7"/>
    <s v="LUGLIO 2023"/>
    <s v="7 LUGLIO 2023"/>
    <x v="8"/>
    <x v="6"/>
    <n v="15.54"/>
    <m/>
    <s v="PAYPAL"/>
    <m/>
  </r>
  <r>
    <x v="63"/>
    <s v="LUGLIO"/>
    <x v="3"/>
    <n v="7"/>
    <s v="LUGLIO 2023"/>
    <s v="7 LUGLIO 2023"/>
    <x v="12"/>
    <x v="0"/>
    <n v="40.909999999999997"/>
    <s v="1/3"/>
    <s v="PAYPAL"/>
    <m/>
  </r>
  <r>
    <x v="357"/>
    <s v="LUGLIO"/>
    <x v="3"/>
    <n v="7"/>
    <s v="LUGLIO 2023"/>
    <s v="7 LUGLIO 2023"/>
    <x v="21"/>
    <x v="2"/>
    <n v="15.12"/>
    <s v="2/3"/>
    <s v="PAYPAL"/>
    <m/>
  </r>
  <r>
    <x v="63"/>
    <s v="LUGLIO"/>
    <x v="3"/>
    <n v="7"/>
    <s v="LUGLIO 2023"/>
    <s v="7 LUGLIO 2023"/>
    <x v="12"/>
    <x v="0"/>
    <n v="37.700000000000003"/>
    <s v="3/3"/>
    <s v="PAYPAL"/>
    <m/>
  </r>
  <r>
    <x v="2"/>
    <s v="LUGLIO"/>
    <x v="3"/>
    <n v="7"/>
    <s v="LUGLIO 2023"/>
    <s v="7 LUGLIO 2023"/>
    <x v="22"/>
    <x v="6"/>
    <n v="55.84"/>
    <s v="5/5"/>
    <s v="AMAZON"/>
    <s v="TABLET"/>
  </r>
  <r>
    <x v="82"/>
    <s v="GIUGNO"/>
    <x v="3"/>
    <n v="6"/>
    <s v="GIUGNO 2023"/>
    <s v="6 GIUGNO 2023"/>
    <x v="7"/>
    <x v="2"/>
    <n v="4.84"/>
    <m/>
    <m/>
    <m/>
  </r>
  <r>
    <x v="6"/>
    <s v="GIUGNO"/>
    <x v="3"/>
    <n v="6"/>
    <s v="GIUGNO 2023"/>
    <s v="6 GIUGNO 2023"/>
    <x v="14"/>
    <x v="2"/>
    <n v="5"/>
    <m/>
    <m/>
    <m/>
  </r>
  <r>
    <x v="91"/>
    <s v="GIUGNO"/>
    <x v="3"/>
    <n v="6"/>
    <s v="GIUGNO 2023"/>
    <s v="6 GIUGNO 2023"/>
    <x v="2"/>
    <x v="2"/>
    <n v="0.4"/>
    <m/>
    <m/>
    <m/>
  </r>
  <r>
    <x v="302"/>
    <s v="GIUGNO"/>
    <x v="3"/>
    <n v="6"/>
    <s v="GIUGNO 2023"/>
    <s v="6 GIUGNO 2023"/>
    <x v="0"/>
    <x v="0"/>
    <n v="17"/>
    <m/>
    <m/>
    <m/>
  </r>
  <r>
    <x v="6"/>
    <s v="GIUGNO"/>
    <x v="3"/>
    <n v="6"/>
    <s v="GIUGNO 2023"/>
    <s v="6 GIUGNO 2023"/>
    <x v="0"/>
    <x v="0"/>
    <n v="3.6"/>
    <m/>
    <m/>
    <m/>
  </r>
  <r>
    <x v="91"/>
    <s v="GIUGNO"/>
    <x v="3"/>
    <n v="6"/>
    <s v="GIUGNO 2023"/>
    <s v="6 GIUGNO 2023"/>
    <x v="2"/>
    <x v="2"/>
    <n v="0.4"/>
    <m/>
    <m/>
    <m/>
  </r>
  <r>
    <x v="91"/>
    <s v="GIUGNO"/>
    <x v="3"/>
    <n v="6"/>
    <s v="GIUGNO 2023"/>
    <s v="6 GIUGNO 2023"/>
    <x v="2"/>
    <x v="2"/>
    <n v="0.4"/>
    <m/>
    <m/>
    <m/>
  </r>
  <r>
    <x v="361"/>
    <s v="GIUGNO"/>
    <x v="3"/>
    <n v="6"/>
    <s v="GIUGNO 2023"/>
    <s v="6 GIUGNO 2023"/>
    <x v="20"/>
    <x v="9"/>
    <n v="9.99"/>
    <m/>
    <m/>
    <m/>
  </r>
  <r>
    <x v="362"/>
    <s v="GIUGNO"/>
    <x v="3"/>
    <n v="6"/>
    <s v="GIUGNO 2023"/>
    <s v="6 GIUGNO 2023"/>
    <x v="0"/>
    <x v="0"/>
    <n v="7.5"/>
    <m/>
    <m/>
    <m/>
  </r>
  <r>
    <x v="13"/>
    <s v="GIUGNO"/>
    <x v="3"/>
    <n v="6"/>
    <s v="GIUGNO 2023"/>
    <s v="6 GIUGNO 2023"/>
    <x v="0"/>
    <x v="0"/>
    <n v="20"/>
    <m/>
    <m/>
    <m/>
  </r>
  <r>
    <x v="82"/>
    <s v="GIUGNO"/>
    <x v="3"/>
    <n v="6"/>
    <s v="GIUGNO 2023"/>
    <s v="6 GIUGNO 2023"/>
    <x v="7"/>
    <x v="2"/>
    <n v="23.23"/>
    <m/>
    <m/>
    <m/>
  </r>
  <r>
    <x v="6"/>
    <s v="GIUGNO"/>
    <x v="3"/>
    <n v="6"/>
    <s v="GIUGNO 2023"/>
    <s v="6 GIUGNO 2023"/>
    <x v="0"/>
    <x v="0"/>
    <n v="15.5"/>
    <m/>
    <m/>
    <m/>
  </r>
  <r>
    <x v="363"/>
    <s v="GIUGNO"/>
    <x v="3"/>
    <n v="6"/>
    <s v="GIUGNO 2023"/>
    <s v="6 GIUGNO 2023"/>
    <x v="0"/>
    <x v="0"/>
    <n v="29.6"/>
    <m/>
    <m/>
    <m/>
  </r>
  <r>
    <x v="82"/>
    <s v="GIUGNO"/>
    <x v="3"/>
    <n v="6"/>
    <s v="GIUGNO 2023"/>
    <s v="6 GIUGNO 2023"/>
    <x v="7"/>
    <x v="2"/>
    <n v="15.48"/>
    <m/>
    <m/>
    <m/>
  </r>
  <r>
    <x v="301"/>
    <s v="GIUGNO"/>
    <x v="3"/>
    <n v="6"/>
    <s v="GIUGNO 2023"/>
    <s v="6 GIUGNO 2023"/>
    <x v="7"/>
    <x v="2"/>
    <n v="81.16"/>
    <m/>
    <m/>
    <m/>
  </r>
  <r>
    <x v="91"/>
    <s v="GIUGNO"/>
    <x v="3"/>
    <n v="6"/>
    <s v="GIUGNO 2023"/>
    <s v="6 GIUGNO 2023"/>
    <x v="2"/>
    <x v="2"/>
    <n v="0.4"/>
    <m/>
    <m/>
    <m/>
  </r>
  <r>
    <x v="357"/>
    <s v="GIUGNO"/>
    <x v="3"/>
    <n v="6"/>
    <s v="GIUGNO 2023"/>
    <s v="6 GIUGNO 2023"/>
    <x v="8"/>
    <x v="6"/>
    <n v="15.12"/>
    <s v="1/3"/>
    <s v="PAYPAL"/>
    <m/>
  </r>
  <r>
    <x v="183"/>
    <s v="GIUGNO"/>
    <x v="3"/>
    <n v="6"/>
    <s v="GIUGNO 2023"/>
    <s v="6 GIUGNO 2023"/>
    <x v="22"/>
    <x v="6"/>
    <n v="39.950000000000003"/>
    <m/>
    <m/>
    <s v="Trieste"/>
  </r>
  <r>
    <x v="364"/>
    <s v="GIUGNO"/>
    <x v="3"/>
    <n v="6"/>
    <s v="GIUGNO 2023"/>
    <s v="6 GIUGNO 2023"/>
    <x v="0"/>
    <x v="0"/>
    <n v="18"/>
    <m/>
    <m/>
    <m/>
  </r>
  <r>
    <x v="365"/>
    <s v="GIUGNO"/>
    <x v="3"/>
    <n v="6"/>
    <s v="GIUGNO 2023"/>
    <s v="6 GIUGNO 2023"/>
    <x v="24"/>
    <x v="2"/>
    <n v="12.6"/>
    <m/>
    <m/>
    <m/>
  </r>
  <r>
    <x v="2"/>
    <s v="GIUGNO"/>
    <x v="3"/>
    <n v="6"/>
    <s v="GIUGNO 2023"/>
    <s v="6 GIUGNO 2023"/>
    <x v="8"/>
    <x v="6"/>
    <n v="23"/>
    <m/>
    <s v="AMAZON"/>
    <m/>
  </r>
  <r>
    <x v="366"/>
    <s v="GIUGNO"/>
    <x v="3"/>
    <n v="6"/>
    <s v="GIUGNO 2023"/>
    <s v="6 GIUGNO 2023"/>
    <x v="0"/>
    <x v="0"/>
    <n v="20"/>
    <m/>
    <m/>
    <m/>
  </r>
  <r>
    <x v="91"/>
    <s v="GIUGNO"/>
    <x v="3"/>
    <n v="6"/>
    <s v="GIUGNO 2023"/>
    <s v="6 GIUGNO 2023"/>
    <x v="2"/>
    <x v="2"/>
    <n v="0.4"/>
    <m/>
    <m/>
    <m/>
  </r>
  <r>
    <x v="35"/>
    <s v="GIUGNO"/>
    <x v="3"/>
    <n v="6"/>
    <s v="GIUGNO 2023"/>
    <s v="6 GIUGNO 2023"/>
    <x v="1"/>
    <x v="1"/>
    <n v="20.51"/>
    <m/>
    <m/>
    <m/>
  </r>
  <r>
    <x v="91"/>
    <s v="GIUGNO"/>
    <x v="3"/>
    <n v="6"/>
    <s v="GIUGNO 2023"/>
    <s v="6 GIUGNO 2023"/>
    <x v="2"/>
    <x v="2"/>
    <n v="0.4"/>
    <m/>
    <m/>
    <m/>
  </r>
  <r>
    <x v="91"/>
    <s v="GIUGNO"/>
    <x v="3"/>
    <n v="6"/>
    <s v="GIUGNO 2023"/>
    <s v="6 GIUGNO 2023"/>
    <x v="2"/>
    <x v="2"/>
    <n v="0.4"/>
    <m/>
    <m/>
    <m/>
  </r>
  <r>
    <x v="91"/>
    <s v="GIUGNO"/>
    <x v="3"/>
    <n v="6"/>
    <s v="GIUGNO 2023"/>
    <s v="6 GIUGNO 2023"/>
    <x v="2"/>
    <x v="2"/>
    <n v="0.4"/>
    <m/>
    <m/>
    <m/>
  </r>
  <r>
    <x v="8"/>
    <s v="GIUGNO"/>
    <x v="3"/>
    <n v="6"/>
    <s v="GIUGNO 2023"/>
    <s v="6 GIUGNO 2023"/>
    <x v="6"/>
    <x v="2"/>
    <n v="33"/>
    <m/>
    <m/>
    <m/>
  </r>
  <r>
    <x v="91"/>
    <s v="GIUGNO"/>
    <x v="3"/>
    <n v="6"/>
    <s v="GIUGNO 2023"/>
    <s v="6 GIUGNO 2023"/>
    <x v="2"/>
    <x v="2"/>
    <n v="0.4"/>
    <m/>
    <m/>
    <m/>
  </r>
  <r>
    <x v="91"/>
    <s v="GIUGNO"/>
    <x v="3"/>
    <n v="6"/>
    <s v="GIUGNO 2023"/>
    <s v="6 GIUGNO 2023"/>
    <x v="2"/>
    <x v="2"/>
    <n v="0.4"/>
    <m/>
    <m/>
    <m/>
  </r>
  <r>
    <x v="91"/>
    <s v="GIUGNO"/>
    <x v="3"/>
    <n v="6"/>
    <s v="GIUGNO 2023"/>
    <s v="6 GIUGNO 2023"/>
    <x v="2"/>
    <x v="2"/>
    <n v="0.4"/>
    <m/>
    <m/>
    <m/>
  </r>
  <r>
    <x v="12"/>
    <s v="GIUGNO"/>
    <x v="3"/>
    <n v="6"/>
    <s v="GIUGNO 2023"/>
    <s v="6 GIUGNO 2023"/>
    <x v="7"/>
    <x v="2"/>
    <n v="29.68"/>
    <m/>
    <m/>
    <m/>
  </r>
  <r>
    <x v="82"/>
    <s v="GIUGNO"/>
    <x v="3"/>
    <n v="6"/>
    <s v="GIUGNO 2023"/>
    <s v="6 GIUGNO 2023"/>
    <x v="7"/>
    <x v="2"/>
    <n v="15.7"/>
    <m/>
    <m/>
    <m/>
  </r>
  <r>
    <x v="63"/>
    <s v="GIUGNO"/>
    <x v="3"/>
    <n v="6"/>
    <s v="GIUGNO 2023"/>
    <s v="6 GIUGNO 2023"/>
    <x v="12"/>
    <x v="0"/>
    <n v="37.71"/>
    <s v="2/3"/>
    <s v="PAYPAL"/>
    <m/>
  </r>
  <r>
    <x v="225"/>
    <s v="GIUGNO"/>
    <x v="3"/>
    <n v="6"/>
    <s v="GIUGNO 2023"/>
    <s v="6 GIUGNO 2023"/>
    <x v="11"/>
    <x v="6"/>
    <n v="10.49"/>
    <s v="3/3"/>
    <s v="PAYPAL"/>
    <m/>
  </r>
  <r>
    <x v="2"/>
    <s v="GIUGNO"/>
    <x v="3"/>
    <n v="6"/>
    <s v="GIUGNO 2023"/>
    <s v="6 GIUGNO 2023"/>
    <x v="22"/>
    <x v="6"/>
    <n v="55.86"/>
    <s v="4/5"/>
    <s v="AMAZON"/>
    <s v="TABLET"/>
  </r>
  <r>
    <x v="6"/>
    <s v="GIUGNO"/>
    <x v="3"/>
    <n v="6"/>
    <s v="GIUGNO 2023"/>
    <s v="6 GIUGNO 2023"/>
    <x v="0"/>
    <x v="0"/>
    <n v="3.6"/>
    <m/>
    <m/>
    <m/>
  </r>
  <r>
    <x v="13"/>
    <s v="GIUGNO"/>
    <x v="3"/>
    <n v="6"/>
    <s v="GIUGNO 2023"/>
    <s v="6 GIUGNO 2023"/>
    <x v="0"/>
    <x v="0"/>
    <n v="30"/>
    <m/>
    <m/>
    <m/>
  </r>
  <r>
    <x v="91"/>
    <s v="MAGGIO"/>
    <x v="3"/>
    <n v="5"/>
    <s v="MAGGIO 2023"/>
    <s v="5 MAGGIO 2023"/>
    <x v="2"/>
    <x v="2"/>
    <n v="0.8"/>
    <m/>
    <m/>
    <m/>
  </r>
  <r>
    <x v="91"/>
    <s v="MAGGIO"/>
    <x v="3"/>
    <n v="5"/>
    <s v="MAGGIO 2023"/>
    <s v="5 MAGGIO 2023"/>
    <x v="2"/>
    <x v="2"/>
    <n v="0.4"/>
    <m/>
    <m/>
    <m/>
  </r>
  <r>
    <x v="82"/>
    <s v="MAGGIO"/>
    <x v="3"/>
    <n v="5"/>
    <s v="MAGGIO 2023"/>
    <s v="5 MAGGIO 2023"/>
    <x v="7"/>
    <x v="2"/>
    <n v="12.94"/>
    <m/>
    <m/>
    <m/>
  </r>
  <r>
    <x v="91"/>
    <s v="MAGGIO"/>
    <x v="3"/>
    <n v="5"/>
    <s v="MAGGIO 2023"/>
    <s v="5 MAGGIO 2023"/>
    <x v="2"/>
    <x v="2"/>
    <n v="0.4"/>
    <m/>
    <m/>
    <m/>
  </r>
  <r>
    <x v="63"/>
    <s v="MAGGIO"/>
    <x v="3"/>
    <n v="5"/>
    <s v="MAGGIO 2023"/>
    <s v="5 MAGGIO 2023"/>
    <x v="12"/>
    <x v="0"/>
    <n v="37.71"/>
    <s v="1/3"/>
    <s v="PAYPAL"/>
    <m/>
  </r>
  <r>
    <x v="6"/>
    <s v="MAGGIO"/>
    <x v="3"/>
    <n v="5"/>
    <s v="MAGGIO 2023"/>
    <s v="5 MAGGIO 2023"/>
    <x v="14"/>
    <x v="2"/>
    <n v="5"/>
    <m/>
    <m/>
    <m/>
  </r>
  <r>
    <x v="91"/>
    <s v="MAGGIO"/>
    <x v="3"/>
    <n v="5"/>
    <s v="MAGGIO 2023"/>
    <s v="5 MAGGIO 2023"/>
    <x v="2"/>
    <x v="2"/>
    <n v="0.4"/>
    <m/>
    <m/>
    <m/>
  </r>
  <r>
    <x v="91"/>
    <s v="MAGGIO"/>
    <x v="3"/>
    <n v="5"/>
    <s v="MAGGIO 2023"/>
    <s v="5 MAGGIO 2023"/>
    <x v="2"/>
    <x v="2"/>
    <n v="0.4"/>
    <m/>
    <m/>
    <m/>
  </r>
  <r>
    <x v="91"/>
    <s v="MAGGIO"/>
    <x v="3"/>
    <n v="5"/>
    <s v="MAGGIO 2023"/>
    <s v="5 MAGGIO 2023"/>
    <x v="2"/>
    <x v="2"/>
    <n v="0.4"/>
    <m/>
    <m/>
    <m/>
  </r>
  <r>
    <x v="82"/>
    <s v="MAGGIO"/>
    <x v="3"/>
    <n v="5"/>
    <s v="MAGGIO 2023"/>
    <s v="5 MAGGIO 2023"/>
    <x v="7"/>
    <x v="2"/>
    <n v="16.41"/>
    <m/>
    <m/>
    <m/>
  </r>
  <r>
    <x v="6"/>
    <s v="MAGGIO"/>
    <x v="3"/>
    <n v="5"/>
    <s v="MAGGIO 2023"/>
    <s v="5 MAGGIO 2023"/>
    <x v="0"/>
    <x v="0"/>
    <n v="3.6"/>
    <m/>
    <m/>
    <m/>
  </r>
  <r>
    <x v="12"/>
    <s v="MAGGIO"/>
    <x v="3"/>
    <n v="5"/>
    <s v="MAGGIO 2023"/>
    <s v="5 MAGGIO 2023"/>
    <x v="7"/>
    <x v="2"/>
    <n v="16.14"/>
    <m/>
    <m/>
    <m/>
  </r>
  <r>
    <x v="35"/>
    <s v="MAGGIO"/>
    <x v="3"/>
    <n v="5"/>
    <s v="MAGGIO 2023"/>
    <s v="5 MAGGIO 2023"/>
    <x v="1"/>
    <x v="1"/>
    <n v="12.3"/>
    <m/>
    <m/>
    <m/>
  </r>
  <r>
    <x v="367"/>
    <s v="MAGGIO"/>
    <x v="3"/>
    <n v="5"/>
    <s v="MAGGIO 2023"/>
    <s v="5 MAGGIO 2023"/>
    <x v="9"/>
    <x v="3"/>
    <n v="25"/>
    <m/>
    <m/>
    <m/>
  </r>
  <r>
    <x v="2"/>
    <s v="MAGGIO"/>
    <x v="3"/>
    <n v="5"/>
    <s v="MAGGIO 2023"/>
    <s v="5 MAGGIO 2023"/>
    <x v="8"/>
    <x v="6"/>
    <n v="27.2"/>
    <m/>
    <s v="AMAZON"/>
    <m/>
  </r>
  <r>
    <x v="368"/>
    <s v="MAGGIO"/>
    <x v="3"/>
    <n v="5"/>
    <s v="MAGGIO 2023"/>
    <s v="5 MAGGIO 2023"/>
    <x v="8"/>
    <x v="6"/>
    <n v="19.18"/>
    <m/>
    <s v="PAYPAL"/>
    <m/>
  </r>
  <r>
    <x v="369"/>
    <s v="MAGGIO"/>
    <x v="3"/>
    <n v="5"/>
    <s v="MAGGIO 2023"/>
    <s v="5 MAGGIO 2023"/>
    <x v="0"/>
    <x v="0"/>
    <n v="52.5"/>
    <m/>
    <m/>
    <m/>
  </r>
  <r>
    <x v="82"/>
    <s v="MAGGIO"/>
    <x v="3"/>
    <n v="5"/>
    <s v="MAGGIO 2023"/>
    <s v="5 MAGGIO 2023"/>
    <x v="7"/>
    <x v="2"/>
    <n v="18.77"/>
    <m/>
    <m/>
    <m/>
  </r>
  <r>
    <x v="6"/>
    <s v="MAGGIO"/>
    <x v="3"/>
    <n v="5"/>
    <s v="MAGGIO 2023"/>
    <s v="5 MAGGIO 2023"/>
    <x v="14"/>
    <x v="2"/>
    <n v="5"/>
    <m/>
    <m/>
    <m/>
  </r>
  <r>
    <x v="225"/>
    <s v="MAGGIO"/>
    <x v="3"/>
    <n v="5"/>
    <s v="MAGGIO 2023"/>
    <s v="5 MAGGIO 2023"/>
    <x v="11"/>
    <x v="6"/>
    <n v="10.49"/>
    <s v="2/3"/>
    <s v="PAYPAL"/>
    <m/>
  </r>
  <r>
    <x v="2"/>
    <s v="MAGGIO"/>
    <x v="3"/>
    <n v="5"/>
    <s v="MAGGIO 2023"/>
    <s v="5 MAGGIO 2023"/>
    <x v="22"/>
    <x v="6"/>
    <n v="55.86"/>
    <s v="3/5"/>
    <s v="AMAZON"/>
    <s v="TABLET"/>
  </r>
  <r>
    <x v="2"/>
    <s v="MAGGIO"/>
    <x v="3"/>
    <n v="5"/>
    <s v="MAGGIO 2023"/>
    <s v="5 MAGGIO 2023"/>
    <x v="8"/>
    <x v="6"/>
    <n v="40.98"/>
    <m/>
    <s v="AMAZON"/>
    <m/>
  </r>
  <r>
    <x v="370"/>
    <s v="APRILE"/>
    <x v="3"/>
    <n v="4"/>
    <s v="APRILE 2023"/>
    <s v="4 APRILE 2023"/>
    <x v="0"/>
    <x v="0"/>
    <n v="10"/>
    <m/>
    <m/>
    <m/>
  </r>
  <r>
    <x v="371"/>
    <s v="APRILE"/>
    <x v="3"/>
    <n v="4"/>
    <s v="APRILE 2023"/>
    <s v="4 APRILE 2023"/>
    <x v="0"/>
    <x v="0"/>
    <n v="12"/>
    <m/>
    <m/>
    <m/>
  </r>
  <r>
    <x v="91"/>
    <s v="APRILE"/>
    <x v="3"/>
    <n v="4"/>
    <s v="APRILE 2023"/>
    <s v="4 APRILE 2023"/>
    <x v="2"/>
    <x v="2"/>
    <n v="0.4"/>
    <m/>
    <m/>
    <m/>
  </r>
  <r>
    <x v="6"/>
    <s v="APRILE"/>
    <x v="3"/>
    <n v="4"/>
    <s v="APRILE 2023"/>
    <s v="4 APRILE 2023"/>
    <x v="14"/>
    <x v="2"/>
    <n v="5"/>
    <m/>
    <m/>
    <m/>
  </r>
  <r>
    <x v="108"/>
    <s v="APRILE"/>
    <x v="3"/>
    <n v="4"/>
    <s v="APRILE 2023"/>
    <s v="4 APRILE 2023"/>
    <x v="0"/>
    <x v="0"/>
    <n v="22"/>
    <m/>
    <m/>
    <m/>
  </r>
  <r>
    <x v="91"/>
    <s v="APRILE"/>
    <x v="3"/>
    <n v="4"/>
    <s v="APRILE 2023"/>
    <s v="4 APRILE 2023"/>
    <x v="2"/>
    <x v="2"/>
    <n v="0.4"/>
    <m/>
    <m/>
    <m/>
  </r>
  <r>
    <x v="82"/>
    <s v="APRILE"/>
    <x v="3"/>
    <n v="4"/>
    <s v="APRILE 2023"/>
    <s v="4 APRILE 2023"/>
    <x v="7"/>
    <x v="2"/>
    <n v="10.63"/>
    <m/>
    <m/>
    <m/>
  </r>
  <r>
    <x v="372"/>
    <s v="APRILE"/>
    <x v="3"/>
    <n v="4"/>
    <s v="APRILE 2023"/>
    <s v="4 APRILE 2023"/>
    <x v="7"/>
    <x v="2"/>
    <n v="3.4"/>
    <m/>
    <m/>
    <m/>
  </r>
  <r>
    <x v="82"/>
    <s v="APRILE"/>
    <x v="3"/>
    <n v="4"/>
    <s v="APRILE 2023"/>
    <s v="4 APRILE 2023"/>
    <x v="7"/>
    <x v="2"/>
    <n v="9.93"/>
    <m/>
    <m/>
    <m/>
  </r>
  <r>
    <x v="91"/>
    <s v="APRILE"/>
    <x v="3"/>
    <n v="4"/>
    <s v="APRILE 2023"/>
    <s v="4 APRILE 2023"/>
    <x v="2"/>
    <x v="2"/>
    <n v="0.4"/>
    <m/>
    <m/>
    <m/>
  </r>
  <r>
    <x v="280"/>
    <s v="APRILE"/>
    <x v="3"/>
    <n v="4"/>
    <s v="APRILE 2023"/>
    <s v="4 APRILE 2023"/>
    <x v="0"/>
    <x v="0"/>
    <n v="31.6"/>
    <m/>
    <m/>
    <m/>
  </r>
  <r>
    <x v="8"/>
    <s v="APRILE"/>
    <x v="3"/>
    <n v="4"/>
    <s v="APRILE 2023"/>
    <s v="4 APRILE 2023"/>
    <x v="6"/>
    <x v="2"/>
    <n v="33"/>
    <m/>
    <m/>
    <m/>
  </r>
  <r>
    <x v="373"/>
    <s v="APRILE"/>
    <x v="3"/>
    <n v="4"/>
    <s v="APRILE 2023"/>
    <s v="4 APRILE 2023"/>
    <x v="7"/>
    <x v="2"/>
    <n v="16.43"/>
    <m/>
    <m/>
    <m/>
  </r>
  <r>
    <x v="225"/>
    <s v="APRILE"/>
    <x v="3"/>
    <n v="4"/>
    <s v="APRILE 2023"/>
    <s v="4 APRILE 2023"/>
    <x v="11"/>
    <x v="6"/>
    <n v="10.49"/>
    <s v="1/3"/>
    <s v="PAYPAL"/>
    <m/>
  </r>
  <r>
    <x v="374"/>
    <s v="APRILE"/>
    <x v="3"/>
    <n v="4"/>
    <s v="APRILE 2023"/>
    <s v="4 APRILE 2023"/>
    <x v="7"/>
    <x v="2"/>
    <n v="3.69"/>
    <m/>
    <m/>
    <m/>
  </r>
  <r>
    <x v="299"/>
    <s v="APRILE"/>
    <x v="3"/>
    <n v="4"/>
    <s v="APRILE 2023"/>
    <s v="4 APRILE 2023"/>
    <x v="0"/>
    <x v="0"/>
    <n v="5.16"/>
    <m/>
    <m/>
    <m/>
  </r>
  <r>
    <x v="299"/>
    <s v="APRILE"/>
    <x v="3"/>
    <n v="4"/>
    <s v="APRILE 2023"/>
    <s v="4 APRILE 2023"/>
    <x v="0"/>
    <x v="0"/>
    <n v="5.16"/>
    <m/>
    <m/>
    <m/>
  </r>
  <r>
    <x v="35"/>
    <s v="APRILE"/>
    <x v="3"/>
    <n v="4"/>
    <s v="APRILE 2023"/>
    <s v="4 APRILE 2023"/>
    <x v="1"/>
    <x v="1"/>
    <n v="17.600000000000001"/>
    <m/>
    <m/>
    <m/>
  </r>
  <r>
    <x v="6"/>
    <s v="APRILE"/>
    <x v="3"/>
    <n v="4"/>
    <s v="APRILE 2023"/>
    <s v="4 APRILE 2023"/>
    <x v="14"/>
    <x v="2"/>
    <n v="5"/>
    <m/>
    <m/>
    <m/>
  </r>
  <r>
    <x v="91"/>
    <s v="APRILE"/>
    <x v="3"/>
    <n v="4"/>
    <s v="APRILE 2023"/>
    <s v="4 APRILE 2023"/>
    <x v="2"/>
    <x v="2"/>
    <n v="0.4"/>
    <m/>
    <m/>
    <m/>
  </r>
  <r>
    <x v="82"/>
    <s v="APRILE"/>
    <x v="3"/>
    <n v="4"/>
    <s v="APRILE 2023"/>
    <s v="4 APRILE 2023"/>
    <x v="7"/>
    <x v="2"/>
    <n v="31.84"/>
    <m/>
    <m/>
    <m/>
  </r>
  <r>
    <x v="91"/>
    <s v="APRILE"/>
    <x v="3"/>
    <n v="4"/>
    <s v="APRILE 2023"/>
    <s v="4 APRILE 2023"/>
    <x v="2"/>
    <x v="2"/>
    <n v="0.4"/>
    <m/>
    <m/>
    <m/>
  </r>
  <r>
    <x v="91"/>
    <s v="APRILE"/>
    <x v="3"/>
    <n v="4"/>
    <s v="APRILE 2023"/>
    <s v="4 APRILE 2023"/>
    <x v="2"/>
    <x v="2"/>
    <n v="0.4"/>
    <m/>
    <m/>
    <m/>
  </r>
  <r>
    <x v="91"/>
    <s v="APRILE"/>
    <x v="3"/>
    <n v="4"/>
    <s v="APRILE 2023"/>
    <s v="4 APRILE 2023"/>
    <x v="2"/>
    <x v="2"/>
    <n v="0.4"/>
    <m/>
    <m/>
    <m/>
  </r>
  <r>
    <x v="91"/>
    <s v="APRILE"/>
    <x v="3"/>
    <n v="4"/>
    <s v="APRILE 2023"/>
    <s v="4 APRILE 2023"/>
    <x v="2"/>
    <x v="2"/>
    <n v="0.4"/>
    <m/>
    <m/>
    <m/>
  </r>
  <r>
    <x v="2"/>
    <s v="APRILE"/>
    <x v="3"/>
    <n v="4"/>
    <s v="APRILE 2023"/>
    <s v="4 APRILE 2023"/>
    <x v="8"/>
    <x v="6"/>
    <n v="16.48"/>
    <m/>
    <s v="AMAZON"/>
    <m/>
  </r>
  <r>
    <x v="2"/>
    <s v="APRILE"/>
    <x v="3"/>
    <n v="4"/>
    <s v="APRILE 2023"/>
    <s v="4 APRILE 2023"/>
    <x v="22"/>
    <x v="6"/>
    <n v="55.86"/>
    <s v="2/5"/>
    <s v="AMAZON"/>
    <s v="TABLET"/>
  </r>
  <r>
    <x v="53"/>
    <s v="APRILE"/>
    <x v="3"/>
    <n v="4"/>
    <s v="APRILE 2023"/>
    <s v="4 APRILE 2023"/>
    <x v="1"/>
    <x v="1"/>
    <n v="28.31"/>
    <s v="3/3"/>
    <s v="PAYPAL"/>
    <m/>
  </r>
  <r>
    <x v="63"/>
    <s v="APRILE"/>
    <x v="3"/>
    <n v="4"/>
    <s v="APRILE 2023"/>
    <s v="4 APRILE 2023"/>
    <x v="12"/>
    <x v="0"/>
    <n v="28.63"/>
    <s v="3/3"/>
    <s v="PAYPAL"/>
    <m/>
  </r>
  <r>
    <x v="6"/>
    <s v="APRILE"/>
    <x v="3"/>
    <n v="4"/>
    <s v="APRILE 2023"/>
    <s v="4 APRILE 2023"/>
    <x v="14"/>
    <x v="2"/>
    <n v="5"/>
    <m/>
    <m/>
    <m/>
  </r>
  <r>
    <x v="254"/>
    <s v="MARZO"/>
    <x v="3"/>
    <n v="3"/>
    <s v="MARZO 2023"/>
    <s v="3 MARZO 2023"/>
    <x v="0"/>
    <x v="0"/>
    <n v="23"/>
    <m/>
    <m/>
    <m/>
  </r>
  <r>
    <x v="41"/>
    <s v="MARZO"/>
    <x v="3"/>
    <n v="3"/>
    <s v="MARZO 2023"/>
    <s v="3 MARZO 2023"/>
    <x v="3"/>
    <x v="3"/>
    <n v="1.7"/>
    <m/>
    <m/>
    <m/>
  </r>
  <r>
    <x v="257"/>
    <s v="MARZO"/>
    <x v="3"/>
    <n v="3"/>
    <s v="MARZO 2023"/>
    <s v="3 MARZO 2023"/>
    <x v="3"/>
    <x v="3"/>
    <n v="2.1"/>
    <m/>
    <m/>
    <m/>
  </r>
  <r>
    <x v="6"/>
    <s v="MARZO"/>
    <x v="3"/>
    <n v="3"/>
    <s v="MARZO 2023"/>
    <s v="3 MARZO 2023"/>
    <x v="14"/>
    <x v="2"/>
    <n v="5"/>
    <m/>
    <m/>
    <m/>
  </r>
  <r>
    <x v="91"/>
    <s v="MARZO"/>
    <x v="3"/>
    <n v="3"/>
    <s v="MARZO 2023"/>
    <s v="3 MARZO 2023"/>
    <x v="2"/>
    <x v="2"/>
    <n v="0.4"/>
    <m/>
    <m/>
    <m/>
  </r>
  <r>
    <x v="6"/>
    <s v="MARZO"/>
    <x v="3"/>
    <n v="3"/>
    <s v="MARZO 2023"/>
    <s v="3 MARZO 2023"/>
    <x v="0"/>
    <x v="0"/>
    <n v="2.4"/>
    <m/>
    <m/>
    <m/>
  </r>
  <r>
    <x v="2"/>
    <s v="MARZO"/>
    <x v="3"/>
    <n v="3"/>
    <s v="MARZO 2023"/>
    <s v="3 MARZO 2023"/>
    <x v="11"/>
    <x v="6"/>
    <n v="9.98"/>
    <s v="5/5"/>
    <s v="AMAZON"/>
    <m/>
  </r>
  <r>
    <x v="91"/>
    <s v="MARZO"/>
    <x v="3"/>
    <n v="3"/>
    <s v="MARZO 2023"/>
    <s v="3 MARZO 2023"/>
    <x v="2"/>
    <x v="2"/>
    <n v="0.4"/>
    <m/>
    <m/>
    <m/>
  </r>
  <r>
    <x v="91"/>
    <s v="MARZO"/>
    <x v="3"/>
    <n v="3"/>
    <s v="MARZO 2023"/>
    <s v="3 MARZO 2023"/>
    <x v="2"/>
    <x v="2"/>
    <n v="0.4"/>
    <m/>
    <m/>
    <m/>
  </r>
  <r>
    <x v="82"/>
    <s v="MARZO"/>
    <x v="3"/>
    <n v="3"/>
    <s v="MARZO 2023"/>
    <s v="3 MARZO 2023"/>
    <x v="7"/>
    <x v="2"/>
    <n v="9.92"/>
    <m/>
    <m/>
    <m/>
  </r>
  <r>
    <x v="91"/>
    <s v="MARZO"/>
    <x v="3"/>
    <n v="3"/>
    <s v="MARZO 2023"/>
    <s v="3 MARZO 2023"/>
    <x v="2"/>
    <x v="2"/>
    <n v="0.4"/>
    <m/>
    <m/>
    <m/>
  </r>
  <r>
    <x v="91"/>
    <s v="MARZO"/>
    <x v="3"/>
    <n v="3"/>
    <s v="MARZO 2023"/>
    <s v="3 MARZO 2023"/>
    <x v="2"/>
    <x v="2"/>
    <n v="0.4"/>
    <m/>
    <m/>
    <m/>
  </r>
  <r>
    <x v="2"/>
    <s v="MARZO"/>
    <x v="3"/>
    <n v="3"/>
    <s v="MARZO 2023"/>
    <s v="3 MARZO 2023"/>
    <x v="8"/>
    <x v="6"/>
    <n v="20.99"/>
    <m/>
    <s v="AMAZON"/>
    <m/>
  </r>
  <r>
    <x v="82"/>
    <s v="MARZO"/>
    <x v="3"/>
    <n v="3"/>
    <s v="MARZO 2023"/>
    <s v="3 MARZO 2023"/>
    <x v="7"/>
    <x v="2"/>
    <n v="8.6199999999999992"/>
    <m/>
    <m/>
    <m/>
  </r>
  <r>
    <x v="91"/>
    <s v="MARZO"/>
    <x v="3"/>
    <n v="3"/>
    <s v="MARZO 2023"/>
    <s v="3 MARZO 2023"/>
    <x v="2"/>
    <x v="2"/>
    <n v="0.4"/>
    <m/>
    <m/>
    <m/>
  </r>
  <r>
    <x v="375"/>
    <s v="MARZO"/>
    <x v="3"/>
    <n v="3"/>
    <s v="MARZO 2023"/>
    <s v="3 MARZO 2023"/>
    <x v="0"/>
    <x v="0"/>
    <n v="14"/>
    <m/>
    <m/>
    <m/>
  </r>
  <r>
    <x v="2"/>
    <s v="MARZO"/>
    <x v="3"/>
    <n v="3"/>
    <s v="MARZO 2023"/>
    <s v="3 MARZO 2023"/>
    <x v="22"/>
    <x v="6"/>
    <n v="55.86"/>
    <s v="1/5"/>
    <s v="AMAZON"/>
    <s v="TABLET"/>
  </r>
  <r>
    <x v="372"/>
    <s v="MARZO"/>
    <x v="3"/>
    <n v="3"/>
    <s v="MARZO 2023"/>
    <s v="3 MARZO 2023"/>
    <x v="7"/>
    <x v="2"/>
    <n v="3.89"/>
    <m/>
    <m/>
    <m/>
  </r>
  <r>
    <x v="91"/>
    <s v="MARZO"/>
    <x v="3"/>
    <n v="3"/>
    <s v="MARZO 2023"/>
    <s v="3 MARZO 2023"/>
    <x v="2"/>
    <x v="2"/>
    <n v="0.4"/>
    <m/>
    <m/>
    <m/>
  </r>
  <r>
    <x v="35"/>
    <s v="MARZO"/>
    <x v="3"/>
    <n v="3"/>
    <s v="MARZO 2023"/>
    <s v="3 MARZO 2023"/>
    <x v="1"/>
    <x v="1"/>
    <n v="6.5"/>
    <m/>
    <m/>
    <m/>
  </r>
  <r>
    <x v="12"/>
    <s v="MARZO"/>
    <x v="3"/>
    <n v="3"/>
    <s v="MARZO 2023"/>
    <s v="3 MARZO 2023"/>
    <x v="7"/>
    <x v="2"/>
    <n v="11.09"/>
    <m/>
    <m/>
    <m/>
  </r>
  <r>
    <x v="82"/>
    <s v="MARZO"/>
    <x v="3"/>
    <n v="3"/>
    <s v="MARZO 2023"/>
    <s v="3 MARZO 2023"/>
    <x v="7"/>
    <x v="2"/>
    <n v="25.05"/>
    <m/>
    <m/>
    <m/>
  </r>
  <r>
    <x v="91"/>
    <s v="MARZO"/>
    <x v="3"/>
    <n v="3"/>
    <s v="MARZO 2023"/>
    <s v="3 MARZO 2023"/>
    <x v="2"/>
    <x v="2"/>
    <n v="0.4"/>
    <m/>
    <m/>
    <m/>
  </r>
  <r>
    <x v="6"/>
    <s v="MARZO"/>
    <x v="3"/>
    <n v="3"/>
    <s v="MARZO 2023"/>
    <s v="3 MARZO 2023"/>
    <x v="14"/>
    <x v="2"/>
    <n v="5"/>
    <m/>
    <m/>
    <m/>
  </r>
  <r>
    <x v="91"/>
    <s v="MARZO"/>
    <x v="3"/>
    <n v="3"/>
    <s v="MARZO 2023"/>
    <s v="3 MARZO 2023"/>
    <x v="2"/>
    <x v="2"/>
    <n v="0.4"/>
    <m/>
    <m/>
    <m/>
  </r>
  <r>
    <x v="91"/>
    <s v="MARZO"/>
    <x v="3"/>
    <n v="3"/>
    <s v="MARZO 2023"/>
    <s v="3 MARZO 2023"/>
    <x v="2"/>
    <x v="2"/>
    <n v="0.4"/>
    <m/>
    <m/>
    <m/>
  </r>
  <r>
    <x v="2"/>
    <s v="MARZO"/>
    <x v="3"/>
    <n v="3"/>
    <s v="MARZO 2023"/>
    <s v="3 MARZO 2023"/>
    <x v="8"/>
    <x v="6"/>
    <n v="29.99"/>
    <m/>
    <s v="AMAZON"/>
    <m/>
  </r>
  <r>
    <x v="236"/>
    <s v="MARZO"/>
    <x v="3"/>
    <n v="3"/>
    <s v="MARZO 2023"/>
    <s v="3 MARZO 2023"/>
    <x v="21"/>
    <x v="2"/>
    <n v="16.899999999999999"/>
    <s v="3/3"/>
    <s v="PAYPAL"/>
    <m/>
  </r>
  <r>
    <x v="203"/>
    <s v="MARZO"/>
    <x v="3"/>
    <n v="3"/>
    <s v="MARZO 2023"/>
    <s v="3 MARZO 2023"/>
    <x v="8"/>
    <x v="6"/>
    <n v="11.91"/>
    <s v="3/3"/>
    <s v="PAYPAL"/>
    <m/>
  </r>
  <r>
    <x v="53"/>
    <s v="MARZO"/>
    <x v="3"/>
    <n v="3"/>
    <s v="MARZO 2023"/>
    <s v="3 MARZO 2023"/>
    <x v="1"/>
    <x v="1"/>
    <n v="28.32"/>
    <s v="2/3"/>
    <s v="PAYPAL"/>
    <m/>
  </r>
  <r>
    <x v="63"/>
    <s v="MARZO"/>
    <x v="3"/>
    <n v="3"/>
    <s v="MARZO 2023"/>
    <s v="3 MARZO 2023"/>
    <x v="12"/>
    <x v="0"/>
    <n v="28.64"/>
    <s v="2/3"/>
    <s v="PAYPAL"/>
    <m/>
  </r>
  <r>
    <x v="82"/>
    <s v="MARZO"/>
    <x v="3"/>
    <n v="3"/>
    <s v="MARZO 2023"/>
    <s v="3 MARZO 2023"/>
    <x v="7"/>
    <x v="2"/>
    <n v="16.78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6"/>
    <s v="FEBBRAIO"/>
    <x v="3"/>
    <n v="2"/>
    <s v="FEBBRAIO 2023"/>
    <s v="2 FEBBRAIO 2023"/>
    <x v="14"/>
    <x v="2"/>
    <n v="5"/>
    <m/>
    <m/>
    <m/>
  </r>
  <r>
    <x v="91"/>
    <s v="FEBBRAIO"/>
    <x v="3"/>
    <n v="2"/>
    <s v="FEBBRAIO 2023"/>
    <s v="2 FEBBRAIO 2023"/>
    <x v="2"/>
    <x v="2"/>
    <n v="0.4"/>
    <m/>
    <m/>
    <m/>
  </r>
  <r>
    <x v="6"/>
    <s v="FEBBRAIO"/>
    <x v="3"/>
    <n v="2"/>
    <s v="FEBBRAIO 2023"/>
    <s v="2 FEBBRAIO 2023"/>
    <x v="14"/>
    <x v="2"/>
    <n v="7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82"/>
    <s v="FEBBRAIO"/>
    <x v="3"/>
    <n v="2"/>
    <s v="FEBBRAIO 2023"/>
    <s v="2 FEBBRAIO 2023"/>
    <x v="7"/>
    <x v="2"/>
    <n v="15.61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2"/>
    <s v="FEBBRAIO"/>
    <x v="3"/>
    <n v="2"/>
    <s v="FEBBRAIO 2023"/>
    <s v="2 FEBBRAIO 2023"/>
    <x v="11"/>
    <x v="6"/>
    <n v="9.98"/>
    <s v="4/5"/>
    <s v="AMAZON"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82"/>
    <s v="FEBBRAIO"/>
    <x v="3"/>
    <n v="2"/>
    <s v="FEBBRAIO 2023"/>
    <s v="2 FEBBRAIO 2023"/>
    <x v="7"/>
    <x v="2"/>
    <n v="4.2699999999999996"/>
    <m/>
    <m/>
    <m/>
  </r>
  <r>
    <x v="35"/>
    <s v="FEBBRAIO"/>
    <x v="3"/>
    <n v="2"/>
    <s v="FEBBRAIO 2023"/>
    <s v="2 FEBBRAIO 2023"/>
    <x v="1"/>
    <x v="1"/>
    <n v="5.87"/>
    <m/>
    <m/>
    <m/>
  </r>
  <r>
    <x v="91"/>
    <s v="FEBBRAIO"/>
    <x v="3"/>
    <n v="2"/>
    <s v="FEBBRAIO 2023"/>
    <s v="2 FEBBRAIO 2023"/>
    <x v="2"/>
    <x v="2"/>
    <n v="0.4"/>
    <m/>
    <m/>
    <m/>
  </r>
  <r>
    <x v="82"/>
    <s v="FEBBRAIO"/>
    <x v="3"/>
    <n v="2"/>
    <s v="FEBBRAIO 2023"/>
    <s v="2 FEBBRAIO 2023"/>
    <x v="7"/>
    <x v="2"/>
    <n v="12.52"/>
    <m/>
    <m/>
    <m/>
  </r>
  <r>
    <x v="91"/>
    <s v="FEBBRAIO"/>
    <x v="3"/>
    <n v="2"/>
    <s v="FEBBRAIO 2023"/>
    <s v="2 FEBBRAIO 2023"/>
    <x v="2"/>
    <x v="2"/>
    <n v="0.8"/>
    <m/>
    <m/>
    <m/>
  </r>
  <r>
    <x v="91"/>
    <s v="FEBBRAIO"/>
    <x v="3"/>
    <n v="2"/>
    <s v="FEBBRAIO 2023"/>
    <s v="2 FEBBRAIO 2023"/>
    <x v="2"/>
    <x v="2"/>
    <n v="0.4"/>
    <m/>
    <m/>
    <m/>
  </r>
  <r>
    <x v="8"/>
    <s v="FEBBRAIO"/>
    <x v="3"/>
    <n v="2"/>
    <s v="FEBBRAIO 2023"/>
    <s v="2 FEBBRAIO 2023"/>
    <x v="6"/>
    <x v="2"/>
    <n v="33"/>
    <m/>
    <m/>
    <m/>
  </r>
  <r>
    <x v="2"/>
    <s v="FEBBRAIO"/>
    <x v="3"/>
    <n v="2"/>
    <s v="FEBBRAIO 2023"/>
    <s v="2 FEBBRAIO 2023"/>
    <x v="8"/>
    <x v="6"/>
    <n v="3.49"/>
    <m/>
    <s v="AMAZON"/>
    <m/>
  </r>
  <r>
    <x v="53"/>
    <s v="FEBBRAIO"/>
    <x v="3"/>
    <n v="2"/>
    <s v="FEBBRAIO 2023"/>
    <s v="2 FEBBRAIO 2023"/>
    <x v="1"/>
    <x v="1"/>
    <n v="28.32"/>
    <s v="1/3"/>
    <s v="PAYPAL"/>
    <m/>
  </r>
  <r>
    <x v="82"/>
    <s v="FEBBRAIO"/>
    <x v="3"/>
    <n v="2"/>
    <s v="FEBBRAIO 2023"/>
    <s v="2 FEBBRAIO 2023"/>
    <x v="7"/>
    <x v="2"/>
    <n v="11.21"/>
    <m/>
    <m/>
    <m/>
  </r>
  <r>
    <x v="91"/>
    <s v="FEBBRAIO"/>
    <x v="3"/>
    <n v="2"/>
    <s v="FEBBRAIO 2023"/>
    <s v="2 FEBBRAIO 2023"/>
    <x v="2"/>
    <x v="2"/>
    <n v="0.4"/>
    <m/>
    <m/>
    <m/>
  </r>
  <r>
    <x v="91"/>
    <s v="FEBBRAIO"/>
    <x v="3"/>
    <n v="2"/>
    <s v="FEBBRAIO 2023"/>
    <s v="2 FEBBRAIO 2023"/>
    <x v="2"/>
    <x v="2"/>
    <n v="0.4"/>
    <m/>
    <m/>
    <m/>
  </r>
  <r>
    <x v="376"/>
    <s v="FEBBRAIO"/>
    <x v="3"/>
    <n v="2"/>
    <s v="FEBBRAIO 2023"/>
    <s v="2 FEBBRAIO 2023"/>
    <x v="0"/>
    <x v="0"/>
    <n v="36"/>
    <m/>
    <m/>
    <m/>
  </r>
  <r>
    <x v="91"/>
    <s v="FEBBRAIO"/>
    <x v="3"/>
    <n v="2"/>
    <s v="FEBBRAIO 2023"/>
    <s v="2 FEBBRAIO 2023"/>
    <x v="2"/>
    <x v="2"/>
    <n v="0.4"/>
    <m/>
    <m/>
    <m/>
  </r>
  <r>
    <x v="203"/>
    <s v="FEBBRAIO"/>
    <x v="3"/>
    <n v="2"/>
    <s v="FEBBRAIO 2023"/>
    <s v="2 FEBBRAIO 2023"/>
    <x v="8"/>
    <x v="6"/>
    <n v="11.92"/>
    <s v="2/3"/>
    <s v="PAYPAL"/>
    <m/>
  </r>
  <r>
    <x v="236"/>
    <s v="FEBBRAIO"/>
    <x v="3"/>
    <n v="2"/>
    <s v="FEBBRAIO 2023"/>
    <s v="2 FEBBRAIO 2023"/>
    <x v="21"/>
    <x v="2"/>
    <n v="16.899999999999999"/>
    <s v="2/3"/>
    <s v="PAYPAL"/>
    <m/>
  </r>
  <r>
    <x v="301"/>
    <s v="FEBBRAIO"/>
    <x v="3"/>
    <n v="2"/>
    <s v="FEBBRAIO 2023"/>
    <s v="2 FEBBRAIO 2023"/>
    <x v="7"/>
    <x v="2"/>
    <n v="33.24"/>
    <m/>
    <m/>
    <m/>
  </r>
  <r>
    <x v="82"/>
    <s v="FEBBRAIO"/>
    <x v="3"/>
    <n v="2"/>
    <s v="FEBBRAIO 2023"/>
    <s v="2 FEBBRAIO 2023"/>
    <x v="7"/>
    <x v="2"/>
    <n v="35.53"/>
    <m/>
    <m/>
    <m/>
  </r>
  <r>
    <x v="63"/>
    <s v="FEBBRAIO"/>
    <x v="3"/>
    <n v="2"/>
    <s v="FEBBRAIO 2023"/>
    <s v="2 FEBBRAIO 2023"/>
    <x v="12"/>
    <x v="0"/>
    <n v="28.63"/>
    <s v="1/3"/>
    <s v="PAYPAL"/>
    <m/>
  </r>
  <r>
    <x v="35"/>
    <s v="FEBBRAIO"/>
    <x v="3"/>
    <n v="2"/>
    <s v="FEBBRAIO 2023"/>
    <s v="2 FEBBRAIO 2023"/>
    <x v="1"/>
    <x v="1"/>
    <n v="14.08"/>
    <m/>
    <m/>
    <m/>
  </r>
  <r>
    <x v="377"/>
    <s v="FEBBRAIO"/>
    <x v="3"/>
    <n v="2"/>
    <s v="FEBBRAIO 2023"/>
    <s v="2 FEBBRAIO 2023"/>
    <x v="0"/>
    <x v="0"/>
    <n v="15"/>
    <m/>
    <m/>
    <m/>
  </r>
  <r>
    <x v="82"/>
    <s v="GENNAIO"/>
    <x v="3"/>
    <n v="1"/>
    <s v="GENNAIO 2023"/>
    <s v="1 GENNAIO 2023"/>
    <x v="7"/>
    <x v="2"/>
    <n v="15.48"/>
    <m/>
    <m/>
    <m/>
  </r>
  <r>
    <x v="378"/>
    <s v="GENNAIO"/>
    <x v="3"/>
    <n v="1"/>
    <s v="GENNAIO 2023"/>
    <s v="1 GENNAIO 2023"/>
    <x v="0"/>
    <x v="0"/>
    <n v="23"/>
    <m/>
    <m/>
    <m/>
  </r>
  <r>
    <x v="2"/>
    <s v="GENNAIO"/>
    <x v="3"/>
    <n v="1"/>
    <s v="GENNAIO 2023"/>
    <s v="1 GENNAIO 2023"/>
    <x v="11"/>
    <x v="6"/>
    <n v="9.98"/>
    <s v="3/5"/>
    <s v="AMAZON"/>
    <m/>
  </r>
  <r>
    <x v="6"/>
    <s v="GENNAIO"/>
    <x v="3"/>
    <n v="1"/>
    <s v="GENNAIO 2023"/>
    <s v="1 GENNAIO 2023"/>
    <x v="14"/>
    <x v="2"/>
    <n v="5"/>
    <m/>
    <m/>
    <m/>
  </r>
  <r>
    <x v="35"/>
    <s v="GENNAIO"/>
    <x v="3"/>
    <n v="1"/>
    <s v="GENNAIO 2023"/>
    <s v="1 GENNAIO 2023"/>
    <x v="1"/>
    <x v="1"/>
    <n v="4.5999999999999996"/>
    <m/>
    <m/>
    <m/>
  </r>
  <r>
    <x v="91"/>
    <s v="GENNAIO"/>
    <x v="3"/>
    <n v="1"/>
    <s v="GENNAIO 2023"/>
    <s v="1 GENNAIO 2023"/>
    <x v="2"/>
    <x v="2"/>
    <n v="0.4"/>
    <m/>
    <m/>
    <m/>
  </r>
  <r>
    <x v="91"/>
    <s v="GENNAIO"/>
    <x v="3"/>
    <n v="1"/>
    <s v="GENNAIO 2023"/>
    <s v="1 GENNAIO 2023"/>
    <x v="2"/>
    <x v="2"/>
    <n v="0.4"/>
    <m/>
    <m/>
    <m/>
  </r>
  <r>
    <x v="6"/>
    <s v="GENNAIO"/>
    <x v="3"/>
    <n v="1"/>
    <s v="GENNAIO 2023"/>
    <s v="1 GENNAIO 2023"/>
    <x v="0"/>
    <x v="0"/>
    <n v="3.6"/>
    <m/>
    <m/>
    <m/>
  </r>
  <r>
    <x v="91"/>
    <s v="GENNAIO"/>
    <x v="3"/>
    <n v="1"/>
    <s v="GENNAIO 2023"/>
    <s v="1 GENNAIO 2023"/>
    <x v="2"/>
    <x v="2"/>
    <n v="0.4"/>
    <m/>
    <m/>
    <m/>
  </r>
  <r>
    <x v="91"/>
    <s v="GENNAIO"/>
    <x v="3"/>
    <n v="1"/>
    <s v="GENNAIO 2023"/>
    <s v="1 GENNAIO 2023"/>
    <x v="2"/>
    <x v="2"/>
    <n v="0.4"/>
    <m/>
    <m/>
    <m/>
  </r>
  <r>
    <x v="91"/>
    <s v="GENNAIO"/>
    <x v="3"/>
    <n v="1"/>
    <s v="GENNAIO 2023"/>
    <s v="1 GENNAIO 2023"/>
    <x v="2"/>
    <x v="2"/>
    <n v="0.4"/>
    <m/>
    <m/>
    <m/>
  </r>
  <r>
    <x v="91"/>
    <s v="GENNAIO"/>
    <x v="3"/>
    <n v="1"/>
    <s v="GENNAIO 2023"/>
    <s v="1 GENNAIO 2023"/>
    <x v="2"/>
    <x v="2"/>
    <n v="0.4"/>
    <m/>
    <m/>
    <m/>
  </r>
  <r>
    <x v="91"/>
    <s v="GENNAIO"/>
    <x v="3"/>
    <n v="1"/>
    <s v="GENNAIO 2023"/>
    <s v="1 GENNAIO 2023"/>
    <x v="2"/>
    <x v="2"/>
    <n v="0.4"/>
    <m/>
    <m/>
    <m/>
  </r>
  <r>
    <x v="2"/>
    <s v="GENNAIO"/>
    <x v="3"/>
    <n v="1"/>
    <s v="GENNAIO 2023"/>
    <s v="1 GENNAIO 2023"/>
    <x v="8"/>
    <x v="6"/>
    <n v="0.76"/>
    <m/>
    <s v="AMAZON"/>
    <m/>
  </r>
  <r>
    <x v="142"/>
    <s v="GENNAIO"/>
    <x v="3"/>
    <n v="1"/>
    <s v="GENNAIO 2023"/>
    <s v="1 GENNAIO 2023"/>
    <x v="0"/>
    <x v="0"/>
    <n v="34.54"/>
    <m/>
    <m/>
    <m/>
  </r>
  <r>
    <x v="35"/>
    <s v="GENNAIO"/>
    <x v="3"/>
    <n v="1"/>
    <s v="GENNAIO 2023"/>
    <s v="1 GENNAIO 2023"/>
    <x v="1"/>
    <x v="1"/>
    <n v="7.1"/>
    <m/>
    <m/>
    <m/>
  </r>
  <r>
    <x v="35"/>
    <s v="GENNAIO"/>
    <x v="3"/>
    <n v="1"/>
    <s v="GENNAIO 2023"/>
    <s v="1 GENNAIO 2023"/>
    <x v="1"/>
    <x v="1"/>
    <n v="9.09"/>
    <m/>
    <m/>
    <m/>
  </r>
  <r>
    <x v="82"/>
    <s v="GENNAIO"/>
    <x v="3"/>
    <n v="1"/>
    <s v="GENNAIO 2023"/>
    <s v="1 GENNAIO 2023"/>
    <x v="7"/>
    <x v="2"/>
    <n v="15.88"/>
    <m/>
    <m/>
    <m/>
  </r>
  <r>
    <x v="203"/>
    <s v="GENNAIO"/>
    <x v="3"/>
    <n v="1"/>
    <s v="GENNAIO 2023"/>
    <s v="1 GENNAIO 2023"/>
    <x v="8"/>
    <x v="6"/>
    <n v="11.91"/>
    <s v="1/3"/>
    <s v="PAYPAL"/>
    <m/>
  </r>
  <r>
    <x v="379"/>
    <s v="GENNAIO"/>
    <x v="3"/>
    <n v="1"/>
    <s v="GENNAIO 2023"/>
    <s v="1 GENNAIO 2023"/>
    <x v="0"/>
    <x v="0"/>
    <n v="10.5"/>
    <m/>
    <m/>
    <m/>
  </r>
  <r>
    <x v="99"/>
    <s v="GENNAIO"/>
    <x v="3"/>
    <n v="1"/>
    <s v="GENNAIO 2023"/>
    <s v="1 GENNAIO 2023"/>
    <x v="0"/>
    <x v="0"/>
    <n v="20"/>
    <m/>
    <m/>
    <m/>
  </r>
  <r>
    <x v="35"/>
    <s v="GENNAIO"/>
    <x v="3"/>
    <n v="1"/>
    <s v="GENNAIO 2023"/>
    <s v="1 GENNAIO 2023"/>
    <x v="1"/>
    <x v="1"/>
    <n v="6.79"/>
    <m/>
    <m/>
    <m/>
  </r>
  <r>
    <x v="375"/>
    <s v="GENNAIO"/>
    <x v="3"/>
    <n v="1"/>
    <s v="GENNAIO 2023"/>
    <s v="1 GENNAIO 2023"/>
    <x v="0"/>
    <x v="0"/>
    <n v="7"/>
    <m/>
    <m/>
    <m/>
  </r>
  <r>
    <x v="380"/>
    <s v="GENNAIO"/>
    <x v="3"/>
    <n v="1"/>
    <s v="GENNAIO 2023"/>
    <s v="1 GENNAIO 2023"/>
    <x v="12"/>
    <x v="0"/>
    <n v="19"/>
    <m/>
    <m/>
    <m/>
  </r>
  <r>
    <x v="41"/>
    <s v="GENNAIO"/>
    <x v="3"/>
    <n v="1"/>
    <s v="GENNAIO 2023"/>
    <s v="1 GENNAIO 2023"/>
    <x v="3"/>
    <x v="3"/>
    <n v="4.7"/>
    <m/>
    <m/>
    <m/>
  </r>
  <r>
    <x v="41"/>
    <s v="GENNAIO"/>
    <x v="3"/>
    <n v="1"/>
    <s v="GENNAIO 2023"/>
    <s v="1 GENNAIO 2023"/>
    <x v="3"/>
    <x v="3"/>
    <n v="4.7"/>
    <m/>
    <m/>
    <m/>
  </r>
  <r>
    <x v="82"/>
    <s v="GENNAIO"/>
    <x v="3"/>
    <n v="1"/>
    <s v="GENNAIO 2023"/>
    <s v="1 GENNAIO 2023"/>
    <x v="7"/>
    <x v="2"/>
    <n v="24.16"/>
    <m/>
    <m/>
    <m/>
  </r>
  <r>
    <x v="381"/>
    <s v="GENNAIO"/>
    <x v="3"/>
    <n v="1"/>
    <s v="GENNAIO 2023"/>
    <s v="1 GENNAIO 2023"/>
    <x v="1"/>
    <x v="1"/>
    <n v="7.3"/>
    <m/>
    <m/>
    <m/>
  </r>
  <r>
    <x v="35"/>
    <s v="GENNAIO"/>
    <x v="3"/>
    <n v="1"/>
    <s v="GENNAIO 2023"/>
    <s v="1 GENNAIO 2023"/>
    <x v="1"/>
    <x v="1"/>
    <n v="6.49"/>
    <m/>
    <m/>
    <m/>
  </r>
  <r>
    <x v="236"/>
    <s v="GENNAIO"/>
    <x v="3"/>
    <n v="1"/>
    <s v="GENNAIO 2023"/>
    <s v="1 GENNAIO 2023"/>
    <x v="21"/>
    <x v="2"/>
    <n v="16.899999999999999"/>
    <s v="1/3"/>
    <s v="PAYPAL"/>
    <m/>
  </r>
  <r>
    <x v="35"/>
    <s v="GENNAIO"/>
    <x v="3"/>
    <n v="1"/>
    <s v="GENNAIO 2023"/>
    <s v="1 GENNAIO 2023"/>
    <x v="1"/>
    <x v="1"/>
    <n v="18.11"/>
    <m/>
    <m/>
    <m/>
  </r>
  <r>
    <x v="142"/>
    <s v="GENNAIO"/>
    <x v="3"/>
    <n v="1"/>
    <s v="GENNAIO 2023"/>
    <s v="1 GENNAIO 2023"/>
    <x v="0"/>
    <x v="0"/>
    <n v="38.15"/>
    <m/>
    <m/>
    <m/>
  </r>
  <r>
    <x v="82"/>
    <s v="GENNAIO"/>
    <x v="3"/>
    <n v="1"/>
    <s v="GENNAIO 2023"/>
    <s v="1 GENNAIO 2023"/>
    <x v="7"/>
    <x v="2"/>
    <n v="22.44"/>
    <m/>
    <m/>
    <m/>
  </r>
  <r>
    <x v="112"/>
    <s v="GENNAIO"/>
    <x v="3"/>
    <n v="1"/>
    <s v="GENNAIO 2023"/>
    <s v="1 GENNAIO 2023"/>
    <x v="1"/>
    <x v="1"/>
    <n v="19.399999999999999"/>
    <m/>
    <m/>
    <m/>
  </r>
  <r>
    <x v="2"/>
    <s v="GENNAIO"/>
    <x v="3"/>
    <n v="1"/>
    <s v="GENNAIO 2023"/>
    <s v="1 GENNAIO 2023"/>
    <x v="8"/>
    <x v="6"/>
    <n v="79.989999999999995"/>
    <m/>
    <s v="AMAZON"/>
    <m/>
  </r>
  <r>
    <x v="2"/>
    <s v="DICEMBRE"/>
    <x v="4"/>
    <n v="12"/>
    <s v="DICEMBRE 2022"/>
    <s v="12 DICEMBRE 2022"/>
    <x v="8"/>
    <x v="6"/>
    <n v="25.95"/>
    <m/>
    <s v="AMAZON"/>
    <m/>
  </r>
  <r>
    <x v="323"/>
    <s v="DICEMBRE"/>
    <x v="4"/>
    <n v="12"/>
    <s v="DICEMBRE 2022"/>
    <s v="12 DICEMBRE 2022"/>
    <x v="12"/>
    <x v="0"/>
    <n v="32.700000000000003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2"/>
    <s v="DICEMBRE"/>
    <x v="4"/>
    <n v="12"/>
    <s v="DICEMBRE 2022"/>
    <s v="12 DICEMBRE 2022"/>
    <x v="11"/>
    <x v="6"/>
    <n v="9.98"/>
    <s v="2/5"/>
    <s v="AMAZON"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2"/>
    <s v="DICEMBRE"/>
    <x v="4"/>
    <n v="12"/>
    <s v="DICEMBRE 2022"/>
    <s v="12 DICEMBRE 2022"/>
    <x v="10"/>
    <x v="6"/>
    <n v="26.67"/>
    <m/>
    <s v="AMAZON"/>
    <s v="Regali di natale"/>
  </r>
  <r>
    <x v="2"/>
    <s v="DICEMBRE"/>
    <x v="4"/>
    <n v="12"/>
    <s v="DICEMBRE 2022"/>
    <s v="12 DICEMBRE 2022"/>
    <x v="10"/>
    <x v="6"/>
    <n v="35.9"/>
    <m/>
    <s v="AMAZON"/>
    <s v="Regali di natale"/>
  </r>
  <r>
    <x v="82"/>
    <s v="DICEMBRE"/>
    <x v="4"/>
    <n v="12"/>
    <s v="DICEMBRE 2022"/>
    <s v="12 DICEMBRE 2022"/>
    <x v="7"/>
    <x v="2"/>
    <n v="23.38"/>
    <m/>
    <m/>
    <m/>
  </r>
  <r>
    <x v="2"/>
    <s v="DICEMBRE"/>
    <x v="4"/>
    <n v="12"/>
    <s v="DICEMBRE 2022"/>
    <s v="12 DICEMBRE 2022"/>
    <x v="10"/>
    <x v="6"/>
    <n v="24.29"/>
    <m/>
    <s v="AMAZON"/>
    <s v="Regali di natale"/>
  </r>
  <r>
    <x v="6"/>
    <s v="DICEMBRE"/>
    <x v="4"/>
    <n v="12"/>
    <s v="DICEMBRE 2022"/>
    <s v="12 DICEMBRE 2022"/>
    <x v="14"/>
    <x v="2"/>
    <n v="5"/>
    <m/>
    <m/>
    <m/>
  </r>
  <r>
    <x v="8"/>
    <s v="DICEMBRE"/>
    <x v="4"/>
    <n v="12"/>
    <s v="DICEMBRE 2022"/>
    <s v="12 DICEMBRE 2022"/>
    <x v="6"/>
    <x v="2"/>
    <n v="33"/>
    <m/>
    <m/>
    <m/>
  </r>
  <r>
    <x v="6"/>
    <s v="DICEMBRE"/>
    <x v="4"/>
    <n v="12"/>
    <s v="DICEMBRE 2022"/>
    <s v="12 DICEMBRE 2022"/>
    <x v="14"/>
    <x v="2"/>
    <n v="5"/>
    <m/>
    <m/>
    <m/>
  </r>
  <r>
    <x v="6"/>
    <s v="DICEMBRE"/>
    <x v="4"/>
    <n v="12"/>
    <s v="DICEMBRE 2022"/>
    <s v="12 DICEMBRE 2022"/>
    <x v="0"/>
    <x v="0"/>
    <n v="3.6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91"/>
    <s v="DICEMBRE"/>
    <x v="4"/>
    <n v="12"/>
    <s v="DICEMBRE 2022"/>
    <s v="12 DICEMBRE 2022"/>
    <x v="2"/>
    <x v="2"/>
    <n v="0.4"/>
    <m/>
    <m/>
    <m/>
  </r>
  <r>
    <x v="382"/>
    <s v="DICEMBRE"/>
    <x v="4"/>
    <n v="12"/>
    <s v="DICEMBRE 2022"/>
    <s v="12 DICEMBRE 2022"/>
    <x v="0"/>
    <x v="0"/>
    <n v="24"/>
    <m/>
    <m/>
    <s v="compleanno"/>
  </r>
  <r>
    <x v="17"/>
    <s v="DICEMBRE"/>
    <x v="4"/>
    <n v="12"/>
    <s v="DICEMBRE 2022"/>
    <s v="12 DICEMBRE 2022"/>
    <x v="7"/>
    <x v="2"/>
    <n v="18.21"/>
    <m/>
    <m/>
    <m/>
  </r>
  <r>
    <x v="67"/>
    <s v="DICEMBRE"/>
    <x v="4"/>
    <n v="12"/>
    <s v="DICEMBRE 2022"/>
    <s v="12 DICEMBRE 2022"/>
    <x v="7"/>
    <x v="2"/>
    <n v="67.12"/>
    <m/>
    <m/>
    <m/>
  </r>
  <r>
    <x v="254"/>
    <s v="DICEMBRE"/>
    <x v="4"/>
    <n v="12"/>
    <s v="DICEMBRE 2022"/>
    <s v="12 DICEMBRE 2022"/>
    <x v="0"/>
    <x v="0"/>
    <n v="19"/>
    <m/>
    <m/>
    <m/>
  </r>
  <r>
    <x v="35"/>
    <s v="DICEMBRE"/>
    <x v="4"/>
    <n v="12"/>
    <s v="DICEMBRE 2022"/>
    <s v="12 DICEMBRE 2022"/>
    <x v="1"/>
    <x v="1"/>
    <n v="15.69"/>
    <m/>
    <m/>
    <m/>
  </r>
  <r>
    <x v="67"/>
    <s v="DICEMBRE"/>
    <x v="4"/>
    <n v="12"/>
    <s v="DICEMBRE 2022"/>
    <s v="12 DICEMBRE 2022"/>
    <x v="7"/>
    <x v="2"/>
    <n v="16.239999999999998"/>
    <m/>
    <m/>
    <s v="compleanno"/>
  </r>
  <r>
    <x v="55"/>
    <s v="DICEMBRE"/>
    <x v="4"/>
    <n v="12"/>
    <s v="DICEMBRE 2022"/>
    <s v="12 DICEMBRE 2022"/>
    <x v="7"/>
    <x v="2"/>
    <n v="56.1"/>
    <m/>
    <m/>
    <s v="compleanno"/>
  </r>
  <r>
    <x v="91"/>
    <s v="DICEMBRE"/>
    <x v="4"/>
    <n v="12"/>
    <s v="DICEMBRE 2022"/>
    <s v="12 DICEMBRE 2022"/>
    <x v="2"/>
    <x v="2"/>
    <n v="0.4"/>
    <m/>
    <m/>
    <m/>
  </r>
  <r>
    <x v="67"/>
    <s v="DICEMBRE"/>
    <x v="4"/>
    <n v="12"/>
    <s v="DICEMBRE 2022"/>
    <s v="12 DICEMBRE 2022"/>
    <x v="7"/>
    <x v="2"/>
    <n v="64.16"/>
    <m/>
    <m/>
    <s v="compleanno"/>
  </r>
  <r>
    <x v="17"/>
    <s v="DICEMBRE"/>
    <x v="4"/>
    <n v="12"/>
    <s v="DICEMBRE 2022"/>
    <s v="12 DICEMBRE 2022"/>
    <x v="7"/>
    <x v="2"/>
    <n v="33.11"/>
    <m/>
    <m/>
    <s v="compleanno"/>
  </r>
  <r>
    <x v="383"/>
    <s v="DICEMBRE"/>
    <x v="4"/>
    <n v="12"/>
    <s v="DICEMBRE 2022"/>
    <s v="12 DICEMBRE 2022"/>
    <x v="0"/>
    <x v="0"/>
    <n v="22"/>
    <m/>
    <m/>
    <m/>
  </r>
  <r>
    <x v="384"/>
    <s v="DICEMBRE"/>
    <x v="4"/>
    <n v="12"/>
    <s v="DICEMBRE 2022"/>
    <s v="12 DICEMBRE 2022"/>
    <x v="5"/>
    <x v="5"/>
    <n v="27"/>
    <m/>
    <m/>
    <m/>
  </r>
  <r>
    <x v="235"/>
    <s v="DICEMBRE"/>
    <x v="4"/>
    <n v="12"/>
    <s v="DICEMBRE 2022"/>
    <s v="12 DICEMBRE 2022"/>
    <x v="0"/>
    <x v="0"/>
    <n v="26.5"/>
    <m/>
    <m/>
    <m/>
  </r>
  <r>
    <x v="385"/>
    <s v="DICEMBRE"/>
    <x v="4"/>
    <n v="12"/>
    <s v="DICEMBRE 2022"/>
    <s v="12 DICEMBRE 2022"/>
    <x v="0"/>
    <x v="0"/>
    <n v="16"/>
    <m/>
    <m/>
    <m/>
  </r>
  <r>
    <x v="386"/>
    <s v="DICEMBRE"/>
    <x v="4"/>
    <n v="12"/>
    <s v="DICEMBRE 2022"/>
    <s v="12 DICEMBRE 2022"/>
    <x v="1"/>
    <x v="1"/>
    <n v="8.39"/>
    <m/>
    <m/>
    <m/>
  </r>
  <r>
    <x v="112"/>
    <s v="DICEMBRE"/>
    <x v="4"/>
    <n v="12"/>
    <s v="DICEMBRE 2022"/>
    <s v="12 DICEMBRE 2022"/>
    <x v="1"/>
    <x v="1"/>
    <n v="12.9"/>
    <m/>
    <m/>
    <m/>
  </r>
  <r>
    <x v="82"/>
    <s v="DICEMBRE"/>
    <x v="4"/>
    <n v="12"/>
    <s v="DICEMBRE 2022"/>
    <s v="12 DICEMBRE 2022"/>
    <x v="7"/>
    <x v="2"/>
    <n v="17.96"/>
    <m/>
    <m/>
    <m/>
  </r>
  <r>
    <x v="6"/>
    <s v="DICEMBRE"/>
    <x v="4"/>
    <n v="12"/>
    <s v="DICEMBRE 2022"/>
    <s v="12 DICEMBRE 2022"/>
    <x v="14"/>
    <x v="2"/>
    <n v="5"/>
    <m/>
    <m/>
    <m/>
  </r>
  <r>
    <x v="2"/>
    <s v="DICEMBRE"/>
    <x v="4"/>
    <n v="12"/>
    <s v="DICEMBRE 2022"/>
    <s v="12 DICEMBRE 2022"/>
    <x v="11"/>
    <x v="6"/>
    <n v="86.25"/>
    <m/>
    <s v="AMAZON"/>
    <m/>
  </r>
  <r>
    <x v="387"/>
    <s v="DICEMBRE"/>
    <x v="4"/>
    <n v="12"/>
    <s v="DICEMBRE 2022"/>
    <s v="12 DICEMBRE 2022"/>
    <x v="23"/>
    <x v="6"/>
    <n v="6.88"/>
    <m/>
    <m/>
    <m/>
  </r>
  <r>
    <x v="388"/>
    <s v="DICEMBRE"/>
    <x v="4"/>
    <n v="12"/>
    <s v="DICEMBRE 2022"/>
    <s v="12 DICEMBRE 2022"/>
    <x v="0"/>
    <x v="0"/>
    <n v="5.18"/>
    <m/>
    <m/>
    <m/>
  </r>
  <r>
    <x v="389"/>
    <s v="DICEMBRE"/>
    <x v="4"/>
    <n v="12"/>
    <s v="DICEMBRE 2022"/>
    <s v="12 DICEMBRE 2022"/>
    <x v="0"/>
    <x v="0"/>
    <n v="12.89"/>
    <m/>
    <m/>
    <m/>
  </r>
  <r>
    <x v="2"/>
    <s v="DICEMBRE"/>
    <x v="4"/>
    <n v="12"/>
    <s v="DICEMBRE 2022"/>
    <s v="12 DICEMBRE 2022"/>
    <x v="11"/>
    <x v="6"/>
    <n v="78.73"/>
    <m/>
    <s v="AMAZON"/>
    <m/>
  </r>
  <r>
    <x v="199"/>
    <s v="NOVEMBRE"/>
    <x v="4"/>
    <n v="11"/>
    <s v="NOVEMBRE 2022"/>
    <s v="11 NOVEMBRE 2022"/>
    <x v="0"/>
    <x v="0"/>
    <n v="34.700000000000003"/>
    <m/>
    <m/>
    <m/>
  </r>
  <r>
    <x v="91"/>
    <s v="NOVEMBRE"/>
    <x v="4"/>
    <n v="11"/>
    <s v="NOVEMBRE 2022"/>
    <s v="11 NOVEMBRE 2022"/>
    <x v="2"/>
    <x v="2"/>
    <n v="0.4"/>
    <m/>
    <m/>
    <m/>
  </r>
  <r>
    <x v="82"/>
    <s v="NOVEMBRE"/>
    <x v="4"/>
    <n v="11"/>
    <s v="NOVEMBRE 2022"/>
    <s v="11 NOVEMBRE 2022"/>
    <x v="7"/>
    <x v="2"/>
    <n v="12.1"/>
    <m/>
    <m/>
    <m/>
  </r>
  <r>
    <x v="2"/>
    <s v="NOVEMBRE"/>
    <x v="4"/>
    <n v="11"/>
    <s v="NOVEMBRE 2022"/>
    <s v="11 NOVEMBRE 2022"/>
    <x v="11"/>
    <x v="6"/>
    <n v="9.98"/>
    <s v="1/5"/>
    <s v="AMAZON"/>
    <m/>
  </r>
  <r>
    <x v="378"/>
    <s v="NOVEMBRE"/>
    <x v="4"/>
    <n v="11"/>
    <s v="NOVEMBRE 2022"/>
    <s v="11 NOVEMBRE 2022"/>
    <x v="0"/>
    <x v="0"/>
    <n v="8"/>
    <m/>
    <m/>
    <m/>
  </r>
  <r>
    <x v="6"/>
    <s v="NOVEMBRE"/>
    <x v="4"/>
    <n v="11"/>
    <s v="NOVEMBRE 2022"/>
    <s v="11 NOVEMBRE 2022"/>
    <x v="0"/>
    <x v="0"/>
    <n v="16"/>
    <m/>
    <m/>
    <m/>
  </r>
  <r>
    <x v="390"/>
    <s v="NOVEMBRE"/>
    <x v="4"/>
    <n v="11"/>
    <s v="NOVEMBRE 2022"/>
    <s v="11 NOVEMBRE 2022"/>
    <x v="6"/>
    <x v="2"/>
    <n v="45"/>
    <m/>
    <m/>
    <m/>
  </r>
  <r>
    <x v="391"/>
    <s v="NOVEMBRE"/>
    <x v="4"/>
    <n v="11"/>
    <s v="NOVEMBRE 2022"/>
    <s v="11 NOVEMBRE 2022"/>
    <x v="7"/>
    <x v="2"/>
    <n v="19.18"/>
    <m/>
    <m/>
    <m/>
  </r>
  <r>
    <x v="392"/>
    <s v="NOVEMBRE"/>
    <x v="4"/>
    <n v="11"/>
    <s v="NOVEMBRE 2022"/>
    <s v="11 NOVEMBRE 2022"/>
    <x v="0"/>
    <x v="0"/>
    <n v="3.14"/>
    <m/>
    <m/>
    <m/>
  </r>
  <r>
    <x v="82"/>
    <s v="NOVEMBRE"/>
    <x v="4"/>
    <n v="11"/>
    <s v="NOVEMBRE 2022"/>
    <s v="11 NOVEMBRE 2022"/>
    <x v="7"/>
    <x v="2"/>
    <n v="8.14"/>
    <m/>
    <m/>
    <m/>
  </r>
  <r>
    <x v="393"/>
    <s v="NOVEMBRE"/>
    <x v="4"/>
    <n v="11"/>
    <s v="NOVEMBRE 2022"/>
    <s v="11 NOVEMBRE 2022"/>
    <x v="0"/>
    <x v="0"/>
    <n v="27.12"/>
    <m/>
    <m/>
    <m/>
  </r>
  <r>
    <x v="394"/>
    <s v="NOVEMBRE"/>
    <x v="4"/>
    <n v="11"/>
    <s v="NOVEMBRE 2022"/>
    <s v="11 NOVEMBRE 2022"/>
    <x v="0"/>
    <x v="0"/>
    <n v="27.99"/>
    <m/>
    <m/>
    <m/>
  </r>
  <r>
    <x v="395"/>
    <s v="NOVEMBRE"/>
    <x v="4"/>
    <n v="11"/>
    <s v="NOVEMBRE 2022"/>
    <s v="11 NOVEMBRE 2022"/>
    <x v="0"/>
    <x v="0"/>
    <n v="9.73"/>
    <m/>
    <m/>
    <m/>
  </r>
  <r>
    <x v="183"/>
    <s v="NOVEMBRE"/>
    <x v="4"/>
    <n v="11"/>
    <s v="NOVEMBRE 2022"/>
    <s v="11 NOVEMBRE 2022"/>
    <x v="0"/>
    <x v="0"/>
    <n v="7.9"/>
    <m/>
    <m/>
    <s v="Dubai"/>
  </r>
  <r>
    <x v="35"/>
    <s v="NOVEMBRE"/>
    <x v="4"/>
    <n v="11"/>
    <s v="NOVEMBRE 2022"/>
    <s v="11 NOVEMBRE 2022"/>
    <x v="1"/>
    <x v="1"/>
    <n v="6.09"/>
    <m/>
    <m/>
    <m/>
  </r>
  <r>
    <x v="2"/>
    <s v="NOVEMBRE"/>
    <x v="4"/>
    <n v="11"/>
    <s v="NOVEMBRE 2022"/>
    <s v="11 NOVEMBRE 2022"/>
    <x v="8"/>
    <x v="6"/>
    <n v="32.86"/>
    <m/>
    <s v="AMAZON"/>
    <m/>
  </r>
  <r>
    <x v="53"/>
    <s v="NOVEMBRE"/>
    <x v="4"/>
    <n v="11"/>
    <s v="NOVEMBRE 2022"/>
    <s v="11 NOVEMBRE 2022"/>
    <x v="1"/>
    <x v="1"/>
    <n v="36.75"/>
    <m/>
    <m/>
    <m/>
  </r>
  <r>
    <x v="396"/>
    <s v="NOVEMBRE"/>
    <x v="4"/>
    <n v="11"/>
    <s v="NOVEMBRE 2022"/>
    <s v="11 NOVEMBRE 2022"/>
    <x v="0"/>
    <x v="0"/>
    <n v="18"/>
    <m/>
    <m/>
    <m/>
  </r>
  <r>
    <x v="397"/>
    <s v="NOVEMBRE"/>
    <x v="4"/>
    <n v="11"/>
    <s v="NOVEMBRE 2022"/>
    <s v="11 NOVEMBRE 2022"/>
    <x v="9"/>
    <x v="3"/>
    <n v="92"/>
    <m/>
    <m/>
    <m/>
  </r>
  <r>
    <x v="6"/>
    <s v="OTTOBRE"/>
    <x v="4"/>
    <n v="10"/>
    <s v="OTTOBRE 2022"/>
    <s v="10 OTTOBRE 2022"/>
    <x v="0"/>
    <x v="0"/>
    <n v="2.4"/>
    <m/>
    <m/>
    <m/>
  </r>
  <r>
    <x v="82"/>
    <s v="OTTOBRE"/>
    <x v="4"/>
    <n v="10"/>
    <s v="OTTOBRE 2022"/>
    <s v="10 OTTOBRE 2022"/>
    <x v="7"/>
    <x v="2"/>
    <n v="5.92"/>
    <m/>
    <m/>
    <m/>
  </r>
  <r>
    <x v="91"/>
    <s v="OTTOBRE"/>
    <x v="4"/>
    <n v="10"/>
    <s v="OTTOBRE 2022"/>
    <s v="10 OTTOBRE 2022"/>
    <x v="2"/>
    <x v="2"/>
    <n v="0.4"/>
    <m/>
    <m/>
    <m/>
  </r>
  <r>
    <x v="398"/>
    <s v="OTTOBRE"/>
    <x v="4"/>
    <n v="10"/>
    <s v="OTTOBRE 2022"/>
    <s v="10 OTTOBRE 2022"/>
    <x v="0"/>
    <x v="0"/>
    <n v="12"/>
    <m/>
    <m/>
    <m/>
  </r>
  <r>
    <x v="91"/>
    <s v="OTTOBRE"/>
    <x v="4"/>
    <n v="10"/>
    <s v="OTTOBRE 2022"/>
    <s v="10 OTTOBRE 2022"/>
    <x v="2"/>
    <x v="2"/>
    <n v="0.4"/>
    <m/>
    <m/>
    <m/>
  </r>
  <r>
    <x v="91"/>
    <s v="OTTOBRE"/>
    <x v="4"/>
    <n v="10"/>
    <s v="OTTOBRE 2022"/>
    <s v="10 OTTOBRE 2022"/>
    <x v="2"/>
    <x v="2"/>
    <n v="0.4"/>
    <m/>
    <m/>
    <m/>
  </r>
  <r>
    <x v="91"/>
    <s v="OTTOBRE"/>
    <x v="4"/>
    <n v="10"/>
    <s v="OTTOBRE 2022"/>
    <s v="10 OTTOBRE 2022"/>
    <x v="2"/>
    <x v="2"/>
    <n v="0.4"/>
    <m/>
    <m/>
    <m/>
  </r>
  <r>
    <x v="91"/>
    <s v="OTTOBRE"/>
    <x v="4"/>
    <n v="10"/>
    <s v="OTTOBRE 2022"/>
    <s v="10 OTTOBRE 2022"/>
    <x v="2"/>
    <x v="2"/>
    <n v="0.4"/>
    <m/>
    <m/>
    <m/>
  </r>
  <r>
    <x v="91"/>
    <s v="OTTOBRE"/>
    <x v="4"/>
    <n v="10"/>
    <s v="OTTOBRE 2022"/>
    <s v="10 OTTOBRE 2022"/>
    <x v="2"/>
    <x v="2"/>
    <n v="0.4"/>
    <m/>
    <m/>
    <m/>
  </r>
  <r>
    <x v="35"/>
    <s v="OTTOBRE"/>
    <x v="4"/>
    <n v="10"/>
    <s v="OTTOBRE 2022"/>
    <s v="10 OTTOBRE 2022"/>
    <x v="1"/>
    <x v="1"/>
    <n v="12.18"/>
    <m/>
    <m/>
    <m/>
  </r>
  <r>
    <x v="82"/>
    <s v="OTTOBRE"/>
    <x v="4"/>
    <n v="10"/>
    <s v="OTTOBRE 2022"/>
    <s v="10 OTTOBRE 2022"/>
    <x v="7"/>
    <x v="2"/>
    <n v="6.3"/>
    <m/>
    <m/>
    <m/>
  </r>
  <r>
    <x v="2"/>
    <s v="OTTOBRE"/>
    <x v="4"/>
    <n v="10"/>
    <s v="OTTOBRE 2022"/>
    <s v="10 OTTOBRE 2022"/>
    <x v="8"/>
    <x v="6"/>
    <n v="22.98"/>
    <m/>
    <s v="AMAZON"/>
    <m/>
  </r>
  <r>
    <x v="399"/>
    <s v="OTTOBRE"/>
    <x v="4"/>
    <n v="10"/>
    <s v="OTTOBRE 2022"/>
    <s v="10 OTTOBRE 2022"/>
    <x v="24"/>
    <x v="2"/>
    <n v="20.89"/>
    <m/>
    <m/>
    <m/>
  </r>
  <r>
    <x v="35"/>
    <s v="OTTOBRE"/>
    <x v="4"/>
    <n v="10"/>
    <s v="OTTOBRE 2022"/>
    <s v="10 OTTOBRE 2022"/>
    <x v="1"/>
    <x v="1"/>
    <n v="7.3"/>
    <m/>
    <m/>
    <m/>
  </r>
  <r>
    <x v="400"/>
    <s v="OTTOBRE"/>
    <x v="4"/>
    <n v="10"/>
    <s v="OTTOBRE 2022"/>
    <s v="10 OTTOBRE 2022"/>
    <x v="6"/>
    <x v="2"/>
    <n v="33"/>
    <m/>
    <m/>
    <m/>
  </r>
  <r>
    <x v="401"/>
    <s v="OTTOBRE"/>
    <x v="4"/>
    <n v="10"/>
    <s v="OTTOBRE 2022"/>
    <s v="10 OTTOBRE 2022"/>
    <x v="24"/>
    <x v="2"/>
    <n v="23.3"/>
    <m/>
    <m/>
    <m/>
  </r>
  <r>
    <x v="53"/>
    <s v="OTTOBRE"/>
    <x v="4"/>
    <n v="10"/>
    <s v="OTTOBRE 2022"/>
    <s v="10 OTTOBRE 2022"/>
    <x v="1"/>
    <x v="1"/>
    <n v="51.8"/>
    <m/>
    <m/>
    <m/>
  </r>
  <r>
    <x v="82"/>
    <s v="OTTOBRE"/>
    <x v="4"/>
    <n v="10"/>
    <s v="OTTOBRE 2022"/>
    <s v="10 OTTOBRE 2022"/>
    <x v="7"/>
    <x v="2"/>
    <n v="3.27"/>
    <m/>
    <m/>
    <m/>
  </r>
  <r>
    <x v="35"/>
    <s v="OTTOBRE"/>
    <x v="4"/>
    <n v="10"/>
    <s v="OTTOBRE 2022"/>
    <s v="10 OTTOBRE 2022"/>
    <x v="1"/>
    <x v="1"/>
    <n v="19.489999999999998"/>
    <m/>
    <m/>
    <m/>
  </r>
  <r>
    <x v="402"/>
    <s v="OTTOBRE"/>
    <x v="4"/>
    <n v="10"/>
    <s v="OTTOBRE 2022"/>
    <s v="10 OTTOBRE 2022"/>
    <x v="19"/>
    <x v="6"/>
    <n v="121.5"/>
    <m/>
    <m/>
    <m/>
  </r>
  <r>
    <x v="91"/>
    <s v="SETTEMBRE"/>
    <x v="4"/>
    <n v="9"/>
    <s v="SETTEMBRE 2022"/>
    <s v="9 SETTEMBRE 2022"/>
    <x v="2"/>
    <x v="2"/>
    <n v="0.4"/>
    <m/>
    <m/>
    <m/>
  </r>
  <r>
    <x v="67"/>
    <s v="SETTEMBRE"/>
    <x v="4"/>
    <n v="9"/>
    <s v="SETTEMBRE 2022"/>
    <s v="9 SETTEMBRE 2022"/>
    <x v="7"/>
    <x v="2"/>
    <n v="10.96"/>
    <m/>
    <m/>
    <m/>
  </r>
  <r>
    <x v="254"/>
    <s v="SETTEMBRE"/>
    <x v="4"/>
    <n v="9"/>
    <s v="SETTEMBRE 2022"/>
    <s v="9 SETTEMBRE 2022"/>
    <x v="0"/>
    <x v="0"/>
    <n v="45"/>
    <m/>
    <m/>
    <m/>
  </r>
  <r>
    <x v="91"/>
    <s v="SETTEMBRE"/>
    <x v="4"/>
    <n v="9"/>
    <s v="SETTEMBRE 2022"/>
    <s v="9 SETTEMBRE 2022"/>
    <x v="2"/>
    <x v="2"/>
    <n v="0.7"/>
    <m/>
    <m/>
    <m/>
  </r>
  <r>
    <x v="91"/>
    <s v="SETTEMBRE"/>
    <x v="4"/>
    <n v="9"/>
    <s v="SETTEMBRE 2022"/>
    <s v="9 SETTEMBRE 2022"/>
    <x v="2"/>
    <x v="2"/>
    <n v="0.7"/>
    <m/>
    <m/>
    <m/>
  </r>
  <r>
    <x v="91"/>
    <s v="SETTEMBRE"/>
    <x v="4"/>
    <n v="9"/>
    <s v="SETTEMBRE 2022"/>
    <s v="9 SETTEMBRE 2022"/>
    <x v="2"/>
    <x v="2"/>
    <n v="0.4"/>
    <m/>
    <m/>
    <m/>
  </r>
  <r>
    <x v="91"/>
    <s v="SETTEMBRE"/>
    <x v="4"/>
    <n v="9"/>
    <s v="SETTEMBRE 2022"/>
    <s v="9 SETTEMBRE 2022"/>
    <x v="2"/>
    <x v="2"/>
    <n v="0.4"/>
    <m/>
    <m/>
    <m/>
  </r>
  <r>
    <x v="403"/>
    <s v="SETTEMBRE"/>
    <x v="4"/>
    <n v="9"/>
    <s v="SETTEMBRE 2022"/>
    <s v="9 SETTEMBRE 2022"/>
    <x v="0"/>
    <x v="0"/>
    <n v="15"/>
    <m/>
    <m/>
    <m/>
  </r>
  <r>
    <x v="6"/>
    <s v="SETTEMBRE"/>
    <x v="4"/>
    <n v="9"/>
    <s v="SETTEMBRE 2022"/>
    <s v="9 SETTEMBRE 2022"/>
    <x v="0"/>
    <x v="0"/>
    <n v="7.4"/>
    <m/>
    <m/>
    <m/>
  </r>
  <r>
    <x v="91"/>
    <s v="SETTEMBRE"/>
    <x v="4"/>
    <n v="9"/>
    <s v="SETTEMBRE 2022"/>
    <s v="9 SETTEMBRE 2022"/>
    <x v="2"/>
    <x v="2"/>
    <n v="0.4"/>
    <m/>
    <m/>
    <m/>
  </r>
  <r>
    <x v="91"/>
    <s v="SETTEMBRE"/>
    <x v="4"/>
    <n v="9"/>
    <s v="SETTEMBRE 2022"/>
    <s v="9 SETTEMBRE 2022"/>
    <x v="2"/>
    <x v="2"/>
    <n v="0.4"/>
    <m/>
    <m/>
    <m/>
  </r>
  <r>
    <x v="91"/>
    <s v="SETTEMBRE"/>
    <x v="4"/>
    <n v="9"/>
    <s v="SETTEMBRE 2022"/>
    <s v="9 SETTEMBRE 2022"/>
    <x v="2"/>
    <x v="2"/>
    <n v="0.4"/>
    <m/>
    <m/>
    <m/>
  </r>
  <r>
    <x v="6"/>
    <s v="SETTEMBRE"/>
    <x v="4"/>
    <n v="9"/>
    <s v="SETTEMBRE 2022"/>
    <s v="9 SETTEMBRE 2022"/>
    <x v="14"/>
    <x v="2"/>
    <n v="5"/>
    <m/>
    <m/>
    <m/>
  </r>
  <r>
    <x v="91"/>
    <s v="SETTEMBRE"/>
    <x v="4"/>
    <n v="9"/>
    <s v="SETTEMBRE 2022"/>
    <s v="9 SETTEMBRE 2022"/>
    <x v="2"/>
    <x v="2"/>
    <n v="0.4"/>
    <m/>
    <m/>
    <m/>
  </r>
  <r>
    <x v="91"/>
    <s v="SETTEMBRE"/>
    <x v="4"/>
    <n v="9"/>
    <s v="SETTEMBRE 2022"/>
    <s v="9 SETTEMBRE 2022"/>
    <x v="2"/>
    <x v="2"/>
    <n v="0.4"/>
    <m/>
    <m/>
    <m/>
  </r>
  <r>
    <x v="82"/>
    <s v="SETTEMBRE"/>
    <x v="4"/>
    <n v="9"/>
    <s v="SETTEMBRE 2022"/>
    <s v="9 SETTEMBRE 2022"/>
    <x v="7"/>
    <x v="2"/>
    <n v="12.03"/>
    <m/>
    <m/>
    <m/>
  </r>
  <r>
    <x v="61"/>
    <s v="SETTEMBRE"/>
    <x v="4"/>
    <n v="9"/>
    <s v="SETTEMBRE 2022"/>
    <s v="9 SETTEMBRE 2022"/>
    <x v="11"/>
    <x v="6"/>
    <n v="34.9"/>
    <m/>
    <m/>
    <m/>
  </r>
  <r>
    <x v="82"/>
    <s v="SETTEMBRE"/>
    <x v="4"/>
    <n v="9"/>
    <s v="SETTEMBRE 2022"/>
    <s v="9 SETTEMBRE 2022"/>
    <x v="7"/>
    <x v="2"/>
    <n v="28.8"/>
    <m/>
    <m/>
    <m/>
  </r>
  <r>
    <x v="6"/>
    <s v="SETTEMBRE"/>
    <x v="4"/>
    <n v="9"/>
    <s v="SETTEMBRE 2022"/>
    <s v="9 SETTEMBRE 2022"/>
    <x v="0"/>
    <x v="0"/>
    <n v="10"/>
    <m/>
    <m/>
    <m/>
  </r>
  <r>
    <x v="6"/>
    <s v="SETTEMBRE"/>
    <x v="4"/>
    <n v="9"/>
    <s v="SETTEMBRE 2022"/>
    <s v="9 SETTEMBRE 2022"/>
    <x v="14"/>
    <x v="2"/>
    <n v="5"/>
    <m/>
    <m/>
    <m/>
  </r>
  <r>
    <x v="91"/>
    <s v="SETTEMBRE"/>
    <x v="4"/>
    <n v="9"/>
    <s v="SETTEMBRE 2022"/>
    <s v="9 SETTEMBRE 2022"/>
    <x v="2"/>
    <x v="2"/>
    <n v="0.4"/>
    <m/>
    <m/>
    <m/>
  </r>
  <r>
    <x v="404"/>
    <s v="SETTEMBRE"/>
    <x v="4"/>
    <n v="9"/>
    <s v="SETTEMBRE 2022"/>
    <s v="9 SETTEMBRE 2022"/>
    <x v="0"/>
    <x v="0"/>
    <n v="8"/>
    <m/>
    <m/>
    <m/>
  </r>
  <r>
    <x v="91"/>
    <s v="SETTEMBRE"/>
    <x v="4"/>
    <n v="9"/>
    <s v="SETTEMBRE 2022"/>
    <s v="9 SETTEMBRE 2022"/>
    <x v="2"/>
    <x v="2"/>
    <n v="0.4"/>
    <m/>
    <m/>
    <m/>
  </r>
  <r>
    <x v="400"/>
    <s v="SETTEMBRE"/>
    <x v="4"/>
    <n v="9"/>
    <s v="SETTEMBRE 2022"/>
    <s v="9 SETTEMBRE 2022"/>
    <x v="6"/>
    <x v="2"/>
    <n v="33"/>
    <m/>
    <m/>
    <m/>
  </r>
  <r>
    <x v="226"/>
    <s v="SETTEMBRE"/>
    <x v="4"/>
    <n v="9"/>
    <s v="SETTEMBRE 2022"/>
    <s v="9 SETTEMBRE 2022"/>
    <x v="0"/>
    <x v="0"/>
    <n v="21.5"/>
    <m/>
    <m/>
    <m/>
  </r>
  <r>
    <x v="67"/>
    <s v="SETTEMBRE"/>
    <x v="4"/>
    <n v="9"/>
    <s v="SETTEMBRE 2022"/>
    <s v="9 SETTEMBRE 2022"/>
    <x v="7"/>
    <x v="2"/>
    <n v="9.4"/>
    <m/>
    <m/>
    <m/>
  </r>
  <r>
    <x v="112"/>
    <s v="AGOSTO"/>
    <x v="4"/>
    <n v="8"/>
    <s v="AGOSTO 2022"/>
    <s v="8 AGOSTO 2022"/>
    <x v="1"/>
    <x v="1"/>
    <n v="89.9"/>
    <m/>
    <m/>
    <m/>
  </r>
  <r>
    <x v="13"/>
    <s v="AGOSTO"/>
    <x v="4"/>
    <n v="8"/>
    <s v="AGOSTO 2022"/>
    <s v="8 AGOSTO 2022"/>
    <x v="0"/>
    <x v="0"/>
    <n v="8"/>
    <m/>
    <m/>
    <m/>
  </r>
  <r>
    <x v="140"/>
    <s v="AGOSTO"/>
    <x v="4"/>
    <n v="8"/>
    <s v="AGOSTO 2022"/>
    <s v="8 AGOSTO 2022"/>
    <x v="8"/>
    <x v="6"/>
    <n v="4.8899999999999997"/>
    <m/>
    <m/>
    <m/>
  </r>
  <r>
    <x v="35"/>
    <s v="AGOSTO"/>
    <x v="4"/>
    <n v="8"/>
    <s v="AGOSTO 2022"/>
    <s v="8 AGOSTO 2022"/>
    <x v="1"/>
    <x v="1"/>
    <n v="11.99"/>
    <m/>
    <m/>
    <m/>
  </r>
  <r>
    <x v="405"/>
    <s v="AGOSTO"/>
    <x v="4"/>
    <n v="8"/>
    <s v="AGOSTO 2022"/>
    <s v="8 AGOSTO 2022"/>
    <x v="12"/>
    <x v="0"/>
    <n v="45"/>
    <m/>
    <m/>
    <m/>
  </r>
  <r>
    <x v="121"/>
    <s v="AGOSTO"/>
    <x v="4"/>
    <n v="8"/>
    <s v="AGOSTO 2022"/>
    <s v="8 AGOSTO 2022"/>
    <x v="0"/>
    <x v="0"/>
    <n v="7.1"/>
    <m/>
    <m/>
    <m/>
  </r>
  <r>
    <x v="226"/>
    <s v="AGOSTO"/>
    <x v="4"/>
    <n v="8"/>
    <s v="AGOSTO 2022"/>
    <s v="8 AGOSTO 2022"/>
    <x v="0"/>
    <x v="0"/>
    <n v="16.5"/>
    <m/>
    <m/>
    <m/>
  </r>
  <r>
    <x v="303"/>
    <s v="AGOSTO"/>
    <x v="4"/>
    <n v="8"/>
    <s v="AGOSTO 2022"/>
    <s v="8 AGOSTO 2022"/>
    <x v="0"/>
    <x v="0"/>
    <n v="27"/>
    <m/>
    <m/>
    <m/>
  </r>
  <r>
    <x v="82"/>
    <s v="AGOSTO"/>
    <x v="4"/>
    <n v="8"/>
    <s v="AGOSTO 2022"/>
    <s v="8 AGOSTO 2022"/>
    <x v="7"/>
    <x v="2"/>
    <n v="7.02"/>
    <m/>
    <m/>
    <m/>
  </r>
  <r>
    <x v="362"/>
    <s v="AGOSTO"/>
    <x v="4"/>
    <n v="8"/>
    <s v="AGOSTO 2022"/>
    <s v="8 AGOSTO 2022"/>
    <x v="0"/>
    <x v="0"/>
    <n v="6"/>
    <m/>
    <m/>
    <m/>
  </r>
  <r>
    <x v="226"/>
    <s v="AGOSTO"/>
    <x v="4"/>
    <n v="8"/>
    <s v="AGOSTO 2022"/>
    <s v="8 AGOSTO 2022"/>
    <x v="0"/>
    <x v="0"/>
    <n v="8"/>
    <m/>
    <m/>
    <m/>
  </r>
  <r>
    <x v="226"/>
    <s v="AGOSTO"/>
    <x v="4"/>
    <n v="8"/>
    <s v="AGOSTO 2022"/>
    <s v="8 AGOSTO 2022"/>
    <x v="0"/>
    <x v="0"/>
    <n v="15"/>
    <m/>
    <m/>
    <m/>
  </r>
  <r>
    <x v="406"/>
    <s v="AGOSTO"/>
    <x v="4"/>
    <n v="8"/>
    <s v="AGOSTO 2022"/>
    <s v="8 AGOSTO 2022"/>
    <x v="0"/>
    <x v="0"/>
    <n v="31.5"/>
    <m/>
    <m/>
    <m/>
  </r>
  <r>
    <x v="6"/>
    <s v="AGOSTO"/>
    <x v="4"/>
    <n v="8"/>
    <s v="AGOSTO 2022"/>
    <s v="8 AGOSTO 2022"/>
    <x v="14"/>
    <x v="2"/>
    <n v="5"/>
    <m/>
    <m/>
    <m/>
  </r>
  <r>
    <x v="6"/>
    <s v="AGOSTO"/>
    <x v="4"/>
    <n v="8"/>
    <s v="AGOSTO 2022"/>
    <s v="8 AGOSTO 2022"/>
    <x v="14"/>
    <x v="2"/>
    <n v="5"/>
    <m/>
    <m/>
    <m/>
  </r>
  <r>
    <x v="82"/>
    <s v="AGOSTO"/>
    <x v="4"/>
    <n v="8"/>
    <s v="AGOSTO 2022"/>
    <s v="8 AGOSTO 2022"/>
    <x v="7"/>
    <x v="2"/>
    <n v="6.83"/>
    <m/>
    <m/>
    <m/>
  </r>
  <r>
    <x v="67"/>
    <s v="AGOSTO"/>
    <x v="4"/>
    <n v="8"/>
    <s v="AGOSTO 2022"/>
    <s v="8 AGOSTO 2022"/>
    <x v="7"/>
    <x v="2"/>
    <n v="60.39"/>
    <m/>
    <m/>
    <m/>
  </r>
  <r>
    <x v="35"/>
    <s v="AGOSTO"/>
    <x v="4"/>
    <n v="8"/>
    <s v="AGOSTO 2022"/>
    <s v="8 AGOSTO 2022"/>
    <x v="1"/>
    <x v="1"/>
    <n v="20.100000000000001"/>
    <m/>
    <m/>
    <m/>
  </r>
  <r>
    <x v="375"/>
    <s v="AGOSTO"/>
    <x v="4"/>
    <n v="8"/>
    <s v="AGOSTO 2022"/>
    <s v="8 AGOSTO 2022"/>
    <x v="0"/>
    <x v="0"/>
    <n v="21.5"/>
    <m/>
    <m/>
    <m/>
  </r>
  <r>
    <x v="407"/>
    <s v="AGOSTO"/>
    <x v="4"/>
    <n v="8"/>
    <s v="AGOSTO 2022"/>
    <s v="8 AGOSTO 2022"/>
    <x v="0"/>
    <x v="0"/>
    <n v="5"/>
    <m/>
    <m/>
    <m/>
  </r>
  <r>
    <x v="41"/>
    <s v="AGOSTO"/>
    <x v="4"/>
    <n v="8"/>
    <s v="AGOSTO 2022"/>
    <s v="8 AGOSTO 2022"/>
    <x v="3"/>
    <x v="3"/>
    <n v="1.7"/>
    <m/>
    <m/>
    <m/>
  </r>
  <r>
    <x v="303"/>
    <s v="AGOSTO"/>
    <x v="4"/>
    <n v="8"/>
    <s v="AGOSTO 2022"/>
    <s v="8 AGOSTO 2022"/>
    <x v="0"/>
    <x v="0"/>
    <n v="37"/>
    <m/>
    <m/>
    <m/>
  </r>
  <r>
    <x v="82"/>
    <s v="LUGLIO"/>
    <x v="4"/>
    <n v="7"/>
    <s v="LUGLIO 2022"/>
    <s v="7 LUGLIO 2022"/>
    <x v="7"/>
    <x v="2"/>
    <n v="1.97"/>
    <m/>
    <m/>
    <m/>
  </r>
  <r>
    <x v="6"/>
    <s v="LUGLIO"/>
    <x v="4"/>
    <n v="7"/>
    <s v="LUGLIO 2022"/>
    <s v="7 LUGLIO 2022"/>
    <x v="14"/>
    <x v="2"/>
    <n v="5"/>
    <m/>
    <m/>
    <m/>
  </r>
  <r>
    <x v="6"/>
    <s v="LUGLIO"/>
    <x v="4"/>
    <n v="7"/>
    <s v="LUGLIO 2022"/>
    <s v="7 LUGLIO 2022"/>
    <x v="14"/>
    <x v="2"/>
    <n v="5"/>
    <m/>
    <m/>
    <m/>
  </r>
  <r>
    <x v="82"/>
    <s v="LUGLIO"/>
    <x v="4"/>
    <n v="7"/>
    <s v="LUGLIO 2022"/>
    <s v="7 LUGLIO 2022"/>
    <x v="7"/>
    <x v="2"/>
    <n v="31.44"/>
    <m/>
    <m/>
    <m/>
  </r>
  <r>
    <x v="303"/>
    <s v="LUGLIO"/>
    <x v="4"/>
    <n v="7"/>
    <s v="LUGLIO 2022"/>
    <s v="7 LUGLIO 2022"/>
    <x v="0"/>
    <x v="0"/>
    <n v="25"/>
    <m/>
    <m/>
    <m/>
  </r>
  <r>
    <x v="226"/>
    <s v="LUGLIO"/>
    <x v="4"/>
    <n v="7"/>
    <s v="LUGLIO 2022"/>
    <s v="7 LUGLIO 2022"/>
    <x v="0"/>
    <x v="0"/>
    <n v="30"/>
    <m/>
    <m/>
    <m/>
  </r>
  <r>
    <x v="67"/>
    <s v="LUGLIO"/>
    <x v="4"/>
    <n v="7"/>
    <s v="LUGLIO 2022"/>
    <s v="7 LUGLIO 2022"/>
    <x v="7"/>
    <x v="2"/>
    <n v="10.34"/>
    <m/>
    <m/>
    <m/>
  </r>
  <r>
    <x v="2"/>
    <s v="LUGLIO"/>
    <x v="4"/>
    <n v="7"/>
    <s v="LUGLIO 2022"/>
    <s v="7 LUGLIO 2022"/>
    <x v="8"/>
    <x v="6"/>
    <n v="37.97"/>
    <m/>
    <s v="AMAZON"/>
    <m/>
  </r>
  <r>
    <x v="6"/>
    <s v="LUGLIO"/>
    <x v="4"/>
    <n v="7"/>
    <s v="LUGLIO 2022"/>
    <s v="7 LUGLIO 2022"/>
    <x v="14"/>
    <x v="2"/>
    <n v="5"/>
    <m/>
    <m/>
    <m/>
  </r>
  <r>
    <x v="2"/>
    <s v="LUGLIO"/>
    <x v="4"/>
    <n v="7"/>
    <s v="LUGLIO 2022"/>
    <s v="7 LUGLIO 2022"/>
    <x v="8"/>
    <x v="6"/>
    <n v="2.77"/>
    <m/>
    <s v="AMAZON"/>
    <m/>
  </r>
  <r>
    <x v="35"/>
    <s v="LUGLIO"/>
    <x v="4"/>
    <n v="7"/>
    <s v="LUGLIO 2022"/>
    <s v="7 LUGLIO 2022"/>
    <x v="1"/>
    <x v="1"/>
    <n v="25.29"/>
    <m/>
    <m/>
    <m/>
  </r>
  <r>
    <x v="362"/>
    <s v="LUGLIO"/>
    <x v="4"/>
    <n v="7"/>
    <s v="LUGLIO 2022"/>
    <s v="7 LUGLIO 2022"/>
    <x v="0"/>
    <x v="0"/>
    <n v="10"/>
    <m/>
    <m/>
    <m/>
  </r>
  <r>
    <x v="226"/>
    <s v="LUGLIO"/>
    <x v="4"/>
    <n v="7"/>
    <s v="LUGLIO 2022"/>
    <s v="7 LUGLIO 2022"/>
    <x v="0"/>
    <x v="0"/>
    <n v="11"/>
    <m/>
    <m/>
    <m/>
  </r>
  <r>
    <x v="226"/>
    <s v="LUGLIO"/>
    <x v="4"/>
    <n v="7"/>
    <s v="LUGLIO 2022"/>
    <s v="7 LUGLIO 2022"/>
    <x v="0"/>
    <x v="0"/>
    <n v="19.5"/>
    <m/>
    <m/>
    <m/>
  </r>
  <r>
    <x v="408"/>
    <s v="LUGLIO"/>
    <x v="4"/>
    <n v="7"/>
    <s v="LUGLIO 2022"/>
    <s v="7 LUGLIO 2022"/>
    <x v="5"/>
    <x v="5"/>
    <n v="12"/>
    <m/>
    <m/>
    <m/>
  </r>
  <r>
    <x v="2"/>
    <s v="LUGLIO"/>
    <x v="4"/>
    <n v="7"/>
    <s v="LUGLIO 2022"/>
    <s v="7 LUGLIO 2022"/>
    <x v="8"/>
    <x v="6"/>
    <n v="1.99"/>
    <m/>
    <s v="AMAZON"/>
    <m/>
  </r>
  <r>
    <x v="82"/>
    <s v="LUGLIO"/>
    <x v="4"/>
    <n v="7"/>
    <s v="LUGLIO 2022"/>
    <s v="7 LUGLIO 2022"/>
    <x v="7"/>
    <x v="2"/>
    <n v="12.09"/>
    <m/>
    <m/>
    <m/>
  </r>
  <r>
    <x v="385"/>
    <s v="LUGLIO"/>
    <x v="4"/>
    <n v="7"/>
    <s v="LUGLIO 2022"/>
    <s v="7 LUGLIO 2022"/>
    <x v="0"/>
    <x v="0"/>
    <n v="23.88"/>
    <m/>
    <m/>
    <m/>
  </r>
  <r>
    <x v="35"/>
    <s v="LUGLIO"/>
    <x v="4"/>
    <n v="7"/>
    <s v="LUGLIO 2022"/>
    <s v="7 LUGLIO 2022"/>
    <x v="1"/>
    <x v="1"/>
    <n v="16.63"/>
    <m/>
    <m/>
    <m/>
  </r>
  <r>
    <x v="21"/>
    <s v="LUGLIO"/>
    <x v="4"/>
    <n v="7"/>
    <s v="LUGLIO 2022"/>
    <s v="7 LUGLIO 2022"/>
    <x v="9"/>
    <x v="3"/>
    <n v="25"/>
    <m/>
    <m/>
    <m/>
  </r>
  <r>
    <x v="12"/>
    <s v="LUGLIO"/>
    <x v="4"/>
    <n v="7"/>
    <s v="LUGLIO 2022"/>
    <s v="7 LUGLIO 2022"/>
    <x v="7"/>
    <x v="2"/>
    <n v="22.43"/>
    <m/>
    <m/>
    <m/>
  </r>
  <r>
    <x v="407"/>
    <s v="LUGLIO"/>
    <x v="4"/>
    <n v="7"/>
    <s v="LUGLIO 2022"/>
    <s v="7 LUGLIO 2022"/>
    <x v="0"/>
    <x v="0"/>
    <n v="5"/>
    <m/>
    <m/>
    <m/>
  </r>
  <r>
    <x v="303"/>
    <s v="LUGLIO"/>
    <x v="4"/>
    <n v="7"/>
    <s v="LUGLIO 2022"/>
    <s v="7 LUGLIO 2022"/>
    <x v="0"/>
    <x v="0"/>
    <n v="27"/>
    <m/>
    <m/>
    <m/>
  </r>
  <r>
    <x v="2"/>
    <s v="GIUGNO"/>
    <x v="4"/>
    <n v="6"/>
    <s v="GIUGNO 2022"/>
    <s v="6 GIUGNO 2022"/>
    <x v="8"/>
    <x v="6"/>
    <n v="16"/>
    <m/>
    <s v="AMAZON"/>
    <m/>
  </r>
  <r>
    <x v="301"/>
    <s v="GIUGNO"/>
    <x v="4"/>
    <n v="6"/>
    <s v="GIUGNO 2022"/>
    <s v="6 GIUGNO 2022"/>
    <x v="7"/>
    <x v="2"/>
    <n v="13.96"/>
    <m/>
    <m/>
    <m/>
  </r>
  <r>
    <x v="35"/>
    <s v="GIUGNO"/>
    <x v="4"/>
    <n v="6"/>
    <s v="GIUGNO 2022"/>
    <s v="6 GIUGNO 2022"/>
    <x v="1"/>
    <x v="1"/>
    <n v="15.81"/>
    <m/>
    <m/>
    <m/>
  </r>
  <r>
    <x v="409"/>
    <s v="GIUGNO"/>
    <x v="4"/>
    <n v="6"/>
    <s v="GIUGNO 2022"/>
    <s v="6 GIUGNO 2022"/>
    <x v="0"/>
    <x v="0"/>
    <n v="20"/>
    <m/>
    <m/>
    <m/>
  </r>
  <r>
    <x v="409"/>
    <s v="GIUGNO"/>
    <x v="4"/>
    <n v="6"/>
    <s v="GIUGNO 2022"/>
    <s v="6 GIUGNO 2022"/>
    <x v="0"/>
    <x v="0"/>
    <n v="30"/>
    <m/>
    <m/>
    <m/>
  </r>
  <r>
    <x v="223"/>
    <s v="GIUGNO"/>
    <x v="4"/>
    <n v="6"/>
    <s v="GIUGNO 2022"/>
    <s v="6 GIUGNO 2022"/>
    <x v="0"/>
    <x v="0"/>
    <n v="3"/>
    <m/>
    <m/>
    <m/>
  </r>
  <r>
    <x v="400"/>
    <s v="GIUGNO"/>
    <x v="4"/>
    <n v="6"/>
    <s v="GIUGNO 2022"/>
    <s v="6 GIUGNO 2022"/>
    <x v="6"/>
    <x v="2"/>
    <n v="33"/>
    <m/>
    <m/>
    <m/>
  </r>
  <r>
    <x v="2"/>
    <s v="GIUGNO"/>
    <x v="4"/>
    <n v="6"/>
    <s v="GIUGNO 2022"/>
    <s v="6 GIUGNO 2022"/>
    <x v="11"/>
    <x v="6"/>
    <n v="48.98"/>
    <m/>
    <s v="AMAZON"/>
    <m/>
  </r>
  <r>
    <x v="63"/>
    <s v="GIUGNO"/>
    <x v="4"/>
    <n v="6"/>
    <s v="GIUGNO 2022"/>
    <s v="6 GIUGNO 2022"/>
    <x v="12"/>
    <x v="0"/>
    <n v="20.86"/>
    <s v="3/3"/>
    <s v="PAYPAL"/>
    <m/>
  </r>
  <r>
    <x v="2"/>
    <s v="GIUGNO"/>
    <x v="4"/>
    <n v="6"/>
    <s v="GIUGNO 2022"/>
    <s v="6 GIUGNO 2022"/>
    <x v="8"/>
    <x v="6"/>
    <n v="11.58"/>
    <m/>
    <s v="AMAZON"/>
    <m/>
  </r>
  <r>
    <x v="265"/>
    <s v="GIUGNO"/>
    <x v="4"/>
    <n v="6"/>
    <s v="GIUGNO 2022"/>
    <s v="6 GIUGNO 2022"/>
    <x v="16"/>
    <x v="5"/>
    <n v="31"/>
    <m/>
    <s v="PAYPAL"/>
    <m/>
  </r>
  <r>
    <x v="6"/>
    <s v="GIUGNO"/>
    <x v="4"/>
    <n v="6"/>
    <s v="GIUGNO 2022"/>
    <s v="6 GIUGNO 2022"/>
    <x v="14"/>
    <x v="2"/>
    <n v="5"/>
    <m/>
    <m/>
    <m/>
  </r>
  <r>
    <x v="41"/>
    <s v="GIUGNO"/>
    <x v="4"/>
    <n v="6"/>
    <s v="GIUGNO 2022"/>
    <s v="6 GIUGNO 2022"/>
    <x v="3"/>
    <x v="3"/>
    <n v="1.7"/>
    <m/>
    <m/>
    <m/>
  </r>
  <r>
    <x v="303"/>
    <s v="GIUGNO"/>
    <x v="4"/>
    <n v="6"/>
    <s v="GIUGNO 2022"/>
    <s v="6 GIUGNO 2022"/>
    <x v="0"/>
    <x v="0"/>
    <n v="18"/>
    <m/>
    <m/>
    <m/>
  </r>
  <r>
    <x v="6"/>
    <s v="GIUGNO"/>
    <x v="4"/>
    <n v="6"/>
    <s v="GIUGNO 2022"/>
    <s v="6 GIUGNO 2022"/>
    <x v="14"/>
    <x v="2"/>
    <n v="5"/>
    <m/>
    <m/>
    <m/>
  </r>
  <r>
    <x v="6"/>
    <s v="MAGGIO"/>
    <x v="4"/>
    <n v="5"/>
    <s v="MAGGIO 2022"/>
    <s v="5 MAGGIO 2022"/>
    <x v="14"/>
    <x v="2"/>
    <n v="5"/>
    <m/>
    <m/>
    <m/>
  </r>
  <r>
    <x v="410"/>
    <s v="MAGGIO"/>
    <x v="4"/>
    <n v="5"/>
    <s v="MAGGIO 2022"/>
    <s v="5 MAGGIO 2022"/>
    <x v="12"/>
    <x v="0"/>
    <n v="16"/>
    <m/>
    <m/>
    <m/>
  </r>
  <r>
    <x v="410"/>
    <s v="MAGGIO"/>
    <x v="4"/>
    <n v="5"/>
    <s v="MAGGIO 2022"/>
    <s v="5 MAGGIO 2022"/>
    <x v="12"/>
    <x v="0"/>
    <n v="20"/>
    <m/>
    <m/>
    <m/>
  </r>
  <r>
    <x v="6"/>
    <s v="MAGGIO"/>
    <x v="4"/>
    <n v="5"/>
    <s v="MAGGIO 2022"/>
    <s v="5 MAGGIO 2022"/>
    <x v="14"/>
    <x v="2"/>
    <n v="5"/>
    <m/>
    <m/>
    <m/>
  </r>
  <r>
    <x v="6"/>
    <s v="MAGGIO"/>
    <x v="4"/>
    <n v="5"/>
    <s v="MAGGIO 2022"/>
    <s v="5 MAGGIO 2022"/>
    <x v="14"/>
    <x v="2"/>
    <n v="5"/>
    <m/>
    <m/>
    <m/>
  </r>
  <r>
    <x v="41"/>
    <s v="MAGGIO"/>
    <x v="4"/>
    <n v="5"/>
    <s v="MAGGIO 2022"/>
    <s v="5 MAGGIO 2022"/>
    <x v="3"/>
    <x v="3"/>
    <n v="1.7"/>
    <m/>
    <m/>
    <m/>
  </r>
  <r>
    <x v="375"/>
    <s v="MAGGIO"/>
    <x v="4"/>
    <n v="5"/>
    <s v="MAGGIO 2022"/>
    <s v="5 MAGGIO 2022"/>
    <x v="0"/>
    <x v="0"/>
    <n v="9.5"/>
    <m/>
    <m/>
    <m/>
  </r>
  <r>
    <x v="6"/>
    <s v="MAGGIO"/>
    <x v="4"/>
    <n v="5"/>
    <s v="MAGGIO 2022"/>
    <s v="5 MAGGIO 2022"/>
    <x v="0"/>
    <x v="0"/>
    <n v="12"/>
    <m/>
    <m/>
    <m/>
  </r>
  <r>
    <x v="199"/>
    <s v="MAGGIO"/>
    <x v="4"/>
    <n v="5"/>
    <s v="MAGGIO 2022"/>
    <s v="5 MAGGIO 2022"/>
    <x v="0"/>
    <x v="0"/>
    <n v="30"/>
    <m/>
    <m/>
    <m/>
  </r>
  <r>
    <x v="303"/>
    <s v="MAGGIO"/>
    <x v="4"/>
    <n v="5"/>
    <s v="MAGGIO 2022"/>
    <s v="5 MAGGIO 2022"/>
    <x v="0"/>
    <x v="0"/>
    <n v="30"/>
    <m/>
    <m/>
    <m/>
  </r>
  <r>
    <x v="12"/>
    <s v="MAGGIO"/>
    <x v="4"/>
    <n v="5"/>
    <s v="MAGGIO 2022"/>
    <s v="5 MAGGIO 2022"/>
    <x v="7"/>
    <x v="2"/>
    <n v="8.36"/>
    <m/>
    <m/>
    <m/>
  </r>
  <r>
    <x v="2"/>
    <s v="MAGGIO"/>
    <x v="4"/>
    <n v="5"/>
    <s v="MAGGIO 2022"/>
    <s v="5 MAGGIO 2022"/>
    <x v="8"/>
    <x v="6"/>
    <n v="20.98"/>
    <m/>
    <s v="AMAZON"/>
    <m/>
  </r>
  <r>
    <x v="35"/>
    <s v="MAGGIO"/>
    <x v="4"/>
    <n v="5"/>
    <s v="MAGGIO 2022"/>
    <s v="5 MAGGIO 2022"/>
    <x v="1"/>
    <x v="1"/>
    <n v="7.9"/>
    <m/>
    <m/>
    <m/>
  </r>
  <r>
    <x v="301"/>
    <s v="MAGGIO"/>
    <x v="4"/>
    <n v="5"/>
    <s v="MAGGIO 2022"/>
    <s v="5 MAGGIO 2022"/>
    <x v="7"/>
    <x v="2"/>
    <n v="22.83"/>
    <m/>
    <m/>
    <m/>
  </r>
  <r>
    <x v="12"/>
    <s v="MAGGIO"/>
    <x v="4"/>
    <n v="5"/>
    <s v="MAGGIO 2022"/>
    <s v="5 MAGGIO 2022"/>
    <x v="7"/>
    <x v="2"/>
    <n v="36.659999999999997"/>
    <m/>
    <m/>
    <m/>
  </r>
  <r>
    <x v="82"/>
    <s v="MAGGIO"/>
    <x v="4"/>
    <n v="5"/>
    <s v="MAGGIO 2022"/>
    <s v="5 MAGGIO 2022"/>
    <x v="7"/>
    <x v="2"/>
    <n v="17.75"/>
    <m/>
    <m/>
    <m/>
  </r>
  <r>
    <x v="63"/>
    <s v="MAGGIO"/>
    <x v="4"/>
    <n v="5"/>
    <s v="MAGGIO 2022"/>
    <s v="5 MAGGIO 2022"/>
    <x v="12"/>
    <x v="0"/>
    <n v="20.87"/>
    <s v="2/3"/>
    <s v="PAYPAL"/>
    <m/>
  </r>
  <r>
    <x v="223"/>
    <s v="MAGGIO"/>
    <x v="4"/>
    <n v="5"/>
    <s v="MAGGIO 2022"/>
    <s v="5 MAGGIO 2022"/>
    <x v="16"/>
    <x v="5"/>
    <n v="29.16"/>
    <s v="3/3"/>
    <s v="PAYPAL"/>
    <m/>
  </r>
  <r>
    <x v="411"/>
    <s v="MAGGIO"/>
    <x v="4"/>
    <n v="5"/>
    <s v="MAGGIO 2022"/>
    <s v="5 MAGGIO 2022"/>
    <x v="0"/>
    <x v="0"/>
    <n v="9.5"/>
    <m/>
    <m/>
    <m/>
  </r>
  <r>
    <x v="412"/>
    <s v="MAGGIO"/>
    <x v="4"/>
    <n v="5"/>
    <s v="MAGGIO 2022"/>
    <s v="5 MAGGIO 2022"/>
    <x v="0"/>
    <x v="0"/>
    <n v="62"/>
    <m/>
    <m/>
    <m/>
  </r>
  <r>
    <x v="375"/>
    <s v="MAGGIO"/>
    <x v="4"/>
    <n v="5"/>
    <s v="MAGGIO 2022"/>
    <s v="5 MAGGIO 2022"/>
    <x v="0"/>
    <x v="0"/>
    <n v="22.5"/>
    <m/>
    <m/>
    <m/>
  </r>
  <r>
    <x v="2"/>
    <s v="MAGGIO"/>
    <x v="4"/>
    <n v="5"/>
    <s v="MAGGIO 2022"/>
    <s v="5 MAGGIO 2022"/>
    <x v="8"/>
    <x v="6"/>
    <n v="12.99"/>
    <m/>
    <s v="AMAZON"/>
    <m/>
  </r>
  <r>
    <x v="2"/>
    <s v="MAGGIO"/>
    <x v="4"/>
    <n v="5"/>
    <s v="MAGGIO 2022"/>
    <s v="5 MAGGIO 2022"/>
    <x v="8"/>
    <x v="6"/>
    <n v="45"/>
    <m/>
    <s v="AMAZON"/>
    <m/>
  </r>
  <r>
    <x v="362"/>
    <s v="APRILE"/>
    <x v="4"/>
    <n v="4"/>
    <s v="APRILE 2022"/>
    <s v="4 APRILE 2022"/>
    <x v="0"/>
    <x v="0"/>
    <n v="7.5"/>
    <m/>
    <m/>
    <m/>
  </r>
  <r>
    <x v="407"/>
    <s v="APRILE"/>
    <x v="4"/>
    <n v="4"/>
    <s v="APRILE 2022"/>
    <s v="4 APRILE 2022"/>
    <x v="0"/>
    <x v="0"/>
    <n v="7"/>
    <m/>
    <m/>
    <m/>
  </r>
  <r>
    <x v="6"/>
    <s v="APRILE"/>
    <x v="4"/>
    <n v="4"/>
    <s v="APRILE 2022"/>
    <s v="4 APRILE 2022"/>
    <x v="0"/>
    <x v="0"/>
    <n v="7.5"/>
    <m/>
    <m/>
    <m/>
  </r>
  <r>
    <x v="79"/>
    <s v="APRILE"/>
    <x v="4"/>
    <n v="4"/>
    <s v="APRILE 2022"/>
    <s v="4 APRILE 2022"/>
    <x v="3"/>
    <x v="3"/>
    <n v="1.1200000000000001"/>
    <m/>
    <s v="PAYPAL"/>
    <m/>
  </r>
  <r>
    <x v="407"/>
    <s v="APRILE"/>
    <x v="4"/>
    <n v="4"/>
    <s v="APRILE 2022"/>
    <s v="4 APRILE 2022"/>
    <x v="0"/>
    <x v="0"/>
    <n v="5"/>
    <m/>
    <m/>
    <m/>
  </r>
  <r>
    <x v="203"/>
    <s v="APRILE"/>
    <x v="4"/>
    <n v="4"/>
    <s v="APRILE 2022"/>
    <s v="4 APRILE 2022"/>
    <x v="8"/>
    <x v="6"/>
    <n v="15.32"/>
    <m/>
    <s v="PAYPAL"/>
    <m/>
  </r>
  <r>
    <x v="2"/>
    <s v="APRILE"/>
    <x v="4"/>
    <n v="4"/>
    <s v="APRILE 2022"/>
    <s v="4 APRILE 2022"/>
    <x v="8"/>
    <x v="6"/>
    <n v="6.64"/>
    <m/>
    <s v="AMAZON"/>
    <m/>
  </r>
  <r>
    <x v="63"/>
    <s v="APRILE"/>
    <x v="4"/>
    <n v="4"/>
    <s v="APRILE 2022"/>
    <s v="4 APRILE 2022"/>
    <x v="12"/>
    <x v="0"/>
    <n v="-125.18"/>
    <m/>
    <m/>
    <m/>
  </r>
  <r>
    <x v="347"/>
    <s v="APRILE"/>
    <x v="4"/>
    <n v="4"/>
    <s v="APRILE 2022"/>
    <s v="4 APRILE 2022"/>
    <x v="11"/>
    <x v="6"/>
    <n v="26.1"/>
    <m/>
    <m/>
    <m/>
  </r>
  <r>
    <x v="35"/>
    <s v="APRILE"/>
    <x v="4"/>
    <n v="4"/>
    <s v="APRILE 2022"/>
    <s v="4 APRILE 2022"/>
    <x v="1"/>
    <x v="1"/>
    <n v="12.53"/>
    <m/>
    <m/>
    <m/>
  </r>
  <r>
    <x v="21"/>
    <s v="APRILE"/>
    <x v="4"/>
    <n v="4"/>
    <s v="APRILE 2022"/>
    <s v="4 APRILE 2022"/>
    <x v="9"/>
    <x v="3"/>
    <n v="25"/>
    <m/>
    <m/>
    <m/>
  </r>
  <r>
    <x v="140"/>
    <s v="APRILE"/>
    <x v="4"/>
    <n v="4"/>
    <s v="APRILE 2022"/>
    <s v="4 APRILE 2022"/>
    <x v="20"/>
    <x v="9"/>
    <n v="59.99"/>
    <m/>
    <m/>
    <m/>
  </r>
  <r>
    <x v="230"/>
    <s v="APRILE"/>
    <x v="4"/>
    <n v="4"/>
    <s v="APRILE 2022"/>
    <s v="4 APRILE 2022"/>
    <x v="7"/>
    <x v="2"/>
    <n v="12.49"/>
    <m/>
    <m/>
    <m/>
  </r>
  <r>
    <x v="91"/>
    <s v="APRILE"/>
    <x v="4"/>
    <n v="4"/>
    <s v="APRILE 2022"/>
    <s v="4 APRILE 2022"/>
    <x v="2"/>
    <x v="2"/>
    <n v="0.4"/>
    <m/>
    <m/>
    <m/>
  </r>
  <r>
    <x v="63"/>
    <s v="APRILE"/>
    <x v="4"/>
    <n v="4"/>
    <s v="APRILE 2022"/>
    <s v="4 APRILE 2022"/>
    <x v="12"/>
    <x v="0"/>
    <n v="20.86"/>
    <s v="1/3"/>
    <s v="PAYPAL"/>
    <m/>
  </r>
  <r>
    <x v="63"/>
    <s v="APRILE"/>
    <x v="4"/>
    <n v="4"/>
    <s v="APRILE 2022"/>
    <s v="4 APRILE 2022"/>
    <x v="12"/>
    <x v="0"/>
    <n v="62.59"/>
    <m/>
    <m/>
    <m/>
  </r>
  <r>
    <x v="63"/>
    <s v="APRILE"/>
    <x v="4"/>
    <n v="4"/>
    <s v="APRILE 2022"/>
    <s v="4 APRILE 2022"/>
    <x v="12"/>
    <x v="0"/>
    <n v="125.18"/>
    <m/>
    <m/>
    <m/>
  </r>
  <r>
    <x v="223"/>
    <s v="APRILE"/>
    <x v="4"/>
    <n v="4"/>
    <s v="APRILE 2022"/>
    <s v="4 APRILE 2022"/>
    <x v="16"/>
    <x v="5"/>
    <n v="29.16"/>
    <s v="2/3"/>
    <s v="PAYPAL"/>
    <m/>
  </r>
  <r>
    <x v="63"/>
    <s v="APRILE"/>
    <x v="4"/>
    <n v="4"/>
    <s v="APRILE 2022"/>
    <s v="4 APRILE 2022"/>
    <x v="12"/>
    <x v="0"/>
    <n v="134.97999999999999"/>
    <m/>
    <m/>
    <m/>
  </r>
  <r>
    <x v="244"/>
    <s v="APRILE"/>
    <x v="4"/>
    <n v="4"/>
    <s v="APRILE 2022"/>
    <s v="4 APRILE 2022"/>
    <x v="0"/>
    <x v="0"/>
    <n v="10"/>
    <m/>
    <m/>
    <m/>
  </r>
  <r>
    <x v="142"/>
    <s v="APRILE"/>
    <x v="4"/>
    <n v="4"/>
    <s v="APRILE 2022"/>
    <s v="4 APRILE 2022"/>
    <x v="0"/>
    <x v="0"/>
    <n v="88.2"/>
    <m/>
    <m/>
    <m/>
  </r>
  <r>
    <x v="413"/>
    <s v="APRILE"/>
    <x v="4"/>
    <n v="4"/>
    <s v="APRILE 2022"/>
    <s v="4 APRILE 2022"/>
    <x v="11"/>
    <x v="6"/>
    <n v="20"/>
    <m/>
    <m/>
    <m/>
  </r>
  <r>
    <x v="6"/>
    <s v="APRILE"/>
    <x v="4"/>
    <n v="4"/>
    <s v="APRILE 2022"/>
    <s v="4 APRILE 2022"/>
    <x v="14"/>
    <x v="2"/>
    <n v="5"/>
    <m/>
    <m/>
    <m/>
  </r>
  <r>
    <x v="82"/>
    <s v="APRILE"/>
    <x v="4"/>
    <n v="4"/>
    <s v="APRILE 2022"/>
    <s v="4 APRILE 2022"/>
    <x v="7"/>
    <x v="2"/>
    <n v="27.32"/>
    <m/>
    <m/>
    <m/>
  </r>
  <r>
    <x v="414"/>
    <s v="MARZO"/>
    <x v="4"/>
    <n v="3"/>
    <s v="MARZO 2022"/>
    <s v="3 MARZO 2022"/>
    <x v="9"/>
    <x v="3"/>
    <n v="2.99"/>
    <m/>
    <s v="PAYPAL"/>
    <m/>
  </r>
  <r>
    <x v="94"/>
    <s v="MARZO"/>
    <x v="4"/>
    <n v="3"/>
    <s v="MARZO 2022"/>
    <s v="3 MARZO 2022"/>
    <x v="15"/>
    <x v="8"/>
    <n v="23.84"/>
    <m/>
    <m/>
    <m/>
  </r>
  <r>
    <x v="41"/>
    <s v="MARZO"/>
    <x v="4"/>
    <n v="3"/>
    <s v="MARZO 2022"/>
    <s v="3 MARZO 2022"/>
    <x v="3"/>
    <x v="3"/>
    <n v="1.7"/>
    <m/>
    <m/>
    <m/>
  </r>
  <r>
    <x v="63"/>
    <s v="MARZO"/>
    <x v="4"/>
    <n v="3"/>
    <s v="MARZO 2022"/>
    <s v="3 MARZO 2022"/>
    <x v="12"/>
    <x v="0"/>
    <n v="21.5"/>
    <m/>
    <m/>
    <m/>
  </r>
  <r>
    <x v="347"/>
    <s v="MARZO"/>
    <x v="4"/>
    <n v="3"/>
    <s v="MARZO 2022"/>
    <s v="3 MARZO 2022"/>
    <x v="11"/>
    <x v="6"/>
    <n v="20.99"/>
    <m/>
    <m/>
    <m/>
  </r>
  <r>
    <x v="400"/>
    <s v="MARZO"/>
    <x v="4"/>
    <n v="3"/>
    <s v="MARZO 2022"/>
    <s v="3 MARZO 2022"/>
    <x v="6"/>
    <x v="2"/>
    <n v="33"/>
    <m/>
    <m/>
    <m/>
  </r>
  <r>
    <x v="223"/>
    <s v="MARZO"/>
    <x v="4"/>
    <n v="3"/>
    <s v="MARZO 2022"/>
    <s v="3 MARZO 2022"/>
    <x v="16"/>
    <x v="5"/>
    <n v="29.16"/>
    <s v="1/3"/>
    <s v="PAYPAL"/>
    <m/>
  </r>
  <r>
    <x v="12"/>
    <s v="MARZO"/>
    <x v="4"/>
    <n v="3"/>
    <s v="MARZO 2022"/>
    <s v="3 MARZO 2022"/>
    <x v="7"/>
    <x v="2"/>
    <n v="11.16"/>
    <m/>
    <m/>
    <m/>
  </r>
  <r>
    <x v="2"/>
    <s v="MARZO"/>
    <x v="4"/>
    <n v="3"/>
    <s v="MARZO 2022"/>
    <s v="3 MARZO 2022"/>
    <x v="8"/>
    <x v="6"/>
    <n v="31.44"/>
    <m/>
    <s v="AMAZON"/>
    <m/>
  </r>
  <r>
    <x v="2"/>
    <s v="MARZO"/>
    <x v="4"/>
    <n v="3"/>
    <s v="MARZO 2022"/>
    <s v="3 MARZO 2022"/>
    <x v="8"/>
    <x v="6"/>
    <n v="15.49"/>
    <m/>
    <s v="AMAZON"/>
    <m/>
  </r>
  <r>
    <x v="82"/>
    <s v="MARZO"/>
    <x v="4"/>
    <n v="3"/>
    <s v="MARZO 2022"/>
    <s v="3 MARZO 2022"/>
    <x v="7"/>
    <x v="2"/>
    <n v="47.26"/>
    <m/>
    <m/>
    <m/>
  </r>
  <r>
    <x v="415"/>
    <s v="MARZO"/>
    <x v="4"/>
    <n v="3"/>
    <s v="MARZO 2022"/>
    <s v="3 MARZO 2022"/>
    <x v="0"/>
    <x v="0"/>
    <n v="3.82"/>
    <m/>
    <m/>
    <m/>
  </r>
  <r>
    <x v="415"/>
    <s v="MARZO"/>
    <x v="4"/>
    <n v="3"/>
    <s v="MARZO 2022"/>
    <s v="3 MARZO 2022"/>
    <x v="0"/>
    <x v="0"/>
    <n v="7.43"/>
    <m/>
    <m/>
    <m/>
  </r>
  <r>
    <x v="415"/>
    <s v="MARZO"/>
    <x v="4"/>
    <n v="3"/>
    <s v="MARZO 2022"/>
    <s v="3 MARZO 2022"/>
    <x v="0"/>
    <x v="0"/>
    <n v="2.4900000000000002"/>
    <m/>
    <m/>
    <m/>
  </r>
  <r>
    <x v="63"/>
    <s v="FEBBRAIO"/>
    <x v="4"/>
    <n v="2"/>
    <s v="FEBBRAIO 2022"/>
    <s v="2 FEBBRAIO 2022"/>
    <x v="12"/>
    <x v="0"/>
    <n v="23"/>
    <m/>
    <m/>
    <m/>
  </r>
  <r>
    <x v="375"/>
    <s v="FEBBRAIO"/>
    <x v="4"/>
    <n v="2"/>
    <s v="FEBBRAIO 2022"/>
    <s v="2 FEBBRAIO 2022"/>
    <x v="0"/>
    <x v="0"/>
    <n v="13"/>
    <m/>
    <m/>
    <m/>
  </r>
  <r>
    <x v="6"/>
    <s v="FEBBRAIO"/>
    <x v="4"/>
    <n v="2"/>
    <s v="FEBBRAIO 2022"/>
    <s v="2 FEBBRAIO 2022"/>
    <x v="14"/>
    <x v="2"/>
    <n v="5"/>
    <m/>
    <m/>
    <m/>
  </r>
  <r>
    <x v="407"/>
    <s v="FEBBRAIO"/>
    <x v="4"/>
    <n v="2"/>
    <s v="FEBBRAIO 2022"/>
    <s v="2 FEBBRAIO 2022"/>
    <x v="0"/>
    <x v="0"/>
    <n v="5"/>
    <m/>
    <m/>
    <m/>
  </r>
  <r>
    <x v="41"/>
    <s v="FEBBRAIO"/>
    <x v="4"/>
    <n v="2"/>
    <s v="FEBBRAIO 2022"/>
    <s v="2 FEBBRAIO 2022"/>
    <x v="3"/>
    <x v="3"/>
    <n v="1.7"/>
    <m/>
    <m/>
    <m/>
  </r>
  <r>
    <x v="91"/>
    <s v="FEBBRAIO"/>
    <x v="4"/>
    <n v="2"/>
    <s v="FEBBRAIO 2022"/>
    <s v="2 FEBBRAIO 2022"/>
    <x v="2"/>
    <x v="2"/>
    <n v="0.4"/>
    <m/>
    <m/>
    <m/>
  </r>
  <r>
    <x v="35"/>
    <s v="FEBBRAIO"/>
    <x v="4"/>
    <n v="2"/>
    <s v="FEBBRAIO 2022"/>
    <s v="2 FEBBRAIO 2022"/>
    <x v="1"/>
    <x v="1"/>
    <n v="3.7"/>
    <m/>
    <m/>
    <m/>
  </r>
  <r>
    <x v="2"/>
    <s v="FEBBRAIO"/>
    <x v="4"/>
    <n v="2"/>
    <s v="FEBBRAIO 2022"/>
    <s v="2 FEBBRAIO 2022"/>
    <x v="8"/>
    <x v="6"/>
    <n v="19.25"/>
    <s v="5/5"/>
    <s v="AMAZON"/>
    <m/>
  </r>
  <r>
    <x v="67"/>
    <s v="FEBBRAIO"/>
    <x v="4"/>
    <n v="2"/>
    <s v="FEBBRAIO 2022"/>
    <s v="2 FEBBRAIO 2022"/>
    <x v="7"/>
    <x v="2"/>
    <n v="37.92"/>
    <m/>
    <m/>
    <m/>
  </r>
  <r>
    <x v="91"/>
    <s v="FEBBRAIO"/>
    <x v="4"/>
    <n v="2"/>
    <s v="FEBBRAIO 2022"/>
    <s v="2 FEBBRAIO 2022"/>
    <x v="2"/>
    <x v="2"/>
    <n v="0.4"/>
    <m/>
    <m/>
    <m/>
  </r>
  <r>
    <x v="91"/>
    <s v="FEBBRAIO"/>
    <x v="4"/>
    <n v="2"/>
    <s v="FEBBRAIO 2022"/>
    <s v="2 FEBBRAIO 2022"/>
    <x v="2"/>
    <x v="2"/>
    <n v="0.4"/>
    <m/>
    <m/>
    <m/>
  </r>
  <r>
    <x v="91"/>
    <s v="FEBBRAIO"/>
    <x v="4"/>
    <n v="2"/>
    <s v="FEBBRAIO 2022"/>
    <s v="2 FEBBRAIO 2022"/>
    <x v="2"/>
    <x v="2"/>
    <n v="0.4"/>
    <m/>
    <m/>
    <m/>
  </r>
  <r>
    <x v="91"/>
    <s v="FEBBRAIO"/>
    <x v="4"/>
    <n v="2"/>
    <s v="FEBBRAIO 2022"/>
    <s v="2 FEBBRAIO 2022"/>
    <x v="2"/>
    <x v="2"/>
    <n v="0.4"/>
    <m/>
    <m/>
    <m/>
  </r>
  <r>
    <x v="240"/>
    <s v="FEBBRAIO"/>
    <x v="4"/>
    <n v="2"/>
    <s v="FEBBRAIO 2022"/>
    <s v="2 FEBBRAIO 2022"/>
    <x v="1"/>
    <x v="1"/>
    <n v="24.89"/>
    <m/>
    <m/>
    <s v="Pitturare Porte"/>
  </r>
  <r>
    <x v="279"/>
    <s v="FEBBRAIO"/>
    <x v="4"/>
    <n v="2"/>
    <s v="FEBBRAIO 2022"/>
    <s v="2 FEBBRAIO 2022"/>
    <x v="9"/>
    <x v="3"/>
    <n v="310"/>
    <m/>
    <m/>
    <m/>
  </r>
  <r>
    <x v="91"/>
    <s v="FEBBRAIO"/>
    <x v="4"/>
    <n v="2"/>
    <s v="FEBBRAIO 2022"/>
    <s v="2 FEBBRAIO 2022"/>
    <x v="2"/>
    <x v="2"/>
    <n v="0.4"/>
    <m/>
    <m/>
    <m/>
  </r>
  <r>
    <x v="82"/>
    <s v="FEBBRAIO"/>
    <x v="4"/>
    <n v="2"/>
    <s v="FEBBRAIO 2022"/>
    <s v="2 FEBBRAIO 2022"/>
    <x v="7"/>
    <x v="2"/>
    <n v="22.21"/>
    <m/>
    <m/>
    <m/>
  </r>
  <r>
    <x v="12"/>
    <s v="FEBBRAIO"/>
    <x v="4"/>
    <n v="2"/>
    <s v="FEBBRAIO 2022"/>
    <s v="2 FEBBRAIO 2022"/>
    <x v="7"/>
    <x v="2"/>
    <n v="25.1"/>
    <m/>
    <m/>
    <m/>
  </r>
  <r>
    <x v="12"/>
    <s v="FEBBRAIO"/>
    <x v="4"/>
    <n v="2"/>
    <s v="FEBBRAIO 2022"/>
    <s v="2 FEBBRAIO 2022"/>
    <x v="7"/>
    <x v="2"/>
    <n v="13.52"/>
    <m/>
    <m/>
    <m/>
  </r>
  <r>
    <x v="91"/>
    <s v="FEBBRAIO"/>
    <x v="4"/>
    <n v="2"/>
    <s v="FEBBRAIO 2022"/>
    <s v="2 FEBBRAIO 2022"/>
    <x v="2"/>
    <x v="2"/>
    <n v="0.4"/>
    <m/>
    <m/>
    <m/>
  </r>
  <r>
    <x v="240"/>
    <s v="FEBBRAIO"/>
    <x v="4"/>
    <n v="2"/>
    <s v="FEBBRAIO 2022"/>
    <s v="2 FEBBRAIO 2022"/>
    <x v="1"/>
    <x v="1"/>
    <n v="45.89"/>
    <m/>
    <m/>
    <s v="Pitturare Porte"/>
  </r>
  <r>
    <x v="35"/>
    <s v="FEBBRAIO"/>
    <x v="4"/>
    <n v="2"/>
    <s v="FEBBRAIO 2022"/>
    <s v="2 FEBBRAIO 2022"/>
    <x v="1"/>
    <x v="1"/>
    <n v="10.29"/>
    <m/>
    <m/>
    <s v="Pitturare Porte"/>
  </r>
  <r>
    <x v="240"/>
    <s v="FEBBRAIO"/>
    <x v="4"/>
    <n v="2"/>
    <s v="FEBBRAIO 2022"/>
    <s v="2 FEBBRAIO 2022"/>
    <x v="1"/>
    <x v="1"/>
    <n v="56.62"/>
    <m/>
    <m/>
    <s v="Pitturare Porte"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416"/>
    <s v="GENNAIO"/>
    <x v="4"/>
    <n v="1"/>
    <s v="GENNAIO 2022"/>
    <s v="1 GENNAIO 2022"/>
    <x v="0"/>
    <x v="0"/>
    <n v="24.5"/>
    <m/>
    <m/>
    <m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82"/>
    <s v="GENNAIO"/>
    <x v="4"/>
    <n v="1"/>
    <s v="GENNAIO 2022"/>
    <s v="1 GENNAIO 2022"/>
    <x v="7"/>
    <x v="2"/>
    <n v="23.84"/>
    <m/>
    <m/>
    <m/>
  </r>
  <r>
    <x v="6"/>
    <s v="GENNAIO"/>
    <x v="4"/>
    <n v="1"/>
    <s v="GENNAIO 2022"/>
    <s v="1 GENNAIO 2022"/>
    <x v="0"/>
    <x v="0"/>
    <n v="7.5"/>
    <m/>
    <m/>
    <m/>
  </r>
  <r>
    <x v="91"/>
    <s v="GENNAIO"/>
    <x v="4"/>
    <n v="1"/>
    <s v="GENNAIO 2022"/>
    <s v="1 GENNAIO 2022"/>
    <x v="2"/>
    <x v="2"/>
    <n v="0.4"/>
    <m/>
    <m/>
    <m/>
  </r>
  <r>
    <x v="91"/>
    <s v="GENNAIO"/>
    <x v="4"/>
    <n v="1"/>
    <s v="GENNAIO 2022"/>
    <s v="1 GENNAIO 2022"/>
    <x v="2"/>
    <x v="2"/>
    <n v="0.4"/>
    <m/>
    <m/>
    <m/>
  </r>
  <r>
    <x v="2"/>
    <s v="GENNAIO"/>
    <x v="4"/>
    <n v="1"/>
    <s v="GENNAIO 2022"/>
    <s v="1 GENNAIO 2022"/>
    <x v="8"/>
    <x v="6"/>
    <n v="19.25"/>
    <s v="4/5"/>
    <s v="AMAZON"/>
    <m/>
  </r>
  <r>
    <x v="91"/>
    <s v="GENNAIO"/>
    <x v="4"/>
    <n v="1"/>
    <s v="GENNAIO 2022"/>
    <s v="1 GENNAIO 2022"/>
    <x v="2"/>
    <x v="2"/>
    <n v="0.4"/>
    <m/>
    <m/>
    <m/>
  </r>
  <r>
    <x v="82"/>
    <s v="GENNAIO"/>
    <x v="4"/>
    <n v="1"/>
    <s v="GENNAIO 2022"/>
    <s v="1 GENNAIO 2022"/>
    <x v="7"/>
    <x v="2"/>
    <n v="19.170000000000002"/>
    <m/>
    <m/>
    <m/>
  </r>
  <r>
    <x v="21"/>
    <s v="GENNAIO"/>
    <x v="4"/>
    <n v="1"/>
    <s v="GENNAIO 2022"/>
    <s v="1 GENNAIO 2022"/>
    <x v="9"/>
    <x v="3"/>
    <n v="25"/>
    <m/>
    <m/>
    <m/>
  </r>
  <r>
    <x v="417"/>
    <s v="GENNAIO"/>
    <x v="4"/>
    <n v="1"/>
    <s v="GENNAIO 2022"/>
    <s v="1 GENNAIO 2022"/>
    <x v="24"/>
    <x v="2"/>
    <n v="18"/>
    <m/>
    <m/>
    <m/>
  </r>
  <r>
    <x v="67"/>
    <s v="GENNAIO"/>
    <x v="4"/>
    <n v="1"/>
    <s v="GENNAIO 2022"/>
    <s v="1 GENNAIO 2022"/>
    <x v="7"/>
    <x v="2"/>
    <n v="58.27"/>
    <m/>
    <m/>
    <m/>
  </r>
  <r>
    <x v="53"/>
    <s v="GENNAIO"/>
    <x v="4"/>
    <n v="1"/>
    <s v="GENNAIO 2022"/>
    <s v="1 GENNAIO 2022"/>
    <x v="1"/>
    <x v="1"/>
    <n v="34.950000000000003"/>
    <m/>
    <m/>
    <m/>
  </r>
  <r>
    <x v="63"/>
    <s v="GENNAIO"/>
    <x v="4"/>
    <n v="1"/>
    <s v="GENNAIO 2022"/>
    <s v="1 GENNAIO 2022"/>
    <x v="12"/>
    <x v="0"/>
    <n v="45.45"/>
    <m/>
    <m/>
    <m/>
  </r>
  <r>
    <x v="67"/>
    <s v="GENNAIO"/>
    <x v="4"/>
    <n v="1"/>
    <s v="GENNAIO 2022"/>
    <s v="1 GENNAIO 2022"/>
    <x v="7"/>
    <x v="2"/>
    <n v="32.86"/>
    <m/>
    <m/>
    <m/>
  </r>
  <r>
    <x v="2"/>
    <s v="DICEMBRE"/>
    <x v="5"/>
    <n v="12"/>
    <s v="DICEMBRE 2021"/>
    <s v="12 DICEMBRE 2021"/>
    <x v="8"/>
    <x v="6"/>
    <n v="1.99"/>
    <m/>
    <s v="AMAZON"/>
    <m/>
  </r>
  <r>
    <x v="61"/>
    <s v="DICEMBRE"/>
    <x v="5"/>
    <n v="12"/>
    <s v="DICEMBRE 2021"/>
    <s v="12 DICEMBRE 2021"/>
    <x v="11"/>
    <x v="6"/>
    <n v="25.9"/>
    <m/>
    <m/>
    <m/>
  </r>
  <r>
    <x v="2"/>
    <s v="DICEMBRE"/>
    <x v="5"/>
    <n v="12"/>
    <s v="DICEMBRE 2021"/>
    <s v="12 DICEMBRE 2021"/>
    <x v="8"/>
    <x v="6"/>
    <n v="19.98"/>
    <m/>
    <s v="AMAZON"/>
    <m/>
  </r>
  <r>
    <x v="163"/>
    <s v="DICEMBRE"/>
    <x v="5"/>
    <n v="12"/>
    <s v="DICEMBRE 2021"/>
    <s v="12 DICEMBRE 2021"/>
    <x v="11"/>
    <x v="6"/>
    <n v="30.14"/>
    <m/>
    <m/>
    <m/>
  </r>
  <r>
    <x v="41"/>
    <s v="DICEMBRE"/>
    <x v="5"/>
    <n v="12"/>
    <s v="DICEMBRE 2021"/>
    <s v="12 DICEMBRE 2021"/>
    <x v="3"/>
    <x v="3"/>
    <n v="1.7"/>
    <m/>
    <m/>
    <m/>
  </r>
  <r>
    <x v="67"/>
    <s v="DICEMBRE"/>
    <x v="5"/>
    <n v="12"/>
    <s v="DICEMBRE 2021"/>
    <s v="12 DICEMBRE 2021"/>
    <x v="7"/>
    <x v="2"/>
    <n v="21.05"/>
    <m/>
    <m/>
    <m/>
  </r>
  <r>
    <x v="400"/>
    <s v="DICEMBRE"/>
    <x v="5"/>
    <n v="12"/>
    <s v="DICEMBRE 2021"/>
    <s v="12 DICEMBRE 2021"/>
    <x v="6"/>
    <x v="2"/>
    <n v="33"/>
    <m/>
    <m/>
    <m/>
  </r>
  <r>
    <x v="2"/>
    <s v="DICEMBRE"/>
    <x v="5"/>
    <n v="12"/>
    <s v="DICEMBRE 2021"/>
    <s v="12 DICEMBRE 2021"/>
    <x v="8"/>
    <x v="6"/>
    <n v="19.25"/>
    <s v="3/5"/>
    <s v="AMAZON"/>
    <m/>
  </r>
  <r>
    <x v="53"/>
    <s v="DICEMBRE"/>
    <x v="5"/>
    <n v="12"/>
    <s v="DICEMBRE 2021"/>
    <s v="12 DICEMBRE 2021"/>
    <x v="1"/>
    <x v="1"/>
    <n v="55.6"/>
    <m/>
    <m/>
    <m/>
  </r>
  <r>
    <x v="67"/>
    <s v="DICEMBRE"/>
    <x v="5"/>
    <n v="12"/>
    <s v="DICEMBRE 2021"/>
    <s v="12 DICEMBRE 2021"/>
    <x v="7"/>
    <x v="2"/>
    <n v="116.28"/>
    <m/>
    <m/>
    <s v="compleanno"/>
  </r>
  <r>
    <x v="254"/>
    <s v="DICEMBRE"/>
    <x v="5"/>
    <n v="12"/>
    <s v="DICEMBRE 2021"/>
    <s v="12 DICEMBRE 2021"/>
    <x v="0"/>
    <x v="0"/>
    <n v="40"/>
    <m/>
    <m/>
    <s v="compleanno"/>
  </r>
  <r>
    <x v="91"/>
    <s v="DICEMBRE"/>
    <x v="5"/>
    <n v="12"/>
    <s v="DICEMBRE 2021"/>
    <s v="12 DICEMBRE 2021"/>
    <x v="2"/>
    <x v="2"/>
    <n v="0.6"/>
    <m/>
    <m/>
    <m/>
  </r>
  <r>
    <x v="12"/>
    <s v="DICEMBRE"/>
    <x v="5"/>
    <n v="12"/>
    <s v="DICEMBRE 2021"/>
    <s v="12 DICEMBRE 2021"/>
    <x v="7"/>
    <x v="2"/>
    <n v="37.93"/>
    <m/>
    <m/>
    <s v="compleanno"/>
  </r>
  <r>
    <x v="91"/>
    <s v="DICEMBRE"/>
    <x v="5"/>
    <n v="12"/>
    <s v="DICEMBRE 2021"/>
    <s v="12 DICEMBRE 2021"/>
    <x v="2"/>
    <x v="2"/>
    <n v="0.4"/>
    <m/>
    <m/>
    <m/>
  </r>
  <r>
    <x v="91"/>
    <s v="DICEMBRE"/>
    <x v="5"/>
    <n v="12"/>
    <s v="DICEMBRE 2021"/>
    <s v="12 DICEMBRE 2021"/>
    <x v="2"/>
    <x v="2"/>
    <n v="0.4"/>
    <m/>
    <m/>
    <m/>
  </r>
  <r>
    <x v="2"/>
    <s v="DICEMBRE"/>
    <x v="5"/>
    <n v="12"/>
    <s v="DICEMBRE 2021"/>
    <s v="12 DICEMBRE 2021"/>
    <x v="8"/>
    <x v="6"/>
    <n v="39.99"/>
    <m/>
    <s v="AMAZON"/>
    <m/>
  </r>
  <r>
    <x v="375"/>
    <s v="DICEMBRE"/>
    <x v="5"/>
    <n v="12"/>
    <s v="DICEMBRE 2021"/>
    <s v="12 DICEMBRE 2021"/>
    <x v="0"/>
    <x v="0"/>
    <n v="21.5"/>
    <m/>
    <m/>
    <m/>
  </r>
  <r>
    <x v="91"/>
    <s v="DICEMBRE"/>
    <x v="5"/>
    <n v="12"/>
    <s v="DICEMBRE 2021"/>
    <s v="12 DICEMBRE 2021"/>
    <x v="2"/>
    <x v="2"/>
    <n v="0.4"/>
    <m/>
    <m/>
    <m/>
  </r>
  <r>
    <x v="91"/>
    <s v="DICEMBRE"/>
    <x v="5"/>
    <n v="12"/>
    <s v="DICEMBRE 2021"/>
    <s v="12 DICEMBRE 2021"/>
    <x v="2"/>
    <x v="2"/>
    <n v="0.4"/>
    <m/>
    <m/>
    <m/>
  </r>
  <r>
    <x v="401"/>
    <s v="DICEMBRE"/>
    <x v="5"/>
    <n v="12"/>
    <s v="DICEMBRE 2021"/>
    <s v="12 DICEMBRE 2021"/>
    <x v="24"/>
    <x v="2"/>
    <n v="19.5"/>
    <m/>
    <m/>
    <m/>
  </r>
  <r>
    <x v="67"/>
    <s v="NOVEMBRE"/>
    <x v="5"/>
    <n v="11"/>
    <s v="NOVEMBRE 2021"/>
    <s v="11 NOVEMBRE 2021"/>
    <x v="7"/>
    <x v="2"/>
    <n v="15.81"/>
    <m/>
    <m/>
    <m/>
  </r>
  <r>
    <x v="418"/>
    <s v="NOVEMBRE"/>
    <x v="5"/>
    <n v="11"/>
    <s v="NOVEMBRE 2021"/>
    <s v="11 NOVEMBRE 2021"/>
    <x v="20"/>
    <x v="9"/>
    <n v="24.99"/>
    <m/>
    <m/>
    <m/>
  </r>
  <r>
    <x v="91"/>
    <s v="NOVEMBRE"/>
    <x v="5"/>
    <n v="11"/>
    <s v="NOVEMBRE 2021"/>
    <s v="11 NOVEMBRE 2021"/>
    <x v="2"/>
    <x v="2"/>
    <n v="0.4"/>
    <m/>
    <m/>
    <m/>
  </r>
  <r>
    <x v="91"/>
    <s v="NOVEMBRE"/>
    <x v="5"/>
    <n v="11"/>
    <s v="NOVEMBRE 2021"/>
    <s v="11 NOVEMBRE 2021"/>
    <x v="2"/>
    <x v="2"/>
    <n v="0.4"/>
    <m/>
    <m/>
    <m/>
  </r>
  <r>
    <x v="91"/>
    <s v="NOVEMBRE"/>
    <x v="5"/>
    <n v="11"/>
    <s v="NOVEMBRE 2021"/>
    <s v="11 NOVEMBRE 2021"/>
    <x v="2"/>
    <x v="2"/>
    <n v="0.4"/>
    <m/>
    <m/>
    <m/>
  </r>
  <r>
    <x v="91"/>
    <s v="NOVEMBRE"/>
    <x v="5"/>
    <n v="11"/>
    <s v="NOVEMBRE 2021"/>
    <s v="11 NOVEMBRE 2021"/>
    <x v="2"/>
    <x v="2"/>
    <n v="0.4"/>
    <m/>
    <m/>
    <m/>
  </r>
  <r>
    <x v="91"/>
    <s v="NOVEMBRE"/>
    <x v="5"/>
    <n v="11"/>
    <s v="NOVEMBRE 2021"/>
    <s v="11 NOVEMBRE 2021"/>
    <x v="2"/>
    <x v="2"/>
    <n v="0.4"/>
    <m/>
    <m/>
    <m/>
  </r>
  <r>
    <x v="67"/>
    <s v="NOVEMBRE"/>
    <x v="5"/>
    <n v="11"/>
    <s v="NOVEMBRE 2021"/>
    <s v="11 NOVEMBRE 2021"/>
    <x v="7"/>
    <x v="2"/>
    <n v="6.69"/>
    <m/>
    <m/>
    <m/>
  </r>
  <r>
    <x v="12"/>
    <s v="NOVEMBRE"/>
    <x v="5"/>
    <n v="11"/>
    <s v="NOVEMBRE 2021"/>
    <s v="11 NOVEMBRE 2021"/>
    <x v="7"/>
    <x v="2"/>
    <n v="8.35"/>
    <m/>
    <m/>
    <m/>
  </r>
  <r>
    <x v="2"/>
    <s v="NOVEMBRE"/>
    <x v="5"/>
    <n v="11"/>
    <s v="NOVEMBRE 2021"/>
    <s v="11 NOVEMBRE 2021"/>
    <x v="8"/>
    <x v="6"/>
    <n v="8.99"/>
    <m/>
    <s v="AMAZON"/>
    <m/>
  </r>
  <r>
    <x v="2"/>
    <s v="NOVEMBRE"/>
    <x v="5"/>
    <n v="11"/>
    <s v="NOVEMBRE 2021"/>
    <s v="11 NOVEMBRE 2021"/>
    <x v="8"/>
    <x v="6"/>
    <n v="19.25"/>
    <s v="2/5"/>
    <s v="AMAZON"/>
    <m/>
  </r>
  <r>
    <x v="419"/>
    <s v="NOVEMBRE"/>
    <x v="5"/>
    <n v="11"/>
    <s v="NOVEMBRE 2021"/>
    <s v="11 NOVEMBRE 2021"/>
    <x v="8"/>
    <x v="6"/>
    <n v="19.989999999999998"/>
    <m/>
    <m/>
    <m/>
  </r>
  <r>
    <x v="419"/>
    <s v="NOVEMBRE"/>
    <x v="5"/>
    <n v="11"/>
    <s v="NOVEMBRE 2021"/>
    <s v="11 NOVEMBRE 2021"/>
    <x v="8"/>
    <x v="6"/>
    <n v="49.99"/>
    <m/>
    <m/>
    <m/>
  </r>
  <r>
    <x v="2"/>
    <s v="NOVEMBRE"/>
    <x v="5"/>
    <n v="11"/>
    <s v="NOVEMBRE 2021"/>
    <s v="11 NOVEMBRE 2021"/>
    <x v="8"/>
    <x v="6"/>
    <n v="10.88"/>
    <m/>
    <s v="AMAZON"/>
    <m/>
  </r>
  <r>
    <x v="420"/>
    <s v="NOVEMBRE"/>
    <x v="5"/>
    <n v="11"/>
    <s v="NOVEMBRE 2021"/>
    <s v="11 NOVEMBRE 2021"/>
    <x v="16"/>
    <x v="5"/>
    <n v="41.6"/>
    <m/>
    <m/>
    <m/>
  </r>
  <r>
    <x v="6"/>
    <s v="NOVEMBRE"/>
    <x v="5"/>
    <n v="11"/>
    <s v="NOVEMBRE 2021"/>
    <s v="11 NOVEMBRE 2021"/>
    <x v="14"/>
    <x v="2"/>
    <n v="5"/>
    <m/>
    <m/>
    <m/>
  </r>
  <r>
    <x v="421"/>
    <s v="NOVEMBRE"/>
    <x v="5"/>
    <n v="11"/>
    <s v="NOVEMBRE 2021"/>
    <s v="11 NOVEMBRE 2021"/>
    <x v="7"/>
    <x v="2"/>
    <n v="7.63"/>
    <m/>
    <m/>
    <m/>
  </r>
  <r>
    <x v="422"/>
    <s v="NOVEMBRE"/>
    <x v="5"/>
    <n v="11"/>
    <s v="NOVEMBRE 2021"/>
    <s v="11 NOVEMBRE 2021"/>
    <x v="0"/>
    <x v="0"/>
    <n v="9.9700000000000006"/>
    <m/>
    <m/>
    <m/>
  </r>
  <r>
    <x v="423"/>
    <s v="NOVEMBRE"/>
    <x v="5"/>
    <n v="11"/>
    <s v="NOVEMBRE 2021"/>
    <s v="11 NOVEMBRE 2021"/>
    <x v="7"/>
    <x v="2"/>
    <n v="7.49"/>
    <m/>
    <m/>
    <m/>
  </r>
  <r>
    <x v="2"/>
    <s v="NOVEMBRE"/>
    <x v="5"/>
    <n v="11"/>
    <s v="NOVEMBRE 2021"/>
    <s v="11 NOVEMBRE 2021"/>
    <x v="8"/>
    <x v="6"/>
    <n v="31.97"/>
    <m/>
    <s v="AMAZON"/>
    <m/>
  </r>
  <r>
    <x v="2"/>
    <s v="NOVEMBRE"/>
    <x v="5"/>
    <n v="11"/>
    <s v="NOVEMBRE 2021"/>
    <s v="11 NOVEMBRE 2021"/>
    <x v="8"/>
    <x v="6"/>
    <n v="23.89"/>
    <m/>
    <s v="AMAZON"/>
    <m/>
  </r>
  <r>
    <x v="424"/>
    <s v="NOVEMBRE"/>
    <x v="5"/>
    <n v="11"/>
    <s v="NOVEMBRE 2021"/>
    <s v="11 NOVEMBRE 2021"/>
    <x v="3"/>
    <x v="3"/>
    <n v="12.3"/>
    <m/>
    <m/>
    <m/>
  </r>
  <r>
    <x v="6"/>
    <s v="NOVEMBRE"/>
    <x v="5"/>
    <n v="11"/>
    <s v="NOVEMBRE 2021"/>
    <s v="11 NOVEMBRE 2021"/>
    <x v="0"/>
    <x v="0"/>
    <n v="4.0999999999999996"/>
    <m/>
    <m/>
    <m/>
  </r>
  <r>
    <x v="91"/>
    <s v="OTTOBRE"/>
    <x v="5"/>
    <n v="10"/>
    <s v="OTTOBRE 2021"/>
    <s v="10 OTTOBRE 2021"/>
    <x v="2"/>
    <x v="2"/>
    <n v="0.4"/>
    <m/>
    <m/>
    <m/>
  </r>
  <r>
    <x v="2"/>
    <s v="OTTOBRE"/>
    <x v="5"/>
    <n v="10"/>
    <s v="OTTOBRE 2021"/>
    <s v="10 OTTOBRE 2021"/>
    <x v="8"/>
    <x v="6"/>
    <n v="-19.95"/>
    <m/>
    <s v="AMAZON"/>
    <m/>
  </r>
  <r>
    <x v="2"/>
    <s v="OTTOBRE"/>
    <x v="5"/>
    <n v="10"/>
    <s v="OTTOBRE 2021"/>
    <s v="10 OTTOBRE 2021"/>
    <x v="8"/>
    <x v="6"/>
    <n v="19.25"/>
    <s v="1/5"/>
    <s v="AMAZON"/>
    <m/>
  </r>
  <r>
    <x v="35"/>
    <s v="OTTOBRE"/>
    <x v="5"/>
    <n v="10"/>
    <s v="OTTOBRE 2021"/>
    <s v="10 OTTOBRE 2021"/>
    <x v="1"/>
    <x v="1"/>
    <n v="33.19"/>
    <m/>
    <m/>
    <m/>
  </r>
  <r>
    <x v="53"/>
    <s v="OTTOBRE"/>
    <x v="5"/>
    <n v="10"/>
    <s v="OTTOBRE 2021"/>
    <s v="10 OTTOBRE 2021"/>
    <x v="1"/>
    <x v="1"/>
    <n v="19.95"/>
    <m/>
    <m/>
    <m/>
  </r>
  <r>
    <x v="140"/>
    <s v="OTTOBRE"/>
    <x v="5"/>
    <n v="10"/>
    <s v="OTTOBRE 2021"/>
    <s v="10 OTTOBRE 2021"/>
    <x v="8"/>
    <x v="6"/>
    <n v="1.59"/>
    <m/>
    <m/>
    <m/>
  </r>
  <r>
    <x v="2"/>
    <s v="OTTOBRE"/>
    <x v="5"/>
    <n v="10"/>
    <s v="OTTOBRE 2021"/>
    <s v="10 OTTOBRE 2021"/>
    <x v="8"/>
    <x v="6"/>
    <n v="14.99"/>
    <m/>
    <s v="AMAZON"/>
    <m/>
  </r>
  <r>
    <x v="140"/>
    <s v="SETTEMBRE"/>
    <x v="5"/>
    <n v="9"/>
    <s v="SETTEMBRE 2021"/>
    <s v="9 SETTEMBRE 2021"/>
    <x v="20"/>
    <x v="9"/>
    <n v="8.49"/>
    <m/>
    <m/>
    <m/>
  </r>
  <r>
    <x v="67"/>
    <s v="SETTEMBRE"/>
    <x v="5"/>
    <n v="9"/>
    <s v="SETTEMBRE 2021"/>
    <s v="9 SETTEMBRE 2021"/>
    <x v="7"/>
    <x v="2"/>
    <n v="17.66"/>
    <m/>
    <m/>
    <m/>
  </r>
  <r>
    <x v="6"/>
    <s v="SETTEMBRE"/>
    <x v="5"/>
    <n v="9"/>
    <s v="SETTEMBRE 2021"/>
    <s v="9 SETTEMBRE 2021"/>
    <x v="0"/>
    <x v="0"/>
    <n v="5.0999999999999996"/>
    <m/>
    <m/>
    <m/>
  </r>
  <r>
    <x v="6"/>
    <s v="SETTEMBRE"/>
    <x v="5"/>
    <n v="9"/>
    <s v="SETTEMBRE 2021"/>
    <s v="9 SETTEMBRE 2021"/>
    <x v="14"/>
    <x v="2"/>
    <n v="5"/>
    <m/>
    <m/>
    <m/>
  </r>
  <r>
    <x v="67"/>
    <s v="SETTEMBRE"/>
    <x v="5"/>
    <n v="9"/>
    <s v="SETTEMBRE 2021"/>
    <s v="9 SETTEMBRE 2021"/>
    <x v="7"/>
    <x v="2"/>
    <n v="14.28"/>
    <m/>
    <m/>
    <m/>
  </r>
  <r>
    <x v="35"/>
    <s v="SETTEMBRE"/>
    <x v="5"/>
    <n v="9"/>
    <s v="SETTEMBRE 2021"/>
    <s v="9 SETTEMBRE 2021"/>
    <x v="1"/>
    <x v="1"/>
    <n v="11.96"/>
    <m/>
    <m/>
    <m/>
  </r>
  <r>
    <x v="6"/>
    <s v="SETTEMBRE"/>
    <x v="5"/>
    <n v="9"/>
    <s v="SETTEMBRE 2021"/>
    <s v="9 SETTEMBRE 2021"/>
    <x v="14"/>
    <x v="2"/>
    <n v="5"/>
    <m/>
    <m/>
    <m/>
  </r>
  <r>
    <x v="67"/>
    <s v="SETTEMBRE"/>
    <x v="5"/>
    <n v="9"/>
    <s v="SETTEMBRE 2021"/>
    <s v="9 SETTEMBRE 2021"/>
    <x v="7"/>
    <x v="2"/>
    <n v="24.57"/>
    <m/>
    <m/>
    <m/>
  </r>
  <r>
    <x v="112"/>
    <s v="SETTEMBRE"/>
    <x v="5"/>
    <n v="9"/>
    <s v="SETTEMBRE 2021"/>
    <s v="9 SETTEMBRE 2021"/>
    <x v="1"/>
    <x v="1"/>
    <n v="19.510000000000002"/>
    <m/>
    <m/>
    <m/>
  </r>
  <r>
    <x v="67"/>
    <s v="SETTEMBRE"/>
    <x v="5"/>
    <n v="9"/>
    <s v="SETTEMBRE 2021"/>
    <s v="9 SETTEMBRE 2021"/>
    <x v="7"/>
    <x v="2"/>
    <n v="42.01"/>
    <m/>
    <m/>
    <m/>
  </r>
  <r>
    <x v="63"/>
    <s v="AGOSTO"/>
    <x v="5"/>
    <n v="8"/>
    <s v="AGOSTO 2021"/>
    <s v="8 AGOSTO 2021"/>
    <x v="12"/>
    <x v="0"/>
    <n v="26.59"/>
    <m/>
    <m/>
    <m/>
  </r>
  <r>
    <x v="67"/>
    <s v="AGOSTO"/>
    <x v="5"/>
    <n v="8"/>
    <s v="AGOSTO 2021"/>
    <s v="8 AGOSTO 2021"/>
    <x v="7"/>
    <x v="2"/>
    <n v="48.52"/>
    <m/>
    <m/>
    <m/>
  </r>
  <r>
    <x v="258"/>
    <s v="AGOSTO"/>
    <x v="5"/>
    <n v="8"/>
    <s v="AGOSTO 2021"/>
    <s v="8 AGOSTO 2021"/>
    <x v="0"/>
    <x v="0"/>
    <n v="12.85"/>
    <m/>
    <m/>
    <m/>
  </r>
  <r>
    <x v="140"/>
    <s v="AGOSTO"/>
    <x v="5"/>
    <n v="8"/>
    <s v="AGOSTO 2021"/>
    <s v="8 AGOSTO 2021"/>
    <x v="8"/>
    <x v="6"/>
    <n v="4.99"/>
    <m/>
    <m/>
    <m/>
  </r>
  <r>
    <x v="112"/>
    <s v="AGOSTO"/>
    <x v="5"/>
    <n v="8"/>
    <s v="AGOSTO 2021"/>
    <s v="8 AGOSTO 2021"/>
    <x v="1"/>
    <x v="1"/>
    <n v="23.65"/>
    <m/>
    <m/>
    <m/>
  </r>
  <r>
    <x v="112"/>
    <s v="AGOSTO"/>
    <x v="5"/>
    <n v="8"/>
    <s v="AGOSTO 2021"/>
    <s v="8 AGOSTO 2021"/>
    <x v="1"/>
    <x v="1"/>
    <n v="78.5"/>
    <m/>
    <m/>
    <m/>
  </r>
  <r>
    <x v="425"/>
    <s v="AGOSTO"/>
    <x v="5"/>
    <n v="8"/>
    <s v="AGOSTO 2021"/>
    <s v="8 AGOSTO 2021"/>
    <x v="8"/>
    <x v="6"/>
    <n v="51.7"/>
    <m/>
    <m/>
    <m/>
  </r>
  <r>
    <x v="2"/>
    <s v="AGOSTO"/>
    <x v="5"/>
    <n v="8"/>
    <s v="AGOSTO 2021"/>
    <s v="8 AGOSTO 2021"/>
    <x v="8"/>
    <x v="6"/>
    <n v="58.93"/>
    <m/>
    <s v="AMAZON"/>
    <m/>
  </r>
  <r>
    <x v="13"/>
    <s v="AGOSTO"/>
    <x v="5"/>
    <n v="8"/>
    <s v="AGOSTO 2021"/>
    <s v="8 AGOSTO 2021"/>
    <x v="0"/>
    <x v="0"/>
    <n v="20"/>
    <m/>
    <m/>
    <m/>
  </r>
  <r>
    <x v="2"/>
    <s v="AGOSTO"/>
    <x v="5"/>
    <n v="8"/>
    <s v="AGOSTO 2021"/>
    <s v="8 AGOSTO 2021"/>
    <x v="8"/>
    <x v="6"/>
    <n v="29.9"/>
    <m/>
    <s v="AMAZON"/>
    <m/>
  </r>
  <r>
    <x v="113"/>
    <s v="AGOSTO"/>
    <x v="5"/>
    <n v="8"/>
    <s v="AGOSTO 2021"/>
    <s v="8 AGOSTO 2021"/>
    <x v="1"/>
    <x v="1"/>
    <n v="19.5"/>
    <m/>
    <m/>
    <m/>
  </r>
  <r>
    <x v="426"/>
    <s v="AGOSTO"/>
    <x v="5"/>
    <n v="8"/>
    <s v="AGOSTO 2021"/>
    <s v="8 AGOSTO 2021"/>
    <x v="8"/>
    <x v="6"/>
    <n v="91.7"/>
    <m/>
    <m/>
    <m/>
  </r>
  <r>
    <x v="427"/>
    <s v="AGOSTO"/>
    <x v="5"/>
    <n v="8"/>
    <s v="AGOSTO 2021"/>
    <s v="8 AGOSTO 2021"/>
    <x v="0"/>
    <x v="0"/>
    <n v="5.5"/>
    <m/>
    <m/>
    <m/>
  </r>
  <r>
    <x v="6"/>
    <s v="AGOSTO"/>
    <x v="5"/>
    <n v="8"/>
    <s v="AGOSTO 2021"/>
    <s v="8 AGOSTO 2021"/>
    <x v="0"/>
    <x v="0"/>
    <n v="5.0999999999999996"/>
    <m/>
    <m/>
    <m/>
  </r>
  <r>
    <x v="428"/>
    <s v="AGOSTO"/>
    <x v="5"/>
    <n v="8"/>
    <s v="AGOSTO 2021"/>
    <s v="8 AGOSTO 2021"/>
    <x v="20"/>
    <x v="9"/>
    <n v="7.99"/>
    <m/>
    <m/>
    <m/>
  </r>
  <r>
    <x v="2"/>
    <s v="AGOSTO"/>
    <x v="5"/>
    <n v="8"/>
    <s v="AGOSTO 2021"/>
    <s v="8 AGOSTO 2021"/>
    <x v="8"/>
    <x v="6"/>
    <n v="159.96"/>
    <m/>
    <s v="AMAZON"/>
    <m/>
  </r>
  <r>
    <x v="429"/>
    <s v="AGOSTO"/>
    <x v="5"/>
    <n v="8"/>
    <s v="AGOSTO 2021"/>
    <s v="8 AGOSTO 2021"/>
    <x v="3"/>
    <x v="3"/>
    <n v="0.62"/>
    <m/>
    <m/>
    <m/>
  </r>
  <r>
    <x v="430"/>
    <s v="AGOSTO"/>
    <x v="5"/>
    <n v="8"/>
    <s v="AGOSTO 2021"/>
    <s v="8 AGOSTO 2021"/>
    <x v="16"/>
    <x v="5"/>
    <n v="32.08"/>
    <m/>
    <m/>
    <m/>
  </r>
  <r>
    <x v="431"/>
    <s v="AGOSTO"/>
    <x v="5"/>
    <n v="8"/>
    <s v="AGOSTO 2021"/>
    <s v="8 AGOSTO 2021"/>
    <x v="5"/>
    <x v="5"/>
    <n v="106.5"/>
    <m/>
    <m/>
    <m/>
  </r>
  <r>
    <x v="6"/>
    <s v="AGOSTO"/>
    <x v="5"/>
    <n v="8"/>
    <s v="AGOSTO 2021"/>
    <s v="8 AGOSTO 2021"/>
    <x v="0"/>
    <x v="0"/>
    <n v="4"/>
    <m/>
    <m/>
    <m/>
  </r>
  <r>
    <x v="6"/>
    <s v="LUGLIO"/>
    <x v="5"/>
    <n v="7"/>
    <s v="LUGLIO 2021"/>
    <s v="7 LUGLIO 2021"/>
    <x v="0"/>
    <x v="0"/>
    <n v="4.0999999999999996"/>
    <m/>
    <m/>
    <m/>
  </r>
  <r>
    <x v="97"/>
    <s v="LUGLIO"/>
    <x v="5"/>
    <n v="7"/>
    <s v="LUGLIO 2021"/>
    <s v="7 LUGLIO 2021"/>
    <x v="11"/>
    <x v="6"/>
    <n v="89.9"/>
    <m/>
    <m/>
    <m/>
  </r>
  <r>
    <x v="6"/>
    <s v="LUGLIO"/>
    <x v="5"/>
    <n v="7"/>
    <s v="LUGLIO 2021"/>
    <s v="7 LUGLIO 2021"/>
    <x v="0"/>
    <x v="0"/>
    <n v="5.0999999999999996"/>
    <m/>
    <m/>
    <m/>
  </r>
  <r>
    <x v="7"/>
    <s v="LUGLIO"/>
    <x v="5"/>
    <n v="7"/>
    <s v="LUGLIO 2021"/>
    <s v="7 LUGLIO 2021"/>
    <x v="5"/>
    <x v="5"/>
    <n v="341.27"/>
    <m/>
    <m/>
    <m/>
  </r>
  <r>
    <x v="6"/>
    <s v="LUGLIO"/>
    <x v="5"/>
    <n v="7"/>
    <s v="LUGLIO 2021"/>
    <s v="7 LUGLIO 2021"/>
    <x v="0"/>
    <x v="0"/>
    <n v="5.0999999999999996"/>
    <m/>
    <m/>
    <m/>
  </r>
  <r>
    <x v="432"/>
    <s v="LUGLIO"/>
    <x v="5"/>
    <n v="7"/>
    <s v="LUGLIO 2021"/>
    <s v="7 LUGLIO 2021"/>
    <x v="21"/>
    <x v="2"/>
    <n v="66.59"/>
    <m/>
    <m/>
    <m/>
  </r>
  <r>
    <x v="67"/>
    <s v="LUGLIO"/>
    <x v="5"/>
    <n v="7"/>
    <s v="LUGLIO 2021"/>
    <s v="7 LUGLIO 2021"/>
    <x v="7"/>
    <x v="2"/>
    <n v="31.87"/>
    <m/>
    <m/>
    <m/>
  </r>
  <r>
    <x v="35"/>
    <s v="LUGLIO"/>
    <x v="5"/>
    <n v="7"/>
    <s v="LUGLIO 2021"/>
    <s v="7 LUGLIO 2021"/>
    <x v="1"/>
    <x v="1"/>
    <n v="55.49"/>
    <m/>
    <m/>
    <m/>
  </r>
  <r>
    <x v="421"/>
    <s v="LUGLIO"/>
    <x v="5"/>
    <n v="7"/>
    <s v="LUGLIO 2021"/>
    <s v="7 LUGLIO 2021"/>
    <x v="7"/>
    <x v="2"/>
    <n v="68.430000000000007"/>
    <m/>
    <m/>
    <m/>
  </r>
  <r>
    <x v="433"/>
    <s v="LUGLIO"/>
    <x v="5"/>
    <n v="7"/>
    <s v="LUGLIO 2021"/>
    <s v="7 LUGLIO 2021"/>
    <x v="0"/>
    <x v="0"/>
    <n v="33"/>
    <m/>
    <m/>
    <m/>
  </r>
  <r>
    <x v="2"/>
    <s v="LUGLIO"/>
    <x v="5"/>
    <n v="7"/>
    <s v="LUGLIO 2021"/>
    <s v="7 LUGLIO 2021"/>
    <x v="8"/>
    <x v="6"/>
    <n v="38.630000000000003"/>
    <s v="5/5"/>
    <s v="AMAZON"/>
    <s v="NEST"/>
  </r>
  <r>
    <x v="2"/>
    <s v="GIUGNO"/>
    <x v="5"/>
    <n v="6"/>
    <s v="GIUGNO 2021"/>
    <s v="6 GIUGNO 2021"/>
    <x v="8"/>
    <x v="6"/>
    <n v="13.3"/>
    <m/>
    <s v="AMAZON"/>
    <m/>
  </r>
  <r>
    <x v="2"/>
    <s v="GIUGNO"/>
    <x v="5"/>
    <n v="6"/>
    <s v="GIUGNO 2021"/>
    <s v="6 GIUGNO 2021"/>
    <x v="8"/>
    <x v="6"/>
    <n v="19.97"/>
    <m/>
    <s v="AMAZON"/>
    <m/>
  </r>
  <r>
    <x v="2"/>
    <s v="GIUGNO"/>
    <x v="5"/>
    <n v="6"/>
    <s v="GIUGNO 2021"/>
    <s v="6 GIUGNO 2021"/>
    <x v="8"/>
    <x v="6"/>
    <n v="15.18"/>
    <m/>
    <s v="AMAZON"/>
    <m/>
  </r>
  <r>
    <x v="427"/>
    <s v="GIUGNO"/>
    <x v="5"/>
    <n v="6"/>
    <s v="GIUGNO 2021"/>
    <s v="6 GIUGNO 2021"/>
    <x v="0"/>
    <x v="0"/>
    <n v="5.5"/>
    <m/>
    <m/>
    <m/>
  </r>
  <r>
    <x v="6"/>
    <s v="GIUGNO"/>
    <x v="5"/>
    <n v="6"/>
    <s v="GIUGNO 2021"/>
    <s v="6 GIUGNO 2021"/>
    <x v="0"/>
    <x v="0"/>
    <n v="4.0999999999999996"/>
    <m/>
    <m/>
    <m/>
  </r>
  <r>
    <x v="6"/>
    <s v="GIUGNO"/>
    <x v="5"/>
    <n v="6"/>
    <s v="GIUGNO 2021"/>
    <s v="6 GIUGNO 2021"/>
    <x v="0"/>
    <x v="0"/>
    <n v="5.0999999999999996"/>
    <m/>
    <m/>
    <m/>
  </r>
  <r>
    <x v="6"/>
    <s v="GIUGNO"/>
    <x v="5"/>
    <n v="6"/>
    <s v="GIUGNO 2021"/>
    <s v="6 GIUGNO 2021"/>
    <x v="0"/>
    <x v="0"/>
    <n v="4.0999999999999996"/>
    <m/>
    <m/>
    <m/>
  </r>
  <r>
    <x v="434"/>
    <s v="GIUGNO"/>
    <x v="5"/>
    <n v="6"/>
    <s v="GIUGNO 2021"/>
    <s v="6 GIUGNO 2021"/>
    <x v="0"/>
    <x v="0"/>
    <n v="31.5"/>
    <m/>
    <m/>
    <m/>
  </r>
  <r>
    <x v="435"/>
    <s v="GIUGNO"/>
    <x v="5"/>
    <n v="6"/>
    <s v="GIUGNO 2021"/>
    <s v="6 GIUGNO 2021"/>
    <x v="1"/>
    <x v="1"/>
    <n v="33.9"/>
    <m/>
    <m/>
    <m/>
  </r>
  <r>
    <x v="6"/>
    <s v="GIUGNO"/>
    <x v="5"/>
    <n v="6"/>
    <s v="GIUGNO 2021"/>
    <s v="6 GIUGNO 2021"/>
    <x v="14"/>
    <x v="2"/>
    <n v="5"/>
    <m/>
    <m/>
    <m/>
  </r>
  <r>
    <x v="435"/>
    <s v="GIUGNO"/>
    <x v="5"/>
    <n v="6"/>
    <s v="GIUGNO 2021"/>
    <s v="6 GIUGNO 2021"/>
    <x v="1"/>
    <x v="1"/>
    <n v="18.899999999999999"/>
    <m/>
    <m/>
    <m/>
  </r>
  <r>
    <x v="435"/>
    <s v="GIUGNO"/>
    <x v="5"/>
    <n v="6"/>
    <s v="GIUGNO 2021"/>
    <s v="6 GIUGNO 2021"/>
    <x v="1"/>
    <x v="1"/>
    <n v="11.9"/>
    <m/>
    <m/>
    <m/>
  </r>
  <r>
    <x v="435"/>
    <s v="GIUGNO"/>
    <x v="5"/>
    <n v="6"/>
    <s v="GIUGNO 2021"/>
    <s v="6 GIUGNO 2021"/>
    <x v="1"/>
    <x v="1"/>
    <n v="16.2"/>
    <m/>
    <m/>
    <m/>
  </r>
  <r>
    <x v="435"/>
    <s v="GIUGNO"/>
    <x v="5"/>
    <n v="6"/>
    <s v="GIUGNO 2021"/>
    <s v="6 GIUGNO 2021"/>
    <x v="1"/>
    <x v="1"/>
    <n v="57"/>
    <m/>
    <m/>
    <m/>
  </r>
  <r>
    <x v="436"/>
    <s v="GIUGNO"/>
    <x v="5"/>
    <n v="6"/>
    <s v="GIUGNO 2021"/>
    <s v="6 GIUGNO 2021"/>
    <x v="0"/>
    <x v="0"/>
    <n v="69.599999999999994"/>
    <m/>
    <m/>
    <m/>
  </r>
  <r>
    <x v="2"/>
    <s v="GIUGNO"/>
    <x v="5"/>
    <n v="6"/>
    <s v="GIUGNO 2021"/>
    <s v="6 GIUGNO 2021"/>
    <x v="8"/>
    <x v="6"/>
    <n v="59.99"/>
    <m/>
    <s v="AMAZON"/>
    <m/>
  </r>
  <r>
    <x v="2"/>
    <s v="GIUGNO"/>
    <x v="5"/>
    <n v="6"/>
    <s v="GIUGNO 2021"/>
    <s v="6 GIUGNO 2021"/>
    <x v="8"/>
    <x v="6"/>
    <n v="21.26"/>
    <m/>
    <s v="AMAZON"/>
    <m/>
  </r>
  <r>
    <x v="2"/>
    <s v="GIUGNO"/>
    <x v="5"/>
    <n v="6"/>
    <s v="GIUGNO 2021"/>
    <s v="6 GIUGNO 2021"/>
    <x v="8"/>
    <x v="6"/>
    <n v="38.630000000000003"/>
    <s v="4/5"/>
    <s v="AMAZON"/>
    <s v="NEST"/>
  </r>
  <r>
    <x v="2"/>
    <s v="GIUGNO"/>
    <x v="5"/>
    <n v="6"/>
    <s v="GIUGNO 2021"/>
    <s v="6 GIUGNO 2021"/>
    <x v="8"/>
    <x v="6"/>
    <n v="28.99"/>
    <m/>
    <s v="AMAZON"/>
    <m/>
  </r>
  <r>
    <x v="420"/>
    <s v="GIUGNO"/>
    <x v="5"/>
    <n v="6"/>
    <s v="GIUGNO 2021"/>
    <s v="6 GIUGNO 2021"/>
    <x v="8"/>
    <x v="6"/>
    <n v="20.8"/>
    <m/>
    <m/>
    <m/>
  </r>
  <r>
    <x v="436"/>
    <s v="GIUGNO"/>
    <x v="5"/>
    <n v="6"/>
    <s v="GIUGNO 2021"/>
    <s v="6 GIUGNO 2021"/>
    <x v="0"/>
    <x v="0"/>
    <n v="18.3"/>
    <m/>
    <m/>
    <m/>
  </r>
  <r>
    <x v="223"/>
    <s v="GIUGNO"/>
    <x v="5"/>
    <n v="6"/>
    <s v="GIUGNO 2021"/>
    <s v="6 GIUGNO 2021"/>
    <x v="16"/>
    <x v="5"/>
    <n v="66.48"/>
    <m/>
    <m/>
    <m/>
  </r>
  <r>
    <x v="2"/>
    <s v="GIUGNO"/>
    <x v="5"/>
    <n v="6"/>
    <s v="GIUGNO 2021"/>
    <s v="6 GIUGNO 2021"/>
    <x v="8"/>
    <x v="6"/>
    <n v="38"/>
    <m/>
    <s v="AMAZON"/>
    <m/>
  </r>
  <r>
    <x v="144"/>
    <s v="MAGGIO"/>
    <x v="5"/>
    <n v="5"/>
    <s v="MAGGIO 2021"/>
    <s v="5 MAGGIO 2021"/>
    <x v="23"/>
    <x v="6"/>
    <n v="136.85"/>
    <m/>
    <m/>
    <m/>
  </r>
  <r>
    <x v="67"/>
    <s v="MAGGIO"/>
    <x v="5"/>
    <n v="5"/>
    <s v="MAGGIO 2021"/>
    <s v="5 MAGGIO 2021"/>
    <x v="7"/>
    <x v="2"/>
    <n v="34.49"/>
    <m/>
    <m/>
    <m/>
  </r>
  <r>
    <x v="53"/>
    <s v="MAGGIO"/>
    <x v="5"/>
    <n v="5"/>
    <s v="MAGGIO 2021"/>
    <s v="5 MAGGIO 2021"/>
    <x v="1"/>
    <x v="1"/>
    <n v="50.95"/>
    <m/>
    <m/>
    <m/>
  </r>
  <r>
    <x v="437"/>
    <s v="MAGGIO"/>
    <x v="5"/>
    <n v="5"/>
    <s v="MAGGIO 2021"/>
    <s v="5 MAGGIO 2021"/>
    <x v="0"/>
    <x v="0"/>
    <n v="200"/>
    <m/>
    <m/>
    <m/>
  </r>
  <r>
    <x v="113"/>
    <s v="MAGGIO"/>
    <x v="5"/>
    <n v="5"/>
    <s v="MAGGIO 2021"/>
    <s v="5 MAGGIO 2021"/>
    <x v="1"/>
    <x v="1"/>
    <n v="71.849999999999994"/>
    <m/>
    <m/>
    <m/>
  </r>
  <r>
    <x v="35"/>
    <s v="MAGGIO"/>
    <x v="5"/>
    <n v="5"/>
    <s v="MAGGIO 2021"/>
    <s v="5 MAGGIO 2021"/>
    <x v="1"/>
    <x v="1"/>
    <n v="24.99"/>
    <m/>
    <m/>
    <m/>
  </r>
  <r>
    <x v="438"/>
    <s v="MAGGIO"/>
    <x v="5"/>
    <n v="5"/>
    <s v="MAGGIO 2021"/>
    <s v="5 MAGGIO 2021"/>
    <x v="8"/>
    <x v="6"/>
    <n v="150"/>
    <m/>
    <m/>
    <m/>
  </r>
  <r>
    <x v="2"/>
    <s v="MAGGIO"/>
    <x v="5"/>
    <n v="5"/>
    <s v="MAGGIO 2021"/>
    <s v="5 MAGGIO 2021"/>
    <x v="8"/>
    <x v="6"/>
    <n v="38.630000000000003"/>
    <s v="3/5"/>
    <s v="AMAZON"/>
    <s v="NEST"/>
  </r>
  <r>
    <x v="2"/>
    <s v="MAGGIO"/>
    <x v="5"/>
    <n v="5"/>
    <s v="MAGGIO 2021"/>
    <s v="5 MAGGIO 2021"/>
    <x v="8"/>
    <x v="6"/>
    <n v="27.45"/>
    <m/>
    <s v="AMAZON"/>
    <m/>
  </r>
  <r>
    <x v="2"/>
    <s v="MAGGIO"/>
    <x v="5"/>
    <n v="5"/>
    <s v="MAGGIO 2021"/>
    <s v="5 MAGGIO 2021"/>
    <x v="8"/>
    <x v="6"/>
    <n v="38"/>
    <m/>
    <s v="AMAZON"/>
    <m/>
  </r>
  <r>
    <x v="223"/>
    <s v="MAGGIO"/>
    <x v="5"/>
    <n v="5"/>
    <s v="MAGGIO 2021"/>
    <s v="5 MAGGIO 2021"/>
    <x v="16"/>
    <x v="5"/>
    <n v="132.76"/>
    <m/>
    <m/>
    <m/>
  </r>
  <r>
    <x v="439"/>
    <s v="MAGGIO"/>
    <x v="5"/>
    <n v="5"/>
    <s v="MAGGIO 2021"/>
    <s v="5 MAGGIO 2021"/>
    <x v="1"/>
    <x v="1"/>
    <n v="132"/>
    <m/>
    <m/>
    <m/>
  </r>
  <r>
    <x v="440"/>
    <s v="APRILE"/>
    <x v="5"/>
    <n v="4"/>
    <s v="APRILE 2021"/>
    <s v="4 APRILE 2021"/>
    <x v="25"/>
    <x v="1"/>
    <n v="207.33"/>
    <m/>
    <m/>
    <m/>
  </r>
  <r>
    <x v="240"/>
    <s v="APRILE"/>
    <x v="5"/>
    <n v="4"/>
    <s v="APRILE 2021"/>
    <s v="4 APRILE 2021"/>
    <x v="1"/>
    <x v="1"/>
    <n v="91.73"/>
    <m/>
    <m/>
    <m/>
  </r>
  <r>
    <x v="6"/>
    <s v="APRILE"/>
    <x v="5"/>
    <n v="4"/>
    <s v="APRILE 2021"/>
    <s v="4 APRILE 2021"/>
    <x v="0"/>
    <x v="0"/>
    <n v="10.1"/>
    <m/>
    <m/>
    <m/>
  </r>
  <r>
    <x v="2"/>
    <s v="APRILE"/>
    <x v="5"/>
    <n v="4"/>
    <s v="APRILE 2021"/>
    <s v="4 APRILE 2021"/>
    <x v="8"/>
    <x v="6"/>
    <n v="39.99"/>
    <m/>
    <s v="AMAZON"/>
    <m/>
  </r>
  <r>
    <x v="436"/>
    <s v="APRILE"/>
    <x v="5"/>
    <n v="4"/>
    <s v="APRILE 2021"/>
    <s v="4 APRILE 2021"/>
    <x v="0"/>
    <x v="0"/>
    <n v="12"/>
    <m/>
    <m/>
    <m/>
  </r>
  <r>
    <x v="145"/>
    <s v="APRILE"/>
    <x v="5"/>
    <n v="4"/>
    <s v="APRILE 2021"/>
    <s v="4 APRILE 2021"/>
    <x v="1"/>
    <x v="1"/>
    <n v="19.989999999999998"/>
    <m/>
    <m/>
    <m/>
  </r>
  <r>
    <x v="2"/>
    <s v="APRILE"/>
    <x v="5"/>
    <n v="4"/>
    <s v="APRILE 2021"/>
    <s v="4 APRILE 2021"/>
    <x v="8"/>
    <x v="6"/>
    <n v="34.99"/>
    <m/>
    <s v="AMAZON"/>
    <m/>
  </r>
  <r>
    <x v="12"/>
    <s v="APRILE"/>
    <x v="5"/>
    <n v="4"/>
    <s v="APRILE 2021"/>
    <s v="4 APRILE 2021"/>
    <x v="7"/>
    <x v="2"/>
    <n v="79"/>
    <m/>
    <m/>
    <m/>
  </r>
  <r>
    <x v="427"/>
    <s v="APRILE"/>
    <x v="5"/>
    <n v="4"/>
    <s v="APRILE 2021"/>
    <s v="4 APRILE 2021"/>
    <x v="0"/>
    <x v="0"/>
    <n v="4"/>
    <m/>
    <m/>
    <m/>
  </r>
  <r>
    <x v="6"/>
    <s v="APRILE"/>
    <x v="5"/>
    <n v="4"/>
    <s v="APRILE 2021"/>
    <s v="4 APRILE 2021"/>
    <x v="0"/>
    <x v="0"/>
    <n v="5.0999999999999996"/>
    <m/>
    <m/>
    <m/>
  </r>
  <r>
    <x v="6"/>
    <s v="APRILE"/>
    <x v="5"/>
    <n v="4"/>
    <s v="APRILE 2021"/>
    <s v="4 APRILE 2021"/>
    <x v="0"/>
    <x v="0"/>
    <n v="5.0999999999999996"/>
    <m/>
    <m/>
    <m/>
  </r>
  <r>
    <x v="67"/>
    <s v="APRILE"/>
    <x v="5"/>
    <n v="4"/>
    <s v="APRILE 2021"/>
    <s v="4 APRILE 2021"/>
    <x v="7"/>
    <x v="2"/>
    <n v="79.16"/>
    <m/>
    <m/>
    <m/>
  </r>
  <r>
    <x v="67"/>
    <s v="APRILE"/>
    <x v="5"/>
    <n v="4"/>
    <s v="APRILE 2021"/>
    <s v="4 APRILE 2021"/>
    <x v="7"/>
    <x v="2"/>
    <n v="34.36"/>
    <m/>
    <m/>
    <m/>
  </r>
  <r>
    <x v="441"/>
    <s v="APRILE"/>
    <x v="5"/>
    <n v="4"/>
    <s v="APRILE 2021"/>
    <s v="4 APRILE 2021"/>
    <x v="0"/>
    <x v="0"/>
    <n v="39"/>
    <m/>
    <m/>
    <m/>
  </r>
  <r>
    <x v="6"/>
    <s v="APRILE"/>
    <x v="5"/>
    <n v="4"/>
    <s v="APRILE 2021"/>
    <s v="4 APRILE 2021"/>
    <x v="0"/>
    <x v="0"/>
    <n v="24.1"/>
    <m/>
    <m/>
    <m/>
  </r>
  <r>
    <x v="421"/>
    <s v="APRILE"/>
    <x v="5"/>
    <n v="4"/>
    <s v="APRILE 2021"/>
    <s v="4 APRILE 2021"/>
    <x v="7"/>
    <x v="2"/>
    <n v="38.119999999999997"/>
    <m/>
    <m/>
    <m/>
  </r>
  <r>
    <x v="2"/>
    <s v="APRILE"/>
    <x v="5"/>
    <n v="4"/>
    <s v="APRILE 2021"/>
    <s v="4 APRILE 2021"/>
    <x v="8"/>
    <x v="6"/>
    <n v="38.630000000000003"/>
    <s v="2/5"/>
    <s v="AMAZON"/>
    <s v="NEST"/>
  </r>
  <r>
    <x v="6"/>
    <s v="APRILE"/>
    <x v="5"/>
    <n v="4"/>
    <s v="APRILE 2021"/>
    <s v="4 APRILE 2021"/>
    <x v="0"/>
    <x v="0"/>
    <n v="5.0999999999999996"/>
    <m/>
    <m/>
    <m/>
  </r>
  <r>
    <x v="2"/>
    <s v="APRILE"/>
    <x v="5"/>
    <n v="4"/>
    <s v="APRILE 2021"/>
    <s v="4 APRILE 2021"/>
    <x v="8"/>
    <x v="6"/>
    <n v="97.96"/>
    <m/>
    <s v="AMAZON"/>
    <m/>
  </r>
  <r>
    <x v="427"/>
    <s v="APRILE"/>
    <x v="5"/>
    <n v="4"/>
    <s v="APRILE 2021"/>
    <s v="4 APRILE 2021"/>
    <x v="0"/>
    <x v="0"/>
    <n v="11"/>
    <m/>
    <m/>
    <m/>
  </r>
  <r>
    <x v="2"/>
    <s v="APRILE"/>
    <x v="5"/>
    <n v="4"/>
    <s v="APRILE 2021"/>
    <s v="4 APRILE 2021"/>
    <x v="8"/>
    <x v="6"/>
    <n v="32"/>
    <m/>
    <s v="AMAZON"/>
    <m/>
  </r>
  <r>
    <x v="2"/>
    <s v="APRILE"/>
    <x v="5"/>
    <n v="4"/>
    <s v="APRILE 2021"/>
    <s v="4 APRILE 2021"/>
    <x v="8"/>
    <x v="6"/>
    <n v="18.23"/>
    <m/>
    <s v="AMAZON"/>
    <m/>
  </r>
  <r>
    <x v="6"/>
    <s v="MARZO"/>
    <x v="5"/>
    <n v="3"/>
    <s v="MARZO 2021"/>
    <s v="3 MARZO 2021"/>
    <x v="0"/>
    <x v="0"/>
    <n v="5.0999999999999996"/>
    <m/>
    <m/>
    <m/>
  </r>
  <r>
    <x v="400"/>
    <s v="MARZO"/>
    <x v="5"/>
    <n v="3"/>
    <s v="MARZO 2021"/>
    <s v="3 MARZO 2021"/>
    <x v="6"/>
    <x v="2"/>
    <n v="105"/>
    <m/>
    <m/>
    <m/>
  </r>
  <r>
    <x v="6"/>
    <s v="MARZO"/>
    <x v="5"/>
    <n v="3"/>
    <s v="MARZO 2021"/>
    <s v="3 MARZO 2021"/>
    <x v="0"/>
    <x v="0"/>
    <n v="5.0999999999999996"/>
    <m/>
    <m/>
    <m/>
  </r>
  <r>
    <x v="225"/>
    <s v="MARZO"/>
    <x v="5"/>
    <n v="3"/>
    <s v="MARZO 2021"/>
    <s v="3 MARZO 2021"/>
    <x v="11"/>
    <x v="6"/>
    <n v="54.99"/>
    <m/>
    <m/>
    <m/>
  </r>
  <r>
    <x v="436"/>
    <s v="MARZO"/>
    <x v="5"/>
    <n v="3"/>
    <s v="MARZO 2021"/>
    <s v="3 MARZO 2021"/>
    <x v="0"/>
    <x v="0"/>
    <n v="15.3"/>
    <m/>
    <m/>
    <m/>
  </r>
  <r>
    <x v="6"/>
    <s v="MARZO"/>
    <x v="5"/>
    <n v="3"/>
    <s v="MARZO 2021"/>
    <s v="3 MARZO 2021"/>
    <x v="0"/>
    <x v="0"/>
    <n v="4.0999999999999996"/>
    <m/>
    <m/>
    <m/>
  </r>
  <r>
    <x v="2"/>
    <s v="MARZO"/>
    <x v="5"/>
    <n v="3"/>
    <s v="MARZO 2021"/>
    <s v="3 MARZO 2021"/>
    <x v="8"/>
    <x v="6"/>
    <n v="93"/>
    <m/>
    <s v="AMAZON"/>
    <m/>
  </r>
  <r>
    <x v="2"/>
    <s v="MARZO"/>
    <x v="5"/>
    <n v="3"/>
    <s v="MARZO 2021"/>
    <s v="3 MARZO 2021"/>
    <x v="8"/>
    <x v="6"/>
    <n v="40.380000000000003"/>
    <m/>
    <s v="AMAZON"/>
    <m/>
  </r>
  <r>
    <x v="41"/>
    <s v="MARZO"/>
    <x v="5"/>
    <n v="3"/>
    <s v="MARZO 2021"/>
    <s v="3 MARZO 2021"/>
    <x v="3"/>
    <x v="3"/>
    <n v="1.7"/>
    <m/>
    <m/>
    <m/>
  </r>
  <r>
    <x v="41"/>
    <s v="MARZO"/>
    <x v="5"/>
    <n v="3"/>
    <s v="MARZO 2021"/>
    <s v="3 MARZO 2021"/>
    <x v="3"/>
    <x v="3"/>
    <n v="1.7"/>
    <m/>
    <m/>
    <m/>
  </r>
  <r>
    <x v="53"/>
    <s v="MARZO"/>
    <x v="5"/>
    <n v="3"/>
    <s v="MARZO 2021"/>
    <s v="3 MARZO 2021"/>
    <x v="1"/>
    <x v="1"/>
    <n v="20"/>
    <m/>
    <m/>
    <m/>
  </r>
  <r>
    <x v="2"/>
    <s v="MARZO"/>
    <x v="5"/>
    <n v="3"/>
    <s v="MARZO 2021"/>
    <s v="3 MARZO 2021"/>
    <x v="8"/>
    <x v="6"/>
    <n v="56.91"/>
    <m/>
    <s v="AMAZON"/>
    <m/>
  </r>
  <r>
    <x v="441"/>
    <s v="MARZO"/>
    <x v="5"/>
    <n v="3"/>
    <s v="MARZO 2021"/>
    <s v="3 MARZO 2021"/>
    <x v="0"/>
    <x v="0"/>
    <n v="46.4"/>
    <m/>
    <m/>
    <m/>
  </r>
  <r>
    <x v="21"/>
    <s v="MARZO"/>
    <x v="5"/>
    <n v="3"/>
    <s v="MARZO 2021"/>
    <s v="3 MARZO 2021"/>
    <x v="9"/>
    <x v="3"/>
    <n v="32"/>
    <m/>
    <m/>
    <m/>
  </r>
  <r>
    <x v="53"/>
    <s v="MARZO"/>
    <x v="5"/>
    <n v="3"/>
    <s v="MARZO 2021"/>
    <s v="3 MARZO 2021"/>
    <x v="1"/>
    <x v="1"/>
    <n v="30"/>
    <m/>
    <m/>
    <m/>
  </r>
  <r>
    <x v="2"/>
    <s v="MARZO"/>
    <x v="5"/>
    <n v="3"/>
    <s v="MARZO 2021"/>
    <s v="3 MARZO 2021"/>
    <x v="8"/>
    <x v="6"/>
    <n v="38.630000000000003"/>
    <s v="1/5"/>
    <s v="AMAZON"/>
    <s v="NEST"/>
  </r>
  <r>
    <x v="2"/>
    <s v="MARZO"/>
    <x v="5"/>
    <n v="3"/>
    <s v="MARZO 2021"/>
    <s v="3 MARZO 2021"/>
    <x v="8"/>
    <x v="6"/>
    <n v="9.02"/>
    <m/>
    <s v="AMAZON"/>
    <m/>
  </r>
  <r>
    <x v="2"/>
    <s v="MARZO"/>
    <x v="5"/>
    <n v="3"/>
    <s v="MARZO 2021"/>
    <s v="3 MARZO 2021"/>
    <x v="8"/>
    <x v="6"/>
    <n v="5.3"/>
    <m/>
    <s v="AMAZON"/>
    <m/>
  </r>
  <r>
    <x v="2"/>
    <s v="MARZO"/>
    <x v="5"/>
    <n v="3"/>
    <s v="MARZO 2021"/>
    <s v="3 MARZO 2021"/>
    <x v="8"/>
    <x v="6"/>
    <n v="5.3"/>
    <m/>
    <s v="AMAZON"/>
    <m/>
  </r>
  <r>
    <x v="2"/>
    <s v="MARZO"/>
    <x v="5"/>
    <n v="3"/>
    <s v="MARZO 2021"/>
    <s v="3 MARZO 2021"/>
    <x v="8"/>
    <x v="6"/>
    <n v="3.8"/>
    <m/>
    <s v="AMAZON"/>
    <m/>
  </r>
  <r>
    <x v="2"/>
    <s v="MARZO"/>
    <x v="5"/>
    <n v="3"/>
    <s v="MARZO 2021"/>
    <s v="3 MARZO 2021"/>
    <x v="8"/>
    <x v="6"/>
    <n v="66.5"/>
    <m/>
    <s v="AMAZON"/>
    <m/>
  </r>
  <r>
    <x v="113"/>
    <s v="FEBBRAIO"/>
    <x v="5"/>
    <n v="2"/>
    <s v="FEBBRAIO 2021"/>
    <s v="2 FEBBRAIO 2021"/>
    <x v="1"/>
    <x v="1"/>
    <n v="44.65"/>
    <m/>
    <m/>
    <m/>
  </r>
  <r>
    <x v="2"/>
    <s v="FEBBRAIO"/>
    <x v="5"/>
    <n v="2"/>
    <s v="FEBBRAIO 2021"/>
    <s v="2 FEBBRAIO 2021"/>
    <x v="8"/>
    <x v="6"/>
    <n v="39.409999999999997"/>
    <m/>
    <s v="AMAZON"/>
    <m/>
  </r>
  <r>
    <x v="2"/>
    <s v="FEBBRAIO"/>
    <x v="5"/>
    <n v="2"/>
    <s v="FEBBRAIO 2021"/>
    <s v="2 FEBBRAIO 2021"/>
    <x v="8"/>
    <x v="6"/>
    <n v="53.34"/>
    <m/>
    <s v="AMAZON"/>
    <m/>
  </r>
  <r>
    <x v="2"/>
    <s v="FEBBRAIO"/>
    <x v="5"/>
    <n v="2"/>
    <s v="FEBBRAIO 2021"/>
    <s v="2 FEBBRAIO 2021"/>
    <x v="10"/>
    <x v="6"/>
    <n v="17.18"/>
    <s v="5/5"/>
    <s v="AMAZON"/>
    <s v="Moulinex Matrimonio Cugina Angela"/>
  </r>
  <r>
    <x v="2"/>
    <s v="FEBBRAIO"/>
    <x v="5"/>
    <n v="2"/>
    <s v="FEBBRAIO 2021"/>
    <s v="2 FEBBRAIO 2021"/>
    <x v="10"/>
    <x v="6"/>
    <n v="99.8"/>
    <s v="5/5"/>
    <s v="AMAZON"/>
    <s v="Moulinex Matrimonio Cugina Angela"/>
  </r>
  <r>
    <x v="400"/>
    <s v="FEBBRAIO"/>
    <x v="5"/>
    <n v="2"/>
    <s v="FEBBRAIO 2021"/>
    <s v="2 FEBBRAIO 2021"/>
    <x v="6"/>
    <x v="2"/>
    <n v="105"/>
    <m/>
    <m/>
    <m/>
  </r>
  <r>
    <x v="53"/>
    <s v="FEBBRAIO"/>
    <x v="5"/>
    <n v="2"/>
    <s v="FEBBRAIO 2021"/>
    <s v="2 FEBBRAIO 2021"/>
    <x v="1"/>
    <x v="1"/>
    <n v="45"/>
    <m/>
    <m/>
    <m/>
  </r>
  <r>
    <x v="67"/>
    <s v="FEBBRAIO"/>
    <x v="5"/>
    <n v="2"/>
    <s v="FEBBRAIO 2021"/>
    <s v="2 FEBBRAIO 2021"/>
    <x v="7"/>
    <x v="2"/>
    <n v="84.57"/>
    <m/>
    <m/>
    <m/>
  </r>
  <r>
    <x v="435"/>
    <s v="FEBBRAIO"/>
    <x v="5"/>
    <n v="2"/>
    <s v="FEBBRAIO 2021"/>
    <s v="2 FEBBRAIO 2021"/>
    <x v="1"/>
    <x v="1"/>
    <n v="7.7"/>
    <m/>
    <m/>
    <m/>
  </r>
  <r>
    <x v="2"/>
    <s v="FEBBRAIO"/>
    <x v="5"/>
    <n v="2"/>
    <s v="FEBBRAIO 2021"/>
    <s v="2 FEBBRAIO 2021"/>
    <x v="8"/>
    <x v="6"/>
    <n v="139.9"/>
    <m/>
    <s v="AMAZON"/>
    <m/>
  </r>
  <r>
    <x v="6"/>
    <s v="FEBBRAIO"/>
    <x v="5"/>
    <n v="2"/>
    <s v="FEBBRAIO 2021"/>
    <s v="2 FEBBRAIO 2021"/>
    <x v="0"/>
    <x v="0"/>
    <n v="5.0999999999999996"/>
    <m/>
    <m/>
    <m/>
  </r>
  <r>
    <x v="442"/>
    <s v="GENNAIO"/>
    <x v="5"/>
    <n v="1"/>
    <s v="GENNAIO 2021"/>
    <s v="1 GENNAIO 2021"/>
    <x v="25"/>
    <x v="1"/>
    <n v="-99.7"/>
    <m/>
    <m/>
    <m/>
  </r>
  <r>
    <x v="6"/>
    <s v="GENNAIO"/>
    <x v="5"/>
    <n v="1"/>
    <s v="GENNAIO 2021"/>
    <s v="1 GENNAIO 2021"/>
    <x v="0"/>
    <x v="0"/>
    <n v="5.0999999999999996"/>
    <m/>
    <m/>
    <m/>
  </r>
  <r>
    <x v="443"/>
    <s v="GENNAIO"/>
    <x v="5"/>
    <n v="1"/>
    <s v="GENNAIO 2021"/>
    <s v="1 GENNAIO 2021"/>
    <x v="25"/>
    <x v="1"/>
    <n v="119.6"/>
    <m/>
    <m/>
    <m/>
  </r>
  <r>
    <x v="443"/>
    <s v="GENNAIO"/>
    <x v="5"/>
    <n v="1"/>
    <s v="GENNAIO 2021"/>
    <s v="1 GENNAIO 2021"/>
    <x v="25"/>
    <x v="1"/>
    <n v="59"/>
    <m/>
    <m/>
    <m/>
  </r>
  <r>
    <x v="6"/>
    <s v="GENNAIO"/>
    <x v="5"/>
    <n v="1"/>
    <s v="GENNAIO 2021"/>
    <s v="1 GENNAIO 2021"/>
    <x v="0"/>
    <x v="0"/>
    <n v="5.0999999999999996"/>
    <m/>
    <m/>
    <m/>
  </r>
  <r>
    <x v="442"/>
    <s v="GENNAIO"/>
    <x v="5"/>
    <n v="1"/>
    <s v="GENNAIO 2021"/>
    <s v="1 GENNAIO 2021"/>
    <x v="25"/>
    <x v="1"/>
    <n v="99.7"/>
    <m/>
    <m/>
    <m/>
  </r>
  <r>
    <x v="2"/>
    <s v="GENNAIO"/>
    <x v="5"/>
    <n v="1"/>
    <s v="GENNAIO 2021"/>
    <s v="1 GENNAIO 2021"/>
    <x v="8"/>
    <x v="6"/>
    <n v="45"/>
    <m/>
    <s v="AMAZON"/>
    <m/>
  </r>
  <r>
    <x v="435"/>
    <s v="GENNAIO"/>
    <x v="5"/>
    <n v="1"/>
    <s v="GENNAIO 2021"/>
    <s v="1 GENNAIO 2021"/>
    <x v="1"/>
    <x v="1"/>
    <n v="25.6"/>
    <m/>
    <m/>
    <m/>
  </r>
  <r>
    <x v="53"/>
    <s v="GENNAIO"/>
    <x v="5"/>
    <n v="1"/>
    <s v="GENNAIO 2021"/>
    <s v="1 GENNAIO 2021"/>
    <x v="1"/>
    <x v="1"/>
    <n v="6"/>
    <m/>
    <m/>
    <m/>
  </r>
  <r>
    <x v="67"/>
    <s v="GENNAIO"/>
    <x v="5"/>
    <n v="1"/>
    <s v="GENNAIO 2021"/>
    <s v="1 GENNAIO 2021"/>
    <x v="7"/>
    <x v="2"/>
    <n v="28.4"/>
    <m/>
    <m/>
    <m/>
  </r>
  <r>
    <x v="2"/>
    <s v="GENNAIO"/>
    <x v="5"/>
    <n v="1"/>
    <s v="GENNAIO 2021"/>
    <s v="1 GENNAIO 2021"/>
    <x v="8"/>
    <x v="6"/>
    <n v="107.22"/>
    <m/>
    <s v="AMAZON"/>
    <m/>
  </r>
  <r>
    <x v="444"/>
    <s v="GENNAIO"/>
    <x v="5"/>
    <n v="1"/>
    <s v="GENNAIO 2021"/>
    <s v="1 GENNAIO 2021"/>
    <x v="1"/>
    <x v="1"/>
    <n v="32"/>
    <m/>
    <m/>
    <m/>
  </r>
  <r>
    <x v="2"/>
    <s v="GENNAIO"/>
    <x v="5"/>
    <n v="1"/>
    <s v="GENNAIO 2021"/>
    <s v="1 GENNAIO 2021"/>
    <x v="10"/>
    <x v="6"/>
    <n v="17.2"/>
    <s v="4/5"/>
    <s v="AMAZON"/>
    <s v="Moulinex Matrimonio Cugina Angela"/>
  </r>
  <r>
    <x v="2"/>
    <s v="GENNAIO"/>
    <x v="5"/>
    <n v="1"/>
    <s v="GENNAIO 2021"/>
    <s v="1 GENNAIO 2021"/>
    <x v="10"/>
    <x v="6"/>
    <n v="99.8"/>
    <s v="4/5"/>
    <s v="AMAZON"/>
    <s v="Moulinex Matrimonio Cugina Angela"/>
  </r>
  <r>
    <x v="35"/>
    <s v="GENNAIO"/>
    <x v="5"/>
    <n v="1"/>
    <s v="GENNAIO 2021"/>
    <s v="1 GENNAIO 2021"/>
    <x v="1"/>
    <x v="1"/>
    <n v="26.1"/>
    <m/>
    <m/>
    <m/>
  </r>
  <r>
    <x v="67"/>
    <s v="GENNAIO"/>
    <x v="5"/>
    <n v="1"/>
    <s v="GENNAIO 2021"/>
    <s v="1 GENNAIO 2021"/>
    <x v="7"/>
    <x v="2"/>
    <n v="28.84"/>
    <m/>
    <m/>
    <m/>
  </r>
  <r>
    <x v="35"/>
    <s v="GENNAIO"/>
    <x v="5"/>
    <n v="1"/>
    <s v="GENNAIO 2021"/>
    <s v="1 GENNAIO 2021"/>
    <x v="1"/>
    <x v="1"/>
    <n v="11.5"/>
    <m/>
    <m/>
    <m/>
  </r>
  <r>
    <x v="445"/>
    <s v="GENNAIO"/>
    <x v="5"/>
    <n v="1"/>
    <s v="GENNAIO 2021"/>
    <s v="1 GENNAIO 2021"/>
    <x v="22"/>
    <x v="6"/>
    <n v="8.24"/>
    <m/>
    <m/>
    <m/>
  </r>
  <r>
    <x v="113"/>
    <s v="GENNAIO"/>
    <x v="5"/>
    <n v="1"/>
    <s v="GENNAIO 2021"/>
    <s v="1 GENNAIO 2021"/>
    <x v="1"/>
    <x v="1"/>
    <n v="9.4"/>
    <m/>
    <m/>
    <m/>
  </r>
  <r>
    <x v="446"/>
    <s v="GENNAIO"/>
    <x v="5"/>
    <n v="1"/>
    <s v="GENNAIO 2021"/>
    <s v="1 GENNAIO 2021"/>
    <x v="1"/>
    <x v="1"/>
    <n v="10.97"/>
    <m/>
    <m/>
    <m/>
  </r>
  <r>
    <x v="67"/>
    <s v="GENNAIO"/>
    <x v="5"/>
    <n v="1"/>
    <s v="GENNAIO 2021"/>
    <s v="1 GENNAIO 2021"/>
    <x v="7"/>
    <x v="2"/>
    <n v="68.38"/>
    <m/>
    <m/>
    <m/>
  </r>
  <r>
    <x v="6"/>
    <s v="DICEMBRE"/>
    <x v="6"/>
    <n v="12"/>
    <s v="DICEMBRE 2020"/>
    <s v="12 DICEMBRE 2020"/>
    <x v="0"/>
    <x v="0"/>
    <n v="10.199999999999999"/>
    <m/>
    <m/>
    <m/>
  </r>
  <r>
    <x v="6"/>
    <s v="DICEMBRE"/>
    <x v="6"/>
    <n v="12"/>
    <s v="DICEMBRE 2020"/>
    <s v="12 DICEMBRE 2020"/>
    <x v="0"/>
    <x v="0"/>
    <n v="14.3"/>
    <m/>
    <m/>
    <m/>
  </r>
  <r>
    <x v="199"/>
    <s v="DICEMBRE"/>
    <x v="6"/>
    <n v="12"/>
    <s v="DICEMBRE 2020"/>
    <s v="12 DICEMBRE 2020"/>
    <x v="0"/>
    <x v="0"/>
    <n v="126"/>
    <m/>
    <m/>
    <m/>
  </r>
  <r>
    <x v="67"/>
    <s v="DICEMBRE"/>
    <x v="6"/>
    <n v="12"/>
    <s v="DICEMBRE 2020"/>
    <s v="12 DICEMBRE 2020"/>
    <x v="7"/>
    <x v="2"/>
    <n v="8.8000000000000007"/>
    <m/>
    <m/>
    <m/>
  </r>
  <r>
    <x v="67"/>
    <s v="DICEMBRE"/>
    <x v="6"/>
    <n v="12"/>
    <s v="DICEMBRE 2020"/>
    <s v="12 DICEMBRE 2020"/>
    <x v="7"/>
    <x v="2"/>
    <n v="79.22"/>
    <m/>
    <m/>
    <m/>
  </r>
  <r>
    <x v="2"/>
    <s v="DICEMBRE"/>
    <x v="6"/>
    <n v="12"/>
    <s v="DICEMBRE 2020"/>
    <s v="12 DICEMBRE 2020"/>
    <x v="8"/>
    <x v="6"/>
    <n v="158"/>
    <m/>
    <s v="AMAZON"/>
    <m/>
  </r>
  <r>
    <x v="2"/>
    <s v="DICEMBRE"/>
    <x v="6"/>
    <n v="12"/>
    <s v="DICEMBRE 2020"/>
    <s v="12 DICEMBRE 2020"/>
    <x v="8"/>
    <x v="6"/>
    <n v="49.99"/>
    <m/>
    <s v="AMAZON"/>
    <m/>
  </r>
  <r>
    <x v="67"/>
    <s v="DICEMBRE"/>
    <x v="6"/>
    <n v="12"/>
    <s v="DICEMBRE 2020"/>
    <s v="12 DICEMBRE 2020"/>
    <x v="7"/>
    <x v="2"/>
    <n v="54.98"/>
    <m/>
    <m/>
    <m/>
  </r>
  <r>
    <x v="402"/>
    <s v="DICEMBRE"/>
    <x v="6"/>
    <n v="12"/>
    <s v="DICEMBRE 2020"/>
    <s v="12 DICEMBRE 2020"/>
    <x v="19"/>
    <x v="6"/>
    <n v="150"/>
    <m/>
    <m/>
    <m/>
  </r>
  <r>
    <x v="35"/>
    <s v="DICEMBRE"/>
    <x v="6"/>
    <n v="12"/>
    <s v="DICEMBRE 2020"/>
    <s v="12 DICEMBRE 2020"/>
    <x v="1"/>
    <x v="1"/>
    <n v="14.6"/>
    <m/>
    <m/>
    <m/>
  </r>
  <r>
    <x v="2"/>
    <s v="DICEMBRE"/>
    <x v="6"/>
    <n v="12"/>
    <s v="DICEMBRE 2020"/>
    <s v="12 DICEMBRE 2020"/>
    <x v="8"/>
    <x v="6"/>
    <n v="52.85"/>
    <m/>
    <s v="AMAZON"/>
    <m/>
  </r>
  <r>
    <x v="35"/>
    <s v="DICEMBRE"/>
    <x v="6"/>
    <n v="12"/>
    <s v="DICEMBRE 2020"/>
    <s v="12 DICEMBRE 2020"/>
    <x v="1"/>
    <x v="1"/>
    <n v="7.2"/>
    <m/>
    <m/>
    <m/>
  </r>
  <r>
    <x v="2"/>
    <s v="DICEMBRE"/>
    <x v="6"/>
    <n v="12"/>
    <s v="DICEMBRE 2020"/>
    <s v="12 DICEMBRE 2020"/>
    <x v="10"/>
    <x v="6"/>
    <n v="17.2"/>
    <s v="3/5"/>
    <s v="AMAZON"/>
    <s v="Moulinex Matrimonio Cugina Angela"/>
  </r>
  <r>
    <x v="2"/>
    <s v="DICEMBRE"/>
    <x v="6"/>
    <n v="12"/>
    <s v="DICEMBRE 2020"/>
    <s v="12 DICEMBRE 2020"/>
    <x v="10"/>
    <x v="6"/>
    <n v="99.8"/>
    <s v="3/5"/>
    <s v="AMAZON"/>
    <s v="Moulinex Matrimonio Cugina Angela"/>
  </r>
  <r>
    <x v="2"/>
    <s v="DICEMBRE"/>
    <x v="6"/>
    <n v="12"/>
    <s v="DICEMBRE 2020"/>
    <s v="12 DICEMBRE 2020"/>
    <x v="8"/>
    <x v="6"/>
    <n v="7.99"/>
    <m/>
    <s v="AMAZON"/>
    <m/>
  </r>
  <r>
    <x v="67"/>
    <s v="DICEMBRE"/>
    <x v="6"/>
    <n v="12"/>
    <s v="DICEMBRE 2020"/>
    <s v="12 DICEMBRE 2020"/>
    <x v="7"/>
    <x v="2"/>
    <n v="79.17"/>
    <m/>
    <m/>
    <m/>
  </r>
  <r>
    <x v="2"/>
    <s v="DICEMBRE"/>
    <x v="6"/>
    <n v="12"/>
    <s v="DICEMBRE 2020"/>
    <s v="12 DICEMBRE 2020"/>
    <x v="8"/>
    <x v="6"/>
    <n v="7.69"/>
    <m/>
    <s v="AMAZON"/>
    <m/>
  </r>
  <r>
    <x v="6"/>
    <s v="DICEMBRE"/>
    <x v="6"/>
    <n v="12"/>
    <s v="DICEMBRE 2020"/>
    <s v="12 DICEMBRE 2020"/>
    <x v="0"/>
    <x v="0"/>
    <n v="5.0999999999999996"/>
    <m/>
    <m/>
    <m/>
  </r>
  <r>
    <x v="441"/>
    <s v="DICEMBRE"/>
    <x v="6"/>
    <n v="12"/>
    <s v="DICEMBRE 2020"/>
    <s v="12 DICEMBRE 2020"/>
    <x v="0"/>
    <x v="0"/>
    <n v="23.5"/>
    <m/>
    <m/>
    <m/>
  </r>
  <r>
    <x v="418"/>
    <s v="NOVEMBRE"/>
    <x v="6"/>
    <n v="11"/>
    <s v="NOVEMBRE 2020"/>
    <s v="11 NOVEMBRE 2020"/>
    <x v="20"/>
    <x v="9"/>
    <n v="24.99"/>
    <m/>
    <m/>
    <m/>
  </r>
  <r>
    <x v="447"/>
    <s v="NOVEMBRE"/>
    <x v="6"/>
    <n v="11"/>
    <s v="NOVEMBRE 2020"/>
    <s v="11 NOVEMBRE 2020"/>
    <x v="22"/>
    <x v="6"/>
    <n v="49.49"/>
    <m/>
    <s v="PAYPAL"/>
    <m/>
  </r>
  <r>
    <x v="6"/>
    <s v="NOVEMBRE"/>
    <x v="6"/>
    <n v="11"/>
    <s v="NOVEMBRE 2020"/>
    <s v="11 NOVEMBRE 2020"/>
    <x v="0"/>
    <x v="0"/>
    <n v="5.0999999999999996"/>
    <m/>
    <m/>
    <m/>
  </r>
  <r>
    <x v="6"/>
    <s v="NOVEMBRE"/>
    <x v="6"/>
    <n v="11"/>
    <s v="NOVEMBRE 2020"/>
    <s v="11 NOVEMBRE 2020"/>
    <x v="0"/>
    <x v="0"/>
    <n v="8.1999999999999993"/>
    <m/>
    <m/>
    <m/>
  </r>
  <r>
    <x v="2"/>
    <s v="NOVEMBRE"/>
    <x v="6"/>
    <n v="11"/>
    <s v="NOVEMBRE 2020"/>
    <s v="11 NOVEMBRE 2020"/>
    <x v="10"/>
    <x v="6"/>
    <n v="99.8"/>
    <s v="2/5"/>
    <s v="AMAZON"/>
    <s v="Moulinex Matrimonio Cugina Angela"/>
  </r>
  <r>
    <x v="2"/>
    <s v="NOVEMBRE"/>
    <x v="6"/>
    <n v="11"/>
    <s v="NOVEMBRE 2020"/>
    <s v="11 NOVEMBRE 2020"/>
    <x v="10"/>
    <x v="6"/>
    <n v="17.2"/>
    <s v="2/5"/>
    <s v="AMAZON"/>
    <s v="Moulinex Matrimonio Cugina Angela"/>
  </r>
  <r>
    <x v="400"/>
    <s v="NOVEMBRE"/>
    <x v="6"/>
    <n v="11"/>
    <s v="NOVEMBRE 2020"/>
    <s v="11 NOVEMBRE 2020"/>
    <x v="6"/>
    <x v="2"/>
    <n v="102"/>
    <m/>
    <m/>
    <m/>
  </r>
  <r>
    <x v="48"/>
    <s v="OTTOBRE"/>
    <x v="6"/>
    <n v="10"/>
    <s v="OTTOBRE 2020"/>
    <s v="10 OTTOBRE 2020"/>
    <x v="11"/>
    <x v="6"/>
    <n v="18.12"/>
    <m/>
    <m/>
    <m/>
  </r>
  <r>
    <x v="67"/>
    <s v="OTTOBRE"/>
    <x v="6"/>
    <n v="10"/>
    <s v="OTTOBRE 2020"/>
    <s v="10 OTTOBRE 2020"/>
    <x v="7"/>
    <x v="2"/>
    <n v="6.23"/>
    <m/>
    <m/>
    <m/>
  </r>
  <r>
    <x v="67"/>
    <s v="OTTOBRE"/>
    <x v="6"/>
    <n v="10"/>
    <s v="OTTOBRE 2020"/>
    <s v="10 OTTOBRE 2020"/>
    <x v="7"/>
    <x v="2"/>
    <n v="28.53"/>
    <m/>
    <m/>
    <m/>
  </r>
  <r>
    <x v="6"/>
    <s v="OTTOBRE"/>
    <x v="6"/>
    <n v="10"/>
    <s v="OTTOBRE 2020"/>
    <s v="10 OTTOBRE 2020"/>
    <x v="0"/>
    <x v="0"/>
    <n v="9.1999999999999993"/>
    <m/>
    <m/>
    <m/>
  </r>
  <r>
    <x v="41"/>
    <s v="OTTOBRE"/>
    <x v="6"/>
    <n v="10"/>
    <s v="OTTOBRE 2020"/>
    <s v="10 OTTOBRE 2020"/>
    <x v="3"/>
    <x v="3"/>
    <n v="3.3"/>
    <m/>
    <m/>
    <m/>
  </r>
  <r>
    <x v="41"/>
    <s v="OTTOBRE"/>
    <x v="6"/>
    <n v="10"/>
    <s v="OTTOBRE 2020"/>
    <s v="10 OTTOBRE 2020"/>
    <x v="3"/>
    <x v="3"/>
    <n v="1.4"/>
    <m/>
    <m/>
    <m/>
  </r>
  <r>
    <x v="142"/>
    <s v="OTTOBRE"/>
    <x v="6"/>
    <n v="10"/>
    <s v="OTTOBRE 2020"/>
    <s v="10 OTTOBRE 2020"/>
    <x v="0"/>
    <x v="0"/>
    <n v="68.3"/>
    <m/>
    <m/>
    <m/>
  </r>
  <r>
    <x v="325"/>
    <s v="OTTOBRE"/>
    <x v="6"/>
    <n v="10"/>
    <s v="OTTOBRE 2020"/>
    <s v="10 OTTOBRE 2020"/>
    <x v="8"/>
    <x v="6"/>
    <n v="7.99"/>
    <m/>
    <m/>
    <m/>
  </r>
  <r>
    <x v="41"/>
    <s v="OTTOBRE"/>
    <x v="6"/>
    <n v="10"/>
    <s v="OTTOBRE 2020"/>
    <s v="10 OTTOBRE 2020"/>
    <x v="3"/>
    <x v="3"/>
    <n v="2.5"/>
    <m/>
    <m/>
    <m/>
  </r>
  <r>
    <x v="2"/>
    <s v="OTTOBRE"/>
    <x v="6"/>
    <n v="10"/>
    <s v="OTTOBRE 2020"/>
    <s v="10 OTTOBRE 2020"/>
    <x v="10"/>
    <x v="6"/>
    <n v="99.8"/>
    <s v="1/5"/>
    <s v="AMAZON"/>
    <s v="Moulinex  Matrimonio Cugina Angela"/>
  </r>
  <r>
    <x v="2"/>
    <s v="OTTOBRE"/>
    <x v="6"/>
    <n v="10"/>
    <s v="OTTOBRE 2020"/>
    <s v="10 OTTOBRE 2020"/>
    <x v="10"/>
    <x v="6"/>
    <n v="17.2"/>
    <s v="1/5"/>
    <s v="AMAZON"/>
    <s v="Moulinex  Matrimonio Cugina Angela"/>
  </r>
  <r>
    <x v="2"/>
    <s v="OTTOBRE"/>
    <x v="6"/>
    <n v="10"/>
    <s v="OTTOBRE 2020"/>
    <s v="10 OTTOBRE 2020"/>
    <x v="8"/>
    <x v="6"/>
    <n v="39.9"/>
    <m/>
    <s v="AMAZON"/>
    <m/>
  </r>
  <r>
    <x v="6"/>
    <s v="OTTOBRE"/>
    <x v="6"/>
    <n v="10"/>
    <s v="OTTOBRE 2020"/>
    <s v="10 OTTOBRE 2020"/>
    <x v="0"/>
    <x v="0"/>
    <n v="10"/>
    <m/>
    <m/>
    <m/>
  </r>
  <r>
    <x v="2"/>
    <s v="OTTOBRE"/>
    <x v="6"/>
    <n v="10"/>
    <s v="OTTOBRE 2020"/>
    <s v="10 OTTOBRE 2020"/>
    <x v="8"/>
    <x v="6"/>
    <n v="74.989999999999995"/>
    <m/>
    <s v="AMAZON"/>
    <m/>
  </r>
  <r>
    <x v="448"/>
    <s v="OTTOBRE"/>
    <x v="6"/>
    <n v="10"/>
    <s v="OTTOBRE 2020"/>
    <s v="10 OTTOBRE 2020"/>
    <x v="3"/>
    <x v="3"/>
    <n v="1.7"/>
    <m/>
    <m/>
    <m/>
  </r>
  <r>
    <x v="448"/>
    <s v="OTTOBRE"/>
    <x v="6"/>
    <n v="10"/>
    <s v="OTTOBRE 2020"/>
    <s v="10 OTTOBRE 2020"/>
    <x v="3"/>
    <x v="3"/>
    <n v="3.3"/>
    <m/>
    <m/>
    <m/>
  </r>
  <r>
    <x v="449"/>
    <s v="SETTEMBRE"/>
    <x v="6"/>
    <n v="9"/>
    <s v="SETTEMBRE 2020"/>
    <s v="9 SETTEMBRE 2020"/>
    <x v="24"/>
    <x v="2"/>
    <n v="27.99"/>
    <m/>
    <m/>
    <m/>
  </r>
  <r>
    <x v="140"/>
    <s v="SETTEMBRE"/>
    <x v="6"/>
    <n v="9"/>
    <s v="SETTEMBRE 2020"/>
    <s v="9 SETTEMBRE 2020"/>
    <x v="20"/>
    <x v="9"/>
    <n v="8.49"/>
    <m/>
    <m/>
    <m/>
  </r>
  <r>
    <x v="67"/>
    <s v="SETTEMBRE"/>
    <x v="6"/>
    <n v="9"/>
    <s v="SETTEMBRE 2020"/>
    <s v="9 SETTEMBRE 2020"/>
    <x v="7"/>
    <x v="2"/>
    <n v="46.51"/>
    <m/>
    <m/>
    <m/>
  </r>
  <r>
    <x v="400"/>
    <s v="SETTEMBRE"/>
    <x v="6"/>
    <n v="9"/>
    <s v="SETTEMBRE 2020"/>
    <s v="9 SETTEMBRE 2020"/>
    <x v="6"/>
    <x v="2"/>
    <n v="122"/>
    <m/>
    <m/>
    <m/>
  </r>
  <r>
    <x v="6"/>
    <s v="SETTEMBRE"/>
    <x v="6"/>
    <n v="9"/>
    <s v="SETTEMBRE 2020"/>
    <s v="9 SETTEMBRE 2020"/>
    <x v="0"/>
    <x v="0"/>
    <n v="9"/>
    <m/>
    <m/>
    <m/>
  </r>
  <r>
    <x v="450"/>
    <s v="SETTEMBRE"/>
    <x v="6"/>
    <n v="9"/>
    <s v="SETTEMBRE 2020"/>
    <s v="9 SETTEMBRE 2020"/>
    <x v="3"/>
    <x v="3"/>
    <n v="6"/>
    <m/>
    <m/>
    <m/>
  </r>
  <r>
    <x v="67"/>
    <s v="SETTEMBRE"/>
    <x v="6"/>
    <n v="9"/>
    <s v="SETTEMBRE 2020"/>
    <s v="9 SETTEMBRE 2020"/>
    <x v="7"/>
    <x v="2"/>
    <n v="25.99"/>
    <m/>
    <m/>
    <m/>
  </r>
  <r>
    <x v="97"/>
    <s v="SETTEMBRE"/>
    <x v="6"/>
    <n v="9"/>
    <s v="SETTEMBRE 2020"/>
    <s v="9 SETTEMBRE 2020"/>
    <x v="11"/>
    <x v="6"/>
    <n v="24.9"/>
    <m/>
    <m/>
    <m/>
  </r>
  <r>
    <x v="231"/>
    <s v="SETTEMBRE"/>
    <x v="6"/>
    <n v="9"/>
    <s v="SETTEMBRE 2020"/>
    <s v="9 SETTEMBRE 2020"/>
    <x v="3"/>
    <x v="3"/>
    <n v="20"/>
    <m/>
    <m/>
    <m/>
  </r>
  <r>
    <x v="451"/>
    <s v="SETTEMBRE"/>
    <x v="6"/>
    <n v="9"/>
    <s v="SETTEMBRE 2020"/>
    <s v="9 SETTEMBRE 2020"/>
    <x v="0"/>
    <x v="0"/>
    <n v="51.3"/>
    <m/>
    <m/>
    <m/>
  </r>
  <r>
    <x v="452"/>
    <s v="SETTEMBRE"/>
    <x v="6"/>
    <n v="9"/>
    <s v="SETTEMBRE 2020"/>
    <s v="9 SETTEMBRE 2020"/>
    <x v="12"/>
    <x v="0"/>
    <n v="27"/>
    <m/>
    <m/>
    <m/>
  </r>
  <r>
    <x v="6"/>
    <s v="AGOSTO"/>
    <x v="6"/>
    <n v="8"/>
    <s v="AGOSTO 2020"/>
    <s v="8 AGOSTO 2020"/>
    <x v="14"/>
    <x v="2"/>
    <n v="5"/>
    <m/>
    <m/>
    <m/>
  </r>
  <r>
    <x v="67"/>
    <s v="AGOSTO"/>
    <x v="6"/>
    <n v="8"/>
    <s v="AGOSTO 2020"/>
    <s v="8 AGOSTO 2020"/>
    <x v="7"/>
    <x v="2"/>
    <n v="49.51"/>
    <m/>
    <m/>
    <m/>
  </r>
  <r>
    <x v="7"/>
    <s v="AGOSTO"/>
    <x v="6"/>
    <n v="8"/>
    <s v="AGOSTO 2020"/>
    <s v="8 AGOSTO 2020"/>
    <x v="5"/>
    <x v="5"/>
    <n v="510"/>
    <m/>
    <m/>
    <m/>
  </r>
  <r>
    <x v="79"/>
    <s v="AGOSTO"/>
    <x v="6"/>
    <n v="8"/>
    <s v="AGOSTO 2020"/>
    <s v="8 AGOSTO 2020"/>
    <x v="3"/>
    <x v="3"/>
    <n v="6.08"/>
    <m/>
    <s v="PAYPAL"/>
    <m/>
  </r>
  <r>
    <x v="79"/>
    <s v="AGOSTO"/>
    <x v="6"/>
    <n v="8"/>
    <s v="AGOSTO 2020"/>
    <s v="8 AGOSTO 2020"/>
    <x v="3"/>
    <x v="3"/>
    <n v="1.18"/>
    <m/>
    <s v="PAYPAL"/>
    <m/>
  </r>
  <r>
    <x v="79"/>
    <s v="AGOSTO"/>
    <x v="6"/>
    <n v="8"/>
    <s v="AGOSTO 2020"/>
    <s v="8 AGOSTO 2020"/>
    <x v="3"/>
    <x v="3"/>
    <n v="0.67"/>
    <m/>
    <s v="PAYPAL"/>
    <m/>
  </r>
  <r>
    <x v="431"/>
    <s v="AGOSTO"/>
    <x v="6"/>
    <n v="8"/>
    <s v="AGOSTO 2020"/>
    <s v="8 AGOSTO 2020"/>
    <x v="5"/>
    <x v="5"/>
    <n v="84.5"/>
    <m/>
    <m/>
    <m/>
  </r>
  <r>
    <x v="7"/>
    <s v="AGOSTO"/>
    <x v="6"/>
    <n v="8"/>
    <s v="AGOSTO 2020"/>
    <s v="8 AGOSTO 2020"/>
    <x v="5"/>
    <x v="5"/>
    <n v="179"/>
    <m/>
    <m/>
    <m/>
  </r>
  <r>
    <x v="450"/>
    <s v="AGOSTO"/>
    <x v="6"/>
    <n v="8"/>
    <s v="AGOSTO 2020"/>
    <s v="8 AGOSTO 2020"/>
    <x v="3"/>
    <x v="3"/>
    <n v="6"/>
    <m/>
    <m/>
    <m/>
  </r>
  <r>
    <x v="67"/>
    <s v="AGOSTO"/>
    <x v="6"/>
    <n v="8"/>
    <s v="AGOSTO 2020"/>
    <s v="8 AGOSTO 2020"/>
    <x v="7"/>
    <x v="2"/>
    <n v="23.41"/>
    <m/>
    <m/>
    <m/>
  </r>
  <r>
    <x v="453"/>
    <s v="AGOSTO"/>
    <x v="6"/>
    <n v="8"/>
    <s v="AGOSTO 2020"/>
    <s v="8 AGOSTO 2020"/>
    <x v="19"/>
    <x v="6"/>
    <n v="29.8"/>
    <m/>
    <m/>
    <m/>
  </r>
  <r>
    <x v="454"/>
    <s v="AGOSTO"/>
    <x v="6"/>
    <n v="8"/>
    <s v="AGOSTO 2020"/>
    <s v="8 AGOSTO 2020"/>
    <x v="11"/>
    <x v="6"/>
    <n v="81.91"/>
    <m/>
    <m/>
    <m/>
  </r>
  <r>
    <x v="231"/>
    <s v="AGOSTO"/>
    <x v="6"/>
    <n v="8"/>
    <s v="AGOSTO 2020"/>
    <s v="8 AGOSTO 2020"/>
    <x v="16"/>
    <x v="5"/>
    <n v="58.55"/>
    <m/>
    <m/>
    <m/>
  </r>
  <r>
    <x v="252"/>
    <s v="AGOSTO"/>
    <x v="6"/>
    <n v="8"/>
    <s v="AGOSTO 2020"/>
    <s v="8 AGOSTO 2020"/>
    <x v="5"/>
    <x v="5"/>
    <n v="19.559999999999999"/>
    <m/>
    <m/>
    <m/>
  </r>
  <r>
    <x v="67"/>
    <s v="AGOSTO"/>
    <x v="6"/>
    <n v="8"/>
    <s v="AGOSTO 2020"/>
    <s v="8 AGOSTO 2020"/>
    <x v="7"/>
    <x v="2"/>
    <n v="27.48"/>
    <m/>
    <m/>
    <m/>
  </r>
  <r>
    <x v="2"/>
    <s v="AGOSTO"/>
    <x v="6"/>
    <n v="8"/>
    <s v="AGOSTO 2020"/>
    <s v="8 AGOSTO 2020"/>
    <x v="8"/>
    <x v="6"/>
    <n v="42"/>
    <m/>
    <s v="AMAZON"/>
    <m/>
  </r>
  <r>
    <x v="225"/>
    <s v="AGOSTO"/>
    <x v="6"/>
    <n v="8"/>
    <s v="AGOSTO 2020"/>
    <s v="8 AGOSTO 2020"/>
    <x v="11"/>
    <x v="6"/>
    <n v="49.99"/>
    <m/>
    <m/>
    <m/>
  </r>
  <r>
    <x v="224"/>
    <s v="AGOSTO"/>
    <x v="6"/>
    <n v="8"/>
    <s v="AGOSTO 2020"/>
    <s v="8 AGOSTO 2020"/>
    <x v="11"/>
    <x v="6"/>
    <n v="24.9"/>
    <m/>
    <m/>
    <m/>
  </r>
  <r>
    <x v="48"/>
    <s v="AGOSTO"/>
    <x v="6"/>
    <n v="8"/>
    <s v="AGOSTO 2020"/>
    <s v="8 AGOSTO 2020"/>
    <x v="11"/>
    <x v="6"/>
    <n v="9.99"/>
    <m/>
    <m/>
    <m/>
  </r>
  <r>
    <x v="48"/>
    <s v="AGOSTO"/>
    <x v="6"/>
    <n v="8"/>
    <s v="AGOSTO 2020"/>
    <s v="8 AGOSTO 2020"/>
    <x v="11"/>
    <x v="6"/>
    <n v="15.99"/>
    <m/>
    <m/>
    <m/>
  </r>
  <r>
    <x v="48"/>
    <s v="AGOSTO"/>
    <x v="6"/>
    <n v="8"/>
    <s v="AGOSTO 2020"/>
    <s v="8 AGOSTO 2020"/>
    <x v="11"/>
    <x v="6"/>
    <n v="71.97"/>
    <m/>
    <m/>
    <m/>
  </r>
  <r>
    <x v="142"/>
    <s v="LUGLIO"/>
    <x v="6"/>
    <n v="7"/>
    <s v="LUGLIO 2020"/>
    <s v="7 LUGLIO 2020"/>
    <x v="0"/>
    <x v="0"/>
    <n v="51.1"/>
    <m/>
    <m/>
    <m/>
  </r>
  <r>
    <x v="97"/>
    <s v="LUGLIO"/>
    <x v="6"/>
    <n v="7"/>
    <s v="LUGLIO 2020"/>
    <s v="7 LUGLIO 2020"/>
    <x v="11"/>
    <x v="6"/>
    <n v="64.8"/>
    <m/>
    <m/>
    <m/>
  </r>
  <r>
    <x v="61"/>
    <s v="LUGLIO"/>
    <x v="6"/>
    <n v="7"/>
    <s v="LUGLIO 2020"/>
    <s v="7 LUGLIO 2020"/>
    <x v="11"/>
    <x v="6"/>
    <n v="27.8"/>
    <m/>
    <m/>
    <m/>
  </r>
  <r>
    <x v="79"/>
    <s v="LUGLIO"/>
    <x v="6"/>
    <n v="7"/>
    <s v="LUGLIO 2020"/>
    <s v="7 LUGLIO 2020"/>
    <x v="3"/>
    <x v="3"/>
    <n v="1.27"/>
    <m/>
    <s v="PAYPAL"/>
    <m/>
  </r>
  <r>
    <x v="2"/>
    <s v="LUGLIO"/>
    <x v="6"/>
    <n v="7"/>
    <s v="LUGLIO 2020"/>
    <s v="7 LUGLIO 2020"/>
    <x v="8"/>
    <x v="6"/>
    <n v="49.99"/>
    <m/>
    <s v="AMAZON"/>
    <m/>
  </r>
  <r>
    <x v="67"/>
    <s v="LUGLIO"/>
    <x v="6"/>
    <n v="7"/>
    <s v="LUGLIO 2020"/>
    <s v="7 LUGLIO 2020"/>
    <x v="7"/>
    <x v="2"/>
    <n v="43.24"/>
    <m/>
    <m/>
    <m/>
  </r>
  <r>
    <x v="163"/>
    <s v="LUGLIO"/>
    <x v="6"/>
    <n v="7"/>
    <s v="LUGLIO 2020"/>
    <s v="7 LUGLIO 2020"/>
    <x v="11"/>
    <x v="6"/>
    <n v="37.840000000000003"/>
    <m/>
    <m/>
    <m/>
  </r>
  <r>
    <x v="67"/>
    <s v="LUGLIO"/>
    <x v="6"/>
    <n v="7"/>
    <s v="LUGLIO 2020"/>
    <s v="7 LUGLIO 2020"/>
    <x v="7"/>
    <x v="2"/>
    <n v="38.61"/>
    <m/>
    <m/>
    <m/>
  </r>
  <r>
    <x v="432"/>
    <s v="LUGLIO"/>
    <x v="6"/>
    <n v="7"/>
    <s v="LUGLIO 2020"/>
    <s v="7 LUGLIO 2020"/>
    <x v="21"/>
    <x v="2"/>
    <n v="60.95"/>
    <m/>
    <m/>
    <m/>
  </r>
  <r>
    <x v="6"/>
    <s v="GIUGNO"/>
    <x v="6"/>
    <n v="6"/>
    <s v="GIUGNO 2020"/>
    <s v="6 GIUGNO 2020"/>
    <x v="0"/>
    <x v="0"/>
    <n v="9"/>
    <m/>
    <m/>
    <m/>
  </r>
  <r>
    <x v="41"/>
    <s v="GIUGNO"/>
    <x v="6"/>
    <n v="6"/>
    <s v="GIUGNO 2020"/>
    <s v="6 GIUGNO 2020"/>
    <x v="3"/>
    <x v="3"/>
    <n v="1.7"/>
    <m/>
    <m/>
    <m/>
  </r>
  <r>
    <x v="41"/>
    <s v="GIUGNO"/>
    <x v="6"/>
    <n v="6"/>
    <s v="GIUGNO 2020"/>
    <s v="6 GIUGNO 2020"/>
    <x v="3"/>
    <x v="3"/>
    <n v="1.7"/>
    <m/>
    <m/>
    <m/>
  </r>
  <r>
    <x v="455"/>
    <s v="GIUGNO"/>
    <x v="6"/>
    <n v="6"/>
    <s v="GIUGNO 2020"/>
    <s v="6 GIUGNO 2020"/>
    <x v="0"/>
    <x v="0"/>
    <n v="75.8"/>
    <m/>
    <m/>
    <m/>
  </r>
  <r>
    <x v="6"/>
    <s v="GIUGNO"/>
    <x v="6"/>
    <n v="6"/>
    <s v="GIUGNO 2020"/>
    <s v="6 GIUGNO 2020"/>
    <x v="0"/>
    <x v="0"/>
    <n v="11.5"/>
    <m/>
    <m/>
    <m/>
  </r>
  <r>
    <x v="456"/>
    <s v="GIUGNO"/>
    <x v="6"/>
    <n v="6"/>
    <s v="GIUGNO 2020"/>
    <s v="6 GIUGNO 2020"/>
    <x v="8"/>
    <x v="6"/>
    <n v="47.5"/>
    <m/>
    <m/>
    <m/>
  </r>
  <r>
    <x v="67"/>
    <s v="GIUGNO"/>
    <x v="6"/>
    <n v="6"/>
    <s v="GIUGNO 2020"/>
    <s v="6 GIUGNO 2020"/>
    <x v="7"/>
    <x v="2"/>
    <n v="56.43"/>
    <m/>
    <m/>
    <m/>
  </r>
  <r>
    <x v="53"/>
    <s v="GIUGNO"/>
    <x v="6"/>
    <n v="6"/>
    <s v="GIUGNO 2020"/>
    <s v="6 GIUGNO 2020"/>
    <x v="1"/>
    <x v="1"/>
    <n v="19.899999999999999"/>
    <m/>
    <m/>
    <m/>
  </r>
  <r>
    <x v="445"/>
    <s v="GIUGNO"/>
    <x v="6"/>
    <n v="6"/>
    <s v="GIUGNO 2020"/>
    <s v="6 GIUGNO 2020"/>
    <x v="22"/>
    <x v="6"/>
    <n v="12.25"/>
    <m/>
    <m/>
    <m/>
  </r>
  <r>
    <x v="457"/>
    <s v="GIUGNO"/>
    <x v="6"/>
    <n v="6"/>
    <s v="GIUGNO 2020"/>
    <s v="6 GIUGNO 2020"/>
    <x v="9"/>
    <x v="3"/>
    <n v="229.01"/>
    <m/>
    <m/>
    <m/>
  </r>
  <r>
    <x v="48"/>
    <s v="MAGGIO"/>
    <x v="6"/>
    <n v="5"/>
    <s v="MAGGIO 2020"/>
    <s v="5 MAGGIO 2020"/>
    <x v="11"/>
    <x v="6"/>
    <n v="32.119999999999997"/>
    <m/>
    <m/>
    <m/>
  </r>
  <r>
    <x v="2"/>
    <s v="MAGGIO"/>
    <x v="6"/>
    <n v="5"/>
    <s v="MAGGIO 2020"/>
    <s v="5 MAGGIO 2020"/>
    <x v="8"/>
    <x v="6"/>
    <n v="13.9"/>
    <m/>
    <s v="AMAZON"/>
    <m/>
  </r>
  <r>
    <x v="67"/>
    <s v="MAGGIO"/>
    <x v="6"/>
    <n v="5"/>
    <s v="MAGGIO 2020"/>
    <s v="5 MAGGIO 2020"/>
    <x v="7"/>
    <x v="2"/>
    <n v="50.6"/>
    <m/>
    <m/>
    <m/>
  </r>
  <r>
    <x v="145"/>
    <s v="MAGGIO"/>
    <x v="6"/>
    <n v="5"/>
    <s v="MAGGIO 2020"/>
    <s v="5 MAGGIO 2020"/>
    <x v="1"/>
    <x v="1"/>
    <n v="9.98"/>
    <m/>
    <m/>
    <m/>
  </r>
  <r>
    <x v="67"/>
    <s v="MAGGIO"/>
    <x v="6"/>
    <n v="5"/>
    <s v="MAGGIO 2020"/>
    <s v="5 MAGGIO 2020"/>
    <x v="7"/>
    <x v="2"/>
    <n v="94.11"/>
    <m/>
    <m/>
    <m/>
  </r>
  <r>
    <x v="402"/>
    <s v="MAGGIO"/>
    <x v="6"/>
    <n v="5"/>
    <s v="MAGGIO 2020"/>
    <s v="5 MAGGIO 2020"/>
    <x v="19"/>
    <x v="6"/>
    <n v="353.33"/>
    <m/>
    <m/>
    <m/>
  </r>
  <r>
    <x v="67"/>
    <s v="MAGGIO"/>
    <x v="6"/>
    <n v="5"/>
    <s v="MAGGIO 2020"/>
    <s v="5 MAGGIO 2020"/>
    <x v="7"/>
    <x v="2"/>
    <n v="121.91"/>
    <m/>
    <m/>
    <m/>
  </r>
  <r>
    <x v="458"/>
    <s v="APRILE"/>
    <x v="6"/>
    <n v="4"/>
    <s v="APRILE 2020"/>
    <s v="4 APRILE 2020"/>
    <x v="8"/>
    <x v="6"/>
    <n v="1"/>
    <m/>
    <m/>
    <m/>
  </r>
  <r>
    <x v="67"/>
    <s v="APRILE"/>
    <x v="6"/>
    <n v="4"/>
    <s v="APRILE 2020"/>
    <s v="4 APRILE 2020"/>
    <x v="7"/>
    <x v="2"/>
    <n v="32"/>
    <m/>
    <m/>
    <m/>
  </r>
  <r>
    <x v="67"/>
    <s v="APRILE"/>
    <x v="6"/>
    <n v="4"/>
    <s v="APRILE 2020"/>
    <s v="4 APRILE 2020"/>
    <x v="7"/>
    <x v="2"/>
    <n v="99"/>
    <m/>
    <m/>
    <m/>
  </r>
  <r>
    <x v="67"/>
    <s v="APRILE"/>
    <x v="6"/>
    <n v="4"/>
    <s v="APRILE 2020"/>
    <s v="4 APRILE 2020"/>
    <x v="7"/>
    <x v="2"/>
    <n v="7.9"/>
    <m/>
    <m/>
    <m/>
  </r>
  <r>
    <x v="67"/>
    <s v="APRILE"/>
    <x v="6"/>
    <n v="4"/>
    <s v="APRILE 2020"/>
    <s v="4 APRILE 2020"/>
    <x v="7"/>
    <x v="2"/>
    <n v="70.98"/>
    <m/>
    <m/>
    <m/>
  </r>
  <r>
    <x v="2"/>
    <s v="APRILE"/>
    <x v="6"/>
    <n v="4"/>
    <s v="APRILE 2020"/>
    <s v="4 APRILE 2020"/>
    <x v="8"/>
    <x v="6"/>
    <n v="89.98"/>
    <m/>
    <s v="AMAZON"/>
    <m/>
  </r>
  <r>
    <x v="2"/>
    <s v="APRILE"/>
    <x v="6"/>
    <n v="4"/>
    <s v="APRILE 2020"/>
    <s v="4 APRILE 2020"/>
    <x v="8"/>
    <x v="6"/>
    <n v="13.99"/>
    <m/>
    <s v="AMAZON"/>
    <m/>
  </r>
  <r>
    <x v="2"/>
    <s v="APRILE"/>
    <x v="6"/>
    <n v="4"/>
    <s v="APRILE 2020"/>
    <s v="4 APRILE 2020"/>
    <x v="8"/>
    <x v="6"/>
    <n v="105"/>
    <m/>
    <s v="AMAZON"/>
    <m/>
  </r>
  <r>
    <x v="67"/>
    <s v="APRILE"/>
    <x v="6"/>
    <n v="4"/>
    <s v="APRILE 2020"/>
    <s v="4 APRILE 2020"/>
    <x v="7"/>
    <x v="2"/>
    <n v="72.569999999999993"/>
    <m/>
    <m/>
    <m/>
  </r>
  <r>
    <x v="445"/>
    <s v="MARZO"/>
    <x v="6"/>
    <n v="3"/>
    <s v="MARZO 2020"/>
    <s v="3 MARZO 2020"/>
    <x v="22"/>
    <x v="6"/>
    <n v="8.99"/>
    <m/>
    <m/>
    <m/>
  </r>
  <r>
    <x v="2"/>
    <s v="MARZO"/>
    <x v="6"/>
    <n v="3"/>
    <s v="MARZO 2020"/>
    <s v="3 MARZO 2020"/>
    <x v="8"/>
    <x v="6"/>
    <n v="239.99"/>
    <m/>
    <s v="AMAZON"/>
    <m/>
  </r>
  <r>
    <x v="2"/>
    <s v="MARZO"/>
    <x v="6"/>
    <n v="3"/>
    <s v="MARZO 2020"/>
    <s v="3 MARZO 2020"/>
    <x v="8"/>
    <x v="6"/>
    <n v="144.99"/>
    <m/>
    <s v="AMAZON"/>
    <m/>
  </r>
  <r>
    <x v="2"/>
    <s v="MARZO"/>
    <x v="6"/>
    <n v="3"/>
    <s v="MARZO 2020"/>
    <s v="3 MARZO 2020"/>
    <x v="8"/>
    <x v="6"/>
    <n v="83.61"/>
    <m/>
    <s v="AMAZON"/>
    <m/>
  </r>
  <r>
    <x v="67"/>
    <s v="MARZO"/>
    <x v="6"/>
    <n v="3"/>
    <s v="MARZO 2020"/>
    <s v="3 MARZO 2020"/>
    <x v="7"/>
    <x v="2"/>
    <n v="86.31"/>
    <m/>
    <m/>
    <m/>
  </r>
  <r>
    <x v="400"/>
    <s v="MARZO"/>
    <x v="6"/>
    <n v="3"/>
    <s v="MARZO 2020"/>
    <s v="3 MARZO 2020"/>
    <x v="6"/>
    <x v="2"/>
    <n v="40"/>
    <m/>
    <m/>
    <m/>
  </r>
  <r>
    <x v="456"/>
    <s v="MARZO"/>
    <x v="6"/>
    <n v="3"/>
    <s v="MARZO 2020"/>
    <s v="3 MARZO 2020"/>
    <x v="8"/>
    <x v="6"/>
    <n v="14.54"/>
    <m/>
    <m/>
    <m/>
  </r>
  <r>
    <x v="2"/>
    <s v="MARZO"/>
    <x v="6"/>
    <n v="3"/>
    <s v="MARZO 2020"/>
    <s v="3 MARZO 2020"/>
    <x v="8"/>
    <x v="6"/>
    <n v="49.95"/>
    <m/>
    <s v="AMAZON"/>
    <m/>
  </r>
  <r>
    <x v="2"/>
    <s v="MARZO"/>
    <x v="6"/>
    <n v="3"/>
    <s v="MARZO 2020"/>
    <s v="3 MARZO 2020"/>
    <x v="8"/>
    <x v="6"/>
    <n v="8.4600000000000009"/>
    <m/>
    <s v="AMAZON"/>
    <m/>
  </r>
  <r>
    <x v="2"/>
    <s v="MARZO"/>
    <x v="6"/>
    <n v="3"/>
    <s v="MARZO 2020"/>
    <s v="3 MARZO 2020"/>
    <x v="8"/>
    <x v="6"/>
    <n v="7.07"/>
    <m/>
    <s v="AMAZON"/>
    <m/>
  </r>
  <r>
    <x v="67"/>
    <s v="MARZO"/>
    <x v="6"/>
    <n v="3"/>
    <s v="MARZO 2020"/>
    <s v="3 MARZO 2020"/>
    <x v="7"/>
    <x v="2"/>
    <n v="37.97"/>
    <m/>
    <m/>
    <m/>
  </r>
  <r>
    <x v="2"/>
    <s v="MARZO"/>
    <x v="6"/>
    <n v="3"/>
    <s v="MARZO 2020"/>
    <s v="3 MARZO 2020"/>
    <x v="8"/>
    <x v="6"/>
    <n v="10.56"/>
    <m/>
    <s v="AMAZON"/>
    <m/>
  </r>
  <r>
    <x v="400"/>
    <s v="MARZO"/>
    <x v="6"/>
    <n v="3"/>
    <s v="MARZO 2020"/>
    <s v="3 MARZO 2020"/>
    <x v="6"/>
    <x v="2"/>
    <n v="40"/>
    <m/>
    <m/>
    <m/>
  </r>
  <r>
    <x v="61"/>
    <s v="MARZO"/>
    <x v="6"/>
    <n v="3"/>
    <s v="MARZO 2020"/>
    <s v="3 MARZO 2020"/>
    <x v="11"/>
    <x v="6"/>
    <n v="60.6"/>
    <m/>
    <m/>
    <m/>
  </r>
  <r>
    <x v="347"/>
    <s v="MARZO"/>
    <x v="6"/>
    <n v="3"/>
    <s v="MARZO 2020"/>
    <s v="3 MARZO 2020"/>
    <x v="11"/>
    <x v="6"/>
    <n v="71.92"/>
    <m/>
    <m/>
    <m/>
  </r>
  <r>
    <x v="459"/>
    <s v="FEBBRAIO"/>
    <x v="6"/>
    <n v="2"/>
    <s v="FEBBRAIO 2020"/>
    <s v="2 FEBBRAIO 2020"/>
    <x v="20"/>
    <x v="9"/>
    <n v="9.99"/>
    <m/>
    <m/>
    <m/>
  </r>
  <r>
    <x v="400"/>
    <s v="FEBBRAIO"/>
    <x v="6"/>
    <n v="2"/>
    <s v="FEBBRAIO 2020"/>
    <s v="2 FEBBRAIO 2020"/>
    <x v="6"/>
    <x v="2"/>
    <n v="50"/>
    <m/>
    <m/>
    <m/>
  </r>
  <r>
    <x v="2"/>
    <s v="FEBBRAIO"/>
    <x v="6"/>
    <n v="2"/>
    <s v="FEBBRAIO 2020"/>
    <s v="2 FEBBRAIO 2020"/>
    <x v="8"/>
    <x v="6"/>
    <n v="27.9"/>
    <m/>
    <s v="AMAZON"/>
    <m/>
  </r>
  <r>
    <x v="53"/>
    <s v="FEBBRAIO"/>
    <x v="6"/>
    <n v="2"/>
    <s v="FEBBRAIO 2020"/>
    <s v="2 FEBBRAIO 2020"/>
    <x v="1"/>
    <x v="1"/>
    <n v="7.95"/>
    <m/>
    <m/>
    <m/>
  </r>
  <r>
    <x v="67"/>
    <s v="FEBBRAIO"/>
    <x v="6"/>
    <n v="2"/>
    <s v="FEBBRAIO 2020"/>
    <s v="2 FEBBRAIO 2020"/>
    <x v="7"/>
    <x v="2"/>
    <n v="32.97"/>
    <m/>
    <m/>
    <m/>
  </r>
  <r>
    <x v="67"/>
    <s v="FEBBRAIO"/>
    <x v="6"/>
    <n v="2"/>
    <s v="FEBBRAIO 2020"/>
    <s v="2 FEBBRAIO 2020"/>
    <x v="7"/>
    <x v="2"/>
    <n v="50.24"/>
    <m/>
    <m/>
    <m/>
  </r>
  <r>
    <x v="2"/>
    <s v="FEBBRAIO"/>
    <x v="6"/>
    <n v="2"/>
    <s v="FEBBRAIO 2020"/>
    <s v="2 FEBBRAIO 2020"/>
    <x v="8"/>
    <x v="6"/>
    <n v="29.73"/>
    <m/>
    <s v="AMAZON"/>
    <m/>
  </r>
  <r>
    <x v="2"/>
    <s v="FEBBRAIO"/>
    <x v="6"/>
    <n v="2"/>
    <s v="FEBBRAIO 2020"/>
    <s v="2 FEBBRAIO 2020"/>
    <x v="8"/>
    <x v="6"/>
    <n v="51.89"/>
    <m/>
    <s v="AMAZON"/>
    <m/>
  </r>
  <r>
    <x v="67"/>
    <s v="FEBBRAIO"/>
    <x v="6"/>
    <n v="2"/>
    <s v="FEBBRAIO 2020"/>
    <s v="2 FEBBRAIO 2020"/>
    <x v="7"/>
    <x v="2"/>
    <n v="2.4900000000000002"/>
    <m/>
    <m/>
    <m/>
  </r>
  <r>
    <x v="67"/>
    <s v="FEBBRAIO"/>
    <x v="6"/>
    <n v="2"/>
    <s v="FEBBRAIO 2020"/>
    <s v="2 FEBBRAIO 2020"/>
    <x v="7"/>
    <x v="2"/>
    <n v="5.89"/>
    <m/>
    <m/>
    <m/>
  </r>
  <r>
    <x v="460"/>
    <s v="FEBBRAIO"/>
    <x v="6"/>
    <n v="2"/>
    <s v="FEBBRAIO 2020"/>
    <s v="2 FEBBRAIO 2020"/>
    <x v="8"/>
    <x v="6"/>
    <n v="201.68"/>
    <m/>
    <m/>
    <m/>
  </r>
  <r>
    <x v="67"/>
    <s v="FEBBRAIO"/>
    <x v="6"/>
    <n v="2"/>
    <s v="FEBBRAIO 2020"/>
    <s v="2 FEBBRAIO 2020"/>
    <x v="7"/>
    <x v="2"/>
    <n v="2.4900000000000002"/>
    <m/>
    <m/>
    <m/>
  </r>
  <r>
    <x v="67"/>
    <s v="FEBBRAIO"/>
    <x v="6"/>
    <n v="2"/>
    <s v="FEBBRAIO 2020"/>
    <s v="2 FEBBRAIO 2020"/>
    <x v="7"/>
    <x v="2"/>
    <n v="45.21"/>
    <m/>
    <m/>
    <m/>
  </r>
  <r>
    <x v="41"/>
    <s v="GENNAIO"/>
    <x v="6"/>
    <n v="1"/>
    <s v="GENNAIO 2020"/>
    <s v="1 GENNAIO 2020"/>
    <x v="3"/>
    <x v="3"/>
    <n v="2.5"/>
    <m/>
    <m/>
    <m/>
  </r>
  <r>
    <x v="461"/>
    <s v="GENNAIO"/>
    <x v="6"/>
    <n v="1"/>
    <s v="GENNAIO 2020"/>
    <s v="1 GENNAIO 2020"/>
    <x v="11"/>
    <x v="6"/>
    <n v="42"/>
    <m/>
    <m/>
    <m/>
  </r>
  <r>
    <x v="462"/>
    <s v="GENNAIO"/>
    <x v="6"/>
    <n v="1"/>
    <s v="GENNAIO 2020"/>
    <s v="1 GENNAIO 2020"/>
    <x v="3"/>
    <x v="3"/>
    <n v="9"/>
    <m/>
    <m/>
    <m/>
  </r>
  <r>
    <x v="2"/>
    <s v="GENNAIO"/>
    <x v="6"/>
    <n v="1"/>
    <s v="GENNAIO 2020"/>
    <s v="1 GENNAIO 2020"/>
    <x v="8"/>
    <x v="6"/>
    <n v="19.899999999999999"/>
    <m/>
    <s v="AMAZON"/>
    <m/>
  </r>
  <r>
    <x v="35"/>
    <s v="GENNAIO"/>
    <x v="6"/>
    <n v="1"/>
    <s v="GENNAIO 2020"/>
    <s v="1 GENNAIO 2020"/>
    <x v="1"/>
    <x v="1"/>
    <n v="15.09"/>
    <m/>
    <m/>
    <m/>
  </r>
  <r>
    <x v="2"/>
    <s v="GENNAIO"/>
    <x v="6"/>
    <n v="1"/>
    <s v="GENNAIO 2020"/>
    <s v="1 GENNAIO 2020"/>
    <x v="8"/>
    <x v="6"/>
    <n v="21.04"/>
    <m/>
    <s v="AMAZON"/>
    <m/>
  </r>
  <r>
    <x v="2"/>
    <s v="GENNAIO"/>
    <x v="6"/>
    <n v="1"/>
    <s v="GENNAIO 2020"/>
    <s v="1 GENNAIO 2020"/>
    <x v="8"/>
    <x v="6"/>
    <n v="11.68"/>
    <m/>
    <s v="AMAZON"/>
    <m/>
  </r>
  <r>
    <x v="445"/>
    <s v="GENNAIO"/>
    <x v="6"/>
    <n v="1"/>
    <s v="GENNAIO 2020"/>
    <s v="1 GENNAIO 2020"/>
    <x v="22"/>
    <x v="6"/>
    <n v="9.99"/>
    <m/>
    <m/>
    <m/>
  </r>
  <r>
    <x v="2"/>
    <s v="GENNAIO"/>
    <x v="6"/>
    <n v="1"/>
    <s v="GENNAIO 2020"/>
    <s v="1 GENNAIO 2020"/>
    <x v="8"/>
    <x v="6"/>
    <n v="22.82"/>
    <m/>
    <s v="AMAZON"/>
    <m/>
  </r>
  <r>
    <x v="53"/>
    <s v="GENNAIO"/>
    <x v="6"/>
    <n v="1"/>
    <s v="GENNAIO 2020"/>
    <s v="1 GENNAIO 2020"/>
    <x v="1"/>
    <x v="1"/>
    <n v="32"/>
    <m/>
    <m/>
    <m/>
  </r>
  <r>
    <x v="67"/>
    <s v="GENNAIO"/>
    <x v="6"/>
    <n v="1"/>
    <s v="GENNAIO 2020"/>
    <s v="1 GENNAIO 2020"/>
    <x v="7"/>
    <x v="2"/>
    <n v="28.39"/>
    <m/>
    <m/>
    <m/>
  </r>
  <r>
    <x v="225"/>
    <s v="GENNAIO"/>
    <x v="6"/>
    <n v="1"/>
    <s v="GENNAIO 2020"/>
    <s v="1 GENNAIO 2020"/>
    <x v="11"/>
    <x v="6"/>
    <n v="38.5"/>
    <m/>
    <m/>
    <m/>
  </r>
  <r>
    <x v="67"/>
    <s v="GENNAIO"/>
    <x v="6"/>
    <n v="1"/>
    <s v="GENNAIO 2020"/>
    <s v="1 GENNAIO 2020"/>
    <x v="7"/>
    <x v="2"/>
    <n v="47.28"/>
    <m/>
    <m/>
    <m/>
  </r>
  <r>
    <x v="225"/>
    <s v="GENNAIO"/>
    <x v="6"/>
    <n v="1"/>
    <s v="GENNAIO 2020"/>
    <s v="1 GENNAIO 2020"/>
    <x v="11"/>
    <x v="6"/>
    <n v="31.5"/>
    <m/>
    <m/>
    <m/>
  </r>
  <r>
    <x v="463"/>
    <s v="GENNAIO"/>
    <x v="6"/>
    <n v="1"/>
    <s v="GENNAIO 2020"/>
    <s v="1 GENNAIO 2020"/>
    <x v="16"/>
    <x v="5"/>
    <n v="15"/>
    <m/>
    <m/>
    <m/>
  </r>
  <r>
    <x v="53"/>
    <s v="GENNAIO"/>
    <x v="6"/>
    <n v="1"/>
    <s v="GENNAIO 2020"/>
    <s v="1 GENNAIO 2020"/>
    <x v="1"/>
    <x v="1"/>
    <n v="8.4499999999999993"/>
    <m/>
    <m/>
    <m/>
  </r>
  <r>
    <x v="97"/>
    <s v="GENNAIO"/>
    <x v="6"/>
    <n v="1"/>
    <s v="GENNAIO 2020"/>
    <s v="1 GENNAIO 2020"/>
    <x v="11"/>
    <x v="6"/>
    <n v="153.86000000000001"/>
    <m/>
    <m/>
    <m/>
  </r>
  <r>
    <x v="461"/>
    <s v="DICEMBRE"/>
    <x v="7"/>
    <n v="12"/>
    <s v="DICEMBRE 2019"/>
    <s v="12 DICEMBRE 2019"/>
    <x v="11"/>
    <x v="6"/>
    <n v="55.5"/>
    <m/>
    <m/>
    <m/>
  </r>
  <r>
    <x v="464"/>
    <s v="DICEMBRE"/>
    <x v="7"/>
    <n v="12"/>
    <s v="DICEMBRE 2019"/>
    <s v="12 DICEMBRE 2019"/>
    <x v="21"/>
    <x v="2"/>
    <n v="74.959999999999994"/>
    <m/>
    <m/>
    <m/>
  </r>
  <r>
    <x v="67"/>
    <s v="DICEMBRE"/>
    <x v="7"/>
    <n v="12"/>
    <s v="DICEMBRE 2019"/>
    <s v="12 DICEMBRE 2019"/>
    <x v="7"/>
    <x v="2"/>
    <n v="36.19"/>
    <m/>
    <m/>
    <m/>
  </r>
  <r>
    <x v="144"/>
    <s v="DICEMBRE"/>
    <x v="7"/>
    <n v="12"/>
    <s v="DICEMBRE 2019"/>
    <s v="12 DICEMBRE 2019"/>
    <x v="23"/>
    <x v="6"/>
    <n v="12.9"/>
    <m/>
    <m/>
    <m/>
  </r>
  <r>
    <x v="323"/>
    <s v="DICEMBRE"/>
    <x v="7"/>
    <n v="12"/>
    <s v="DICEMBRE 2019"/>
    <s v="12 DICEMBRE 2019"/>
    <x v="12"/>
    <x v="0"/>
    <n v="6.1"/>
    <m/>
    <m/>
    <m/>
  </r>
  <r>
    <x v="2"/>
    <s v="DICEMBRE"/>
    <x v="7"/>
    <n v="12"/>
    <s v="DICEMBRE 2019"/>
    <s v="12 DICEMBRE 2019"/>
    <x v="8"/>
    <x v="6"/>
    <n v="12"/>
    <m/>
    <s v="AMAZON"/>
    <m/>
  </r>
  <r>
    <x v="323"/>
    <s v="DICEMBRE"/>
    <x v="7"/>
    <n v="12"/>
    <s v="DICEMBRE 2019"/>
    <s v="12 DICEMBRE 2019"/>
    <x v="12"/>
    <x v="0"/>
    <n v="12.2"/>
    <m/>
    <m/>
    <m/>
  </r>
  <r>
    <x v="2"/>
    <s v="DICEMBRE"/>
    <x v="7"/>
    <n v="12"/>
    <s v="DICEMBRE 2019"/>
    <s v="12 DICEMBRE 2019"/>
    <x v="8"/>
    <x v="6"/>
    <n v="11.99"/>
    <m/>
    <s v="AMAZON"/>
    <m/>
  </r>
  <r>
    <x v="2"/>
    <s v="DICEMBRE"/>
    <x v="7"/>
    <n v="12"/>
    <s v="DICEMBRE 2019"/>
    <s v="12 DICEMBRE 2019"/>
    <x v="8"/>
    <x v="6"/>
    <n v="-48.99"/>
    <m/>
    <s v="AMAZON"/>
    <m/>
  </r>
  <r>
    <x v="2"/>
    <s v="DICEMBRE"/>
    <x v="7"/>
    <n v="12"/>
    <s v="DICEMBRE 2019"/>
    <s v="12 DICEMBRE 2019"/>
    <x v="8"/>
    <x v="6"/>
    <n v="48.99"/>
    <m/>
    <s v="AMAZON"/>
    <m/>
  </r>
  <r>
    <x v="2"/>
    <s v="DICEMBRE"/>
    <x v="7"/>
    <n v="12"/>
    <s v="DICEMBRE 2019"/>
    <s v="12 DICEMBRE 2019"/>
    <x v="8"/>
    <x v="6"/>
    <n v="54.9"/>
    <m/>
    <s v="AMAZON"/>
    <m/>
  </r>
  <r>
    <x v="2"/>
    <s v="DICEMBRE"/>
    <x v="7"/>
    <n v="12"/>
    <s v="DICEMBRE 2019"/>
    <s v="12 DICEMBRE 2019"/>
    <x v="8"/>
    <x v="6"/>
    <n v="35.950000000000003"/>
    <m/>
    <s v="AMAZON"/>
    <m/>
  </r>
  <r>
    <x v="465"/>
    <s v="DICEMBRE"/>
    <x v="7"/>
    <n v="12"/>
    <s v="DICEMBRE 2019"/>
    <s v="12 DICEMBRE 2019"/>
    <x v="3"/>
    <x v="3"/>
    <n v="14.98"/>
    <m/>
    <m/>
    <m/>
  </r>
  <r>
    <x v="67"/>
    <s v="DICEMBRE"/>
    <x v="7"/>
    <n v="12"/>
    <s v="DICEMBRE 2019"/>
    <s v="12 DICEMBRE 2019"/>
    <x v="7"/>
    <x v="2"/>
    <n v="54.61"/>
    <m/>
    <m/>
    <m/>
  </r>
  <r>
    <x v="466"/>
    <s v="DICEMBRE"/>
    <x v="7"/>
    <n v="12"/>
    <s v="DICEMBRE 2019"/>
    <s v="12 DICEMBRE 2019"/>
    <x v="16"/>
    <x v="5"/>
    <n v="343.29"/>
    <m/>
    <m/>
    <m/>
  </r>
  <r>
    <x v="67"/>
    <s v="DICEMBRE"/>
    <x v="7"/>
    <n v="12"/>
    <s v="DICEMBRE 2019"/>
    <s v="12 DICEMBRE 2019"/>
    <x v="7"/>
    <x v="2"/>
    <n v="30.59"/>
    <m/>
    <m/>
    <m/>
  </r>
  <r>
    <x v="67"/>
    <s v="DICEMBRE"/>
    <x v="7"/>
    <n v="12"/>
    <s v="DICEMBRE 2019"/>
    <s v="12 DICEMBRE 2019"/>
    <x v="7"/>
    <x v="2"/>
    <n v="25.39"/>
    <m/>
    <m/>
    <m/>
  </r>
  <r>
    <x v="53"/>
    <s v="DICEMBRE"/>
    <x v="7"/>
    <n v="12"/>
    <s v="DICEMBRE 2019"/>
    <s v="12 DICEMBRE 2019"/>
    <x v="1"/>
    <x v="1"/>
    <n v="18.399999999999999"/>
    <m/>
    <m/>
    <m/>
  </r>
  <r>
    <x v="2"/>
    <s v="DICEMBRE"/>
    <x v="7"/>
    <n v="12"/>
    <s v="DICEMBRE 2019"/>
    <s v="12 DICEMBRE 2019"/>
    <x v="8"/>
    <x v="6"/>
    <n v="69.989999999999995"/>
    <m/>
    <s v="AMAZON"/>
    <m/>
  </r>
  <r>
    <x v="467"/>
    <s v="DICEMBRE"/>
    <x v="7"/>
    <n v="12"/>
    <s v="DICEMBRE 2019"/>
    <s v="12 DICEMBRE 2019"/>
    <x v="6"/>
    <x v="2"/>
    <n v="55"/>
    <m/>
    <m/>
    <m/>
  </r>
  <r>
    <x v="2"/>
    <s v="DICEMBRE"/>
    <x v="7"/>
    <n v="12"/>
    <s v="DICEMBRE 2019"/>
    <s v="12 DICEMBRE 2019"/>
    <x v="8"/>
    <x v="6"/>
    <n v="239"/>
    <m/>
    <s v="AMAZON"/>
    <m/>
  </r>
  <r>
    <x v="67"/>
    <s v="NOVEMBRE"/>
    <x v="7"/>
    <n v="11"/>
    <s v="NOVEMBRE 2019"/>
    <s v="11 NOVEMBRE 2019"/>
    <x v="7"/>
    <x v="2"/>
    <n v="41.77"/>
    <m/>
    <m/>
    <m/>
  </r>
  <r>
    <x v="468"/>
    <s v="NOVEMBRE"/>
    <x v="7"/>
    <n v="11"/>
    <s v="NOVEMBRE 2019"/>
    <s v="11 NOVEMBRE 2019"/>
    <x v="0"/>
    <x v="0"/>
    <n v="9.5"/>
    <m/>
    <m/>
    <m/>
  </r>
  <r>
    <x v="468"/>
    <s v="NOVEMBRE"/>
    <x v="7"/>
    <n v="11"/>
    <s v="NOVEMBRE 2019"/>
    <s v="11 NOVEMBRE 2019"/>
    <x v="0"/>
    <x v="0"/>
    <n v="21.47"/>
    <m/>
    <m/>
    <m/>
  </r>
  <r>
    <x v="469"/>
    <s v="NOVEMBRE"/>
    <x v="7"/>
    <n v="11"/>
    <s v="NOVEMBRE 2019"/>
    <s v="11 NOVEMBRE 2019"/>
    <x v="5"/>
    <x v="5"/>
    <n v="133.25"/>
    <m/>
    <m/>
    <m/>
  </r>
  <r>
    <x v="468"/>
    <s v="NOVEMBRE"/>
    <x v="7"/>
    <n v="11"/>
    <s v="NOVEMBRE 2019"/>
    <s v="11 NOVEMBRE 2019"/>
    <x v="0"/>
    <x v="0"/>
    <n v="16.5"/>
    <m/>
    <m/>
    <m/>
  </r>
  <r>
    <x v="257"/>
    <s v="NOVEMBRE"/>
    <x v="7"/>
    <n v="11"/>
    <s v="NOVEMBRE 2019"/>
    <s v="11 NOVEMBRE 2019"/>
    <x v="3"/>
    <x v="3"/>
    <n v="30"/>
    <m/>
    <m/>
    <m/>
  </r>
  <r>
    <x v="6"/>
    <s v="NOVEMBRE"/>
    <x v="7"/>
    <n v="11"/>
    <s v="NOVEMBRE 2019"/>
    <s v="11 NOVEMBRE 2019"/>
    <x v="0"/>
    <x v="0"/>
    <n v="12"/>
    <m/>
    <m/>
    <m/>
  </r>
  <r>
    <x v="2"/>
    <s v="NOVEMBRE"/>
    <x v="7"/>
    <n v="11"/>
    <s v="NOVEMBRE 2019"/>
    <s v="11 NOVEMBRE 2019"/>
    <x v="8"/>
    <x v="6"/>
    <n v="9.9"/>
    <m/>
    <s v="AMAZON"/>
    <m/>
  </r>
  <r>
    <x v="67"/>
    <s v="NOVEMBRE"/>
    <x v="7"/>
    <n v="11"/>
    <s v="NOVEMBRE 2019"/>
    <s v="11 NOVEMBRE 2019"/>
    <x v="7"/>
    <x v="2"/>
    <n v="44.43"/>
    <m/>
    <m/>
    <m/>
  </r>
  <r>
    <x v="145"/>
    <s v="NOVEMBRE"/>
    <x v="7"/>
    <n v="11"/>
    <s v="NOVEMBRE 2019"/>
    <s v="11 NOVEMBRE 2019"/>
    <x v="1"/>
    <x v="1"/>
    <n v="69.989999999999995"/>
    <m/>
    <m/>
    <m/>
  </r>
  <r>
    <x v="6"/>
    <s v="NOVEMBRE"/>
    <x v="7"/>
    <n v="11"/>
    <s v="NOVEMBRE 2019"/>
    <s v="11 NOVEMBRE 2019"/>
    <x v="0"/>
    <x v="0"/>
    <n v="12"/>
    <m/>
    <m/>
    <m/>
  </r>
  <r>
    <x v="98"/>
    <s v="NOVEMBRE"/>
    <x v="7"/>
    <n v="11"/>
    <s v="NOVEMBRE 2019"/>
    <s v="11 NOVEMBRE 2019"/>
    <x v="11"/>
    <x v="6"/>
    <n v="14.5"/>
    <m/>
    <m/>
    <m/>
  </r>
  <r>
    <x v="53"/>
    <s v="OTTOBRE"/>
    <x v="7"/>
    <n v="10"/>
    <s v="OTTOBRE 2019"/>
    <s v="10 OTTOBRE 2019"/>
    <x v="1"/>
    <x v="1"/>
    <n v="56.95"/>
    <m/>
    <m/>
    <m/>
  </r>
  <r>
    <x v="67"/>
    <s v="OTTOBRE"/>
    <x v="7"/>
    <n v="10"/>
    <s v="OTTOBRE 2019"/>
    <s v="10 OTTOBRE 2019"/>
    <x v="7"/>
    <x v="2"/>
    <n v="22.52"/>
    <m/>
    <m/>
    <m/>
  </r>
  <r>
    <x v="53"/>
    <s v="OTTOBRE"/>
    <x v="7"/>
    <n v="10"/>
    <s v="OTTOBRE 2019"/>
    <s v="10 OTTOBRE 2019"/>
    <x v="1"/>
    <x v="1"/>
    <n v="15.95"/>
    <m/>
    <m/>
    <m/>
  </r>
  <r>
    <x v="67"/>
    <s v="OTTOBRE"/>
    <x v="7"/>
    <n v="10"/>
    <s v="OTTOBRE 2019"/>
    <s v="10 OTTOBRE 2019"/>
    <x v="7"/>
    <x v="2"/>
    <n v="20.3"/>
    <m/>
    <m/>
    <m/>
  </r>
  <r>
    <x v="163"/>
    <s v="OTTOBRE"/>
    <x v="7"/>
    <n v="10"/>
    <s v="OTTOBRE 2019"/>
    <s v="10 OTTOBRE 2019"/>
    <x v="11"/>
    <x v="6"/>
    <n v="36.39"/>
    <m/>
    <m/>
    <m/>
  </r>
  <r>
    <x v="257"/>
    <s v="OTTOBRE"/>
    <x v="7"/>
    <n v="10"/>
    <s v="OTTOBRE 2019"/>
    <s v="10 OTTOBRE 2019"/>
    <x v="3"/>
    <x v="3"/>
    <n v="10"/>
    <m/>
    <m/>
    <m/>
  </r>
  <r>
    <x v="2"/>
    <s v="OTTOBRE"/>
    <x v="7"/>
    <n v="10"/>
    <s v="OTTOBRE 2019"/>
    <s v="10 OTTOBRE 2019"/>
    <x v="8"/>
    <x v="6"/>
    <n v="114.95"/>
    <m/>
    <s v="AMAZON"/>
    <m/>
  </r>
  <r>
    <x v="2"/>
    <s v="SETTEMBRE"/>
    <x v="7"/>
    <n v="9"/>
    <s v="SETTEMBRE 2019"/>
    <s v="9 SETTEMBRE 2019"/>
    <x v="8"/>
    <x v="6"/>
    <n v="17.899999999999999"/>
    <m/>
    <s v="AMAZON"/>
    <m/>
  </r>
  <r>
    <x v="2"/>
    <s v="SETTEMBRE"/>
    <x v="7"/>
    <n v="9"/>
    <s v="SETTEMBRE 2019"/>
    <s v="9 SETTEMBRE 2019"/>
    <x v="8"/>
    <x v="6"/>
    <n v="25.67"/>
    <m/>
    <s v="AMAZON"/>
    <m/>
  </r>
  <r>
    <x v="67"/>
    <s v="SETTEMBRE"/>
    <x v="7"/>
    <n v="9"/>
    <s v="SETTEMBRE 2019"/>
    <s v="9 SETTEMBRE 2019"/>
    <x v="7"/>
    <x v="2"/>
    <n v="20.09"/>
    <m/>
    <m/>
    <m/>
  </r>
  <r>
    <x v="53"/>
    <s v="SETTEMBRE"/>
    <x v="7"/>
    <n v="9"/>
    <s v="SETTEMBRE 2019"/>
    <s v="9 SETTEMBRE 2019"/>
    <x v="1"/>
    <x v="1"/>
    <n v="61.45"/>
    <m/>
    <m/>
    <m/>
  </r>
  <r>
    <x v="140"/>
    <s v="SETTEMBRE"/>
    <x v="7"/>
    <n v="9"/>
    <s v="SETTEMBRE 2019"/>
    <s v="9 SETTEMBRE 2019"/>
    <x v="8"/>
    <x v="6"/>
    <n v="159"/>
    <m/>
    <m/>
    <m/>
  </r>
  <r>
    <x v="140"/>
    <s v="SETTEMBRE"/>
    <x v="7"/>
    <n v="9"/>
    <s v="SETTEMBRE 2019"/>
    <s v="9 SETTEMBRE 2019"/>
    <x v="8"/>
    <x v="6"/>
    <n v="3.09"/>
    <m/>
    <m/>
    <m/>
  </r>
  <r>
    <x v="140"/>
    <s v="SETTEMBRE"/>
    <x v="7"/>
    <n v="9"/>
    <s v="SETTEMBRE 2019"/>
    <s v="9 SETTEMBRE 2019"/>
    <x v="20"/>
    <x v="9"/>
    <n v="8.49"/>
    <m/>
    <m/>
    <m/>
  </r>
  <r>
    <x v="67"/>
    <s v="SETTEMBRE"/>
    <x v="7"/>
    <n v="9"/>
    <s v="SETTEMBRE 2019"/>
    <s v="9 SETTEMBRE 2019"/>
    <x v="7"/>
    <x v="2"/>
    <n v="47.73"/>
    <m/>
    <m/>
    <m/>
  </r>
  <r>
    <x v="365"/>
    <s v="SETTEMBRE"/>
    <x v="7"/>
    <n v="9"/>
    <s v="SETTEMBRE 2019"/>
    <s v="9 SETTEMBRE 2019"/>
    <x v="24"/>
    <x v="2"/>
    <n v="32.4"/>
    <m/>
    <m/>
    <m/>
  </r>
  <r>
    <x v="277"/>
    <s v="AGOSTO"/>
    <x v="7"/>
    <n v="8"/>
    <s v="AGOSTO 2019"/>
    <s v="8 AGOSTO 2019"/>
    <x v="22"/>
    <x v="6"/>
    <n v="25.18"/>
    <m/>
    <m/>
    <m/>
  </r>
  <r>
    <x v="257"/>
    <s v="AGOSTO"/>
    <x v="7"/>
    <n v="8"/>
    <s v="AGOSTO 2019"/>
    <s v="8 AGOSTO 2019"/>
    <x v="3"/>
    <x v="3"/>
    <n v="4.5"/>
    <m/>
    <m/>
    <m/>
  </r>
  <r>
    <x v="53"/>
    <s v="AGOSTO"/>
    <x v="7"/>
    <n v="8"/>
    <s v="AGOSTO 2019"/>
    <s v="8 AGOSTO 2019"/>
    <x v="1"/>
    <x v="1"/>
    <n v="22.55"/>
    <m/>
    <m/>
    <m/>
  </r>
  <r>
    <x v="97"/>
    <s v="AGOSTO"/>
    <x v="7"/>
    <n v="8"/>
    <s v="AGOSTO 2019"/>
    <s v="8 AGOSTO 2019"/>
    <x v="11"/>
    <x v="6"/>
    <n v="44.95"/>
    <m/>
    <m/>
    <m/>
  </r>
  <r>
    <x v="470"/>
    <s v="AGOSTO"/>
    <x v="7"/>
    <n v="8"/>
    <s v="AGOSTO 2019"/>
    <s v="8 AGOSTO 2019"/>
    <x v="0"/>
    <x v="0"/>
    <n v="20.18"/>
    <m/>
    <m/>
    <m/>
  </r>
  <r>
    <x v="469"/>
    <s v="AGOSTO"/>
    <x v="7"/>
    <n v="8"/>
    <s v="AGOSTO 2019"/>
    <s v="8 AGOSTO 2019"/>
    <x v="5"/>
    <x v="5"/>
    <n v="172.88"/>
    <m/>
    <m/>
    <m/>
  </r>
  <r>
    <x v="113"/>
    <s v="AGOSTO"/>
    <x v="7"/>
    <n v="8"/>
    <s v="AGOSTO 2019"/>
    <s v="8 AGOSTO 2019"/>
    <x v="1"/>
    <x v="1"/>
    <n v="21.15"/>
    <m/>
    <m/>
    <m/>
  </r>
  <r>
    <x v="6"/>
    <s v="AGOSTO"/>
    <x v="7"/>
    <n v="8"/>
    <s v="AGOSTO 2019"/>
    <s v="8 AGOSTO 2019"/>
    <x v="14"/>
    <x v="2"/>
    <n v="8"/>
    <m/>
    <m/>
    <m/>
  </r>
  <r>
    <x v="469"/>
    <s v="AGOSTO"/>
    <x v="7"/>
    <n v="8"/>
    <s v="AGOSTO 2019"/>
    <s v="8 AGOSTO 2019"/>
    <x v="5"/>
    <x v="5"/>
    <n v="155"/>
    <m/>
    <m/>
    <m/>
  </r>
  <r>
    <x v="471"/>
    <s v="AGOSTO"/>
    <x v="7"/>
    <n v="8"/>
    <s v="AGOSTO 2019"/>
    <s v="8 AGOSTO 2019"/>
    <x v="12"/>
    <x v="0"/>
    <n v="6.09"/>
    <m/>
    <m/>
    <m/>
  </r>
  <r>
    <x v="471"/>
    <s v="AGOSTO"/>
    <x v="7"/>
    <n v="8"/>
    <s v="AGOSTO 2019"/>
    <s v="8 AGOSTO 2019"/>
    <x v="12"/>
    <x v="0"/>
    <n v="72.92"/>
    <m/>
    <m/>
    <m/>
  </r>
  <r>
    <x v="471"/>
    <s v="AGOSTO"/>
    <x v="7"/>
    <n v="8"/>
    <s v="AGOSTO 2019"/>
    <s v="8 AGOSTO 2019"/>
    <x v="12"/>
    <x v="0"/>
    <n v="11.51"/>
    <m/>
    <m/>
    <m/>
  </r>
  <r>
    <x v="470"/>
    <s v="AGOSTO"/>
    <x v="7"/>
    <n v="8"/>
    <s v="AGOSTO 2019"/>
    <s v="8 AGOSTO 2019"/>
    <x v="0"/>
    <x v="0"/>
    <n v="18.68"/>
    <m/>
    <m/>
    <m/>
  </r>
  <r>
    <x v="48"/>
    <s v="AGOSTO"/>
    <x v="7"/>
    <n v="8"/>
    <s v="AGOSTO 2019"/>
    <s v="8 AGOSTO 2019"/>
    <x v="11"/>
    <x v="6"/>
    <n v="40.24"/>
    <m/>
    <m/>
    <m/>
  </r>
  <r>
    <x v="471"/>
    <s v="AGOSTO"/>
    <x v="7"/>
    <n v="8"/>
    <s v="AGOSTO 2019"/>
    <s v="8 AGOSTO 2019"/>
    <x v="12"/>
    <x v="0"/>
    <n v="8.16"/>
    <m/>
    <m/>
    <m/>
  </r>
  <r>
    <x v="471"/>
    <s v="AGOSTO"/>
    <x v="7"/>
    <n v="8"/>
    <s v="AGOSTO 2019"/>
    <s v="8 AGOSTO 2019"/>
    <x v="12"/>
    <x v="0"/>
    <n v="47.32"/>
    <m/>
    <m/>
    <m/>
  </r>
  <r>
    <x v="471"/>
    <s v="AGOSTO"/>
    <x v="7"/>
    <n v="8"/>
    <s v="AGOSTO 2019"/>
    <s v="8 AGOSTO 2019"/>
    <x v="12"/>
    <x v="0"/>
    <n v="44.17"/>
    <m/>
    <m/>
    <m/>
  </r>
  <r>
    <x v="469"/>
    <s v="AGOSTO"/>
    <x v="7"/>
    <n v="8"/>
    <s v="AGOSTO 2019"/>
    <s v="8 AGOSTO 2019"/>
    <x v="5"/>
    <x v="5"/>
    <n v="98"/>
    <m/>
    <m/>
    <m/>
  </r>
  <r>
    <x v="469"/>
    <s v="AGOSTO"/>
    <x v="7"/>
    <n v="8"/>
    <s v="AGOSTO 2019"/>
    <s v="8 AGOSTO 2019"/>
    <x v="5"/>
    <x v="5"/>
    <n v="108"/>
    <m/>
    <m/>
    <m/>
  </r>
  <r>
    <x v="469"/>
    <s v="AGOSTO"/>
    <x v="7"/>
    <n v="8"/>
    <s v="AGOSTO 2019"/>
    <s v="8 AGOSTO 2019"/>
    <x v="5"/>
    <x v="5"/>
    <n v="122.9"/>
    <m/>
    <m/>
    <m/>
  </r>
  <r>
    <x v="192"/>
    <s v="AGOSTO"/>
    <x v="7"/>
    <n v="8"/>
    <s v="AGOSTO 2019"/>
    <s v="8 AGOSTO 2019"/>
    <x v="3"/>
    <x v="3"/>
    <n v="20.149999999999999"/>
    <m/>
    <m/>
    <m/>
  </r>
  <r>
    <x v="57"/>
    <s v="AGOSTO"/>
    <x v="7"/>
    <n v="8"/>
    <s v="AGOSTO 2019"/>
    <s v="8 AGOSTO 2019"/>
    <x v="0"/>
    <x v="0"/>
    <n v="13"/>
    <m/>
    <m/>
    <m/>
  </r>
  <r>
    <x v="472"/>
    <s v="LUGLIO"/>
    <x v="7"/>
    <n v="7"/>
    <s v="LUGLIO 2019"/>
    <s v="7 LUGLIO 2019"/>
    <x v="12"/>
    <x v="0"/>
    <n v="181.8"/>
    <m/>
    <m/>
    <m/>
  </r>
  <r>
    <x v="257"/>
    <s v="LUGLIO"/>
    <x v="7"/>
    <n v="7"/>
    <s v="LUGLIO 2019"/>
    <s v="7 LUGLIO 2019"/>
    <x v="3"/>
    <x v="3"/>
    <n v="30"/>
    <m/>
    <m/>
    <m/>
  </r>
  <r>
    <x v="416"/>
    <s v="LUGLIO"/>
    <x v="7"/>
    <n v="7"/>
    <s v="LUGLIO 2019"/>
    <s v="7 LUGLIO 2019"/>
    <x v="0"/>
    <x v="0"/>
    <n v="102.3"/>
    <m/>
    <m/>
    <m/>
  </r>
  <r>
    <x v="7"/>
    <s v="LUGLIO"/>
    <x v="7"/>
    <n v="7"/>
    <s v="LUGLIO 2019"/>
    <s v="7 LUGLIO 2019"/>
    <x v="5"/>
    <x v="5"/>
    <n v="334.04"/>
    <m/>
    <m/>
    <s v="Ultra music festival"/>
  </r>
  <r>
    <x v="67"/>
    <s v="LUGLIO"/>
    <x v="7"/>
    <n v="7"/>
    <s v="LUGLIO 2019"/>
    <s v="7 LUGLIO 2019"/>
    <x v="7"/>
    <x v="2"/>
    <n v="20.399999999999999"/>
    <m/>
    <m/>
    <m/>
  </r>
  <r>
    <x v="473"/>
    <s v="LUGLIO"/>
    <x v="7"/>
    <n v="7"/>
    <s v="LUGLIO 2019"/>
    <s v="7 LUGLIO 2019"/>
    <x v="12"/>
    <x v="0"/>
    <n v="75.84"/>
    <m/>
    <m/>
    <m/>
  </r>
  <r>
    <x v="473"/>
    <s v="LUGLIO"/>
    <x v="7"/>
    <n v="7"/>
    <s v="LUGLIO 2019"/>
    <s v="7 LUGLIO 2019"/>
    <x v="12"/>
    <x v="0"/>
    <n v="3.32"/>
    <m/>
    <m/>
    <m/>
  </r>
  <r>
    <x v="473"/>
    <s v="LUGLIO"/>
    <x v="7"/>
    <n v="7"/>
    <s v="LUGLIO 2019"/>
    <s v="7 LUGLIO 2019"/>
    <x v="12"/>
    <x v="0"/>
    <n v="21.61"/>
    <m/>
    <m/>
    <m/>
  </r>
  <r>
    <x v="473"/>
    <s v="LUGLIO"/>
    <x v="7"/>
    <n v="7"/>
    <s v="LUGLIO 2019"/>
    <s v="7 LUGLIO 2019"/>
    <x v="12"/>
    <x v="0"/>
    <n v="13.81"/>
    <m/>
    <m/>
    <m/>
  </r>
  <r>
    <x v="473"/>
    <s v="LUGLIO"/>
    <x v="7"/>
    <n v="7"/>
    <s v="LUGLIO 2019"/>
    <s v="7 LUGLIO 2019"/>
    <x v="12"/>
    <x v="0"/>
    <n v="27.57"/>
    <m/>
    <m/>
    <m/>
  </r>
  <r>
    <x v="473"/>
    <s v="LUGLIO"/>
    <x v="7"/>
    <n v="7"/>
    <s v="LUGLIO 2019"/>
    <s v="7 LUGLIO 2019"/>
    <x v="12"/>
    <x v="0"/>
    <n v="6.76"/>
    <m/>
    <m/>
    <m/>
  </r>
  <r>
    <x v="474"/>
    <s v="LUGLIO"/>
    <x v="7"/>
    <n v="7"/>
    <s v="LUGLIO 2019"/>
    <s v="7 LUGLIO 2019"/>
    <x v="3"/>
    <x v="3"/>
    <n v="1.3"/>
    <m/>
    <m/>
    <m/>
  </r>
  <r>
    <x v="474"/>
    <s v="LUGLIO"/>
    <x v="7"/>
    <n v="7"/>
    <s v="LUGLIO 2019"/>
    <s v="7 LUGLIO 2019"/>
    <x v="3"/>
    <x v="3"/>
    <n v="1.3"/>
    <m/>
    <m/>
    <m/>
  </r>
  <r>
    <x v="474"/>
    <s v="LUGLIO"/>
    <x v="7"/>
    <n v="7"/>
    <s v="LUGLIO 2019"/>
    <s v="7 LUGLIO 2019"/>
    <x v="3"/>
    <x v="3"/>
    <n v="2.6"/>
    <m/>
    <m/>
    <m/>
  </r>
  <r>
    <x v="2"/>
    <s v="LUGLIO"/>
    <x v="7"/>
    <n v="7"/>
    <s v="LUGLIO 2019"/>
    <s v="7 LUGLIO 2019"/>
    <x v="8"/>
    <x v="6"/>
    <n v="36.99"/>
    <m/>
    <s v="AMAZON"/>
    <m/>
  </r>
  <r>
    <x v="475"/>
    <m/>
    <x v="8"/>
    <m/>
    <m/>
    <m/>
    <x v="26"/>
    <x v="10"/>
    <m/>
    <m/>
    <m/>
    <m/>
  </r>
  <r>
    <x v="475"/>
    <m/>
    <x v="8"/>
    <m/>
    <m/>
    <m/>
    <x v="26"/>
    <x v="10"/>
    <m/>
    <m/>
    <m/>
    <m/>
  </r>
  <r>
    <x v="475"/>
    <m/>
    <x v="8"/>
    <m/>
    <m/>
    <m/>
    <x v="26"/>
    <x v="10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SPESA VISOTTO"/>
    <s v="SETTEMBRE"/>
    <x v="0"/>
    <n v="9"/>
    <s v="SETTEMBRE 2026"/>
    <s v="9 SETTEMBRE 2026"/>
    <x v="0"/>
    <x v="0"/>
    <n v="15.14"/>
    <m/>
    <m/>
    <m/>
  </r>
  <r>
    <s v="DIDON STORE"/>
    <s v="SETTEMBRE"/>
    <x v="0"/>
    <n v="9"/>
    <s v="SETTEMBRE 2026"/>
    <s v="9 SETTEMBRE 2026"/>
    <x v="1"/>
    <x v="1"/>
    <n v="19.29"/>
    <m/>
    <m/>
    <m/>
  </r>
  <r>
    <s v="PIZZERIA CHICHIBIO"/>
    <s v="SETTEMBRE"/>
    <x v="0"/>
    <n v="9"/>
    <s v="SETTEMBRE 2026"/>
    <s v="9 SETTEMBRE 2026"/>
    <x v="2"/>
    <x v="2"/>
    <n v="43.2"/>
    <m/>
    <m/>
    <m/>
  </r>
  <r>
    <s v="MICROSOFT"/>
    <s v="SETTEMBRE"/>
    <x v="0"/>
    <n v="9"/>
    <s v="SETTEMBRE 2026"/>
    <s v="9 SETTEMBRE 2026"/>
    <x v="2"/>
    <x v="2"/>
    <n v="29.99"/>
    <m/>
    <m/>
    <m/>
  </r>
  <r>
    <s v="SPESA LIDL"/>
    <s v="SETTEMBRE"/>
    <x v="0"/>
    <n v="9"/>
    <s v="SETTEMBRE 2026"/>
    <s v="9 SETTEMBRE 2026"/>
    <x v="0"/>
    <x v="0"/>
    <n v="16.28"/>
    <m/>
    <m/>
    <m/>
  </r>
  <r>
    <s v="SHOP ASFINAG"/>
    <s v="SETTEMBRE"/>
    <x v="0"/>
    <n v="9"/>
    <s v="SETTEMBRE 2026"/>
    <s v="9 SETTEMBRE 2026"/>
    <x v="2"/>
    <x v="2"/>
    <n v="12.8"/>
    <m/>
    <m/>
    <s v="Matrimonio CUC"/>
  </r>
  <r>
    <s v="GOOGLE"/>
    <s v="SETTEMBRE"/>
    <x v="0"/>
    <n v="9"/>
    <s v="SETTEMBRE 2026"/>
    <s v="9 SETTEMBRE 2026"/>
    <x v="3"/>
    <x v="3"/>
    <n v="12.49"/>
    <m/>
    <m/>
    <m/>
  </r>
  <r>
    <s v="TOTAL SERVICE STATION ROHRDORF"/>
    <s v="SETTEMBRE"/>
    <x v="0"/>
    <n v="9"/>
    <s v="SETTEMBRE 2026"/>
    <s v="9 SETTEMBRE 2026"/>
    <x v="4"/>
    <x v="4"/>
    <n v="65.040000000000006"/>
    <m/>
    <m/>
    <s v="Matrimonio CUC"/>
  </r>
  <r>
    <s v="FARMACIA DOT MONENGHI"/>
    <s v="SETTEMBRE"/>
    <x v="0"/>
    <n v="9"/>
    <s v="SETTEMBRE 2026"/>
    <s v="9 SETTEMBRE 2026"/>
    <x v="5"/>
    <x v="0"/>
    <n v="37"/>
    <m/>
    <m/>
    <m/>
  </r>
  <r>
    <s v="PRI SHOP"/>
    <s v="SETTEMBRE"/>
    <x v="0"/>
    <n v="9"/>
    <s v="SETTEMBRE 2026"/>
    <s v="9 SETTEMBRE 2026"/>
    <x v="1"/>
    <x v="1"/>
    <n v="19.899999999999999"/>
    <m/>
    <m/>
    <m/>
  </r>
  <r>
    <s v="MICROSOFT XPASS"/>
    <s v="SETTEMBRE"/>
    <x v="0"/>
    <n v="9"/>
    <s v="SETTEMBRE 2026"/>
    <s v="9 SETTEMBRE 2026"/>
    <x v="2"/>
    <x v="2"/>
    <n v="20.99"/>
    <m/>
    <m/>
    <m/>
  </r>
  <r>
    <s v="SPESA LIDL"/>
    <s v="SETTEMBRE"/>
    <x v="0"/>
    <n v="9"/>
    <s v="SETTEMBRE 2026"/>
    <s v="9 SETTEMBRE 2026"/>
    <x v="0"/>
    <x v="0"/>
    <n v="92.63"/>
    <m/>
    <m/>
    <m/>
  </r>
  <r>
    <s v="BOLLO AUTO QASHQAI"/>
    <s v="SETTEMBRE"/>
    <x v="0"/>
    <n v="9"/>
    <s v="SETTEMBRE 2026"/>
    <s v="9 SETTEMBRE 2026"/>
    <x v="6"/>
    <x v="4"/>
    <n v="418.09"/>
    <m/>
    <m/>
    <m/>
  </r>
  <r>
    <s v="SPESA VISOTTO"/>
    <s v="AGOSTO"/>
    <x v="0"/>
    <n v="8"/>
    <s v="AGOSTO 2026"/>
    <s v="8 AGOSTO 2026"/>
    <x v="0"/>
    <x v="0"/>
    <n v="5.26"/>
    <m/>
    <m/>
    <m/>
  </r>
  <r>
    <s v="IKEA VILLESSE"/>
    <s v="AGOSTO"/>
    <x v="0"/>
    <n v="8"/>
    <s v="AGOSTO 2026"/>
    <s v="8 AGOSTO 2026"/>
    <x v="1"/>
    <x v="1"/>
    <n v="8.9499999999999993"/>
    <m/>
    <m/>
    <m/>
  </r>
  <r>
    <s v="AL TAGLIATO COL COLTELLO"/>
    <s v="AGOSTO"/>
    <x v="0"/>
    <n v="8"/>
    <s v="AGOSTO 2026"/>
    <s v="8 AGOSTO 2026"/>
    <x v="2"/>
    <x v="2"/>
    <n v="22"/>
    <m/>
    <m/>
    <m/>
  </r>
  <r>
    <s v="SPESA DIDON"/>
    <s v="AGOSTO"/>
    <x v="0"/>
    <n v="8"/>
    <s v="AGOSTO 2026"/>
    <s v="8 AGOSTO 2026"/>
    <x v="1"/>
    <x v="1"/>
    <n v="14.3"/>
    <m/>
    <m/>
    <m/>
  </r>
  <r>
    <s v="PONTAROLO COMMERCIALE"/>
    <s v="AGOSTO"/>
    <x v="0"/>
    <n v="8"/>
    <s v="AGOSTO 2026"/>
    <s v="8 AGOSTO 2026"/>
    <x v="1"/>
    <x v="1"/>
    <n v="19"/>
    <m/>
    <m/>
    <m/>
  </r>
  <r>
    <s v="BRICOCENTER"/>
    <s v="AGOSTO"/>
    <x v="0"/>
    <n v="8"/>
    <s v="AGOSTO 2026"/>
    <s v="8 AGOSTO 2026"/>
    <x v="1"/>
    <x v="1"/>
    <n v="11.6"/>
    <m/>
    <m/>
    <m/>
  </r>
  <r>
    <s v="SATUR"/>
    <s v="AGOSTO"/>
    <x v="0"/>
    <n v="8"/>
    <s v="AGOSTO 2026"/>
    <s v="8 AGOSTO 2026"/>
    <x v="1"/>
    <x v="1"/>
    <n v="10.39"/>
    <m/>
    <m/>
    <m/>
  </r>
  <r>
    <s v="IKEA VILLESSE"/>
    <s v="AGOSTO"/>
    <x v="0"/>
    <n v="8"/>
    <s v="AGOSTO 2026"/>
    <s v="8 AGOSTO 2026"/>
    <x v="1"/>
    <x v="1"/>
    <n v="63.9"/>
    <m/>
    <m/>
    <m/>
  </r>
  <r>
    <s v="SPESA CONAD"/>
    <s v="AGOSTO"/>
    <x v="0"/>
    <n v="8"/>
    <s v="AGOSTO 2026"/>
    <s v="8 AGOSTO 2026"/>
    <x v="0"/>
    <x v="0"/>
    <n v="7.95"/>
    <m/>
    <m/>
    <m/>
  </r>
  <r>
    <s v="BRICOCENTER"/>
    <s v="AGOSTO"/>
    <x v="0"/>
    <n v="8"/>
    <s v="AGOSTO 2026"/>
    <s v="8 AGOSTO 2026"/>
    <x v="1"/>
    <x v="1"/>
    <n v="63.3"/>
    <m/>
    <m/>
    <m/>
  </r>
  <r>
    <s v="RISTORANTE AL CANCELLETTO"/>
    <s v="AGOSTO"/>
    <x v="0"/>
    <n v="8"/>
    <s v="AGOSTO 2026"/>
    <s v="8 AGOSTO 2026"/>
    <x v="2"/>
    <x v="2"/>
    <n v="84"/>
    <m/>
    <m/>
    <s v="Viaggio Costiera Amalfitana 26"/>
  </r>
  <r>
    <s v="LA MAURELLA"/>
    <s v="AGOSTO"/>
    <x v="0"/>
    <n v="8"/>
    <s v="AGOSTO 2026"/>
    <s v="8 AGOSTO 2026"/>
    <x v="7"/>
    <x v="5"/>
    <n v="1852"/>
    <m/>
    <m/>
    <s v="Viaggio Costiera Amalfitana 26"/>
  </r>
  <r>
    <s v="MICROSOFT XPASS"/>
    <s v="AGOSTO"/>
    <x v="0"/>
    <n v="8"/>
    <s v="AGOSTO 2026"/>
    <s v="8 AGOSTO 2026"/>
    <x v="2"/>
    <x v="2"/>
    <n v="20.99"/>
    <m/>
    <m/>
    <m/>
  </r>
  <r>
    <s v="BIGLIETTERIA CAPRI"/>
    <s v="AGOSTO"/>
    <x v="0"/>
    <n v="8"/>
    <s v="AGOSTO 2026"/>
    <s v="8 AGOSTO 2026"/>
    <x v="8"/>
    <x v="4"/>
    <n v="48"/>
    <m/>
    <m/>
    <s v="Viaggio Costiera Amalfitana 26"/>
  </r>
  <r>
    <s v="TRATTORIA DA ARMANDINO"/>
    <s v="AGOSTO"/>
    <x v="0"/>
    <n v="8"/>
    <s v="AGOSTO 2026"/>
    <s v="8 AGOSTO 2026"/>
    <x v="2"/>
    <x v="2"/>
    <n v="107"/>
    <m/>
    <m/>
    <s v="Viaggio Costiera Amalfitana 26"/>
  </r>
  <r>
    <s v="BACARO FORESTO"/>
    <s v="AGOSTO"/>
    <x v="0"/>
    <n v="8"/>
    <s v="AGOSTO 2026"/>
    <s v="8 AGOSTO 2026"/>
    <x v="2"/>
    <x v="2"/>
    <n v="85"/>
    <m/>
    <m/>
    <m/>
  </r>
  <r>
    <s v="AUTOSTRADA"/>
    <s v="LUGLIO"/>
    <x v="0"/>
    <n v="7"/>
    <s v="LUGLIO 2026"/>
    <s v="7 LUGLIO 2026"/>
    <x v="8"/>
    <x v="4"/>
    <n v="6"/>
    <m/>
    <m/>
    <m/>
  </r>
  <r>
    <s v="AUTOSTRADA"/>
    <s v="LUGLIO"/>
    <x v="0"/>
    <n v="7"/>
    <s v="LUGLIO 2026"/>
    <s v="7 LUGLIO 2026"/>
    <x v="8"/>
    <x v="4"/>
    <n v="5.3"/>
    <m/>
    <m/>
    <m/>
  </r>
  <r>
    <s v="COMMISSIONE BONIFICO"/>
    <s v="LUGLIO"/>
    <x v="0"/>
    <n v="7"/>
    <s v="LUGLIO 2026"/>
    <s v="7 LUGLIO 2026"/>
    <x v="9"/>
    <x v="6"/>
    <n v="0.9"/>
    <m/>
    <m/>
    <s v="Assilt Papa'"/>
  </r>
  <r>
    <s v="MICROSOFT XPASS"/>
    <s v="LUGLIO"/>
    <x v="0"/>
    <n v="7"/>
    <s v="LUGLIO 2026"/>
    <s v="7 LUGLIO 2026"/>
    <x v="2"/>
    <x v="2"/>
    <n v="20.99"/>
    <m/>
    <m/>
    <m/>
  </r>
  <r>
    <s v="ASSILT"/>
    <s v="LUGLIO"/>
    <x v="0"/>
    <n v="7"/>
    <s v="LUGLIO 2026"/>
    <s v="7 LUGLIO 2026"/>
    <x v="10"/>
    <x v="3"/>
    <n v="128.44999999999999"/>
    <m/>
    <m/>
    <s v="Assilt Papa'"/>
  </r>
  <r>
    <s v="UFFICINA"/>
    <s v="LUGLIO"/>
    <x v="0"/>
    <n v="7"/>
    <s v="LUGLIO 2026"/>
    <s v="7 LUGLIO 2026"/>
    <x v="2"/>
    <x v="2"/>
    <n v="14.5"/>
    <m/>
    <m/>
    <m/>
  </r>
  <r>
    <s v="PIZZERIA ALL'ANFORA"/>
    <s v="LUGLIO"/>
    <x v="0"/>
    <n v="7"/>
    <s v="LUGLIO 2026"/>
    <s v="7 LUGLIO 2026"/>
    <x v="2"/>
    <x v="2"/>
    <n v="38"/>
    <m/>
    <m/>
    <m/>
  </r>
  <r>
    <s v="SPESA LIDL"/>
    <s v="LUGLIO"/>
    <x v="0"/>
    <n v="7"/>
    <s v="LUGLIO 2026"/>
    <s v="7 LUGLIO 2026"/>
    <x v="0"/>
    <x v="0"/>
    <n v="16.8"/>
    <m/>
    <m/>
    <m/>
  </r>
  <r>
    <s v="UFFICINA"/>
    <s v="GIUGNO"/>
    <x v="0"/>
    <n v="6"/>
    <s v="GIUGNO 2026"/>
    <s v="6 GIUGNO 2026"/>
    <x v="2"/>
    <x v="2"/>
    <n v="18.5"/>
    <m/>
    <m/>
    <m/>
  </r>
  <r>
    <s v="BAR SOLARIUM"/>
    <s v="GIUGNO"/>
    <x v="0"/>
    <n v="6"/>
    <s v="GIUGNO 2026"/>
    <s v="6 GIUGNO 2026"/>
    <x v="2"/>
    <x v="2"/>
    <n v="6.7"/>
    <m/>
    <m/>
    <m/>
  </r>
  <r>
    <s v="BAR SOLARIUM"/>
    <s v="GIUGNO"/>
    <x v="0"/>
    <n v="6"/>
    <s v="GIUGNO 2026"/>
    <s v="6 GIUGNO 2026"/>
    <x v="2"/>
    <x v="2"/>
    <n v="16.7"/>
    <m/>
    <m/>
    <m/>
  </r>
  <r>
    <s v="UFFICINA"/>
    <s v="GIUGNO"/>
    <x v="0"/>
    <n v="6"/>
    <s v="GIUGNO 2026"/>
    <s v="6 GIUGNO 2026"/>
    <x v="2"/>
    <x v="2"/>
    <n v="22"/>
    <m/>
    <m/>
    <m/>
  </r>
  <r>
    <s v="SPESA VISOTTO"/>
    <s v="GIUGNO"/>
    <x v="0"/>
    <n v="6"/>
    <s v="GIUGNO 2026"/>
    <s v="6 GIUGNO 2026"/>
    <x v="0"/>
    <x v="0"/>
    <n v="25.15"/>
    <m/>
    <m/>
    <m/>
  </r>
  <r>
    <s v="TARI"/>
    <s v="GIUGNO"/>
    <x v="0"/>
    <n v="6"/>
    <s v="GIUGNO 2026"/>
    <s v="6 GIUGNO 2026"/>
    <x v="9"/>
    <x v="6"/>
    <n v="44"/>
    <m/>
    <m/>
    <s v="Tari 2026"/>
  </r>
  <r>
    <s v="TARI"/>
    <s v="GIUGNO"/>
    <x v="0"/>
    <n v="6"/>
    <s v="GIUGNO 2026"/>
    <s v="6 GIUGNO 2026"/>
    <x v="9"/>
    <x v="6"/>
    <n v="43"/>
    <m/>
    <m/>
    <s v="Tari 2026"/>
  </r>
  <r>
    <s v="DIDON STORE"/>
    <s v="GIUGNO"/>
    <x v="0"/>
    <n v="6"/>
    <s v="GIUGNO 2026"/>
    <s v="6 GIUGNO 2026"/>
    <x v="0"/>
    <x v="0"/>
    <n v="24"/>
    <m/>
    <m/>
    <m/>
  </r>
  <r>
    <s v="AUTOGRILL"/>
    <s v="GIUGNO"/>
    <x v="0"/>
    <n v="6"/>
    <s v="GIUGNO 2026"/>
    <s v="6 GIUGNO 2026"/>
    <x v="2"/>
    <x v="2"/>
    <n v="22.3"/>
    <m/>
    <m/>
    <m/>
  </r>
  <r>
    <s v="SPESA LIDL"/>
    <s v="GIUGNO"/>
    <x v="0"/>
    <n v="6"/>
    <s v="GIUGNO 2026"/>
    <s v="6 GIUGNO 2026"/>
    <x v="0"/>
    <x v="0"/>
    <n v="28.08"/>
    <m/>
    <m/>
    <m/>
  </r>
  <r>
    <s v="MICROSOFT XPASS"/>
    <s v="GIUGNO"/>
    <x v="0"/>
    <n v="6"/>
    <s v="GIUGNO 2026"/>
    <s v="6 GIUGNO 2026"/>
    <x v="2"/>
    <x v="2"/>
    <n v="20.99"/>
    <m/>
    <m/>
    <m/>
  </r>
  <r>
    <s v="COMMISSIONE BONIFICO"/>
    <s v="GIUGNO"/>
    <x v="0"/>
    <n v="6"/>
    <s v="GIUGNO 2026"/>
    <s v="6 GIUGNO 2026"/>
    <x v="9"/>
    <x v="6"/>
    <n v="0.5"/>
    <m/>
    <m/>
    <m/>
  </r>
  <r>
    <s v="BONIFICO AQUI E SILVIA"/>
    <s v="GIUGNO"/>
    <x v="0"/>
    <n v="6"/>
    <s v="GIUGNO 2026"/>
    <s v="6 GIUGNO 2026"/>
    <x v="10"/>
    <x v="3"/>
    <n v="350"/>
    <m/>
    <m/>
    <s v="Regali Nozze Aqui e Silvia"/>
  </r>
  <r>
    <s v="BU.CO"/>
    <s v="GIUGNO"/>
    <x v="0"/>
    <n v="6"/>
    <s v="GIUGNO 2026"/>
    <s v="6 GIUGNO 2026"/>
    <x v="2"/>
    <x v="2"/>
    <n v="40.700000000000003"/>
    <m/>
    <m/>
    <m/>
  </r>
  <r>
    <s v="SPESA VISOTTO"/>
    <s v="MAGGIO"/>
    <x v="0"/>
    <n v="5"/>
    <s v="MAGGIO 2026"/>
    <s v="5 MAGGIO 2026"/>
    <x v="0"/>
    <x v="0"/>
    <n v="12.67"/>
    <m/>
    <m/>
    <m/>
  </r>
  <r>
    <s v="MEDICENTER RONCHI"/>
    <s v="MAGGIO"/>
    <x v="0"/>
    <n v="5"/>
    <s v="MAGGIO 2026"/>
    <s v="5 MAGGIO 2026"/>
    <x v="11"/>
    <x v="0"/>
    <n v="33"/>
    <m/>
    <m/>
    <m/>
  </r>
  <r>
    <s v="COMMISSIONE BONIFICO"/>
    <s v="MAGGIO"/>
    <x v="0"/>
    <n v="5"/>
    <s v="MAGGIO 2026"/>
    <s v="5 MAGGIO 2026"/>
    <x v="9"/>
    <x v="6"/>
    <n v="0.5"/>
    <m/>
    <m/>
    <m/>
  </r>
  <r>
    <s v="AGENZIA SERENA GROUP"/>
    <s v="MAGGIO"/>
    <x v="0"/>
    <n v="5"/>
    <s v="MAGGIO 2026"/>
    <s v="5 MAGGIO 2026"/>
    <x v="12"/>
    <x v="7"/>
    <n v="155.06"/>
    <m/>
    <m/>
    <s v="Spesa badante papa'"/>
  </r>
  <r>
    <s v="BRICOCENTER"/>
    <s v="APRILE"/>
    <x v="0"/>
    <n v="4"/>
    <s v="APRILE 2026"/>
    <s v="4 APRILE 2026"/>
    <x v="1"/>
    <x v="1"/>
    <n v="13.2"/>
    <m/>
    <m/>
    <m/>
  </r>
  <r>
    <s v="SPESA LIDL"/>
    <s v="APRILE"/>
    <x v="0"/>
    <n v="4"/>
    <s v="APRILE 2026"/>
    <s v="4 APRILE 2026"/>
    <x v="0"/>
    <x v="0"/>
    <n v="9.3699999999999992"/>
    <m/>
    <m/>
    <m/>
  </r>
  <r>
    <s v="PARROCCHIA SAN UDINE"/>
    <s v="APRILE"/>
    <x v="0"/>
    <n v="4"/>
    <s v="APRILE 2026"/>
    <s v="4 APRILE 2026"/>
    <x v="2"/>
    <x v="2"/>
    <n v="26"/>
    <m/>
    <m/>
    <m/>
  </r>
  <r>
    <s v="SPESA VISOTTO"/>
    <s v="APRILE"/>
    <x v="0"/>
    <n v="4"/>
    <s v="APRILE 2026"/>
    <s v="4 APRILE 2026"/>
    <x v="0"/>
    <x v="0"/>
    <n v="28.57"/>
    <m/>
    <m/>
    <m/>
  </r>
  <r>
    <s v="COMBIPEL"/>
    <s v="APRILE"/>
    <x v="0"/>
    <n v="4"/>
    <s v="APRILE 2026"/>
    <s v="4 APRILE 2026"/>
    <x v="13"/>
    <x v="3"/>
    <n v="99.72"/>
    <m/>
    <m/>
    <m/>
  </r>
  <r>
    <s v="HALFPRICE UDINE"/>
    <s v="APRILE"/>
    <x v="0"/>
    <n v="4"/>
    <s v="APRILE 2026"/>
    <s v="4 APRILE 2026"/>
    <x v="13"/>
    <x v="3"/>
    <n v="44.27"/>
    <m/>
    <m/>
    <m/>
  </r>
  <r>
    <s v="IKEA VILLESSE"/>
    <s v="APRILE"/>
    <x v="0"/>
    <n v="4"/>
    <s v="APRILE 2026"/>
    <s v="4 APRILE 2026"/>
    <x v="1"/>
    <x v="1"/>
    <n v="79.099999999999994"/>
    <m/>
    <m/>
    <m/>
  </r>
  <r>
    <s v="AGENZIA SERENA GROUP"/>
    <s v="APRILE"/>
    <x v="0"/>
    <n v="4"/>
    <s v="APRILE 2026"/>
    <s v="4 APRILE 2026"/>
    <x v="12"/>
    <x v="7"/>
    <n v="427.5"/>
    <m/>
    <m/>
    <s v="Spesa badante papa'"/>
  </r>
  <r>
    <s v="PROSCIUTTIFICIO ALBERTI"/>
    <s v="APRILE"/>
    <x v="0"/>
    <n v="4"/>
    <s v="APRILE 2026"/>
    <s v="4 APRILE 2026"/>
    <x v="2"/>
    <x v="2"/>
    <n v="10"/>
    <m/>
    <m/>
    <m/>
  </r>
  <r>
    <s v="PIZZERIA CHICHIBIO"/>
    <s v="APRILE"/>
    <x v="0"/>
    <n v="4"/>
    <s v="APRILE 2026"/>
    <s v="4 APRILE 2026"/>
    <x v="2"/>
    <x v="2"/>
    <n v="36.700000000000003"/>
    <m/>
    <m/>
    <m/>
  </r>
  <r>
    <s v="BAR LE FUCINE"/>
    <s v="APRILE"/>
    <x v="0"/>
    <n v="4"/>
    <s v="APRILE 2026"/>
    <s v="4 APRILE 2026"/>
    <x v="2"/>
    <x v="2"/>
    <n v="65"/>
    <m/>
    <m/>
    <m/>
  </r>
  <r>
    <s v="CDA LOUNGE BAR"/>
    <s v="APRILE"/>
    <x v="0"/>
    <n v="4"/>
    <s v="APRILE 2026"/>
    <s v="4 APRILE 2026"/>
    <x v="2"/>
    <x v="2"/>
    <n v="28.5"/>
    <m/>
    <m/>
    <m/>
  </r>
  <r>
    <s v="CDA LOUNGE BAR"/>
    <s v="APRILE"/>
    <x v="0"/>
    <n v="4"/>
    <s v="APRILE 2026"/>
    <s v="4 APRILE 2026"/>
    <x v="2"/>
    <x v="2"/>
    <n v="437.5"/>
    <m/>
    <m/>
    <s v="Buffet addio Refrion"/>
  </r>
  <r>
    <s v="COMMISSIONE BONIFICO"/>
    <s v="APRILE"/>
    <x v="0"/>
    <n v="4"/>
    <s v="APRILE 2026"/>
    <s v="4 APRILE 2026"/>
    <x v="9"/>
    <x v="6"/>
    <n v="0.9"/>
    <m/>
    <m/>
    <s v="Assilt Papa'"/>
  </r>
  <r>
    <s v="ASSILT"/>
    <s v="APRILE"/>
    <x v="0"/>
    <n v="4"/>
    <s v="APRILE 2026"/>
    <s v="4 APRILE 2026"/>
    <x v="10"/>
    <x v="3"/>
    <n v="128.44999999999999"/>
    <m/>
    <m/>
    <s v="Assilt Papa'"/>
  </r>
  <r>
    <s v="TARI"/>
    <s v="MARZO"/>
    <x v="0"/>
    <n v="3"/>
    <s v="MARZO 2026"/>
    <s v="3 MARZO 2026"/>
    <x v="9"/>
    <x v="6"/>
    <n v="72.599999999999994"/>
    <m/>
    <m/>
    <s v="Tari 2026"/>
  </r>
  <r>
    <s v="DA EDY REMANZACCO"/>
    <s v="GENNAIO"/>
    <x v="0"/>
    <n v="1"/>
    <s v="GENNAIO 2026"/>
    <s v="1 GENNAIO 2026"/>
    <x v="2"/>
    <x v="2"/>
    <n v="225.2"/>
    <m/>
    <m/>
    <m/>
  </r>
  <r>
    <s v="COMMISSIONE BONIFICO"/>
    <s v="GENNAIO"/>
    <x v="0"/>
    <n v="1"/>
    <s v="GENNAIO 2026"/>
    <s v="1 GENNAIO 2026"/>
    <x v="9"/>
    <x v="6"/>
    <n v="0.5"/>
    <m/>
    <m/>
    <m/>
  </r>
  <r>
    <s v="CAFC"/>
    <s v="GENNAIO"/>
    <x v="0"/>
    <n v="1"/>
    <s v="GENNAIO 2026"/>
    <s v="1 GENNAIO 2026"/>
    <x v="9"/>
    <x v="6"/>
    <n v="31.91"/>
    <m/>
    <m/>
    <m/>
  </r>
  <r>
    <s v="PAGAMENTO RITENUTE ALLA FONTE"/>
    <s v="GENNAIO"/>
    <x v="0"/>
    <n v="1"/>
    <s v="GENNAIO 2026"/>
    <s v="1 GENNAIO 2026"/>
    <x v="9"/>
    <x v="6"/>
    <n v="0.03"/>
    <m/>
    <m/>
    <m/>
  </r>
  <r>
    <s v="IMPOSTA DI BOLLO"/>
    <s v="GENNAIO"/>
    <x v="0"/>
    <n v="1"/>
    <s v="GENNAIO 2026"/>
    <s v="1 GENNAIO 2026"/>
    <x v="9"/>
    <x v="6"/>
    <n v="34.200000000000003"/>
    <m/>
    <m/>
    <m/>
  </r>
  <r>
    <s v="UFFICINA"/>
    <s v="DICEMBRE"/>
    <x v="1"/>
    <n v="12"/>
    <s v="DICEMBRE 2025"/>
    <s v="12 DICEMBRE 2025"/>
    <x v="2"/>
    <x v="2"/>
    <n v="12"/>
    <m/>
    <m/>
    <m/>
  </r>
  <r>
    <s v="UFFICINA"/>
    <s v="DICEMBRE"/>
    <x v="1"/>
    <n v="12"/>
    <s v="DICEMBRE 2025"/>
    <s v="12 DICEMBRE 2025"/>
    <x v="2"/>
    <x v="2"/>
    <n v="20"/>
    <m/>
    <m/>
    <m/>
  </r>
  <r>
    <s v="BOTTEGA VERDE"/>
    <s v="DICEMBRE"/>
    <x v="1"/>
    <n v="12"/>
    <s v="DICEMBRE 2025"/>
    <s v="12 DICEMBRE 2025"/>
    <x v="10"/>
    <x v="3"/>
    <n v="25.98"/>
    <m/>
    <m/>
    <s v="Regali Natale 2025"/>
  </r>
  <r>
    <s v="BABY &amp; BOYS"/>
    <s v="DICEMBRE"/>
    <x v="1"/>
    <n v="12"/>
    <s v="DICEMBRE 2025"/>
    <s v="12 DICEMBRE 2025"/>
    <x v="10"/>
    <x v="3"/>
    <n v="42.5"/>
    <m/>
    <m/>
    <s v="Regali Natale 2025"/>
  </r>
  <r>
    <s v="PROSCIUTTIFICIO ALBERTI"/>
    <s v="DICEMBRE"/>
    <x v="1"/>
    <n v="12"/>
    <s v="DICEMBRE 2025"/>
    <s v="12 DICEMBRE 2025"/>
    <x v="2"/>
    <x v="2"/>
    <n v="80"/>
    <m/>
    <m/>
    <s v="Regali Natale 2025"/>
  </r>
  <r>
    <s v="MEDICENTER RONCHI"/>
    <s v="DICEMBRE"/>
    <x v="1"/>
    <n v="12"/>
    <s v="DICEMBRE 2025"/>
    <s v="12 DICEMBRE 2025"/>
    <x v="11"/>
    <x v="0"/>
    <n v="33"/>
    <m/>
    <m/>
    <m/>
  </r>
  <r>
    <s v="SPESA VISOTTO"/>
    <s v="DICEMBRE"/>
    <x v="1"/>
    <n v="12"/>
    <s v="DICEMBRE 2025"/>
    <s v="12 DICEMBRE 2025"/>
    <x v="0"/>
    <x v="0"/>
    <n v="10.99"/>
    <m/>
    <m/>
    <m/>
  </r>
  <r>
    <s v="SPESA DIDON"/>
    <s v="DICEMBRE"/>
    <x v="1"/>
    <n v="12"/>
    <s v="DICEMBRE 2025"/>
    <s v="12 DICEMBRE 2025"/>
    <x v="1"/>
    <x v="1"/>
    <n v="25.89"/>
    <m/>
    <m/>
    <m/>
  </r>
  <r>
    <s v="SPESA LIDL"/>
    <s v="DICEMBRE"/>
    <x v="1"/>
    <n v="12"/>
    <s v="DICEMBRE 2025"/>
    <s v="12 DICEMBRE 2025"/>
    <x v="0"/>
    <x v="0"/>
    <n v="17.350000000000001"/>
    <m/>
    <m/>
    <m/>
  </r>
  <r>
    <s v="IKEA VILLESSE"/>
    <s v="DICEMBRE"/>
    <x v="1"/>
    <n v="12"/>
    <s v="DICEMBRE 2025"/>
    <s v="12 DICEMBRE 2025"/>
    <x v="1"/>
    <x v="1"/>
    <n v="43.75"/>
    <m/>
    <m/>
    <m/>
  </r>
  <r>
    <s v="GIUNTI AL PUNTO"/>
    <s v="DICEMBRE"/>
    <x v="1"/>
    <n v="12"/>
    <s v="DICEMBRE 2025"/>
    <s v="12 DICEMBRE 2025"/>
    <x v="10"/>
    <x v="3"/>
    <n v="4.95"/>
    <m/>
    <m/>
    <s v="Regali Natale 2025"/>
  </r>
  <r>
    <s v="MEDIAWORLD"/>
    <s v="DICEMBRE"/>
    <x v="1"/>
    <n v="12"/>
    <s v="DICEMBRE 2025"/>
    <s v="12 DICEMBRE 2025"/>
    <x v="10"/>
    <x v="3"/>
    <n v="34.99"/>
    <m/>
    <m/>
    <s v="Regali Natale 2025"/>
  </r>
  <r>
    <s v="UFFICINA"/>
    <s v="DICEMBRE"/>
    <x v="1"/>
    <n v="12"/>
    <s v="DICEMBRE 2025"/>
    <s v="12 DICEMBRE 2025"/>
    <x v="2"/>
    <x v="2"/>
    <n v="20"/>
    <m/>
    <m/>
    <m/>
  </r>
  <r>
    <s v="UFFICINA"/>
    <s v="DICEMBRE"/>
    <x v="1"/>
    <n v="12"/>
    <s v="DICEMBRE 2025"/>
    <s v="12 DICEMBRE 2025"/>
    <x v="2"/>
    <x v="2"/>
    <n v="33"/>
    <m/>
    <m/>
    <m/>
  </r>
  <r>
    <s v="COMMISSIONE SEPA"/>
    <s v="NOVEMBRE"/>
    <x v="1"/>
    <n v="11"/>
    <s v="NOVEMBRE 2025"/>
    <s v="11 NOVEMBRE 2025"/>
    <x v="14"/>
    <x v="6"/>
    <n v="2.5"/>
    <m/>
    <m/>
    <m/>
  </r>
  <r>
    <s v="NOW TV"/>
    <s v="NOVEMBRE"/>
    <x v="1"/>
    <n v="11"/>
    <s v="NOVEMBRE 2025"/>
    <s v="11 NOVEMBRE 2025"/>
    <x v="15"/>
    <x v="8"/>
    <n v="4.99"/>
    <m/>
    <s v="PAYPAL"/>
    <m/>
  </r>
  <r>
    <s v="COMMISSIONE SEPA"/>
    <s v="NOVEMBRE"/>
    <x v="1"/>
    <n v="11"/>
    <s v="NOVEMBRE 2025"/>
    <s v="11 NOVEMBRE 2025"/>
    <x v="14"/>
    <x v="6"/>
    <n v="2.5"/>
    <m/>
    <m/>
    <m/>
  </r>
  <r>
    <s v="NETFLIX"/>
    <s v="NOVEMBRE"/>
    <x v="1"/>
    <n v="11"/>
    <s v="NOVEMBRE 2025"/>
    <s v="11 NOVEMBRE 2025"/>
    <x v="15"/>
    <x v="8"/>
    <n v="6.99"/>
    <m/>
    <s v="PAYPAL"/>
    <m/>
  </r>
  <r>
    <s v="UNITED EAGLES CIVIDALE"/>
    <s v="OTTOBRE"/>
    <x v="1"/>
    <n v="10"/>
    <s v="OTTOBRE 2025"/>
    <s v="10 OTTOBRE 2025"/>
    <x v="2"/>
    <x v="2"/>
    <n v="40"/>
    <m/>
    <m/>
    <m/>
  </r>
  <r>
    <s v="TARI"/>
    <s v="SETTEMBRE"/>
    <x v="1"/>
    <n v="9"/>
    <s v="SETTEMBRE 2025"/>
    <s v="9 SETTEMBRE 2025"/>
    <x v="9"/>
    <x v="6"/>
    <n v="40"/>
    <m/>
    <m/>
    <s v="Tari 2025"/>
  </r>
  <r>
    <s v="TARI"/>
    <s v="SETTEMBRE"/>
    <x v="1"/>
    <n v="9"/>
    <s v="SETTEMBRE 2025"/>
    <s v="9 SETTEMBRE 2025"/>
    <x v="9"/>
    <x v="6"/>
    <n v="40"/>
    <m/>
    <m/>
    <s v="Tari 2025"/>
  </r>
  <r>
    <s v="CHICHIBIO"/>
    <s v="AGOSTO"/>
    <x v="1"/>
    <n v="8"/>
    <s v="AGOSTO 2025"/>
    <s v="8 AGOSTO 2025"/>
    <x v="2"/>
    <x v="2"/>
    <n v="32.9"/>
    <m/>
    <m/>
    <m/>
  </r>
  <r>
    <s v="LIME"/>
    <s v="AGOSTO"/>
    <x v="1"/>
    <n v="8"/>
    <s v="AGOSTO 2025"/>
    <s v="8 AGOSTO 2025"/>
    <x v="16"/>
    <x v="5"/>
    <n v="0.75"/>
    <m/>
    <s v="PAYPAL"/>
    <m/>
  </r>
  <r>
    <s v="STABILIMENTO TIVOLI"/>
    <s v="AGOSTO"/>
    <x v="1"/>
    <n v="8"/>
    <s v="AGOSTO 2025"/>
    <s v="8 AGOSTO 2025"/>
    <x v="2"/>
    <x v="2"/>
    <n v="15"/>
    <m/>
    <m/>
    <m/>
  </r>
  <r>
    <s v="AIR PORTUGAL"/>
    <s v="GIUGNO"/>
    <x v="1"/>
    <n v="6"/>
    <s v="GIUGNO 2025"/>
    <s v="6 GIUGNO 2025"/>
    <x v="16"/>
    <x v="5"/>
    <n v="-222.3"/>
    <m/>
    <s v="PAYPAL"/>
    <s v="Storno"/>
  </r>
  <r>
    <s v="AIR PORTUGAL"/>
    <s v="GIUGNO"/>
    <x v="1"/>
    <n v="6"/>
    <s v="GIUGNO 2025"/>
    <s v="6 GIUGNO 2025"/>
    <x v="16"/>
    <x v="5"/>
    <n v="222.3"/>
    <m/>
    <s v="PAYPAL"/>
    <s v="Errore"/>
  </r>
  <r>
    <s v="SPREADSHIRT"/>
    <s v="MAGGIO"/>
    <x v="1"/>
    <n v="5"/>
    <s v="MAGGIO 2025"/>
    <s v="5 MAGGIO 2025"/>
    <x v="13"/>
    <x v="3"/>
    <n v="-885"/>
    <m/>
    <s v="PAYPAL"/>
    <s v="Magliette Basket Terzo (Rimborso)"/>
  </r>
  <r>
    <s v="SPREADSHIRT"/>
    <s v="MAGGIO"/>
    <x v="1"/>
    <n v="5"/>
    <s v="MAGGIO 2025"/>
    <s v="5 MAGGIO 2025"/>
    <x v="13"/>
    <x v="3"/>
    <n v="889.75"/>
    <m/>
    <s v="PAYPAL"/>
    <s v="Magliette Basket Terzo"/>
  </r>
  <r>
    <s v="AMAZON"/>
    <s v="APRILE"/>
    <x v="1"/>
    <n v="4"/>
    <s v="APRILE 2025"/>
    <s v="4 APRILE 2025"/>
    <x v="10"/>
    <x v="3"/>
    <n v="494.28"/>
    <m/>
    <m/>
    <s v="Regalo Francesco"/>
  </r>
  <r>
    <s v="TICKETONE"/>
    <s v="APRILE"/>
    <x v="1"/>
    <n v="4"/>
    <s v="APRILE 2025"/>
    <s v="4 APRILE 2025"/>
    <x v="17"/>
    <x v="2"/>
    <n v="38.200000000000003"/>
    <s v="2/3"/>
    <s v="PAYPAL"/>
    <s v="Concerto In Flames"/>
  </r>
  <r>
    <s v="IKEA VILLESSE"/>
    <s v="MARZO"/>
    <x v="1"/>
    <n v="3"/>
    <s v="MARZO 2025"/>
    <s v="3 MARZO 2025"/>
    <x v="1"/>
    <x v="1"/>
    <n v="127.9"/>
    <m/>
    <m/>
    <m/>
  </r>
  <r>
    <s v="MARIUTA"/>
    <s v="MARZO"/>
    <x v="1"/>
    <n v="3"/>
    <s v="MARZO 2025"/>
    <s v="3 MARZO 2025"/>
    <x v="2"/>
    <x v="2"/>
    <n v="95"/>
    <m/>
    <m/>
    <m/>
  </r>
  <r>
    <s v="SPESA DIDON"/>
    <s v="MARZO"/>
    <x v="1"/>
    <n v="3"/>
    <s v="MARZO 2025"/>
    <s v="3 MARZO 2025"/>
    <x v="1"/>
    <x v="1"/>
    <n v="14.74"/>
    <m/>
    <m/>
    <m/>
  </r>
  <r>
    <s v="SPESA MEGA"/>
    <s v="MARZO"/>
    <x v="1"/>
    <n v="3"/>
    <s v="MARZO 2025"/>
    <s v="3 MARZO 2025"/>
    <x v="0"/>
    <x v="0"/>
    <n v="5.44"/>
    <m/>
    <m/>
    <m/>
  </r>
  <r>
    <s v="TICKETONE"/>
    <s v="MARZO"/>
    <x v="1"/>
    <n v="3"/>
    <s v="MARZO 2025"/>
    <s v="3 MARZO 2025"/>
    <x v="17"/>
    <x v="2"/>
    <n v="38.19"/>
    <s v="1/3"/>
    <s v="PAYPAL"/>
    <s v="Concerto In Flames"/>
  </r>
  <r>
    <s v="VOLO NAPOLI"/>
    <s v="MARZO"/>
    <x v="1"/>
    <n v="3"/>
    <s v="MARZO 2025"/>
    <s v="3 MARZO 2025"/>
    <x v="16"/>
    <x v="5"/>
    <n v="349.48"/>
    <m/>
    <m/>
    <m/>
  </r>
  <r>
    <s v="CDA LOUNGE BAR"/>
    <s v="MARZO"/>
    <x v="1"/>
    <n v="3"/>
    <s v="MARZO 2025"/>
    <s v="3 MARZO 2025"/>
    <x v="2"/>
    <x v="2"/>
    <n v="6.5"/>
    <m/>
    <m/>
    <m/>
  </r>
  <r>
    <s v="CARTA DEL CREDITO COOPERATIVO"/>
    <s v="FEBBRAIO"/>
    <x v="1"/>
    <n v="2"/>
    <s v="FEBBRAIO 2025"/>
    <s v="2 FEBBRAIO 2025"/>
    <x v="18"/>
    <x v="9"/>
    <n v="26.34"/>
    <m/>
    <m/>
    <m/>
  </r>
  <r>
    <s v="TARI"/>
    <s v="GENNAIO"/>
    <x v="1"/>
    <n v="1"/>
    <s v="GENNAIO 2025"/>
    <s v="1 GENNAIO 2025"/>
    <x v="9"/>
    <x v="6"/>
    <n v="63"/>
    <m/>
    <m/>
    <s v="Tari 2024"/>
  </r>
  <r>
    <s v="SPESA VISOTTO"/>
    <s v="GENNAIO"/>
    <x v="1"/>
    <n v="1"/>
    <s v="GENNAIO 2025"/>
    <s v="1 GENNAIO 2025"/>
    <x v="0"/>
    <x v="0"/>
    <n v="6.33"/>
    <m/>
    <m/>
    <m/>
  </r>
  <r>
    <s v="SPESA CONAD"/>
    <s v="GENNAIO"/>
    <x v="1"/>
    <n v="1"/>
    <s v="GENNAIO 2025"/>
    <s v="1 GENNAIO 2025"/>
    <x v="0"/>
    <x v="0"/>
    <n v="5.66"/>
    <m/>
    <m/>
    <m/>
  </r>
  <r>
    <s v="ORSO BAKERY"/>
    <s v="GENNAIO"/>
    <x v="1"/>
    <n v="1"/>
    <s v="GENNAIO 2025"/>
    <s v="1 GENNAIO 2025"/>
    <x v="2"/>
    <x v="2"/>
    <n v="8"/>
    <m/>
    <m/>
    <m/>
  </r>
  <r>
    <s v="ALLA SPERANZA"/>
    <s v="GENNAIO"/>
    <x v="1"/>
    <n v="1"/>
    <s v="GENNAIO 2025"/>
    <s v="1 GENNAIO 2025"/>
    <x v="2"/>
    <x v="2"/>
    <n v="25"/>
    <m/>
    <m/>
    <m/>
  </r>
  <r>
    <s v="SPESA CONAD"/>
    <s v="GENNAIO"/>
    <x v="1"/>
    <n v="1"/>
    <s v="GENNAIO 2025"/>
    <s v="1 GENNAIO 2025"/>
    <x v="0"/>
    <x v="0"/>
    <n v="20.71"/>
    <m/>
    <m/>
    <m/>
  </r>
  <r>
    <s v="DIDON STORE"/>
    <s v="GENNAIO"/>
    <x v="1"/>
    <n v="1"/>
    <s v="GENNAIO 2025"/>
    <s v="1 GENNAIO 2025"/>
    <x v="1"/>
    <x v="1"/>
    <n v="20.64"/>
    <m/>
    <m/>
    <m/>
  </r>
  <r>
    <s v="SPESA MEGA"/>
    <s v="GENNAIO"/>
    <x v="1"/>
    <n v="1"/>
    <s v="GENNAIO 2025"/>
    <s v="1 GENNAIO 2025"/>
    <x v="0"/>
    <x v="0"/>
    <n v="16.39"/>
    <m/>
    <m/>
    <m/>
  </r>
  <r>
    <s v="SPESA LIDL"/>
    <s v="GENNAIO"/>
    <x v="1"/>
    <n v="1"/>
    <s v="GENNAIO 2025"/>
    <s v="1 GENNAIO 2025"/>
    <x v="0"/>
    <x v="0"/>
    <n v="21.05"/>
    <m/>
    <m/>
    <m/>
  </r>
  <r>
    <s v="IKEA VILLESSE"/>
    <s v="GENNAIO"/>
    <x v="1"/>
    <n v="1"/>
    <s v="GENNAIO 2025"/>
    <s v="1 GENNAIO 2025"/>
    <x v="1"/>
    <x v="1"/>
    <n v="101.7"/>
    <m/>
    <m/>
    <m/>
  </r>
  <r>
    <s v="COMMISSIONE SEPA"/>
    <s v="GENNAIO"/>
    <x v="1"/>
    <n v="1"/>
    <s v="GENNAIO 2025"/>
    <s v="1 GENNAIO 2025"/>
    <x v="14"/>
    <x v="6"/>
    <n v="2.5"/>
    <m/>
    <m/>
    <m/>
  </r>
  <r>
    <s v="NETFLIX"/>
    <s v="GENNAIO"/>
    <x v="1"/>
    <n v="1"/>
    <s v="GENNAIO 2025"/>
    <s v="1 GENNAIO 2025"/>
    <x v="15"/>
    <x v="8"/>
    <n v="6.99"/>
    <m/>
    <s v="PAYPAL"/>
    <m/>
  </r>
  <r>
    <s v="COMMISSIONE BONIFICO"/>
    <s v="GENNAIO"/>
    <x v="1"/>
    <n v="1"/>
    <s v="GENNAIO 2025"/>
    <s v="1 GENNAIO 2025"/>
    <x v="9"/>
    <x v="6"/>
    <n v="0.5"/>
    <m/>
    <m/>
    <m/>
  </r>
  <r>
    <s v="CAFC"/>
    <s v="GENNAIO"/>
    <x v="1"/>
    <n v="1"/>
    <s v="GENNAIO 2025"/>
    <s v="1 GENNAIO 2025"/>
    <x v="9"/>
    <x v="6"/>
    <n v="31.72"/>
    <m/>
    <m/>
    <m/>
  </r>
  <r>
    <s v="PAGAMENTO RITENUTE ALLA FONTE"/>
    <s v="GENNAIO"/>
    <x v="1"/>
    <n v="1"/>
    <s v="GENNAIO 2025"/>
    <s v="1 GENNAIO 2025"/>
    <x v="9"/>
    <x v="6"/>
    <n v="0.02"/>
    <m/>
    <m/>
    <m/>
  </r>
  <r>
    <s v="IMPOSTA DI BOLLO"/>
    <s v="GENNAIO"/>
    <x v="1"/>
    <n v="1"/>
    <s v="GENNAIO 2025"/>
    <s v="1 GENNAIO 2025"/>
    <x v="9"/>
    <x v="6"/>
    <n v="34.200000000000003"/>
    <m/>
    <m/>
    <m/>
  </r>
  <r>
    <s v="ALLA GHIACCIAIA"/>
    <s v="DICEMBRE"/>
    <x v="2"/>
    <n v="12"/>
    <s v="DICEMBRE 2024"/>
    <s v="12 DICEMBRE 2024"/>
    <x v="2"/>
    <x v="2"/>
    <n v="41.3"/>
    <m/>
    <m/>
    <m/>
  </r>
  <r>
    <s v="IKEA VILLESSE"/>
    <s v="DICEMBRE"/>
    <x v="2"/>
    <n v="12"/>
    <s v="DICEMBRE 2024"/>
    <s v="12 DICEMBRE 2024"/>
    <x v="1"/>
    <x v="1"/>
    <n v="14.45"/>
    <m/>
    <m/>
    <m/>
  </r>
  <r>
    <s v="GAMESTOP"/>
    <s v="DICEMBRE"/>
    <x v="2"/>
    <n v="12"/>
    <s v="DICEMBRE 2024"/>
    <s v="12 DICEMBRE 2024"/>
    <x v="10"/>
    <x v="3"/>
    <n v="50"/>
    <m/>
    <m/>
    <s v="Regali di natale"/>
  </r>
  <r>
    <s v="COMMISSIONE SEPA"/>
    <s v="DICEMBRE"/>
    <x v="2"/>
    <n v="12"/>
    <s v="DICEMBRE 2024"/>
    <s v="12 DICEMBRE 2024"/>
    <x v="14"/>
    <x v="6"/>
    <n v="2.5"/>
    <m/>
    <m/>
    <m/>
  </r>
  <r>
    <s v="SPREADSHIRT"/>
    <s v="DICEMBRE"/>
    <x v="2"/>
    <n v="12"/>
    <s v="DICEMBRE 2024"/>
    <s v="12 DICEMBRE 2024"/>
    <x v="10"/>
    <x v="3"/>
    <n v="93"/>
    <m/>
    <s v="PAYPAL"/>
    <s v="Regali di natale"/>
  </r>
  <r>
    <s v="SPREADSHIRT"/>
    <s v="DICEMBRE"/>
    <x v="2"/>
    <n v="12"/>
    <s v="DICEMBRE 2024"/>
    <s v="12 DICEMBRE 2024"/>
    <x v="13"/>
    <x v="3"/>
    <n v="318.89999999999998"/>
    <m/>
    <s v="PAYPAL"/>
    <s v="Felpe e Cappellini Basket Terzo"/>
  </r>
  <r>
    <s v="COMMISSIONE SEPA"/>
    <s v="DICEMBRE"/>
    <x v="2"/>
    <n v="12"/>
    <s v="DICEMBRE 2024"/>
    <s v="12 DICEMBRE 2024"/>
    <x v="14"/>
    <x v="6"/>
    <n v="2.5"/>
    <m/>
    <m/>
    <m/>
  </r>
  <r>
    <s v="NETFLIX"/>
    <s v="DICEMBRE"/>
    <x v="2"/>
    <n v="12"/>
    <s v="DICEMBRE 2024"/>
    <s v="12 DICEMBRE 2024"/>
    <x v="15"/>
    <x v="8"/>
    <n v="9.99"/>
    <m/>
    <s v="PAYPAL"/>
    <m/>
  </r>
  <r>
    <s v="TARI"/>
    <s v="DICEMBRE"/>
    <x v="2"/>
    <n v="12"/>
    <s v="DICEMBRE 2024"/>
    <s v="12 DICEMBRE 2024"/>
    <x v="9"/>
    <x v="6"/>
    <n v="36"/>
    <m/>
    <m/>
    <s v="Tari 2024"/>
  </r>
  <r>
    <s v="TARI"/>
    <s v="DICEMBRE"/>
    <x v="2"/>
    <n v="12"/>
    <s v="DICEMBRE 2024"/>
    <s v="12 DICEMBRE 2024"/>
    <x v="9"/>
    <x v="6"/>
    <n v="36"/>
    <m/>
    <m/>
    <s v="Tari 2024"/>
  </r>
  <r>
    <s v="RONCATO"/>
    <s v="NOVEMBRE"/>
    <x v="2"/>
    <n v="11"/>
    <s v="NOVEMBRE 2024"/>
    <s v="11 NOVEMBRE 2024"/>
    <x v="13"/>
    <x v="3"/>
    <n v="109.2"/>
    <m/>
    <m/>
    <m/>
  </r>
  <r>
    <s v="BOOKING"/>
    <s v="NOVEMBRE"/>
    <x v="2"/>
    <n v="11"/>
    <s v="NOVEMBRE 2024"/>
    <s v="11 NOVEMBRE 2024"/>
    <x v="7"/>
    <x v="5"/>
    <n v="125.2"/>
    <m/>
    <m/>
    <s v="Hotel Viterbo"/>
  </r>
  <r>
    <s v="COMMISSIONE BONIFICO"/>
    <s v="NOVEMBRE"/>
    <x v="2"/>
    <n v="11"/>
    <s v="NOVEMBRE 2024"/>
    <s v="11 NOVEMBRE 2024"/>
    <x v="9"/>
    <x v="6"/>
    <n v="0.5"/>
    <m/>
    <m/>
    <s v="Hotel Viterbo"/>
  </r>
  <r>
    <s v="COMMISSIONE SEPA"/>
    <s v="NOVEMBRE"/>
    <x v="2"/>
    <n v="11"/>
    <s v="NOVEMBRE 2024"/>
    <s v="11 NOVEMBRE 2024"/>
    <x v="14"/>
    <x v="6"/>
    <n v="2.5"/>
    <m/>
    <m/>
    <m/>
  </r>
  <r>
    <s v="SPREADSHIRT"/>
    <s v="NOVEMBRE"/>
    <x v="2"/>
    <n v="11"/>
    <s v="NOVEMBRE 2024"/>
    <s v="11 NOVEMBRE 2024"/>
    <x v="13"/>
    <x v="3"/>
    <n v="1591.51"/>
    <m/>
    <s v="PAYPAL"/>
    <s v="Felpe e Cappellini Basket Terzo"/>
  </r>
  <r>
    <s v="COMMISSIONE SEPA"/>
    <s v="NOVEMBRE"/>
    <x v="2"/>
    <n v="11"/>
    <s v="NOVEMBRE 2024"/>
    <s v="11 NOVEMBRE 2024"/>
    <x v="14"/>
    <x v="6"/>
    <n v="2.5"/>
    <m/>
    <m/>
    <m/>
  </r>
  <r>
    <s v="PAYPAL"/>
    <s v="NOVEMBRE"/>
    <x v="2"/>
    <n v="11"/>
    <s v="NOVEMBRE 2024"/>
    <s v="11 NOVEMBRE 2024"/>
    <x v="13"/>
    <x v="3"/>
    <n v="0.97"/>
    <m/>
    <s v="PAYPAL"/>
    <m/>
  </r>
  <r>
    <s v="SPREADSHIRT"/>
    <s v="OTTOBRE"/>
    <x v="2"/>
    <n v="10"/>
    <s v="OTTOBRE 2024"/>
    <s v="10 OTTOBRE 2024"/>
    <x v="13"/>
    <x v="3"/>
    <n v="-300"/>
    <m/>
    <s v="PAYPAL"/>
    <s v="Felpe e Cappellini Basket Terzo (rimborso)"/>
  </r>
  <r>
    <s v="SPREADSHIRT"/>
    <s v="OTTOBRE"/>
    <x v="2"/>
    <n v="10"/>
    <s v="OTTOBRE 2024"/>
    <s v="10 OTTOBRE 2024"/>
    <x v="13"/>
    <x v="3"/>
    <n v="-229.01"/>
    <m/>
    <s v="PAYPAL"/>
    <s v="Felpe e Cappellini Basket Terzo (rimborso)"/>
  </r>
  <r>
    <s v="SPREADSHIRT"/>
    <s v="OTTOBRE"/>
    <x v="2"/>
    <n v="10"/>
    <s v="OTTOBRE 2024"/>
    <s v="10 OTTOBRE 2024"/>
    <x v="13"/>
    <x v="3"/>
    <n v="-1050"/>
    <m/>
    <s v="PAYPAL"/>
    <s v="Felpe e Cappellini Basket Terzo (rimborso)"/>
  </r>
  <r>
    <s v="COMMISSIONE BONIFICO"/>
    <s v="OTTOBRE"/>
    <x v="2"/>
    <n v="10"/>
    <s v="OTTOBRE 2024"/>
    <s v="10 OTTOBRE 2024"/>
    <x v="9"/>
    <x v="6"/>
    <n v="0.5"/>
    <m/>
    <m/>
    <m/>
  </r>
  <r>
    <s v="REVOLUT"/>
    <s v="OTTOBRE"/>
    <x v="2"/>
    <n v="10"/>
    <s v="OTTOBRE 2024"/>
    <s v="10 OTTOBRE 2024"/>
    <x v="12"/>
    <x v="7"/>
    <n v="-30"/>
    <m/>
    <s v="REVOLUT"/>
    <s v="Rimborso"/>
  </r>
  <r>
    <s v="PAYPAL"/>
    <s v="OTTOBRE"/>
    <x v="2"/>
    <n v="10"/>
    <s v="OTTOBRE 2024"/>
    <s v="10 OTTOBRE 2024"/>
    <x v="13"/>
    <x v="3"/>
    <n v="30"/>
    <m/>
    <s v="PAYPAL"/>
    <s v="Felpa Terzo Classics"/>
  </r>
  <r>
    <s v="PRENATAL"/>
    <s v="OTTOBRE"/>
    <x v="2"/>
    <n v="10"/>
    <s v="OTTOBRE 2024"/>
    <s v="10 OTTOBRE 2024"/>
    <x v="10"/>
    <x v="3"/>
    <n v="60"/>
    <m/>
    <m/>
    <s v="Regalo Sofia"/>
  </r>
  <r>
    <s v="COMMISSIONE SEPA"/>
    <s v="OTTOBRE"/>
    <x v="2"/>
    <n v="10"/>
    <s v="OTTOBRE 2024"/>
    <s v="10 OTTOBRE 2024"/>
    <x v="14"/>
    <x v="6"/>
    <n v="2.5"/>
    <m/>
    <m/>
    <m/>
  </r>
  <r>
    <s v="DANNO EUROPCAR"/>
    <s v="AGOSTO"/>
    <x v="2"/>
    <n v="8"/>
    <s v="AGOSTO 2024"/>
    <s v="8 AGOSTO 2024"/>
    <x v="9"/>
    <x v="6"/>
    <n v="607.21"/>
    <m/>
    <m/>
    <s v="Spese Creta"/>
  </r>
  <r>
    <s v="BOLLO AUTO TUCSON"/>
    <s v="AGOSTO"/>
    <x v="2"/>
    <n v="8"/>
    <s v="AGOSTO 2024"/>
    <s v="8 AGOSTO 2024"/>
    <x v="6"/>
    <x v="4"/>
    <n v="310.39"/>
    <m/>
    <m/>
    <m/>
  </r>
  <r>
    <s v="DIDON STORE"/>
    <s v="LUGLIO"/>
    <x v="2"/>
    <n v="7"/>
    <s v="LUGLIO 2024"/>
    <s v="7 LUGLIO 2024"/>
    <x v="1"/>
    <x v="1"/>
    <n v="15.04"/>
    <m/>
    <m/>
    <m/>
  </r>
  <r>
    <s v="SPESA MEGA"/>
    <s v="GIUGNO"/>
    <x v="2"/>
    <n v="6"/>
    <s v="GIUGNO 2024"/>
    <s v="6 GIUGNO 2024"/>
    <x v="0"/>
    <x v="0"/>
    <n v="10.199999999999999"/>
    <m/>
    <m/>
    <m/>
  </r>
  <r>
    <s v="SECONDA RATA BASKET TERZO"/>
    <s v="MAGGIO"/>
    <x v="2"/>
    <n v="5"/>
    <s v="MAGGIO 2024"/>
    <s v="5 MAGGIO 2024"/>
    <x v="9"/>
    <x v="6"/>
    <n v="75.5"/>
    <m/>
    <m/>
    <m/>
  </r>
  <r>
    <s v="SPESA MEGA"/>
    <s v="MAGGIO"/>
    <x v="2"/>
    <n v="5"/>
    <s v="MAGGIO 2024"/>
    <s v="5 MAGGIO 2024"/>
    <x v="0"/>
    <x v="0"/>
    <n v="3.5"/>
    <m/>
    <m/>
    <m/>
  </r>
  <r>
    <s v="HOTEL ANDREA TOMASIN"/>
    <s v="APRILE"/>
    <x v="2"/>
    <n v="4"/>
    <s v="APRILE 2024"/>
    <s v="4 APRILE 2024"/>
    <x v="16"/>
    <x v="5"/>
    <n v="-68"/>
    <m/>
    <m/>
    <m/>
  </r>
  <r>
    <s v="COMMISSIONE BONIFICO"/>
    <s v="MARZO"/>
    <x v="2"/>
    <n v="3"/>
    <s v="MARZO 2024"/>
    <s v="3 MARZO 2024"/>
    <x v="9"/>
    <x v="6"/>
    <n v="0.5"/>
    <m/>
    <m/>
    <m/>
  </r>
  <r>
    <s v="HOTEL ANDREA TOMASIN"/>
    <s v="MARZO"/>
    <x v="2"/>
    <n v="3"/>
    <s v="MARZO 2024"/>
    <s v="3 MARZO 2024"/>
    <x v="16"/>
    <x v="5"/>
    <n v="68"/>
    <m/>
    <m/>
    <m/>
  </r>
  <r>
    <s v="SPETTACOLO ELEAZARO"/>
    <s v="MARZO"/>
    <x v="2"/>
    <n v="3"/>
    <s v="MARZO 2024"/>
    <s v="3 MARZO 2024"/>
    <x v="17"/>
    <x v="2"/>
    <n v="60.28"/>
    <m/>
    <m/>
    <m/>
  </r>
  <r>
    <s v="HOTEL ANDREA TOMASIN"/>
    <s v="MARZO"/>
    <x v="2"/>
    <n v="3"/>
    <s v="MARZO 2024"/>
    <s v="3 MARZO 2024"/>
    <x v="16"/>
    <x v="5"/>
    <n v="-68"/>
    <m/>
    <m/>
    <s v="Storno"/>
  </r>
  <r>
    <s v="COMMISSIONE BONIFICO"/>
    <s v="MARZO"/>
    <x v="2"/>
    <n v="3"/>
    <s v="MARZO 2024"/>
    <s v="3 MARZO 2024"/>
    <x v="9"/>
    <x v="6"/>
    <n v="0.5"/>
    <m/>
    <m/>
    <m/>
  </r>
  <r>
    <s v="HOTEL ANDREA TOMASIN"/>
    <s v="MARZO"/>
    <x v="2"/>
    <n v="3"/>
    <s v="MARZO 2024"/>
    <s v="3 MARZO 2024"/>
    <x v="16"/>
    <x v="5"/>
    <n v="68"/>
    <m/>
    <m/>
    <m/>
  </r>
  <r>
    <s v="VOLO ADDIO AL CELIBATO"/>
    <s v="MARZO"/>
    <x v="2"/>
    <n v="3"/>
    <s v="MARZO 2024"/>
    <s v="3 MARZO 2024"/>
    <x v="16"/>
    <x v="5"/>
    <n v="78.5"/>
    <m/>
    <m/>
    <m/>
  </r>
  <r>
    <s v="SPESE CONDOMINIALI"/>
    <s v="FEBBRAIO"/>
    <x v="2"/>
    <n v="2"/>
    <s v="FEBBRAIO 2024"/>
    <s v="2 FEBBRAIO 2024"/>
    <x v="9"/>
    <x v="6"/>
    <n v="150.5"/>
    <m/>
    <m/>
    <m/>
  </r>
  <r>
    <s v="TARI"/>
    <s v="GENNAIO"/>
    <x v="2"/>
    <n v="1"/>
    <s v="GENNAIO 2024"/>
    <s v="1 GENNAIO 2024"/>
    <x v="9"/>
    <x v="6"/>
    <n v="46"/>
    <m/>
    <m/>
    <s v="Tari 2023"/>
  </r>
  <r>
    <s v="PAGAMENTO RITENUTE ALLA FONTE"/>
    <s v="GENNAIO"/>
    <x v="2"/>
    <n v="1"/>
    <s v="GENNAIO 2024"/>
    <s v="1 GENNAIO 2024"/>
    <x v="9"/>
    <x v="6"/>
    <n v="0.01"/>
    <m/>
    <m/>
    <m/>
  </r>
  <r>
    <s v="BOLLO AUTO"/>
    <s v="GENNAIO"/>
    <x v="2"/>
    <n v="1"/>
    <s v="GENNAIO 2024"/>
    <s v="1 GENNAIO 2024"/>
    <x v="6"/>
    <x v="4"/>
    <n v="327.71"/>
    <m/>
    <m/>
    <m/>
  </r>
  <r>
    <s v="CAFC"/>
    <s v="DICEMBRE"/>
    <x v="3"/>
    <n v="12"/>
    <s v="DICEMBRE 2023"/>
    <s v="12 DICEMBRE 2023"/>
    <x v="9"/>
    <x v="6"/>
    <n v="20.59"/>
    <m/>
    <m/>
    <m/>
  </r>
  <r>
    <s v="DANA SPORT"/>
    <s v="DICEMBRE"/>
    <x v="3"/>
    <n v="12"/>
    <s v="DICEMBRE 2023"/>
    <s v="12 DICEMBRE 2023"/>
    <x v="13"/>
    <x v="3"/>
    <n v="19"/>
    <m/>
    <m/>
    <s v="Regali di natale"/>
  </r>
  <r>
    <s v="EL.CO DOTTO DONATELLA"/>
    <s v="DICEMBRE"/>
    <x v="3"/>
    <n v="12"/>
    <s v="DICEMBRE 2023"/>
    <s v="12 DICEMBRE 2023"/>
    <x v="18"/>
    <x v="9"/>
    <n v="85.9"/>
    <m/>
    <m/>
    <m/>
  </r>
  <r>
    <s v="TARI"/>
    <s v="NOVEMBRE"/>
    <x v="3"/>
    <n v="11"/>
    <s v="NOVEMBRE 2023"/>
    <s v="11 NOVEMBRE 2023"/>
    <x v="9"/>
    <x v="6"/>
    <n v="39"/>
    <m/>
    <m/>
    <s v="Tari 2023"/>
  </r>
  <r>
    <s v="TARI"/>
    <s v="NOVEMBRE"/>
    <x v="3"/>
    <n v="11"/>
    <s v="NOVEMBRE 2023"/>
    <s v="11 NOVEMBRE 2023"/>
    <x v="9"/>
    <x v="6"/>
    <n v="39"/>
    <m/>
    <m/>
    <s v="Tari 2023"/>
  </r>
  <r>
    <s v="PRIMA RATA BASKET TERZO"/>
    <s v="OTTOBRE"/>
    <x v="3"/>
    <n v="10"/>
    <s v="OTTOBRE 2023"/>
    <s v="10 OTTOBRE 2023"/>
    <x v="9"/>
    <x v="6"/>
    <n v="75.5"/>
    <m/>
    <m/>
    <m/>
  </r>
  <r>
    <s v="TAGLIANDO AUTO"/>
    <s v="AGOSTO"/>
    <x v="3"/>
    <n v="8"/>
    <s v="AGOSTO 2023"/>
    <s v="8 AGOSTO 2023"/>
    <x v="6"/>
    <x v="4"/>
    <n v="470"/>
    <m/>
    <m/>
    <m/>
  </r>
  <r>
    <s v="SPESE CONDOMINIALI"/>
    <s v="AGOSTO"/>
    <x v="3"/>
    <n v="8"/>
    <s v="AGOSTO 2023"/>
    <s v="8 AGOSTO 2023"/>
    <x v="9"/>
    <x v="6"/>
    <n v="150.5"/>
    <m/>
    <m/>
    <m/>
  </r>
  <r>
    <s v="GOMME E CERCHI"/>
    <s v="MAGGIO"/>
    <x v="3"/>
    <n v="5"/>
    <s v="MAGGIO 2023"/>
    <s v="5 MAGGIO 2023"/>
    <x v="6"/>
    <x v="4"/>
    <n v="250"/>
    <m/>
    <m/>
    <s v="CONTANTI"/>
  </r>
  <r>
    <s v="CAFC"/>
    <s v="APRILE"/>
    <x v="3"/>
    <n v="4"/>
    <s v="APRILE 2023"/>
    <s v="4 APRILE 2023"/>
    <x v="9"/>
    <x v="6"/>
    <n v="16.8"/>
    <m/>
    <m/>
    <m/>
  </r>
  <r>
    <s v="SPESE CONDOMINIALI"/>
    <s v="MARZO"/>
    <x v="3"/>
    <n v="3"/>
    <s v="MARZO 2023"/>
    <s v="3 MARZO 2023"/>
    <x v="9"/>
    <x v="6"/>
    <n v="150.5"/>
    <m/>
    <m/>
    <m/>
  </r>
  <r>
    <s v="RIFORNIMENTO"/>
    <s v="GENNAIO"/>
    <x v="3"/>
    <n v="1"/>
    <s v="GENNAIO 2023"/>
    <s v="1 GENNAIO 2023"/>
    <x v="6"/>
    <x v="4"/>
    <n v="50.02"/>
    <m/>
    <m/>
    <m/>
  </r>
  <r>
    <s v="SPESA CONAD"/>
    <s v="GENNAIO"/>
    <x v="3"/>
    <n v="1"/>
    <s v="GENNAIO 2023"/>
    <s v="1 GENNAIO 2023"/>
    <x v="0"/>
    <x v="0"/>
    <n v="17.13"/>
    <m/>
    <m/>
    <m/>
  </r>
  <r>
    <s v="EL.CO DOTTO DONATELLA"/>
    <s v="GENNAIO"/>
    <x v="3"/>
    <n v="1"/>
    <s v="GENNAIO 2023"/>
    <s v="1 GENNAIO 2023"/>
    <x v="18"/>
    <x v="9"/>
    <n v="85.9"/>
    <m/>
    <m/>
    <m/>
  </r>
  <r>
    <s v="PAGAMENTO RITENUTE ALLA FONTE"/>
    <s v="GENNAIO"/>
    <x v="3"/>
    <n v="1"/>
    <s v="GENNAIO 2023"/>
    <s v="1 GENNAIO 2023"/>
    <x v="9"/>
    <x v="6"/>
    <n v="0.04"/>
    <m/>
    <m/>
    <m/>
  </r>
  <r>
    <s v="TARI"/>
    <s v="GENNAIO"/>
    <x v="3"/>
    <n v="1"/>
    <s v="GENNAIO 2023"/>
    <s v="1 GENNAIO 2023"/>
    <x v="9"/>
    <x v="6"/>
    <n v="97"/>
    <m/>
    <m/>
    <s v="Tari 2022"/>
  </r>
  <r>
    <s v="TARI"/>
    <s v="GENNAIO"/>
    <x v="3"/>
    <n v="1"/>
    <s v="GENNAIO 2023"/>
    <s v="1 GENNAIO 2023"/>
    <x v="9"/>
    <x v="6"/>
    <n v="72"/>
    <m/>
    <m/>
    <s v="Tari 2022"/>
  </r>
  <r>
    <s v="IMPOSTA DI BOLLO"/>
    <s v="GENNAIO"/>
    <x v="3"/>
    <n v="1"/>
    <s v="GENNAIO 2023"/>
    <s v="1 GENNAIO 2023"/>
    <x v="9"/>
    <x v="6"/>
    <n v="34.200000000000003"/>
    <m/>
    <m/>
    <m/>
  </r>
  <r>
    <s v="CAFC"/>
    <s v="DICEMBRE"/>
    <x v="4"/>
    <n v="12"/>
    <s v="DICEMBRE 2022"/>
    <s v="12 DICEMBRE 2022"/>
    <x v="9"/>
    <x v="6"/>
    <n v="98.7"/>
    <m/>
    <m/>
    <m/>
  </r>
  <r>
    <s v="DIDON STORE"/>
    <s v="DICEMBRE"/>
    <x v="4"/>
    <n v="12"/>
    <s v="DICEMBRE 2022"/>
    <s v="12 DICEMBRE 2022"/>
    <x v="1"/>
    <x v="1"/>
    <n v="90.19"/>
    <m/>
    <m/>
    <m/>
  </r>
  <r>
    <s v="KASANOVA VILLESSE"/>
    <s v="DICEMBRE"/>
    <x v="4"/>
    <n v="12"/>
    <s v="DICEMBRE 2022"/>
    <s v="12 DICEMBRE 2022"/>
    <x v="1"/>
    <x v="1"/>
    <n v="14.2"/>
    <m/>
    <m/>
    <m/>
  </r>
  <r>
    <s v="RIFORNIMENTO"/>
    <s v="DICEMBRE"/>
    <x v="4"/>
    <n v="12"/>
    <s v="DICEMBRE 2022"/>
    <s v="12 DICEMBRE 2022"/>
    <x v="6"/>
    <x v="4"/>
    <n v="40"/>
    <m/>
    <m/>
    <m/>
  </r>
  <r>
    <s v="SPESA LIDL"/>
    <s v="DICEMBRE"/>
    <x v="4"/>
    <n v="12"/>
    <s v="DICEMBRE 2022"/>
    <s v="12 DICEMBRE 2022"/>
    <x v="0"/>
    <x v="0"/>
    <n v="13.56"/>
    <m/>
    <m/>
    <m/>
  </r>
  <r>
    <s v="TESCO PRAGA BIRRE"/>
    <s v="NOVEMBRE"/>
    <x v="4"/>
    <n v="11"/>
    <s v="NOVEMBRE 2022"/>
    <s v="11 NOVEMBRE 2022"/>
    <x v="0"/>
    <x v="0"/>
    <n v="24.15"/>
    <m/>
    <m/>
    <m/>
  </r>
  <r>
    <s v="TARI"/>
    <s v="NOVEMBRE"/>
    <x v="4"/>
    <n v="11"/>
    <s v="NOVEMBRE 2022"/>
    <s v="11 NOVEMBRE 2022"/>
    <x v="9"/>
    <x v="6"/>
    <n v="65"/>
    <m/>
    <m/>
    <s v="Tari 2022"/>
  </r>
  <r>
    <s v="RIFONIMENTO"/>
    <s v="SETTEMBRE"/>
    <x v="4"/>
    <n v="9"/>
    <s v="SETTEMBRE 2022"/>
    <s v="9 SETTEMBRE 2022"/>
    <x v="4"/>
    <x v="4"/>
    <n v="31.99"/>
    <m/>
    <m/>
    <m/>
  </r>
  <r>
    <s v="PAYPAL"/>
    <s v="SETTEMBRE"/>
    <x v="4"/>
    <n v="9"/>
    <s v="SETTEMBRE 2022"/>
    <s v="9 SETTEMBRE 2022"/>
    <x v="1"/>
    <x v="1"/>
    <n v="8.49"/>
    <m/>
    <m/>
    <m/>
  </r>
  <r>
    <s v="COMMISSIONI SU BONIFICO"/>
    <s v="SETTEMBRE"/>
    <x v="4"/>
    <n v="9"/>
    <s v="SETTEMBRE 2022"/>
    <s v="9 SETTEMBRE 2022"/>
    <x v="14"/>
    <x v="6"/>
    <n v="3"/>
    <m/>
    <m/>
    <m/>
  </r>
  <r>
    <s v="SPESE CONDOMINIALI"/>
    <s v="AGOSTO"/>
    <x v="4"/>
    <n v="8"/>
    <s v="AGOSTO 2022"/>
    <s v="8 AGOSTO 2022"/>
    <x v="9"/>
    <x v="6"/>
    <n v="150"/>
    <m/>
    <m/>
    <m/>
  </r>
  <r>
    <s v="SPESE CONDOMINIALI"/>
    <s v="AGOSTO"/>
    <x v="4"/>
    <n v="8"/>
    <s v="AGOSTO 2022"/>
    <s v="8 AGOSTO 2022"/>
    <x v="9"/>
    <x v="6"/>
    <n v="148.4"/>
    <m/>
    <m/>
    <m/>
  </r>
  <r>
    <s v="TARI"/>
    <s v="AGOSTO"/>
    <x v="4"/>
    <n v="8"/>
    <s v="AGOSTO 2022"/>
    <s v="8 AGOSTO 2022"/>
    <x v="9"/>
    <x v="6"/>
    <n v="65"/>
    <m/>
    <m/>
    <m/>
  </r>
  <r>
    <s v="Quota nozze Eros"/>
    <s v="LUGLIO"/>
    <x v="4"/>
    <n v="7"/>
    <s v="LUGLIO 2022"/>
    <s v="7 LUGLIO 2022"/>
    <x v="10"/>
    <x v="3"/>
    <n v="120.5"/>
    <m/>
    <m/>
    <m/>
  </r>
  <r>
    <s v="COMMISSIONI SU BONIFICO"/>
    <s v="GIUGNO"/>
    <x v="4"/>
    <n v="6"/>
    <s v="GIUGNO 2022"/>
    <s v="6 GIUGNO 2022"/>
    <x v="14"/>
    <x v="6"/>
    <n v="2"/>
    <m/>
    <m/>
    <m/>
  </r>
  <r>
    <s v="MARCO AQUARO"/>
    <s v="MAGGIO"/>
    <x v="4"/>
    <n v="5"/>
    <s v="MAGGIO 2022"/>
    <s v="5 MAGGIO 2022"/>
    <x v="16"/>
    <x v="5"/>
    <n v="80.5"/>
    <m/>
    <m/>
    <s v="Addio al celibato Eros"/>
  </r>
  <r>
    <s v="SPESE IPERCOOP"/>
    <s v="MAGGIO"/>
    <x v="4"/>
    <n v="5"/>
    <s v="MAGGIO 2022"/>
    <s v="5 MAGGIO 2022"/>
    <x v="0"/>
    <x v="0"/>
    <n v="24.33"/>
    <m/>
    <m/>
    <m/>
  </r>
  <r>
    <s v="BOLLO AUTO"/>
    <s v="APRILE"/>
    <x v="4"/>
    <n v="4"/>
    <s v="APRILE 2022"/>
    <s v="4 APRILE 2022"/>
    <x v="6"/>
    <x v="4"/>
    <n v="430"/>
    <m/>
    <m/>
    <m/>
  </r>
  <r>
    <s v="RIFORNIMENTO"/>
    <s v="APRILE"/>
    <x v="4"/>
    <n v="4"/>
    <s v="APRILE 2022"/>
    <s v="4 APRILE 2022"/>
    <x v="4"/>
    <x v="4"/>
    <n v="44.75"/>
    <m/>
    <m/>
    <m/>
  </r>
  <r>
    <s v="SPESA IPERCOOP"/>
    <s v="APRILE"/>
    <x v="4"/>
    <n v="4"/>
    <s v="APRILE 2022"/>
    <s v="4 APRILE 2022"/>
    <x v="0"/>
    <x v="0"/>
    <n v="22.59"/>
    <m/>
    <m/>
    <m/>
  </r>
  <r>
    <s v="RIFORNIMENTO"/>
    <s v="FEBBRAIO"/>
    <x v="4"/>
    <n v="2"/>
    <s v="FEBBRAIO 2022"/>
    <s v="2 FEBBRAIO 2022"/>
    <x v="4"/>
    <x v="4"/>
    <n v="83.41"/>
    <m/>
    <m/>
    <m/>
  </r>
  <r>
    <s v="COMMISSIONI SEPA"/>
    <s v="FEBBRAIO"/>
    <x v="4"/>
    <n v="2"/>
    <s v="FEBBRAIO 2022"/>
    <s v="2 FEBBRAIO 2022"/>
    <x v="14"/>
    <x v="6"/>
    <n v="2.5"/>
    <m/>
    <m/>
    <m/>
  </r>
  <r>
    <s v="COMMISSIONI SU BONIFICO"/>
    <s v="FEBBRAIO"/>
    <x v="4"/>
    <n v="2"/>
    <s v="FEBBRAIO 2022"/>
    <s v="2 FEBBRAIO 2022"/>
    <x v="14"/>
    <x v="6"/>
    <n v="4"/>
    <m/>
    <m/>
    <m/>
  </r>
  <r>
    <s v="COMMISSIONI SU BONIFICO"/>
    <s v="FEBBRAIO"/>
    <x v="4"/>
    <n v="2"/>
    <s v="FEBBRAIO 2022"/>
    <s v="2 FEBBRAIO 2022"/>
    <x v="14"/>
    <x v="6"/>
    <n v="0.5"/>
    <m/>
    <m/>
    <m/>
  </r>
  <r>
    <s v="PAGAMENTO RITENUTE ALLA FONTE"/>
    <s v="GENNAIO"/>
    <x v="4"/>
    <n v="1"/>
    <s v="GENNAIO 2022"/>
    <s v="1 GENNAIO 2022"/>
    <x v="9"/>
    <x v="6"/>
    <n v="0.03"/>
    <m/>
    <m/>
    <m/>
  </r>
  <r>
    <s v="AGOS DUCATO"/>
    <s v="GENNAIO"/>
    <x v="4"/>
    <n v="1"/>
    <s v="GENNAIO 2022"/>
    <s v="1 GENNAIO 2022"/>
    <x v="19"/>
    <x v="10"/>
    <n v="1003.03"/>
    <m/>
    <m/>
    <s v="Chiusura finanziamento AGOS"/>
  </r>
  <r>
    <s v="IDRA"/>
    <s v="GENNAIO"/>
    <x v="4"/>
    <n v="1"/>
    <s v="GENNAIO 2022"/>
    <s v="1 GENNAIO 2022"/>
    <x v="1"/>
    <x v="1"/>
    <n v="68.5"/>
    <m/>
    <m/>
    <s v="Controllo Caldaia"/>
  </r>
  <r>
    <s v="SOISY"/>
    <s v="GENNAIO"/>
    <x v="4"/>
    <n v="1"/>
    <s v="GENNAIO 2022"/>
    <s v="1 GENNAIO 2022"/>
    <x v="19"/>
    <x v="10"/>
    <n v="349.45"/>
    <m/>
    <m/>
    <s v="Chiusura finanziamento SOISY"/>
  </r>
  <r>
    <s v="ASSICURAZIONE CASA"/>
    <s v="DICEMBRE"/>
    <x v="5"/>
    <n v="12"/>
    <s v="DICEMBRE 2021"/>
    <s v="12 DICEMBRE 2021"/>
    <x v="18"/>
    <x v="9"/>
    <n v="250.5"/>
    <m/>
    <m/>
    <m/>
  </r>
  <r>
    <s v="PRELIEVO CONTANTI"/>
    <s v="DICEMBRE"/>
    <x v="5"/>
    <n v="12"/>
    <s v="DICEMBRE 2021"/>
    <s v="12 DICEMBRE 2021"/>
    <x v="20"/>
    <x v="7"/>
    <n v="250"/>
    <m/>
    <m/>
    <m/>
  </r>
  <r>
    <s v="NETFLIX"/>
    <s v="DICEMBRE"/>
    <x v="5"/>
    <n v="12"/>
    <s v="DICEMBRE 2021"/>
    <s v="12 DICEMBRE 2021"/>
    <x v="15"/>
    <x v="8"/>
    <n v="17.489999999999998"/>
    <m/>
    <m/>
    <m/>
  </r>
  <r>
    <s v="RIFORNIMENTO"/>
    <s v="DICEMBRE"/>
    <x v="5"/>
    <n v="12"/>
    <s v="DICEMBRE 2021"/>
    <s v="12 DICEMBRE 2021"/>
    <x v="4"/>
    <x v="4"/>
    <n v="34.99"/>
    <m/>
    <m/>
    <m/>
  </r>
  <r>
    <s v="VINI BROJLI"/>
    <s v="DICEMBRE"/>
    <x v="5"/>
    <n v="12"/>
    <s v="DICEMBRE 2021"/>
    <s v="12 DICEMBRE 2021"/>
    <x v="21"/>
    <x v="3"/>
    <n v="43"/>
    <m/>
    <m/>
    <m/>
  </r>
  <r>
    <s v="BOLLO AUTO"/>
    <s v="DICEMBRE"/>
    <x v="5"/>
    <n v="12"/>
    <s v="DICEMBRE 2021"/>
    <s v="12 DICEMBRE 2021"/>
    <x v="6"/>
    <x v="4"/>
    <n v="231.35"/>
    <m/>
    <m/>
    <s v="Bollo Auto "/>
  </r>
  <r>
    <s v="EL.CO DOTTO DONATELLA"/>
    <s v="NOVEMBRE"/>
    <x v="5"/>
    <n v="11"/>
    <s v="NOVEMBRE 2021"/>
    <s v="11 NOVEMBRE 2021"/>
    <x v="18"/>
    <x v="9"/>
    <n v="159.1"/>
    <m/>
    <m/>
    <m/>
  </r>
  <r>
    <s v="Ricarica Andrea Moretti"/>
    <s v="NOVEMBRE"/>
    <x v="5"/>
    <n v="11"/>
    <s v="NOVEMBRE 2021"/>
    <s v="11 NOVEMBRE 2021"/>
    <x v="22"/>
    <x v="0"/>
    <n v="20"/>
    <m/>
    <m/>
    <m/>
  </r>
  <r>
    <s v="TARI"/>
    <s v="OTTOBRE"/>
    <x v="5"/>
    <n v="10"/>
    <s v="OTTOBRE 2021"/>
    <s v="10 OTTOBRE 2021"/>
    <x v="9"/>
    <x v="6"/>
    <n v="60"/>
    <m/>
    <m/>
    <m/>
  </r>
  <r>
    <s v="TARI"/>
    <s v="OTTOBRE"/>
    <x v="5"/>
    <n v="10"/>
    <s v="OTTOBRE 2021"/>
    <s v="10 OTTOBRE 2021"/>
    <x v="9"/>
    <x v="6"/>
    <n v="3"/>
    <m/>
    <m/>
    <m/>
  </r>
  <r>
    <s v="TARI"/>
    <s v="OTTOBRE"/>
    <x v="5"/>
    <n v="10"/>
    <s v="OTTOBRE 2021"/>
    <s v="10 OTTOBRE 2021"/>
    <x v="9"/>
    <x v="6"/>
    <n v="3"/>
    <m/>
    <m/>
    <m/>
  </r>
  <r>
    <s v="TARI"/>
    <s v="OTTOBRE"/>
    <x v="5"/>
    <n v="10"/>
    <s v="OTTOBRE 2021"/>
    <s v="10 OTTOBRE 2021"/>
    <x v="9"/>
    <x v="6"/>
    <n v="3"/>
    <m/>
    <m/>
    <m/>
  </r>
  <r>
    <s v="CORMEDICA"/>
    <s v="OTTOBRE"/>
    <x v="5"/>
    <n v="10"/>
    <s v="OTTOBRE 2021"/>
    <s v="10 OTTOBRE 2021"/>
    <x v="11"/>
    <x v="0"/>
    <n v="87"/>
    <m/>
    <m/>
    <m/>
  </r>
  <r>
    <s v="DANA SPORT"/>
    <s v="OTTOBRE"/>
    <x v="5"/>
    <n v="10"/>
    <s v="OTTOBRE 2021"/>
    <s v="10 OTTOBRE 2021"/>
    <x v="13"/>
    <x v="3"/>
    <n v="76.900000000000006"/>
    <m/>
    <m/>
    <m/>
  </r>
  <r>
    <s v="MEDICENTER RONCHI"/>
    <s v="SETTEMBRE"/>
    <x v="5"/>
    <n v="9"/>
    <s v="SETTEMBRE 2021"/>
    <s v="9 SETTEMBRE 2021"/>
    <x v="11"/>
    <x v="0"/>
    <n v="105"/>
    <m/>
    <m/>
    <m/>
  </r>
  <r>
    <s v="RIFORNIMENTO"/>
    <s v="SETTEMBRE"/>
    <x v="5"/>
    <n v="9"/>
    <s v="SETTEMBRE 2021"/>
    <s v="9 SETTEMBRE 2021"/>
    <x v="4"/>
    <x v="4"/>
    <n v="25"/>
    <m/>
    <m/>
    <m/>
  </r>
  <r>
    <s v="CREDITO COOPERATIVO ITALIANO"/>
    <s v="AGOSTO"/>
    <x v="5"/>
    <n v="8"/>
    <s v="AGOSTO 2021"/>
    <s v="8 AGOSTO 2021"/>
    <x v="18"/>
    <x v="9"/>
    <n v="42.9"/>
    <m/>
    <m/>
    <m/>
  </r>
  <r>
    <s v="BAR SOLARIUM"/>
    <s v="AGOSTO"/>
    <x v="5"/>
    <n v="8"/>
    <s v="AGOSTO 2021"/>
    <s v="8 AGOSTO 2021"/>
    <x v="2"/>
    <x v="2"/>
    <n v="17.7"/>
    <m/>
    <m/>
    <m/>
  </r>
  <r>
    <s v="MDS Termoimpianti - Dalla Silvestra Marco"/>
    <s v="AGOSTO"/>
    <x v="5"/>
    <n v="8"/>
    <s v="AGOSTO 2021"/>
    <s v="8 AGOSTO 2021"/>
    <x v="1"/>
    <x v="1"/>
    <n v="1188.5"/>
    <m/>
    <m/>
    <m/>
  </r>
  <r>
    <s v="MEDICENTER RONCHI"/>
    <s v="LUGLIO"/>
    <x v="5"/>
    <n v="7"/>
    <s v="LUGLIO 2021"/>
    <s v="7 LUGLIO 2021"/>
    <x v="11"/>
    <x v="0"/>
    <n v="105"/>
    <m/>
    <m/>
    <m/>
  </r>
  <r>
    <s v="MATRIMONIO BEPPE"/>
    <s v="LUGLIO"/>
    <x v="5"/>
    <n v="7"/>
    <s v="LUGLIO 2021"/>
    <s v="7 LUGLIO 2021"/>
    <x v="10"/>
    <x v="3"/>
    <n v="150.5"/>
    <m/>
    <m/>
    <s v="Matrimonio Beppe"/>
  </r>
  <r>
    <s v="TARI"/>
    <s v="LUGLIO"/>
    <x v="5"/>
    <n v="7"/>
    <s v="LUGLIO 2021"/>
    <s v="7 LUGLIO 2021"/>
    <x v="9"/>
    <x v="6"/>
    <n v="61"/>
    <m/>
    <m/>
    <m/>
  </r>
  <r>
    <s v="GUTTERIDGE"/>
    <s v="LUGLIO"/>
    <x v="5"/>
    <n v="7"/>
    <s v="LUGLIO 2021"/>
    <s v="7 LUGLIO 2021"/>
    <x v="13"/>
    <x v="3"/>
    <n v="188"/>
    <m/>
    <m/>
    <m/>
  </r>
  <r>
    <s v="SPESA IPERCOOP"/>
    <s v="LUGLIO"/>
    <x v="5"/>
    <n v="7"/>
    <s v="LUGLIO 2021"/>
    <s v="7 LUGLIO 2021"/>
    <x v="0"/>
    <x v="0"/>
    <n v="26.94"/>
    <m/>
    <m/>
    <m/>
  </r>
  <r>
    <s v="SPESA IPERCOOP"/>
    <s v="LUGLIO"/>
    <x v="5"/>
    <n v="7"/>
    <s v="LUGLIO 2021"/>
    <s v="7 LUGLIO 2021"/>
    <x v="0"/>
    <x v="0"/>
    <n v="18.37"/>
    <m/>
    <m/>
    <m/>
  </r>
  <r>
    <s v="CREDITO COOPERATIVO ITALIANO"/>
    <s v="MAGGIO"/>
    <x v="5"/>
    <n v="5"/>
    <s v="MAGGIO 2021"/>
    <s v="5 MAGGIO 2021"/>
    <x v="18"/>
    <x v="9"/>
    <n v="30.03"/>
    <m/>
    <m/>
    <m/>
  </r>
  <r>
    <s v="MULTA"/>
    <s v="MAGGIO"/>
    <x v="5"/>
    <n v="5"/>
    <s v="MAGGIO 2021"/>
    <s v="5 MAGGIO 2021"/>
    <x v="9"/>
    <x v="6"/>
    <n v="35.01"/>
    <m/>
    <m/>
    <m/>
  </r>
  <r>
    <s v="ISONTINA AMBIENTE"/>
    <s v="APRILE"/>
    <x v="5"/>
    <n v="4"/>
    <s v="APRILE 2021"/>
    <s v="4 APRILE 2021"/>
    <x v="9"/>
    <x v="6"/>
    <n v="39"/>
    <m/>
    <m/>
    <m/>
  </r>
  <r>
    <s v="SHI'S"/>
    <s v="APRILE"/>
    <x v="5"/>
    <n v="4"/>
    <s v="APRILE 2021"/>
    <s v="4 APRILE 2021"/>
    <x v="2"/>
    <x v="2"/>
    <n v="53.3"/>
    <m/>
    <m/>
    <m/>
  </r>
  <r>
    <s v="PAOLO ALESSIO"/>
    <s v="MARZO"/>
    <x v="5"/>
    <n v="3"/>
    <s v="MARZO 2021"/>
    <s v="3 MARZO 2021"/>
    <x v="1"/>
    <x v="1"/>
    <n v="1265.5"/>
    <m/>
    <m/>
    <s v="Pittura casa"/>
  </r>
  <r>
    <s v="CREDITO COOPERATIVO ITALIANO"/>
    <s v="FEBBRAIO"/>
    <x v="5"/>
    <n v="2"/>
    <s v="FEBBRAIO 2021"/>
    <s v="2 FEBBRAIO 2021"/>
    <x v="18"/>
    <x v="9"/>
    <n v="30.15"/>
    <m/>
    <m/>
    <m/>
  </r>
  <r>
    <s v="SPESA IPERCOOP"/>
    <s v="FEBBRAIO"/>
    <x v="5"/>
    <n v="2"/>
    <s v="FEBBRAIO 2021"/>
    <s v="2 FEBBRAIO 2021"/>
    <x v="0"/>
    <x v="0"/>
    <n v="35.75"/>
    <m/>
    <m/>
    <m/>
  </r>
  <r>
    <s v="RISTORANTE 1883"/>
    <s v="FEBBRAIO"/>
    <x v="5"/>
    <n v="2"/>
    <s v="FEBBRAIO 2021"/>
    <s v="2 FEBBRAIO 2021"/>
    <x v="2"/>
    <x v="2"/>
    <n v="127.5"/>
    <m/>
    <m/>
    <m/>
  </r>
  <r>
    <s v="LEROY MERLIN"/>
    <s v="FEBBRAIO"/>
    <x v="5"/>
    <n v="2"/>
    <s v="FEBBRAIO 2021"/>
    <s v="2 FEBBRAIO 2021"/>
    <x v="1"/>
    <x v="1"/>
    <n v="58.78"/>
    <m/>
    <m/>
    <m/>
  </r>
  <r>
    <s v="EUROMOBILI"/>
    <s v="FEBBRAIO"/>
    <x v="5"/>
    <n v="2"/>
    <s v="FEBBRAIO 2021"/>
    <s v="2 FEBBRAIO 2021"/>
    <x v="1"/>
    <x v="1"/>
    <n v="2715.49"/>
    <m/>
    <m/>
    <s v="Cucina"/>
  </r>
  <r>
    <s v="SPESA DESPAR"/>
    <s v="FEBBRAIO"/>
    <x v="5"/>
    <n v="2"/>
    <s v="FEBBRAIO 2021"/>
    <s v="2 FEBBRAIO 2021"/>
    <x v="0"/>
    <x v="0"/>
    <n v="18.82"/>
    <m/>
    <m/>
    <m/>
  </r>
  <r>
    <s v="SPESA IPERCOOP"/>
    <s v="FEBBRAIO"/>
    <x v="5"/>
    <n v="2"/>
    <s v="FEBBRAIO 2021"/>
    <s v="2 FEBBRAIO 2021"/>
    <x v="0"/>
    <x v="0"/>
    <n v="90.24"/>
    <m/>
    <m/>
    <m/>
  </r>
  <r>
    <s v="AGOS"/>
    <s v="GENNAIO"/>
    <x v="5"/>
    <n v="1"/>
    <s v="GENNAIO 2021"/>
    <s v="1 GENNAIO 2021"/>
    <x v="10"/>
    <x v="3"/>
    <n v="40"/>
    <m/>
    <m/>
    <s v="RATA COMPUTER PAPA'"/>
  </r>
  <r>
    <s v="AGOS"/>
    <s v="DICEMBRE"/>
    <x v="6"/>
    <n v="12"/>
    <s v="DICEMBRE 2020"/>
    <s v="12 DICEMBRE 2020"/>
    <x v="10"/>
    <x v="3"/>
    <n v="40"/>
    <m/>
    <m/>
    <s v="RATA COMPUTER PAPA'"/>
  </r>
  <r>
    <s v="ALBERTO GABBI"/>
    <s v="DICEMBRE"/>
    <x v="6"/>
    <n v="12"/>
    <s v="DICEMBRE 2020"/>
    <s v="12 DICEMBRE 2020"/>
    <x v="11"/>
    <x v="0"/>
    <n v="285.98"/>
    <m/>
    <m/>
    <m/>
  </r>
  <r>
    <s v="MDS Termoimpianti - Dalla Silvestra Marco"/>
    <s v="DICEMBRE"/>
    <x v="6"/>
    <n v="12"/>
    <s v="DICEMBRE 2020"/>
    <s v="12 DICEMBRE 2020"/>
    <x v="1"/>
    <x v="1"/>
    <n v="2399.1999999999998"/>
    <m/>
    <m/>
    <s v="Sostituzione caldaia"/>
  </r>
  <r>
    <s v="EUROMOBILI"/>
    <s v="DICEMBRE"/>
    <x v="6"/>
    <n v="12"/>
    <s v="DICEMBRE 2020"/>
    <s v="12 DICEMBRE 2020"/>
    <x v="1"/>
    <x v="1"/>
    <n v="2500.5"/>
    <m/>
    <m/>
    <m/>
  </r>
  <r>
    <s v="RITENUTA FISCALE"/>
    <s v="DICEMBRE"/>
    <x v="6"/>
    <n v="12"/>
    <s v="DICEMBRE 2020"/>
    <s v="12 DICEMBRE 2020"/>
    <x v="9"/>
    <x v="6"/>
    <n v="0.3"/>
    <m/>
    <m/>
    <m/>
  </r>
  <r>
    <s v="MEDICENTER RONCHI"/>
    <s v="DICEMBRE"/>
    <x v="6"/>
    <n v="12"/>
    <s v="DICEMBRE 2020"/>
    <s v="12 DICEMBRE 2020"/>
    <x v="11"/>
    <x v="0"/>
    <n v="102"/>
    <m/>
    <m/>
    <m/>
  </r>
  <r>
    <s v="RIFORNIMENTO"/>
    <s v="DICEMBRE"/>
    <x v="6"/>
    <n v="12"/>
    <s v="DICEMBRE 2020"/>
    <s v="12 DICEMBRE 2020"/>
    <x v="4"/>
    <x v="4"/>
    <n v="25"/>
    <m/>
    <m/>
    <m/>
  </r>
  <r>
    <s v="PRELIEVO CONTANTI"/>
    <s v="DICEMBRE"/>
    <x v="6"/>
    <n v="12"/>
    <s v="DICEMBRE 2020"/>
    <s v="12 DICEMBRE 2020"/>
    <x v="20"/>
    <x v="7"/>
    <n v="72"/>
    <m/>
    <m/>
    <m/>
  </r>
  <r>
    <s v="AGOS"/>
    <s v="NOVEMBRE"/>
    <x v="6"/>
    <n v="11"/>
    <s v="NOVEMBRE 2020"/>
    <s v="11 NOVEMBRE 2020"/>
    <x v="10"/>
    <x v="3"/>
    <n v="40"/>
    <m/>
    <m/>
    <s v="RATA COMPUTER PAPA'"/>
  </r>
  <r>
    <s v="ALBERTO GABBI"/>
    <s v="NOVEMBRE"/>
    <x v="6"/>
    <n v="11"/>
    <s v="NOVEMBRE 2020"/>
    <s v="11 NOVEMBRE 2020"/>
    <x v="11"/>
    <x v="0"/>
    <n v="285.98"/>
    <m/>
    <m/>
    <m/>
  </r>
  <r>
    <s v="COMMISSIONI"/>
    <s v="NOVEMBRE"/>
    <x v="6"/>
    <n v="11"/>
    <s v="NOVEMBRE 2020"/>
    <s v="11 NOVEMBRE 2020"/>
    <x v="14"/>
    <x v="6"/>
    <n v="3.6"/>
    <m/>
    <m/>
    <m/>
  </r>
  <r>
    <s v="ALBERTO GABBI"/>
    <s v="NOVEMBRE"/>
    <x v="6"/>
    <n v="11"/>
    <s v="NOVEMBRE 2020"/>
    <s v="11 NOVEMBRE 2020"/>
    <x v="11"/>
    <x v="0"/>
    <n v="343.08"/>
    <m/>
    <m/>
    <m/>
  </r>
  <r>
    <s v="PRELIEVO CONTANTI"/>
    <s v="OTTOBRE"/>
    <x v="6"/>
    <n v="10"/>
    <s v="OTTOBRE 2020"/>
    <s v="10 OTTOBRE 2020"/>
    <x v="20"/>
    <x v="7"/>
    <n v="50"/>
    <m/>
    <m/>
    <m/>
  </r>
  <r>
    <s v="AGOS"/>
    <s v="OTTOBRE"/>
    <x v="6"/>
    <n v="10"/>
    <s v="OTTOBRE 2020"/>
    <s v="10 OTTOBRE 2020"/>
    <x v="10"/>
    <x v="3"/>
    <n v="40"/>
    <m/>
    <m/>
    <s v="RATA COMPUTER PAPA'"/>
  </r>
  <r>
    <s v="PERIZIA IMMOBILIARE"/>
    <s v="OTTOBRE"/>
    <x v="6"/>
    <n v="10"/>
    <s v="OTTOBRE 2020"/>
    <s v="10 OTTOBRE 2020"/>
    <x v="1"/>
    <x v="1"/>
    <n v="217.5"/>
    <m/>
    <m/>
    <m/>
  </r>
  <r>
    <s v="ALBERTO GABBI"/>
    <s v="OTTOBRE"/>
    <x v="6"/>
    <n v="10"/>
    <s v="OTTOBRE 2020"/>
    <s v="10 OTTOBRE 2020"/>
    <x v="11"/>
    <x v="0"/>
    <n v="285.98"/>
    <m/>
    <m/>
    <m/>
  </r>
  <r>
    <s v="PRELIEVO CONTANTI"/>
    <s v="OTTOBRE"/>
    <x v="6"/>
    <n v="10"/>
    <s v="OTTOBRE 2020"/>
    <s v="10 OTTOBRE 2020"/>
    <x v="20"/>
    <x v="7"/>
    <n v="90"/>
    <m/>
    <m/>
    <m/>
  </r>
  <r>
    <s v="RIFORNIMENTO"/>
    <s v="OTTOBRE"/>
    <x v="6"/>
    <n v="10"/>
    <s v="OTTOBRE 2020"/>
    <s v="10 OTTOBRE 2020"/>
    <x v="4"/>
    <x v="4"/>
    <n v="15.1"/>
    <m/>
    <m/>
    <m/>
  </r>
  <r>
    <s v="AGOS"/>
    <s v="SETTEMBRE"/>
    <x v="6"/>
    <n v="9"/>
    <s v="SETTEMBRE 2020"/>
    <s v="9 SETTEMBRE 2020"/>
    <x v="10"/>
    <x v="3"/>
    <n v="40"/>
    <m/>
    <m/>
    <s v="RATA COMPUTER PAPA'"/>
  </r>
  <r>
    <s v="PRELIEVO CONTANTI"/>
    <s v="SETTEMBRE"/>
    <x v="6"/>
    <n v="9"/>
    <s v="SETTEMBRE 2020"/>
    <s v="9 SETTEMBRE 2020"/>
    <x v="20"/>
    <x v="7"/>
    <n v="70"/>
    <m/>
    <m/>
    <m/>
  </r>
  <r>
    <s v="MEDICENTER RONCHI"/>
    <s v="SETTEMBRE"/>
    <x v="6"/>
    <n v="9"/>
    <s v="SETTEMBRE 2020"/>
    <s v="9 SETTEMBRE 2020"/>
    <x v="11"/>
    <x v="0"/>
    <n v="100"/>
    <m/>
    <m/>
    <m/>
  </r>
  <r>
    <s v="AGOS"/>
    <s v="AGOSTO"/>
    <x v="6"/>
    <n v="8"/>
    <s v="AGOSTO 2020"/>
    <s v="8 AGOSTO 2020"/>
    <x v="10"/>
    <x v="3"/>
    <n v="40"/>
    <m/>
    <m/>
    <s v="RATA COMPUTER PAPA'"/>
  </r>
  <r>
    <s v="PRELIEVO CONTANTI"/>
    <s v="AGOSTO"/>
    <x v="6"/>
    <n v="8"/>
    <s v="AGOSTO 2020"/>
    <s v="8 AGOSTO 2020"/>
    <x v="20"/>
    <x v="7"/>
    <n v="100"/>
    <m/>
    <m/>
    <m/>
  </r>
  <r>
    <s v="PRELIEVO CONTANTI"/>
    <s v="AGOSTO"/>
    <x v="6"/>
    <n v="8"/>
    <s v="AGOSTO 2020"/>
    <s v="8 AGOSTO 2020"/>
    <x v="20"/>
    <x v="7"/>
    <n v="150"/>
    <m/>
    <m/>
    <m/>
  </r>
  <r>
    <s v="SPESA DESPAR"/>
    <s v="AGOSTO"/>
    <x v="6"/>
    <n v="8"/>
    <s v="AGOSTO 2020"/>
    <s v="8 AGOSTO 2020"/>
    <x v="0"/>
    <x v="0"/>
    <n v="30.4"/>
    <m/>
    <m/>
    <m/>
  </r>
  <r>
    <s v="PRELIEVO CONTANTI"/>
    <s v="AGOSTO"/>
    <x v="6"/>
    <n v="8"/>
    <s v="AGOSTO 2020"/>
    <s v="8 AGOSTO 2020"/>
    <x v="20"/>
    <x v="7"/>
    <n v="152"/>
    <m/>
    <m/>
    <m/>
  </r>
  <r>
    <s v="RIFORNIMENTO"/>
    <s v="AGOSTO"/>
    <x v="6"/>
    <n v="8"/>
    <s v="AGOSTO 2020"/>
    <s v="8 AGOSTO 2020"/>
    <x v="4"/>
    <x v="4"/>
    <n v="56"/>
    <m/>
    <m/>
    <m/>
  </r>
  <r>
    <s v="AGOS"/>
    <s v="LUGLIO"/>
    <x v="6"/>
    <n v="7"/>
    <s v="LUGLIO 2020"/>
    <s v="7 LUGLIO 2020"/>
    <x v="10"/>
    <x v="3"/>
    <n v="40"/>
    <m/>
    <m/>
    <s v="RATA COMPUTER PAPA'"/>
  </r>
  <r>
    <s v="PRELIEVO CONTANTI"/>
    <s v="LUGLIO"/>
    <x v="6"/>
    <n v="7"/>
    <s v="LUGLIO 2020"/>
    <s v="7 LUGLIO 2020"/>
    <x v="20"/>
    <x v="7"/>
    <n v="150"/>
    <m/>
    <m/>
    <m/>
  </r>
  <r>
    <s v="AGOS"/>
    <s v="GIUGNO"/>
    <x v="6"/>
    <n v="6"/>
    <s v="GIUGNO 2020"/>
    <s v="6 GIUGNO 2020"/>
    <x v="10"/>
    <x v="3"/>
    <n v="40"/>
    <m/>
    <m/>
    <s v="RATA COMPUTER PAPA'"/>
  </r>
  <r>
    <s v="VINI BROJLI"/>
    <s v="GIUGNO"/>
    <x v="6"/>
    <n v="6"/>
    <s v="GIUGNO 2020"/>
    <s v="6 GIUGNO 2020"/>
    <x v="21"/>
    <x v="3"/>
    <n v="42"/>
    <m/>
    <m/>
    <m/>
  </r>
  <r>
    <s v="MEDICENTER RONCHI"/>
    <s v="GIUGNO"/>
    <x v="6"/>
    <n v="6"/>
    <s v="GIUGNO 2020"/>
    <s v="6 GIUGNO 2020"/>
    <x v="11"/>
    <x v="0"/>
    <n v="100"/>
    <m/>
    <m/>
    <m/>
  </r>
  <r>
    <s v="PRELIEVO CONTANTI"/>
    <s v="GIUGNO"/>
    <x v="6"/>
    <n v="6"/>
    <s v="GIUGNO 2020"/>
    <s v="6 GIUGNO 2020"/>
    <x v="20"/>
    <x v="7"/>
    <n v="122"/>
    <m/>
    <m/>
    <m/>
  </r>
  <r>
    <s v="Estinzione AGOS"/>
    <s v="GIUGNO"/>
    <x v="6"/>
    <n v="6"/>
    <s v="GIUGNO 2020"/>
    <s v="6 GIUGNO 2020"/>
    <x v="18"/>
    <x v="9"/>
    <n v="48.5"/>
    <m/>
    <m/>
    <m/>
  </r>
  <r>
    <s v="AGOS"/>
    <s v="MAGGIO"/>
    <x v="6"/>
    <n v="5"/>
    <s v="MAGGIO 2020"/>
    <s v="5 MAGGIO 2020"/>
    <x v="10"/>
    <x v="3"/>
    <n v="40"/>
    <m/>
    <m/>
    <s v="RATA COMPUTER PAPA'"/>
  </r>
  <r>
    <s v="PRELIEVO CONTANTI"/>
    <s v="MAGGIO"/>
    <x v="6"/>
    <n v="5"/>
    <s v="MAGGIO 2020"/>
    <s v="5 MAGGIO 2020"/>
    <x v="20"/>
    <x v="7"/>
    <n v="102"/>
    <m/>
    <m/>
    <m/>
  </r>
  <r>
    <s v="AGOS"/>
    <s v="APRILE"/>
    <x v="6"/>
    <n v="4"/>
    <s v="APRILE 2020"/>
    <s v="4 APRILE 2020"/>
    <x v="10"/>
    <x v="3"/>
    <n v="40"/>
    <m/>
    <m/>
    <s v="RATA COMPUTER PAPA'"/>
  </r>
  <r>
    <s v="SPORTPLANET"/>
    <s v="MARZO"/>
    <x v="6"/>
    <n v="3"/>
    <s v="MARZO 2020"/>
    <s v="3 MARZO 2020"/>
    <x v="23"/>
    <x v="2"/>
    <n v="120.5"/>
    <m/>
    <m/>
    <m/>
  </r>
  <r>
    <s v="PIZZIKOTTO"/>
    <s v="MARZO"/>
    <x v="6"/>
    <n v="3"/>
    <s v="MARZO 2020"/>
    <s v="3 MARZO 2020"/>
    <x v="2"/>
    <x v="2"/>
    <n v="28.3"/>
    <m/>
    <m/>
    <m/>
  </r>
  <r>
    <s v="PRELIEVO CONTANTI"/>
    <s v="FEBBRAIO"/>
    <x v="6"/>
    <n v="2"/>
    <s v="FEBBRAIO 2020"/>
    <s v="2 FEBBRAIO 2020"/>
    <x v="20"/>
    <x v="7"/>
    <n v="70"/>
    <m/>
    <m/>
    <m/>
  </r>
  <r>
    <s v="MEDICENTER RONCHI"/>
    <s v="FEBBRAIO"/>
    <x v="6"/>
    <n v="2"/>
    <s v="FEBBRAIO 2020"/>
    <s v="2 FEBBRAIO 2020"/>
    <x v="11"/>
    <x v="0"/>
    <n v="132"/>
    <m/>
    <m/>
    <m/>
  </r>
  <r>
    <s v="TAGLIANDO AUTO"/>
    <s v="FEBBRAIO"/>
    <x v="6"/>
    <n v="2"/>
    <s v="FEBBRAIO 2020"/>
    <s v="2 FEBBRAIO 2020"/>
    <x v="6"/>
    <x v="4"/>
    <n v="310"/>
    <m/>
    <m/>
    <m/>
  </r>
  <r>
    <s v="IMPOSTA DI BOLLO"/>
    <s v="GENNAIO"/>
    <x v="6"/>
    <n v="1"/>
    <s v="GENNAIO 2020"/>
    <s v="1 GENNAIO 2020"/>
    <x v="9"/>
    <x v="6"/>
    <n v="34.200000000000003"/>
    <m/>
    <m/>
    <m/>
  </r>
  <r>
    <s v="SPESA IPERCOOP"/>
    <s v="GENNAIO"/>
    <x v="6"/>
    <n v="1"/>
    <s v="GENNAIO 2020"/>
    <s v="1 GENNAIO 2020"/>
    <x v="0"/>
    <x v="0"/>
    <n v="97.89"/>
    <m/>
    <m/>
    <m/>
  </r>
  <r>
    <s v="COMPLEANNO MIRTA"/>
    <s v="GENNAIO"/>
    <x v="6"/>
    <n v="1"/>
    <s v="GENNAIO 2020"/>
    <s v="1 GENNAIO 2020"/>
    <x v="10"/>
    <x v="3"/>
    <n v="30.5"/>
    <m/>
    <m/>
    <m/>
  </r>
  <r>
    <s v="AUTOSTRADA"/>
    <s v="GENNAIO"/>
    <x v="6"/>
    <n v="1"/>
    <s v="GENNAIO 2020"/>
    <s v="1 GENNAIO 2020"/>
    <x v="8"/>
    <x v="4"/>
    <n v="55.1"/>
    <m/>
    <m/>
    <m/>
  </r>
  <r>
    <s v="OSTERIA ZOGICA"/>
    <s v="GENNAIO"/>
    <x v="6"/>
    <n v="1"/>
    <s v="GENNAIO 2020"/>
    <s v="1 GENNAIO 2020"/>
    <x v="2"/>
    <x v="2"/>
    <n v="44.2"/>
    <m/>
    <m/>
    <m/>
  </r>
  <r>
    <s v="MEDICENTER RONCHI"/>
    <s v="DICEMBRE"/>
    <x v="7"/>
    <n v="12"/>
    <s v="DICEMBRE 2019"/>
    <s v="12 DICEMBRE 2019"/>
    <x v="11"/>
    <x v="0"/>
    <n v="100"/>
    <m/>
    <m/>
    <m/>
  </r>
  <r>
    <s v="PRELIEVO CONTANTI"/>
    <s v="DICEMBRE"/>
    <x v="7"/>
    <n v="12"/>
    <s v="DICEMBRE 2019"/>
    <s v="12 DICEMBRE 2019"/>
    <x v="20"/>
    <x v="7"/>
    <n v="100"/>
    <m/>
    <m/>
    <m/>
  </r>
  <r>
    <s v="PRELIEVO CONTANTI"/>
    <s v="DICEMBRE"/>
    <x v="7"/>
    <n v="12"/>
    <s v="DICEMBRE 2019"/>
    <s v="12 DICEMBRE 2019"/>
    <x v="20"/>
    <x v="7"/>
    <n v="150"/>
    <m/>
    <m/>
    <m/>
  </r>
  <r>
    <s v="PRELIEVO CONTANTI"/>
    <s v="DICEMBRE"/>
    <x v="7"/>
    <n v="12"/>
    <s v="DICEMBRE 2019"/>
    <s v="12 DICEMBRE 2019"/>
    <x v="20"/>
    <x v="7"/>
    <n v="160"/>
    <m/>
    <m/>
    <m/>
  </r>
  <r>
    <s v="CDA LOUNGE BAR"/>
    <s v="DICEMBRE"/>
    <x v="7"/>
    <n v="12"/>
    <s v="DICEMBRE 2019"/>
    <s v="12 DICEMBRE 2019"/>
    <x v="2"/>
    <x v="2"/>
    <n v="4"/>
    <m/>
    <m/>
    <m/>
  </r>
  <r>
    <s v="BAR  DA VITTORIA"/>
    <s v="DICEMBRE"/>
    <x v="7"/>
    <n v="12"/>
    <s v="DICEMBRE 2019"/>
    <s v="12 DICEMBRE 2019"/>
    <x v="2"/>
    <x v="2"/>
    <n v="21"/>
    <m/>
    <m/>
    <m/>
  </r>
  <r>
    <s v="RIFORNIMENTO"/>
    <s v="DICEMBRE"/>
    <x v="7"/>
    <n v="12"/>
    <s v="DICEMBRE 2019"/>
    <s v="12 DICEMBRE 2019"/>
    <x v="4"/>
    <x v="4"/>
    <n v="80.52"/>
    <m/>
    <m/>
    <m/>
  </r>
  <r>
    <s v="PRELIEVO CONTANTI"/>
    <s v="DICEMBRE"/>
    <x v="7"/>
    <n v="12"/>
    <s v="DICEMBRE 2019"/>
    <s v="12 DICEMBRE 2019"/>
    <x v="20"/>
    <x v="7"/>
    <n v="72"/>
    <m/>
    <m/>
    <m/>
  </r>
  <r>
    <s v="RITENUTA FISCALE"/>
    <s v="DICEMBRE"/>
    <x v="7"/>
    <n v="12"/>
    <s v="DICEMBRE 2019"/>
    <s v="12 DICEMBRE 2019"/>
    <x v="9"/>
    <x v="6"/>
    <n v="0.23"/>
    <m/>
    <m/>
    <m/>
  </r>
  <r>
    <s v="RIFORNIMENTO"/>
    <s v="NOVEMBRE"/>
    <x v="7"/>
    <n v="11"/>
    <s v="NOVEMBRE 2019"/>
    <s v="11 NOVEMBRE 2019"/>
    <x v="4"/>
    <x v="4"/>
    <n v="25"/>
    <m/>
    <m/>
    <m/>
  </r>
  <r>
    <m/>
    <m/>
    <x v="8"/>
    <m/>
    <m/>
    <m/>
    <x v="24"/>
    <x v="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3F78D-8705-4CDB-B080-21A5C64F9A88}" name="Tabella pivot1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6" indent="0" outline="1" outlineData="1" multipleFieldFilters="0">
  <location ref="A4:I26" firstHeaderRow="1" firstDataRow="2" firstDataCol="1" rowPageCount="2" colPageCount="1"/>
  <pivotFields count="12">
    <pivotField axis="axisPage" multipleItemSelectionAllowed="1" showAll="0">
      <items count="477">
        <item x="416"/>
        <item x="418"/>
        <item x="422"/>
        <item x="347"/>
        <item x="437"/>
        <item x="2"/>
        <item x="449"/>
        <item x="410"/>
        <item x="385"/>
        <item x="57"/>
        <item x="41"/>
        <item x="472"/>
        <item x="474"/>
        <item x="457"/>
        <item x="7"/>
        <item x="112"/>
        <item x="443"/>
        <item x="382"/>
        <item x="388"/>
        <item x="61"/>
        <item x="252"/>
        <item x="6"/>
        <item x="91"/>
        <item x="444"/>
        <item x="323"/>
        <item x="429"/>
        <item x="467"/>
        <item x="98"/>
        <item x="375"/>
        <item x="254"/>
        <item x="48"/>
        <item x="35"/>
        <item x="244"/>
        <item x="390"/>
        <item x="432"/>
        <item x="393"/>
        <item x="466"/>
        <item x="79"/>
        <item x="424"/>
        <item x="446"/>
        <item x="442"/>
        <item x="428"/>
        <item x="365"/>
        <item x="399"/>
        <item x="417"/>
        <item x="401"/>
        <item x="277"/>
        <item x="456"/>
        <item x="468"/>
        <item x="431"/>
        <item x="144"/>
        <item x="389"/>
        <item x="395"/>
        <item x="392"/>
        <item x="224"/>
        <item x="469"/>
        <item x="53"/>
        <item x="455"/>
        <item x="408"/>
        <item x="378"/>
        <item x="226"/>
        <item x="381"/>
        <item x="415"/>
        <item x="470"/>
        <item x="383"/>
        <item x="407"/>
        <item x="394"/>
        <item x="460"/>
        <item x="240"/>
        <item x="396"/>
        <item x="97"/>
        <item x="235"/>
        <item x="413"/>
        <item x="386"/>
        <item x="376"/>
        <item x="441"/>
        <item x="463"/>
        <item x="121"/>
        <item x="400"/>
        <item x="145"/>
        <item x="8"/>
        <item x="423"/>
        <item x="99"/>
        <item x="21"/>
        <item x="379"/>
        <item x="405"/>
        <item x="225"/>
        <item x="192"/>
        <item x="380"/>
        <item x="433"/>
        <item x="459"/>
        <item x="461"/>
        <item x="412"/>
        <item x="403"/>
        <item x="113"/>
        <item x="409"/>
        <item x="257"/>
        <item x="450"/>
        <item x="462"/>
        <item x="231"/>
        <item x="258"/>
        <item x="414"/>
        <item x="439"/>
        <item x="448"/>
        <item x="377"/>
        <item x="362"/>
        <item x="436"/>
        <item x="411"/>
        <item x="398"/>
        <item x="445"/>
        <item x="435"/>
        <item x="163"/>
        <item x="464"/>
        <item x="397"/>
        <item x="430"/>
        <item x="427"/>
        <item x="451"/>
        <item x="303"/>
        <item x="454"/>
        <item x="223"/>
        <item x="142"/>
        <item x="458"/>
        <item x="82"/>
        <item x="301"/>
        <item x="421"/>
        <item x="55"/>
        <item x="67"/>
        <item x="12"/>
        <item x="391"/>
        <item x="230"/>
        <item x="17"/>
        <item x="471"/>
        <item x="473"/>
        <item x="404"/>
        <item x="13"/>
        <item x="387"/>
        <item x="279"/>
        <item x="94"/>
        <item x="406"/>
        <item x="426"/>
        <item x="453"/>
        <item x="420"/>
        <item x="425"/>
        <item x="452"/>
        <item x="419"/>
        <item x="199"/>
        <item x="438"/>
        <item x="384"/>
        <item x="465"/>
        <item x="402"/>
        <item x="440"/>
        <item x="434"/>
        <item x="475"/>
        <item x="372"/>
        <item x="280"/>
        <item x="373"/>
        <item x="374"/>
        <item x="299"/>
        <item x="108"/>
        <item x="370"/>
        <item x="371"/>
        <item x="369"/>
        <item x="367"/>
        <item x="364"/>
        <item x="366"/>
        <item x="363"/>
        <item x="361"/>
        <item x="302"/>
        <item x="359"/>
        <item x="360"/>
        <item x="320"/>
        <item x="358"/>
        <item x="18"/>
        <item x="356"/>
        <item x="349"/>
        <item x="350"/>
        <item x="351"/>
        <item x="352"/>
        <item x="353"/>
        <item x="354"/>
        <item x="92"/>
        <item x="355"/>
        <item x="348"/>
        <item x="51"/>
        <item x="346"/>
        <item x="80"/>
        <item x="50"/>
        <item x="11"/>
        <item x="331"/>
        <item x="344"/>
        <item x="345"/>
        <item x="137"/>
        <item x="52"/>
        <item x="343"/>
        <item x="342"/>
        <item x="332"/>
        <item x="338"/>
        <item x="339"/>
        <item x="340"/>
        <item x="341"/>
        <item x="337"/>
        <item x="333"/>
        <item x="259"/>
        <item x="334"/>
        <item x="335"/>
        <item x="336"/>
        <item x="311"/>
        <item x="329"/>
        <item x="69"/>
        <item x="327"/>
        <item x="328"/>
        <item x="326"/>
        <item x="324"/>
        <item x="5"/>
        <item x="322"/>
        <item x="321"/>
        <item x="310"/>
        <item x="312"/>
        <item x="313"/>
        <item x="314"/>
        <item x="315"/>
        <item x="316"/>
        <item x="317"/>
        <item x="318"/>
        <item x="233"/>
        <item x="319"/>
        <item x="307"/>
        <item x="308"/>
        <item x="309"/>
        <item x="305"/>
        <item x="306"/>
        <item x="304"/>
        <item x="300"/>
        <item x="45"/>
        <item x="268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76"/>
        <item x="275"/>
        <item x="273"/>
        <item x="270"/>
        <item x="271"/>
        <item x="272"/>
        <item x="269"/>
        <item x="261"/>
        <item x="263"/>
        <item x="266"/>
        <item x="260"/>
        <item x="253"/>
        <item x="255"/>
        <item x="256"/>
        <item x="251"/>
        <item x="249"/>
        <item x="250"/>
        <item x="247"/>
        <item x="248"/>
        <item x="237"/>
        <item x="238"/>
        <item x="239"/>
        <item x="241"/>
        <item x="234"/>
        <item x="197"/>
        <item x="95"/>
        <item x="227"/>
        <item x="228"/>
        <item x="229"/>
        <item x="59"/>
        <item x="218"/>
        <item x="219"/>
        <item x="220"/>
        <item x="221"/>
        <item x="217"/>
        <item x="213"/>
        <item x="215"/>
        <item x="216"/>
        <item x="207"/>
        <item x="208"/>
        <item x="211"/>
        <item x="205"/>
        <item x="46"/>
        <item x="209"/>
        <item x="210"/>
        <item x="202"/>
        <item x="200"/>
        <item x="201"/>
        <item x="214"/>
        <item x="169"/>
        <item x="168"/>
        <item x="171"/>
        <item x="172"/>
        <item x="173"/>
        <item x="174"/>
        <item x="175"/>
        <item x="176"/>
        <item x="177"/>
        <item x="178"/>
        <item x="179"/>
        <item x="180"/>
        <item x="118"/>
        <item x="182"/>
        <item x="184"/>
        <item x="185"/>
        <item x="186"/>
        <item x="187"/>
        <item x="188"/>
        <item x="191"/>
        <item x="193"/>
        <item x="194"/>
        <item x="195"/>
        <item x="196"/>
        <item x="198"/>
        <item x="165"/>
        <item x="166"/>
        <item x="164"/>
        <item x="159"/>
        <item x="160"/>
        <item x="161"/>
        <item x="162"/>
        <item x="158"/>
        <item x="167"/>
        <item x="170"/>
        <item x="181"/>
        <item x="189"/>
        <item x="190"/>
        <item x="203"/>
        <item x="204"/>
        <item x="206"/>
        <item x="63"/>
        <item x="222"/>
        <item x="146"/>
        <item x="232"/>
        <item x="236"/>
        <item x="242"/>
        <item x="243"/>
        <item x="245"/>
        <item x="246"/>
        <item x="102"/>
        <item x="262"/>
        <item x="264"/>
        <item x="274"/>
        <item x="156"/>
        <item x="278"/>
        <item x="330"/>
        <item x="325"/>
        <item x="357"/>
        <item x="368"/>
        <item x="267"/>
        <item x="183"/>
        <item x="212"/>
        <item x="265"/>
        <item x="140"/>
        <item x="447"/>
        <item x="157"/>
        <item x="147"/>
        <item x="148"/>
        <item x="149"/>
        <item x="150"/>
        <item x="151"/>
        <item x="152"/>
        <item x="153"/>
        <item x="154"/>
        <item x="155"/>
        <item x="128"/>
        <item x="143"/>
        <item x="76"/>
        <item x="141"/>
        <item x="139"/>
        <item x="138"/>
        <item x="90"/>
        <item x="135"/>
        <item x="136"/>
        <item x="132"/>
        <item x="133"/>
        <item x="131"/>
        <item x="134"/>
        <item x="130"/>
        <item x="129"/>
        <item x="16"/>
        <item x="117"/>
        <item x="119"/>
        <item x="120"/>
        <item x="122"/>
        <item x="123"/>
        <item x="124"/>
        <item x="125"/>
        <item x="126"/>
        <item x="127"/>
        <item x="116"/>
        <item x="115"/>
        <item x="114"/>
        <item x="109"/>
        <item x="110"/>
        <item x="111"/>
        <item x="54"/>
        <item x="106"/>
        <item x="105"/>
        <item x="107"/>
        <item x="77"/>
        <item x="103"/>
        <item x="104"/>
        <item x="87"/>
        <item x="100"/>
        <item x="101"/>
        <item x="96"/>
        <item x="93"/>
        <item x="88"/>
        <item x="89"/>
        <item x="3"/>
        <item x="73"/>
        <item x="74"/>
        <item x="75"/>
        <item x="78"/>
        <item x="81"/>
        <item x="83"/>
        <item x="84"/>
        <item x="85"/>
        <item x="86"/>
        <item x="68"/>
        <item x="22"/>
        <item x="37"/>
        <item x="70"/>
        <item x="71"/>
        <item x="72"/>
        <item x="56"/>
        <item x="58"/>
        <item x="60"/>
        <item x="62"/>
        <item x="64"/>
        <item x="65"/>
        <item x="66"/>
        <item x="19"/>
        <item x="15"/>
        <item x="38"/>
        <item x="39"/>
        <item x="40"/>
        <item x="42"/>
        <item x="20"/>
        <item x="43"/>
        <item x="44"/>
        <item x="47"/>
        <item x="49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0"/>
        <item x="1"/>
        <item x="4"/>
        <item x="9"/>
        <item x="10"/>
        <item x="14"/>
        <item t="default"/>
      </items>
    </pivotField>
    <pivotField showAll="0"/>
    <pivotField axis="axisPage" multipleItemSelectionAllowed="1" showAll="0">
      <items count="10">
        <item h="1" x="7"/>
        <item h="1" x="6"/>
        <item h="1" x="5"/>
        <item h="1" x="4"/>
        <item h="1" x="3"/>
        <item h="1" x="8"/>
        <item h="1" x="2"/>
        <item x="1"/>
        <item x="0"/>
        <item t="default"/>
      </items>
    </pivotField>
    <pivotField numFmtId="1" showAll="0"/>
    <pivotField showAll="0"/>
    <pivotField axis="axisCol" showAll="0">
      <items count="90">
        <item h="1" x="80"/>
        <item h="1" x="83"/>
        <item h="1" x="82"/>
        <item h="1" x="81"/>
        <item h="1" x="79"/>
        <item h="1" x="78"/>
        <item h="1" x="77"/>
        <item h="1" x="76"/>
        <item h="1" x="75"/>
        <item h="1" x="86"/>
        <item h="1" x="74"/>
        <item h="1" x="85"/>
        <item h="1" x="73"/>
        <item h="1" x="84"/>
        <item h="1" x="72"/>
        <item h="1" x="71"/>
        <item h="1" x="70"/>
        <item h="1" x="69"/>
        <item h="1" x="68"/>
        <item h="1" x="66"/>
        <item h="1" x="67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87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x="11"/>
        <item x="10"/>
        <item x="9"/>
        <item x="8"/>
        <item x="7"/>
        <item x="6"/>
        <item x="5"/>
        <item h="1" x="4"/>
        <item h="1" m="1" x="88"/>
        <item h="1" x="3"/>
        <item h="1" x="1"/>
        <item h="1" x="2"/>
        <item h="1" x="0"/>
        <item t="default"/>
      </items>
    </pivotField>
    <pivotField axis="axisRow" showAll="0">
      <items count="31">
        <item x="8"/>
        <item x="7"/>
        <item x="0"/>
        <item m="1" x="27"/>
        <item x="12"/>
        <item x="21"/>
        <item x="24"/>
        <item x="1"/>
        <item x="3"/>
        <item x="11"/>
        <item x="6"/>
        <item x="9"/>
        <item m="1" x="28"/>
        <item x="23"/>
        <item x="20"/>
        <item x="26"/>
        <item x="22"/>
        <item x="15"/>
        <item x="10"/>
        <item x="5"/>
        <item x="14"/>
        <item x="2"/>
        <item m="1" x="29"/>
        <item x="16"/>
        <item x="17"/>
        <item x="18"/>
        <item x="19"/>
        <item x="4"/>
        <item x="13"/>
        <item x="2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1">
    <i>
      <x/>
    </i>
    <i>
      <x v="1"/>
    </i>
    <i>
      <x v="2"/>
    </i>
    <i>
      <x v="4"/>
    </i>
    <i>
      <x v="7"/>
    </i>
    <i>
      <x v="8"/>
    </i>
    <i>
      <x v="9"/>
    </i>
    <i>
      <x v="10"/>
    </i>
    <i>
      <x v="11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5"/>
  </colFields>
  <colItems count="8"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colItems>
  <pageFields count="2">
    <pageField fld="2" hier="-1"/>
    <pageField fld="0" hier="-1"/>
  </pageFields>
  <dataFields count="1">
    <dataField name="Somma di IMPORTO" fld="8" baseField="6" baseItem="0" numFmtId="44"/>
  </dataFields>
  <formats count="14">
    <format dxfId="297">
      <pivotArea dataOnly="0" labelOnly="1" outline="0" fieldPosition="0">
        <references count="1">
          <reference field="2" count="0"/>
        </references>
      </pivotArea>
    </format>
    <format dxfId="296">
      <pivotArea field="5" type="button" dataOnly="0" labelOnly="1" outline="0" axis="axisCol" fieldPosition="0"/>
    </format>
    <format dxfId="295">
      <pivotArea dataOnly="0" labelOnly="1" outline="0" fieldPosition="0">
        <references count="1">
          <reference field="2" count="0"/>
        </references>
      </pivotArea>
    </format>
    <format dxfId="294">
      <pivotArea type="all" dataOnly="0" outline="0" fieldPosition="0"/>
    </format>
    <format dxfId="293">
      <pivotArea outline="0" collapsedLevelsAreSubtotals="1" fieldPosition="0"/>
    </format>
    <format dxfId="292">
      <pivotArea type="origin" dataOnly="0" labelOnly="1" outline="0" fieldPosition="0"/>
    </format>
    <format dxfId="291">
      <pivotArea field="5" type="button" dataOnly="0" labelOnly="1" outline="0" axis="axisCol" fieldPosition="0"/>
    </format>
    <format dxfId="290">
      <pivotArea type="topRight" dataOnly="0" labelOnly="1" outline="0" fieldPosition="0"/>
    </format>
    <format dxfId="289">
      <pivotArea field="6" type="button" dataOnly="0" labelOnly="1" outline="0" axis="axisRow" fieldPosition="0"/>
    </format>
    <format dxfId="288">
      <pivotArea dataOnly="0" labelOnly="1" fieldPosition="0">
        <references count="1">
          <reference field="6" count="13">
            <x v="0"/>
            <x v="1"/>
            <x v="2"/>
            <x v="3"/>
            <x v="4"/>
            <x v="7"/>
            <x v="8"/>
            <x v="9"/>
            <x v="10"/>
            <x v="11"/>
            <x v="14"/>
            <x v="16"/>
            <x v="17"/>
          </reference>
        </references>
      </pivotArea>
    </format>
    <format dxfId="287">
      <pivotArea dataOnly="0" labelOnly="1" grandRow="1" outline="0" fieldPosition="0"/>
    </format>
    <format dxfId="286">
      <pivotArea dataOnly="0" labelOnly="1" fieldPosition="0">
        <references count="1">
          <reference field="5" count="6">
            <x v="55"/>
            <x v="56"/>
            <x v="57"/>
            <x v="58"/>
            <x v="59"/>
            <x v="60"/>
          </reference>
        </references>
      </pivotArea>
    </format>
    <format dxfId="285">
      <pivotArea dataOnly="0" labelOnly="1" grandCol="1" outline="0" fieldPosition="0"/>
    </format>
    <format dxfId="28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C472C-E86B-441B-B468-C2A84B996BA4}" name="Tabella pivot2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G27" firstHeaderRow="1" firstDataRow="2" firstDataCol="1"/>
  <pivotFields count="12">
    <pivotField showAll="0"/>
    <pivotField showAll="0"/>
    <pivotField axis="axisCol" showAll="0" sortType="ascending">
      <items count="10">
        <item x="7"/>
        <item x="6"/>
        <item x="5"/>
        <item x="4"/>
        <item x="3"/>
        <item h="1" x="2"/>
        <item h="1" x="1"/>
        <item h="1" x="0"/>
        <item h="1" x="8"/>
        <item t="default"/>
      </items>
    </pivotField>
    <pivotField showAll="0"/>
    <pivotField showAll="0"/>
    <pivotField showAll="0"/>
    <pivotField axis="axisRow" showAll="0">
      <items count="37">
        <item x="8"/>
        <item x="7"/>
        <item x="0"/>
        <item m="1" x="34"/>
        <item x="11"/>
        <item x="12"/>
        <item x="1"/>
        <item x="3"/>
        <item x="6"/>
        <item m="1" x="27"/>
        <item x="9"/>
        <item x="21"/>
        <item x="23"/>
        <item x="24"/>
        <item m="1" x="28"/>
        <item x="22"/>
        <item x="15"/>
        <item x="26"/>
        <item x="20"/>
        <item x="10"/>
        <item m="1" x="35"/>
        <item m="1" x="31"/>
        <item x="5"/>
        <item x="14"/>
        <item x="2"/>
        <item m="1" x="32"/>
        <item m="1" x="33"/>
        <item m="1" x="29"/>
        <item m="1" x="30"/>
        <item x="18"/>
        <item x="16"/>
        <item x="17"/>
        <item x="19"/>
        <item x="4"/>
        <item x="13"/>
        <item x="2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2"/>
    </i>
    <i>
      <x v="23"/>
    </i>
    <i>
      <x v="24"/>
    </i>
    <i>
      <x v="30"/>
    </i>
    <i>
      <x v="32"/>
    </i>
    <i>
      <x v="3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a di IMPORTO" fld="8" showDataAs="percentOfCol" baseField="7" baseItem="6" numFmtId="10"/>
  </dataFields>
  <formats count="4">
    <format dxfId="283">
      <pivotArea collapsedLevelsAreSubtotals="1" fieldPosition="0">
        <references count="1"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</reference>
        </references>
      </pivotArea>
    </format>
    <format dxfId="282">
      <pivotArea grandRow="1" outline="0" collapsedLevelsAreSubtotals="1" fieldPosition="0"/>
    </format>
    <format dxfId="281">
      <pivotArea outline="0" collapsedLevelsAreSubtotals="1" fieldPosition="0"/>
    </format>
    <format dxfId="280">
      <pivotArea outline="0" collapsedLevelsAreSubtotals="1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E3D78-2545-45F4-8DC8-22D50791BB9E}" name="Tabella pivot1" cacheId="17" applyNumberFormats="0" applyBorderFormats="0" applyFontFormats="0" applyPatternFormats="0" applyAlignmentFormats="0" applyWidthHeightFormats="1" dataCaption="Valori" grandTotalCaption="Totale" updatedVersion="8" minRefreshableVersion="3" useAutoFormatting="1" colGrandTotals="0" itemPrintTitles="1" createdVersion="8" indent="0" outline="1" outlineData="1" multipleFieldFilters="0">
  <location ref="A3:I15" firstHeaderRow="1" firstDataRow="2" firstDataCol="1"/>
  <pivotFields count="12">
    <pivotField showAll="0"/>
    <pivotField showAll="0"/>
    <pivotField axis="axisCol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37">
        <item x="20"/>
        <item x="8"/>
        <item x="7"/>
        <item x="0"/>
        <item m="1" x="27"/>
        <item x="12"/>
        <item x="21"/>
        <item m="1" x="34"/>
        <item x="23"/>
        <item x="24"/>
        <item m="1" x="28"/>
        <item x="1"/>
        <item x="9"/>
        <item x="15"/>
        <item x="3"/>
        <item x="11"/>
        <item x="22"/>
        <item x="6"/>
        <item x="26"/>
        <item x="10"/>
        <item m="1" x="35"/>
        <item m="1" x="31"/>
        <item x="5"/>
        <item x="14"/>
        <item x="2"/>
        <item m="1" x="32"/>
        <item m="1" x="33"/>
        <item m="1" x="29"/>
        <item m="1" x="30"/>
        <item x="18"/>
        <item x="16"/>
        <item x="17"/>
        <item x="19"/>
        <item x="4"/>
        <item x="13"/>
        <item x="25"/>
        <item t="default"/>
      </items>
    </pivotField>
    <pivotField axis="axisRow" showAll="0">
      <items count="13">
        <item x="1"/>
        <item x="3"/>
        <item x="6"/>
        <item x="0"/>
        <item x="2"/>
        <item m="1" x="11"/>
        <item x="5"/>
        <item x="4"/>
        <item x="8"/>
        <item h="1" x="10"/>
        <item x="7"/>
        <item x="9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 t="grand">
      <x/>
    </i>
  </rowItems>
  <colFields count="1">
    <field x="2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omma di IMPORTO" fld="8" baseField="7" baseItem="0" numFmtId="167"/>
  </dataFields>
  <formats count="24">
    <format dxfId="279">
      <pivotArea type="all" dataOnly="0" outline="0" fieldPosition="0"/>
    </format>
    <format dxfId="278">
      <pivotArea outline="0" collapsedLevelsAreSubtotals="1" fieldPosition="0"/>
    </format>
    <format dxfId="277">
      <pivotArea type="origin" dataOnly="0" labelOnly="1" outline="0" fieldPosition="0"/>
    </format>
    <format dxfId="276">
      <pivotArea field="2" type="button" dataOnly="0" labelOnly="1" outline="0" axis="axisCol" fieldPosition="0"/>
    </format>
    <format dxfId="275">
      <pivotArea type="topRight" dataOnly="0" labelOnly="1" outline="0" fieldPosition="0"/>
    </format>
    <format dxfId="274">
      <pivotArea field="6" type="button" dataOnly="0" labelOnly="1" outline="0"/>
    </format>
    <format dxfId="273">
      <pivotArea dataOnly="0" labelOnly="1" grandRow="1" outline="0" fieldPosition="0"/>
    </format>
    <format dxfId="272">
      <pivotArea dataOnly="0" labelOnly="1" fieldPosition="0">
        <references count="1">
          <reference field="2" count="0"/>
        </references>
      </pivotArea>
    </format>
    <format dxfId="271">
      <pivotArea dataOnly="0" labelOnly="1" grandCol="1" outline="0" fieldPosition="0"/>
    </format>
    <format dxfId="270">
      <pivotArea outline="0" fieldPosition="0">
        <references count="1">
          <reference field="4294967294" count="1">
            <x v="0"/>
          </reference>
        </references>
      </pivotArea>
    </format>
    <format dxfId="269">
      <pivotArea grandRow="1" outline="0" collapsedLevelsAreSubtotals="1" fieldPosition="0"/>
    </format>
    <format dxfId="268">
      <pivotArea type="origin" dataOnly="0" labelOnly="1" outline="0" fieldPosition="0"/>
    </format>
    <format dxfId="267">
      <pivotArea field="6" type="button" dataOnly="0" labelOnly="1" outline="0"/>
    </format>
    <format dxfId="266">
      <pivotArea dataOnly="0" labelOnly="1" grandRow="1" outline="0" fieldPosition="0"/>
    </format>
    <format dxfId="265">
      <pivotArea dataOnly="0" labelOnly="1" fieldPosition="0">
        <references count="1">
          <reference field="7" count="1">
            <x v="0"/>
          </reference>
        </references>
      </pivotArea>
    </format>
    <format dxfId="264">
      <pivotArea dataOnly="0" labelOnly="1" fieldPosition="0">
        <references count="1">
          <reference field="7" count="1">
            <x v="1"/>
          </reference>
        </references>
      </pivotArea>
    </format>
    <format dxfId="263">
      <pivotArea dataOnly="0" labelOnly="1" fieldPosition="0">
        <references count="1">
          <reference field="7" count="1">
            <x v="2"/>
          </reference>
        </references>
      </pivotArea>
    </format>
    <format dxfId="262">
      <pivotArea dataOnly="0" labelOnly="1" fieldPosition="0">
        <references count="1">
          <reference field="7" count="1">
            <x v="4"/>
          </reference>
        </references>
      </pivotArea>
    </format>
    <format dxfId="261">
      <pivotArea dataOnly="0" labelOnly="1" fieldPosition="0">
        <references count="1">
          <reference field="7" count="1">
            <x v="5"/>
          </reference>
        </references>
      </pivotArea>
    </format>
    <format dxfId="260">
      <pivotArea dataOnly="0" labelOnly="1" fieldPosition="0">
        <references count="1">
          <reference field="7" count="1">
            <x v="6"/>
          </reference>
        </references>
      </pivotArea>
    </format>
    <format dxfId="259">
      <pivotArea dataOnly="0" labelOnly="1" fieldPosition="0">
        <references count="1">
          <reference field="7" count="1">
            <x v="7"/>
          </reference>
        </references>
      </pivotArea>
    </format>
    <format dxfId="258">
      <pivotArea dataOnly="0" labelOnly="1" fieldPosition="0">
        <references count="1">
          <reference field="7" count="1">
            <x v="8"/>
          </reference>
        </references>
      </pivotArea>
    </format>
    <format dxfId="257">
      <pivotArea dataOnly="0" labelOnly="1" fieldPosition="0">
        <references count="1">
          <reference field="7" count="0"/>
        </references>
      </pivotArea>
    </format>
    <format dxfId="256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0CA25-073E-4051-98BD-BCCACEE54CC2}" name="Tabella pivot1" cacheId="23" applyNumberFormats="0" applyBorderFormats="0" applyFontFormats="0" applyPatternFormats="0" applyAlignmentFormats="0" applyWidthHeightFormats="1" dataCaption="Valori" grandTotalCaption="Totale" updatedVersion="8" minRefreshableVersion="3" useAutoFormatting="1" colGrandTotals="0" itemPrintTitles="1" createdVersion="8" indent="0" outline="1" outlineData="1" multipleFieldFilters="0">
  <location ref="A3:I15" firstHeaderRow="1" firstDataRow="2" firstDataCol="1"/>
  <pivotFields count="12">
    <pivotField showAll="0"/>
    <pivotField showAll="0"/>
    <pivotField axis="axisCol" showAll="0">
      <items count="10">
        <item x="7"/>
        <item x="6"/>
        <item x="5"/>
        <item x="4"/>
        <item x="3"/>
        <item x="2"/>
        <item x="1"/>
        <item x="0"/>
        <item x="8"/>
        <item t="default"/>
      </items>
    </pivotField>
    <pivotField showAll="0"/>
    <pivotField showAll="0"/>
    <pivotField showAll="0"/>
    <pivotField showAll="0">
      <items count="26">
        <item x="15"/>
        <item x="0"/>
        <item x="17"/>
        <item x="10"/>
        <item x="18"/>
        <item x="1"/>
        <item x="6"/>
        <item x="9"/>
        <item x="8"/>
        <item x="13"/>
        <item x="2"/>
        <item h="1" x="11"/>
        <item h="1" x="14"/>
        <item h="1" x="7"/>
        <item h="1" x="12"/>
        <item h="1" x="4"/>
        <item h="1" x="16"/>
        <item h="1" x="19"/>
        <item h="1" x="22"/>
        <item h="1" x="23"/>
        <item h="1" x="21"/>
        <item h="1" x="20"/>
        <item h="1" x="24"/>
        <item h="1" x="3"/>
        <item h="1" x="5"/>
        <item t="default"/>
      </items>
    </pivotField>
    <pivotField axis="axisRow" showAll="0">
      <items count="13">
        <item x="1"/>
        <item x="4"/>
        <item x="3"/>
        <item x="2"/>
        <item x="0"/>
        <item x="5"/>
        <item x="7"/>
        <item x="6"/>
        <item x="9"/>
        <item x="10"/>
        <item h="1" x="11"/>
        <item h="1" x="8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omma di IMPORTO" fld="8" baseField="7" baseItem="0" numFmtId="167"/>
  </dataFields>
  <formats count="26">
    <format dxfId="255">
      <pivotArea type="all" dataOnly="0" outline="0" fieldPosition="0"/>
    </format>
    <format dxfId="254">
      <pivotArea outline="0" collapsedLevelsAreSubtotals="1" fieldPosition="0"/>
    </format>
    <format dxfId="253">
      <pivotArea type="origin" dataOnly="0" labelOnly="1" outline="0" fieldPosition="0"/>
    </format>
    <format dxfId="252">
      <pivotArea field="2" type="button" dataOnly="0" labelOnly="1" outline="0" axis="axisCol" fieldPosition="0"/>
    </format>
    <format dxfId="251">
      <pivotArea type="topRight" dataOnly="0" labelOnly="1" outline="0" fieldPosition="0"/>
    </format>
    <format dxfId="250">
      <pivotArea field="6" type="button" dataOnly="0" labelOnly="1" outline="0"/>
    </format>
    <format dxfId="249">
      <pivotArea dataOnly="0" labelOnly="1" grandRow="1" outline="0" fieldPosition="0"/>
    </format>
    <format dxfId="248">
      <pivotArea dataOnly="0" labelOnly="1" fieldPosition="0">
        <references count="1">
          <reference field="2" count="4">
            <x v="3"/>
            <x v="4"/>
            <x v="5"/>
            <x v="6"/>
          </reference>
        </references>
      </pivotArea>
    </format>
    <format dxfId="247">
      <pivotArea dataOnly="0" labelOnly="1" grandCol="1" outline="0" fieldPosition="0"/>
    </format>
    <format dxfId="246">
      <pivotArea dataOnly="0" labelOnly="1" fieldPosition="0">
        <references count="1">
          <reference field="7" count="1">
            <x v="7"/>
          </reference>
        </references>
      </pivotArea>
    </format>
    <format dxfId="245">
      <pivotArea dataOnly="0" labelOnly="1" fieldPosition="0">
        <references count="1">
          <reference field="7" count="1">
            <x v="0"/>
          </reference>
        </references>
      </pivotArea>
    </format>
    <format dxfId="244">
      <pivotArea dataOnly="0" labelOnly="1" fieldPosition="0">
        <references count="1">
          <reference field="7" count="1">
            <x v="1"/>
          </reference>
        </references>
      </pivotArea>
    </format>
    <format dxfId="243">
      <pivotArea dataOnly="0" labelOnly="1" fieldPosition="0">
        <references count="1">
          <reference field="7" count="1">
            <x v="4"/>
          </reference>
        </references>
      </pivotArea>
    </format>
    <format dxfId="242">
      <pivotArea dataOnly="0" labelOnly="1" fieldPosition="0">
        <references count="1">
          <reference field="7" count="1">
            <x v="2"/>
          </reference>
        </references>
      </pivotArea>
    </format>
    <format dxfId="241">
      <pivotArea dataOnly="0" labelOnly="1" fieldPosition="0">
        <references count="1">
          <reference field="7" count="1">
            <x v="5"/>
          </reference>
        </references>
      </pivotArea>
    </format>
    <format dxfId="240">
      <pivotArea dataOnly="0" labelOnly="1" fieldPosition="0">
        <references count="1">
          <reference field="7" count="1">
            <x v="8"/>
          </reference>
        </references>
      </pivotArea>
    </format>
    <format dxfId="239">
      <pivotArea dataOnly="0" labelOnly="1" fieldPosition="0">
        <references count="1">
          <reference field="7" count="1">
            <x v="8"/>
          </reference>
        </references>
      </pivotArea>
    </format>
    <format dxfId="238">
      <pivotArea dataOnly="0" labelOnly="1" fieldPosition="0">
        <references count="1">
          <reference field="7" count="1">
            <x v="8"/>
          </reference>
        </references>
      </pivotArea>
    </format>
    <format dxfId="237">
      <pivotArea dataOnly="0" labelOnly="1" fieldPosition="0">
        <references count="1">
          <reference field="7" count="1">
            <x v="6"/>
          </reference>
        </references>
      </pivotArea>
    </format>
    <format dxfId="236">
      <pivotArea dataOnly="0" labelOnly="1" fieldPosition="0">
        <references count="1">
          <reference field="7" count="1">
            <x v="6"/>
          </reference>
        </references>
      </pivotArea>
    </format>
    <format dxfId="235">
      <pivotArea dataOnly="0" labelOnly="1" fieldPosition="0">
        <references count="1">
          <reference field="7" count="1">
            <x v="9"/>
          </reference>
        </references>
      </pivotArea>
    </format>
    <format dxfId="234">
      <pivotArea dataOnly="0" labelOnly="1" fieldPosition="0">
        <references count="1">
          <reference field="7" count="1">
            <x v="9"/>
          </reference>
        </references>
      </pivotArea>
    </format>
    <format dxfId="233">
      <pivotArea dataOnly="0" labelOnly="1" fieldPosition="0">
        <references count="1">
          <reference field="7" count="0"/>
        </references>
      </pivotArea>
    </format>
    <format dxfId="232">
      <pivotArea dataOnly="0" labelOnly="1" fieldPosition="0">
        <references count="1">
          <reference field="7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31">
      <pivotArea dataOnly="0" labelOnly="1" fieldPosition="0">
        <references count="1">
          <reference field="7" count="1">
            <x v="9"/>
          </reference>
        </references>
      </pivotArea>
    </format>
    <format dxfId="23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C3FA4-5189-46D7-9673-4D50C3A96521}" name="Tabella pivot1" cacheId="17" applyNumberFormats="0" applyBorderFormats="0" applyFontFormats="0" applyPatternFormats="0" applyAlignmentFormats="0" applyWidthHeightFormats="1" dataCaption="Valori" grandTotalCaption="Totale" updatedVersion="8" minRefreshableVersion="3" useAutoFormatting="1" itemPrintTitles="1" createdVersion="8" indent="0" outline="1" outlineData="1" multipleFieldFilters="0">
  <location ref="A3:J480" firstHeaderRow="1" firstDataRow="2" firstDataCol="1"/>
  <pivotFields count="12">
    <pivotField axis="axisRow" showAll="0" sortType="descending">
      <items count="658">
        <item x="416"/>
        <item x="418"/>
        <item x="422"/>
        <item x="347"/>
        <item m="1" x="494"/>
        <item m="1" x="488"/>
        <item x="266"/>
        <item x="284"/>
        <item x="336"/>
        <item x="437"/>
        <item x="324"/>
        <item x="327"/>
        <item x="344"/>
        <item x="2"/>
        <item m="1" x="527"/>
        <item m="1" x="537"/>
        <item m="1" x="529"/>
        <item m="1" x="502"/>
        <item m="1" x="536"/>
        <item m="1" x="524"/>
        <item m="1" x="533"/>
        <item m="1" x="534"/>
        <item m="1" x="526"/>
        <item m="1" x="521"/>
        <item m="1" x="535"/>
        <item m="1" x="522"/>
        <item m="1" x="532"/>
        <item m="1" x="530"/>
        <item m="1" x="523"/>
        <item m="1" x="531"/>
        <item m="1" x="528"/>
        <item m="1" x="525"/>
        <item m="1" x="540"/>
        <item m="1" x="557"/>
        <item m="1" x="547"/>
        <item m="1" x="551"/>
        <item m="1" x="539"/>
        <item m="1" x="556"/>
        <item m="1" x="544"/>
        <item m="1" x="550"/>
        <item m="1" x="555"/>
        <item m="1" x="538"/>
        <item m="1" x="543"/>
        <item m="1" x="549"/>
        <item m="1" x="554"/>
        <item m="1" x="542"/>
        <item m="1" x="548"/>
        <item m="1" x="553"/>
        <item m="1" x="541"/>
        <item m="1" x="546"/>
        <item m="1" x="571"/>
        <item m="1" x="569"/>
        <item m="1" x="568"/>
        <item m="1" x="566"/>
        <item m="1" x="564"/>
        <item m="1" x="572"/>
        <item m="1" x="570"/>
        <item m="1" x="567"/>
        <item m="1" x="565"/>
        <item m="1" x="563"/>
        <item m="1" x="562"/>
        <item m="1" x="561"/>
        <item m="1" x="560"/>
        <item m="1" x="559"/>
        <item m="1" x="558"/>
        <item x="449"/>
        <item x="335"/>
        <item x="410"/>
        <item x="385"/>
        <item x="366"/>
        <item x="319"/>
        <item x="275"/>
        <item x="57"/>
        <item m="1" x="491"/>
        <item x="41"/>
        <item x="51"/>
        <item x="302"/>
        <item x="45"/>
        <item x="69"/>
        <item x="472"/>
        <item x="474"/>
        <item x="370"/>
        <item x="457"/>
        <item x="7"/>
        <item x="298"/>
        <item x="112"/>
        <item x="443"/>
        <item x="382"/>
        <item x="321"/>
        <item m="1" x="656"/>
        <item x="309"/>
        <item x="388"/>
        <item x="61"/>
        <item x="367"/>
        <item x="252"/>
        <item x="6"/>
        <item x="91"/>
        <item x="444"/>
        <item x="323"/>
        <item x="290"/>
        <item m="1" x="490"/>
        <item x="429"/>
        <item m="1" x="489"/>
        <item x="467"/>
        <item x="326"/>
        <item x="98"/>
        <item x="375"/>
        <item x="254"/>
        <item x="48"/>
        <item x="288"/>
        <item x="35"/>
        <item x="291"/>
        <item x="293"/>
        <item x="244"/>
        <item x="390"/>
        <item x="432"/>
        <item x="371"/>
        <item x="282"/>
        <item x="393"/>
        <item x="466"/>
        <item x="79"/>
        <item x="424"/>
        <item x="296"/>
        <item x="446"/>
        <item x="442"/>
        <item x="358"/>
        <item x="348"/>
        <item x="428"/>
        <item x="297"/>
        <item x="351"/>
        <item x="365"/>
        <item x="399"/>
        <item x="417"/>
        <item x="401"/>
        <item x="300"/>
        <item x="268"/>
        <item x="332"/>
        <item x="346"/>
        <item x="304"/>
        <item x="334"/>
        <item x="276"/>
        <item x="311"/>
        <item x="277"/>
        <item x="456"/>
        <item x="468"/>
        <item x="431"/>
        <item x="343"/>
        <item x="144"/>
        <item x="314"/>
        <item x="389"/>
        <item x="395"/>
        <item m="1" x="496"/>
        <item m="1" x="495"/>
        <item x="355"/>
        <item x="287"/>
        <item x="392"/>
        <item x="224"/>
        <item x="469"/>
        <item x="349"/>
        <item x="310"/>
        <item x="53"/>
        <item x="455"/>
        <item x="315"/>
        <item x="408"/>
        <item x="280"/>
        <item x="378"/>
        <item x="226"/>
        <item x="337"/>
        <item x="289"/>
        <item x="381"/>
        <item x="415"/>
        <item x="361"/>
        <item x="470"/>
        <item x="295"/>
        <item x="294"/>
        <item x="383"/>
        <item x="317"/>
        <item x="80"/>
        <item x="407"/>
        <item x="281"/>
        <item x="394"/>
        <item x="460"/>
        <item x="240"/>
        <item x="396"/>
        <item x="97"/>
        <item x="235"/>
        <item x="413"/>
        <item x="386"/>
        <item x="376"/>
        <item x="441"/>
        <item x="316"/>
        <item x="463"/>
        <item x="286"/>
        <item x="354"/>
        <item x="121"/>
        <item x="400"/>
        <item x="145"/>
        <item x="8"/>
        <item m="1" x="492"/>
        <item x="306"/>
        <item x="423"/>
        <item x="99"/>
        <item x="21"/>
        <item x="379"/>
        <item x="405"/>
        <item x="225"/>
        <item x="192"/>
        <item x="380"/>
        <item x="433"/>
        <item x="459"/>
        <item x="461"/>
        <item x="412"/>
        <item x="403"/>
        <item m="1" x="486"/>
        <item x="292"/>
        <item x="52"/>
        <item x="269"/>
        <item x="359"/>
        <item x="353"/>
        <item x="233"/>
        <item x="113"/>
        <item x="320"/>
        <item x="259"/>
        <item x="409"/>
        <item x="257"/>
        <item x="450"/>
        <item x="350"/>
        <item x="305"/>
        <item m="1" x="487"/>
        <item x="462"/>
        <item x="231"/>
        <item x="258"/>
        <item m="1" x="630"/>
        <item m="1" x="608"/>
        <item m="1" x="610"/>
        <item m="1" x="623"/>
        <item x="360"/>
        <item m="1" x="639"/>
        <item m="1" x="638"/>
        <item m="1" x="634"/>
        <item m="1" x="607"/>
        <item m="1" x="637"/>
        <item m="1" x="632"/>
        <item m="1" x="598"/>
        <item m="1" x="629"/>
        <item m="1" x="621"/>
        <item m="1" x="628"/>
        <item m="1" x="625"/>
        <item m="1" x="614"/>
        <item m="1" x="606"/>
        <item m="1" x="635"/>
        <item m="1" x="631"/>
        <item m="1" x="596"/>
        <item m="1" x="636"/>
        <item m="1" x="618"/>
        <item m="1" x="627"/>
        <item m="1" x="624"/>
        <item m="1" x="613"/>
        <item m="1" x="604"/>
        <item m="1" x="633"/>
        <item m="1" x="593"/>
        <item m="1" x="586"/>
        <item m="1" x="616"/>
        <item m="1" x="626"/>
        <item m="1" x="622"/>
        <item m="1" x="612"/>
        <item m="1" x="601"/>
        <item m="1" x="609"/>
        <item m="1" x="605"/>
        <item m="1" x="602"/>
        <item m="1" x="611"/>
        <item m="1" x="619"/>
        <item m="1" x="617"/>
        <item m="1" x="615"/>
        <item m="1" x="620"/>
        <item m="1" x="655"/>
        <item m="1" x="640"/>
        <item m="1" x="599"/>
        <item m="1" x="481"/>
        <item m="1" x="645"/>
        <item m="1" x="641"/>
        <item m="1" x="600"/>
        <item m="1" x="603"/>
        <item x="414"/>
        <item x="439"/>
        <item x="448"/>
        <item x="374"/>
        <item x="377"/>
        <item x="50"/>
        <item x="362"/>
        <item x="363"/>
        <item x="436"/>
        <item x="411"/>
        <item x="398"/>
        <item x="445"/>
        <item x="308"/>
        <item x="329"/>
        <item x="435"/>
        <item x="163"/>
        <item x="307"/>
        <item x="464"/>
        <item x="261"/>
        <item x="313"/>
        <item x="338"/>
        <item x="270"/>
        <item x="397"/>
        <item x="5"/>
        <item x="430"/>
        <item x="427"/>
        <item x="451"/>
        <item m="1" x="479"/>
        <item x="263"/>
        <item x="369"/>
        <item x="303"/>
        <item x="342"/>
        <item x="454"/>
        <item x="340"/>
        <item x="372"/>
        <item x="223"/>
        <item x="18"/>
        <item x="345"/>
        <item x="322"/>
        <item x="283"/>
        <item x="142"/>
        <item x="273"/>
        <item x="458"/>
        <item x="341"/>
        <item x="333"/>
        <item x="82"/>
        <item x="301"/>
        <item x="421"/>
        <item x="55"/>
        <item x="67"/>
        <item x="12"/>
        <item x="391"/>
        <item x="230"/>
        <item x="17"/>
        <item x="471"/>
        <item x="473"/>
        <item x="137"/>
        <item x="404"/>
        <item x="13"/>
        <item x="387"/>
        <item x="299"/>
        <item x="279"/>
        <item x="94"/>
        <item x="272"/>
        <item x="406"/>
        <item x="426"/>
        <item x="318"/>
        <item x="453"/>
        <item x="373"/>
        <item x="108"/>
        <item m="1" x="497"/>
        <item m="1" x="552"/>
        <item x="331"/>
        <item x="420"/>
        <item x="271"/>
        <item m="1" x="493"/>
        <item x="425"/>
        <item x="452"/>
        <item x="11"/>
        <item x="419"/>
        <item x="356"/>
        <item x="260"/>
        <item x="199"/>
        <item x="438"/>
        <item x="384"/>
        <item x="339"/>
        <item x="328"/>
        <item x="465"/>
        <item x="92"/>
        <item x="352"/>
        <item x="402"/>
        <item x="312"/>
        <item x="440"/>
        <item x="285"/>
        <item x="434"/>
        <item x="364"/>
        <item x="475"/>
        <item x="253"/>
        <item x="255"/>
        <item m="1" x="520"/>
        <item x="256"/>
        <item x="251"/>
        <item m="1" x="519"/>
        <item m="1" x="518"/>
        <item m="1" x="517"/>
        <item x="249"/>
        <item x="250"/>
        <item x="247"/>
        <item x="248"/>
        <item m="1" x="597"/>
        <item m="1" x="516"/>
        <item m="1" x="515"/>
        <item m="1" x="595"/>
        <item m="1" x="642"/>
        <item m="1" x="643"/>
        <item m="1" x="644"/>
        <item x="237"/>
        <item m="1" x="513"/>
        <item x="238"/>
        <item x="239"/>
        <item x="241"/>
        <item m="1" x="591"/>
        <item m="1" x="592"/>
        <item x="234"/>
        <item m="1" x="654"/>
        <item m="1" x="594"/>
        <item m="1" x="514"/>
        <item x="197"/>
        <item m="1" x="587"/>
        <item m="1" x="653"/>
        <item m="1" x="588"/>
        <item m="1" x="590"/>
        <item m="1" x="477"/>
        <item m="1" x="511"/>
        <item x="95"/>
        <item x="227"/>
        <item x="228"/>
        <item x="229"/>
        <item x="59"/>
        <item m="1" x="589"/>
        <item x="218"/>
        <item x="219"/>
        <item x="220"/>
        <item x="221"/>
        <item m="1" x="585"/>
        <item x="217"/>
        <item m="1" x="508"/>
        <item x="213"/>
        <item x="215"/>
        <item x="216"/>
        <item m="1" x="652"/>
        <item x="207"/>
        <item x="208"/>
        <item m="1" x="651"/>
        <item x="211"/>
        <item m="1" x="485"/>
        <item m="1" x="583"/>
        <item x="205"/>
        <item m="1" x="647"/>
        <item x="46"/>
        <item m="1" x="584"/>
        <item x="209"/>
        <item x="210"/>
        <item m="1" x="648"/>
        <item m="1" x="649"/>
        <item m="1" x="650"/>
        <item x="202"/>
        <item m="1" x="506"/>
        <item m="1" x="503"/>
        <item x="200"/>
        <item x="201"/>
        <item x="214"/>
        <item x="169"/>
        <item m="1" x="576"/>
        <item x="168"/>
        <item m="1" x="577"/>
        <item x="171"/>
        <item x="172"/>
        <item x="173"/>
        <item x="174"/>
        <item x="175"/>
        <item x="176"/>
        <item m="1" x="578"/>
        <item x="177"/>
        <item x="178"/>
        <item x="179"/>
        <item x="180"/>
        <item x="118"/>
        <item m="1" x="579"/>
        <item x="182"/>
        <item m="1" x="484"/>
        <item x="184"/>
        <item x="185"/>
        <item x="186"/>
        <item x="187"/>
        <item x="188"/>
        <item m="1" x="504"/>
        <item m="1" x="580"/>
        <item m="1" x="581"/>
        <item m="1" x="505"/>
        <item x="191"/>
        <item x="193"/>
        <item x="194"/>
        <item x="195"/>
        <item x="196"/>
        <item m="1" x="582"/>
        <item x="198"/>
        <item m="1" x="507"/>
        <item m="1" x="509"/>
        <item m="1" x="510"/>
        <item m="1" x="512"/>
        <item x="165"/>
        <item x="166"/>
        <item m="1" x="575"/>
        <item m="1" x="483"/>
        <item m="1" x="646"/>
        <item m="1" x="500"/>
        <item m="1" x="501"/>
        <item x="164"/>
        <item m="1" x="573"/>
        <item m="1" x="499"/>
        <item x="159"/>
        <item x="160"/>
        <item x="161"/>
        <item x="162"/>
        <item m="1" x="574"/>
        <item x="158"/>
        <item m="1" x="498"/>
        <item x="167"/>
        <item x="170"/>
        <item x="181"/>
        <item x="189"/>
        <item x="190"/>
        <item m="1" x="480"/>
        <item x="203"/>
        <item x="204"/>
        <item x="206"/>
        <item x="63"/>
        <item x="222"/>
        <item x="146"/>
        <item x="232"/>
        <item x="236"/>
        <item x="242"/>
        <item x="243"/>
        <item x="245"/>
        <item x="246"/>
        <item x="102"/>
        <item x="262"/>
        <item x="264"/>
        <item x="274"/>
        <item x="156"/>
        <item x="278"/>
        <item x="330"/>
        <item x="325"/>
        <item x="357"/>
        <item x="368"/>
        <item m="1" x="545"/>
        <item x="267"/>
        <item m="1" x="482"/>
        <item x="183"/>
        <item x="212"/>
        <item x="265"/>
        <item x="140"/>
        <item x="447"/>
        <item x="157"/>
        <item x="147"/>
        <item x="148"/>
        <item x="149"/>
        <item x="150"/>
        <item x="151"/>
        <item x="152"/>
        <item x="153"/>
        <item x="154"/>
        <item x="155"/>
        <item x="128"/>
        <item x="143"/>
        <item x="76"/>
        <item x="141"/>
        <item m="1" x="478"/>
        <item x="139"/>
        <item x="138"/>
        <item x="90"/>
        <item x="135"/>
        <item x="136"/>
        <item x="132"/>
        <item x="133"/>
        <item x="131"/>
        <item x="134"/>
        <item x="129"/>
        <item x="16"/>
        <item x="130"/>
        <item x="117"/>
        <item x="119"/>
        <item x="120"/>
        <item x="122"/>
        <item x="123"/>
        <item x="124"/>
        <item x="125"/>
        <item x="126"/>
        <item x="127"/>
        <item x="116"/>
        <item x="115"/>
        <item x="114"/>
        <item x="109"/>
        <item x="110"/>
        <item x="111"/>
        <item x="54"/>
        <item x="106"/>
        <item x="105"/>
        <item x="107"/>
        <item x="77"/>
        <item x="103"/>
        <item x="104"/>
        <item x="87"/>
        <item x="100"/>
        <item x="101"/>
        <item x="96"/>
        <item x="93"/>
        <item x="88"/>
        <item x="89"/>
        <item m="1" x="476"/>
        <item x="3"/>
        <item x="73"/>
        <item x="74"/>
        <item x="75"/>
        <item x="78"/>
        <item x="81"/>
        <item x="83"/>
        <item x="84"/>
        <item x="85"/>
        <item x="86"/>
        <item x="68"/>
        <item x="22"/>
        <item x="37"/>
        <item x="70"/>
        <item x="71"/>
        <item x="72"/>
        <item x="56"/>
        <item x="58"/>
        <item x="60"/>
        <item x="62"/>
        <item x="64"/>
        <item x="65"/>
        <item x="66"/>
        <item x="19"/>
        <item x="15"/>
        <item x="38"/>
        <item x="39"/>
        <item x="40"/>
        <item x="42"/>
        <item x="20"/>
        <item x="43"/>
        <item x="44"/>
        <item x="47"/>
        <item x="49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0"/>
        <item x="1"/>
        <item x="4"/>
        <item x="9"/>
        <item x="1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multipleItemSelectionAllowed="1" showAll="0">
      <items count="10">
        <item x="7"/>
        <item x="6"/>
        <item x="5"/>
        <item x="4"/>
        <item x="3"/>
        <item x="2"/>
        <item h="1" x="8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76">
    <i>
      <x v="13"/>
    </i>
    <i>
      <x v="83"/>
    </i>
    <i>
      <x v="306"/>
    </i>
    <i>
      <x v="332"/>
    </i>
    <i>
      <x v="160"/>
    </i>
    <i>
      <x v="95"/>
    </i>
    <i>
      <x v="328"/>
    </i>
    <i>
      <x v="333"/>
    </i>
    <i>
      <x v="520"/>
    </i>
    <i>
      <x v="110"/>
    </i>
    <i>
      <x v="206"/>
    </i>
    <i>
      <x v="336"/>
    </i>
    <i>
      <x v="157"/>
    </i>
    <i>
      <x v="195"/>
    </i>
    <i>
      <x v="361"/>
    </i>
    <i>
      <x v="184"/>
    </i>
    <i>
      <x v="197"/>
    </i>
    <i>
      <x v="515"/>
    </i>
    <i>
      <x v="373"/>
    </i>
    <i>
      <x v="323"/>
    </i>
    <i>
      <x v="318"/>
    </i>
    <i>
      <x v="344"/>
    </i>
    <i>
      <x v="205"/>
    </i>
    <i>
      <x v="85"/>
    </i>
    <i>
      <x v="363"/>
    </i>
    <i>
      <x v="518"/>
    </i>
    <i>
      <x v="202"/>
    </i>
    <i>
      <x v="365"/>
    </i>
    <i>
      <x v="119"/>
    </i>
    <i>
      <x v="129"/>
    </i>
    <i>
      <x v="628"/>
    </i>
    <i>
      <x v="108"/>
    </i>
    <i>
      <x v="596"/>
    </i>
    <i>
      <x v="92"/>
    </i>
    <i>
      <x v="545"/>
    </i>
    <i>
      <x v="335"/>
    </i>
    <i>
      <x v="341"/>
    </i>
    <i>
      <x v="158"/>
    </i>
    <i>
      <x v="105"/>
    </i>
    <i>
      <x v="559"/>
    </i>
    <i>
      <x v="329"/>
    </i>
    <i>
      <x v="182"/>
    </i>
    <i>
      <x v="82"/>
    </i>
    <i>
      <x v="375"/>
    </i>
    <i>
      <x v="313"/>
    </i>
    <i>
      <x v="196"/>
    </i>
    <i>
      <x v="96"/>
    </i>
    <i>
      <x v="181"/>
    </i>
    <i>
      <x v="9"/>
    </i>
    <i>
      <x v="147"/>
    </i>
    <i>
      <x v="166"/>
    </i>
    <i>
      <x v="623"/>
    </i>
    <i>
      <x v="145"/>
    </i>
    <i>
      <x v="337"/>
    </i>
    <i>
      <x v="339"/>
    </i>
    <i>
      <x v="220"/>
    </i>
    <i>
      <x v="601"/>
    </i>
    <i>
      <x v="79"/>
    </i>
    <i>
      <x v="107"/>
    </i>
    <i>
      <x v="86"/>
    </i>
    <i>
      <x v="544"/>
    </i>
    <i>
      <x v="298"/>
    </i>
    <i>
      <x v="297"/>
    </i>
    <i>
      <x v="457"/>
    </i>
    <i>
      <x v="3"/>
    </i>
    <i>
      <x v="572"/>
    </i>
    <i>
      <x v="534"/>
    </i>
    <i>
      <x v="555"/>
    </i>
    <i>
      <x v="74"/>
    </i>
    <i>
      <x v="526"/>
    </i>
    <i>
      <x v="366"/>
    </i>
    <i>
      <x v="521"/>
    </i>
    <i>
      <x v="338"/>
    </i>
    <i>
      <x v="72"/>
    </i>
    <i>
      <x v="230"/>
    </i>
    <i>
      <x v="522"/>
    </i>
    <i>
      <x v="442"/>
    </i>
    <i>
      <x v="631"/>
    </i>
    <i>
      <x v="284"/>
    </i>
    <i>
      <x v="535"/>
    </i>
    <i>
      <x v="115"/>
    </i>
    <i>
      <x/>
    </i>
    <i>
      <x v="331"/>
    </i>
    <i>
      <x v="352"/>
    </i>
    <i>
      <x v="319"/>
    </i>
    <i>
      <x v="604"/>
    </i>
    <i>
      <x v="421"/>
    </i>
    <i>
      <x v="291"/>
    </i>
    <i>
      <x v="330"/>
    </i>
    <i>
      <x v="156"/>
    </i>
    <i>
      <x v="288"/>
    </i>
    <i>
      <x v="647"/>
    </i>
    <i>
      <x v="483"/>
    </i>
    <i>
      <x v="106"/>
    </i>
    <i>
      <x v="189"/>
    </i>
    <i>
      <x v="136"/>
    </i>
    <i>
      <x v="142"/>
    </i>
    <i>
      <x v="524"/>
    </i>
    <i>
      <x v="586"/>
    </i>
    <i>
      <x v="581"/>
    </i>
    <i>
      <x v="77"/>
    </i>
    <i>
      <x v="210"/>
    </i>
    <i>
      <x v="543"/>
    </i>
    <i>
      <x v="517"/>
    </i>
    <i>
      <x v="78"/>
    </i>
    <i>
      <x v="305"/>
    </i>
    <i>
      <x v="140"/>
    </i>
    <i>
      <x v="348"/>
    </i>
    <i>
      <x v="113"/>
    </i>
    <i>
      <x v="98"/>
    </i>
    <i>
      <x v="389"/>
    </i>
    <i>
      <x v="620"/>
    </i>
    <i>
      <x v="495"/>
    </i>
    <i>
      <x v="470"/>
    </i>
    <i>
      <x v="529"/>
    </i>
    <i>
      <x v="423"/>
    </i>
    <i>
      <x v="10"/>
    </i>
    <i>
      <x v="315"/>
    </i>
    <i>
      <x v="462"/>
    </i>
    <i>
      <x v="563"/>
    </i>
    <i>
      <x v="528"/>
    </i>
    <i>
      <x v="153"/>
    </i>
    <i>
      <x v="573"/>
    </i>
    <i>
      <x v="410"/>
    </i>
    <i>
      <x v="224"/>
    </i>
    <i>
      <x v="161"/>
    </i>
    <i>
      <x v="617"/>
    </i>
    <i>
      <x v="311"/>
    </i>
    <i>
      <x v="300"/>
    </i>
    <i>
      <x v="390"/>
    </i>
    <i>
      <x v="222"/>
    </i>
    <i>
      <x v="76"/>
    </i>
    <i>
      <x v="90"/>
    </i>
    <i>
      <x v="362"/>
    </i>
    <i>
      <x v="554"/>
    </i>
    <i>
      <x v="177"/>
    </i>
    <i>
      <x v="66"/>
    </i>
    <i>
      <x v="588"/>
    </i>
    <i>
      <x v="655"/>
    </i>
    <i>
      <x v="542"/>
    </i>
    <i>
      <x v="406"/>
    </i>
    <i>
      <x v="141"/>
    </i>
    <i>
      <x v="384"/>
    </i>
    <i>
      <x v="587"/>
    </i>
    <i>
      <x v="399"/>
    </i>
    <i>
      <x v="372"/>
    </i>
    <i>
      <x v="420"/>
    </i>
    <i>
      <x v="109"/>
    </i>
    <i>
      <x v="594"/>
    </i>
    <i>
      <x v="345"/>
    </i>
    <i>
      <x v="597"/>
    </i>
    <i>
      <x v="356"/>
    </i>
    <i>
      <x v="143"/>
    </i>
    <i>
      <x v="211"/>
    </i>
    <i>
      <x v="523"/>
    </i>
    <i>
      <x v="120"/>
    </i>
    <i>
      <x v="531"/>
    </i>
    <i>
      <x v="217"/>
    </i>
    <i>
      <x v="146"/>
    </i>
    <i>
      <x v="371"/>
    </i>
    <i>
      <x v="419"/>
    </i>
    <i>
      <x v="215"/>
    </i>
    <i>
      <x v="576"/>
    </i>
    <i>
      <x v="216"/>
    </i>
    <i>
      <x v="103"/>
    </i>
    <i>
      <x v="301"/>
    </i>
    <i>
      <x v="616"/>
    </i>
    <i>
      <x v="185"/>
    </i>
    <i>
      <x v="312"/>
    </i>
    <i>
      <x v="435"/>
    </i>
    <i>
      <x v="359"/>
    </i>
    <i>
      <x v="309"/>
    </i>
    <i>
      <x v="619"/>
    </i>
    <i>
      <x v="223"/>
    </i>
    <i>
      <x v="445"/>
    </i>
    <i>
      <x v="1"/>
    </i>
    <i>
      <x v="94"/>
    </i>
    <i>
      <x v="218"/>
    </i>
    <i>
      <x v="546"/>
    </i>
    <i>
      <x v="632"/>
    </i>
    <i>
      <x v="432"/>
    </i>
    <i>
      <x v="656"/>
    </i>
    <i>
      <x v="571"/>
    </i>
    <i>
      <x v="402"/>
    </i>
    <i>
      <x v="144"/>
    </i>
    <i>
      <x v="346"/>
    </i>
    <i>
      <x v="452"/>
    </i>
    <i>
      <x v="176"/>
    </i>
    <i>
      <x v="321"/>
    </i>
    <i>
      <x v="164"/>
    </i>
    <i>
      <x v="537"/>
    </i>
    <i>
      <x v="204"/>
    </i>
    <i>
      <x v="618"/>
    </i>
    <i>
      <x v="130"/>
    </i>
    <i>
      <x v="114"/>
    </i>
    <i>
      <x v="613"/>
    </i>
    <i>
      <x v="417"/>
    </i>
    <i>
      <x v="644"/>
    </i>
    <i>
      <x v="304"/>
    </i>
    <i>
      <x v="133"/>
    </i>
    <i>
      <x v="466"/>
    </i>
    <i>
      <x v="625"/>
    </i>
    <i>
      <x v="221"/>
    </i>
    <i>
      <x v="626"/>
    </i>
    <i>
      <x v="201"/>
    </i>
    <i>
      <x v="426"/>
    </i>
    <i>
      <x v="598"/>
    </i>
    <i>
      <x v="569"/>
    </i>
    <i>
      <x v="475"/>
    </i>
    <i>
      <x v="511"/>
    </i>
    <i>
      <x v="530"/>
    </i>
    <i>
      <x v="449"/>
    </i>
    <i>
      <x v="583"/>
    </i>
    <i>
      <x v="68"/>
    </i>
    <i>
      <x v="294"/>
    </i>
    <i>
      <x v="463"/>
    </i>
    <i>
      <x v="349"/>
    </i>
    <i>
      <x v="172"/>
    </i>
    <i>
      <x v="428"/>
    </i>
    <i>
      <x v="231"/>
    </i>
    <i>
      <x v="199"/>
    </i>
    <i>
      <x v="299"/>
    </i>
    <i>
      <x v="135"/>
    </i>
    <i>
      <x v="507"/>
    </i>
    <i>
      <x v="574"/>
    </i>
    <i>
      <x v="578"/>
    </i>
    <i>
      <x v="431"/>
    </i>
    <i>
      <x v="314"/>
    </i>
    <i>
      <x v="67"/>
    </i>
    <i>
      <x v="568"/>
    </i>
    <i>
      <x v="188"/>
    </i>
    <i>
      <x v="179"/>
    </i>
    <i>
      <x v="104"/>
    </i>
    <i>
      <x v="444"/>
    </i>
    <i>
      <x v="636"/>
    </i>
    <i>
      <x v="589"/>
    </i>
    <i>
      <x v="627"/>
    </i>
    <i>
      <x v="564"/>
    </i>
    <i>
      <x v="630"/>
    </i>
    <i>
      <x v="137"/>
    </i>
    <i>
      <x v="547"/>
    </i>
    <i>
      <x v="575"/>
    </i>
    <i>
      <x v="585"/>
    </i>
    <i>
      <x v="514"/>
    </i>
    <i>
      <x v="577"/>
    </i>
    <i>
      <x v="208"/>
    </i>
    <i>
      <x v="557"/>
    </i>
    <i>
      <x v="567"/>
    </i>
    <i>
      <x v="307"/>
    </i>
    <i>
      <x v="651"/>
    </i>
    <i>
      <x v="97"/>
    </i>
    <i>
      <x v="608"/>
    </i>
    <i>
      <x v="322"/>
    </i>
    <i>
      <x v="377"/>
    </i>
    <i>
      <x v="347"/>
    </i>
    <i>
      <x v="192"/>
    </i>
    <i>
      <x v="165"/>
    </i>
    <i>
      <x v="289"/>
    </i>
    <i>
      <x v="364"/>
    </i>
    <i>
      <x v="316"/>
    </i>
    <i>
      <x v="320"/>
    </i>
    <i>
      <x v="654"/>
    </i>
    <i>
      <x v="525"/>
    </i>
    <i>
      <x v="565"/>
    </i>
    <i>
      <x v="536"/>
    </i>
    <i>
      <x v="70"/>
    </i>
    <i>
      <x v="350"/>
    </i>
    <i>
      <x v="290"/>
    </i>
    <i>
      <x v="533"/>
    </i>
    <i>
      <x v="168"/>
    </i>
    <i>
      <x v="634"/>
    </i>
    <i>
      <x v="6"/>
    </i>
    <i>
      <x v="391"/>
    </i>
    <i>
      <x v="65"/>
    </i>
    <i>
      <x v="180"/>
    </i>
    <i>
      <x v="579"/>
    </i>
    <i>
      <x v="167"/>
    </i>
    <i>
      <x v="118"/>
    </i>
    <i>
      <x v="367"/>
    </i>
    <i>
      <x v="360"/>
    </i>
    <i>
      <x v="355"/>
    </i>
    <i>
      <x v="178"/>
    </i>
    <i>
      <x v="324"/>
    </i>
    <i>
      <x v="461"/>
    </i>
    <i>
      <x v="453"/>
    </i>
    <i>
      <x v="308"/>
    </i>
    <i>
      <x v="592"/>
    </i>
    <i>
      <x v="295"/>
    </i>
    <i>
      <x v="93"/>
    </i>
    <i>
      <x v="12"/>
    </i>
    <i>
      <x v="527"/>
    </i>
    <i>
      <x v="388"/>
    </i>
    <i>
      <x v="296"/>
    </i>
    <i>
      <x v="509"/>
    </i>
    <i>
      <x v="87"/>
    </i>
    <i>
      <x v="648"/>
    </i>
    <i>
      <x v="600"/>
    </i>
    <i>
      <x v="584"/>
    </i>
    <i>
      <x v="440"/>
    </i>
    <i>
      <x v="558"/>
    </i>
    <i>
      <x v="175"/>
    </i>
    <i>
      <x v="474"/>
    </i>
    <i>
      <x v="595"/>
    </i>
    <i>
      <x v="599"/>
    </i>
    <i>
      <x v="125"/>
    </i>
    <i>
      <x v="131"/>
    </i>
    <i>
      <x v="326"/>
    </i>
    <i>
      <x v="478"/>
    </i>
    <i>
      <x v="560"/>
    </i>
    <i>
      <x v="227"/>
    </i>
    <i>
      <x v="369"/>
    </i>
    <i>
      <x v="138"/>
    </i>
    <i>
      <x v="643"/>
    </i>
    <i>
      <x v="69"/>
    </i>
    <i>
      <x v="506"/>
    </i>
    <i>
      <x v="186"/>
    </i>
    <i>
      <x v="622"/>
    </i>
    <i>
      <x v="71"/>
    </i>
    <i>
      <x v="334"/>
    </i>
    <i>
      <x v="538"/>
    </i>
    <i>
      <x v="207"/>
    </i>
    <i>
      <x v="550"/>
    </i>
    <i>
      <x v="132"/>
    </i>
    <i>
      <x v="378"/>
    </i>
    <i>
      <x v="607"/>
    </i>
    <i>
      <x v="183"/>
    </i>
    <i>
      <x v="566"/>
    </i>
    <i>
      <x v="464"/>
    </i>
    <i>
      <x v="437"/>
    </i>
    <i>
      <x v="633"/>
    </i>
    <i>
      <x v="162"/>
    </i>
    <i>
      <x v="519"/>
    </i>
    <i>
      <x v="351"/>
    </i>
    <i>
      <x v="532"/>
    </i>
    <i>
      <x v="11"/>
    </i>
    <i>
      <x v="610"/>
    </i>
    <i>
      <x v="401"/>
    </i>
    <i>
      <x v="455"/>
    </i>
    <i>
      <x v="343"/>
    </i>
    <i>
      <x v="236"/>
    </i>
    <i>
      <x v="489"/>
    </i>
    <i>
      <x v="629"/>
    </i>
    <i>
      <x v="467"/>
    </i>
    <i>
      <x v="212"/>
    </i>
    <i>
      <x v="287"/>
    </i>
    <i>
      <x v="191"/>
    </i>
    <i>
      <x v="370"/>
    </i>
    <i>
      <x v="556"/>
    </i>
    <i>
      <x v="512"/>
    </i>
    <i>
      <x v="513"/>
    </i>
    <i>
      <x v="219"/>
    </i>
    <i>
      <x v="403"/>
    </i>
    <i>
      <x v="383"/>
    </i>
    <i>
      <x v="75"/>
    </i>
    <i>
      <x v="170"/>
    </i>
    <i>
      <x v="122"/>
    </i>
    <i>
      <x v="381"/>
    </i>
    <i>
      <x v="551"/>
    </i>
    <i>
      <x v="504"/>
    </i>
    <i>
      <x v="459"/>
    </i>
    <i>
      <x v="149"/>
    </i>
    <i>
      <x v="134"/>
    </i>
    <i>
      <x v="639"/>
    </i>
    <i>
      <x v="357"/>
    </i>
    <i>
      <x v="570"/>
    </i>
    <i>
      <x v="476"/>
    </i>
    <i>
      <x v="121"/>
    </i>
    <i>
      <x v="154"/>
    </i>
    <i>
      <x v="293"/>
    </i>
    <i>
      <x v="376"/>
    </i>
    <i>
      <x v="163"/>
    </i>
    <i>
      <x v="225"/>
    </i>
    <i>
      <x v="7"/>
    </i>
    <i>
      <x v="116"/>
    </i>
    <i>
      <x v="8"/>
    </i>
    <i>
      <x v="649"/>
    </i>
    <i>
      <x v="485"/>
    </i>
    <i>
      <x v="615"/>
    </i>
    <i>
      <x v="650"/>
    </i>
    <i>
      <x v="540"/>
    </i>
    <i>
      <x v="194"/>
    </i>
    <i>
      <x v="609"/>
    </i>
    <i>
      <x v="123"/>
    </i>
    <i>
      <x v="612"/>
    </i>
    <i>
      <x v="203"/>
    </i>
    <i>
      <x v="642"/>
    </i>
    <i>
      <x v="591"/>
    </i>
    <i>
      <x v="99"/>
    </i>
    <i>
      <x v="637"/>
    </i>
    <i>
      <x v="469"/>
    </i>
    <i>
      <x v="590"/>
    </i>
    <i>
      <x v="424"/>
    </i>
    <i>
      <x v="159"/>
    </i>
    <i>
      <x v="646"/>
    </i>
    <i>
      <x v="81"/>
    </i>
    <i>
      <x v="171"/>
    </i>
    <i>
      <x v="190"/>
    </i>
    <i>
      <x v="209"/>
    </i>
    <i>
      <x v="2"/>
    </i>
    <i>
      <x v="126"/>
    </i>
    <i>
      <x v="150"/>
    </i>
    <i>
      <x v="640"/>
    </i>
    <i>
      <x v="292"/>
    </i>
    <i>
      <x v="477"/>
    </i>
    <i>
      <x v="229"/>
    </i>
    <i>
      <x v="374"/>
    </i>
    <i>
      <x v="501"/>
    </i>
    <i>
      <x v="614"/>
    </i>
    <i>
      <x v="641"/>
    </i>
    <i>
      <x v="187"/>
    </i>
    <i>
      <x v="340"/>
    </i>
    <i>
      <x v="127"/>
    </i>
    <i>
      <x v="605"/>
    </i>
    <i>
      <x v="468"/>
    </i>
    <i>
      <x v="552"/>
    </i>
    <i>
      <x v="111"/>
    </i>
    <i>
      <x v="200"/>
    </i>
    <i>
      <x v="214"/>
    </i>
    <i>
      <x v="169"/>
    </i>
    <i>
      <x v="317"/>
    </i>
    <i>
      <x v="84"/>
    </i>
    <i>
      <x v="342"/>
    </i>
    <i>
      <x v="327"/>
    </i>
    <i>
      <x v="635"/>
    </i>
    <i>
      <x v="112"/>
    </i>
    <i>
      <x v="302"/>
    </i>
    <i>
      <x v="486"/>
    </i>
    <i>
      <x v="173"/>
    </i>
    <i>
      <x v="505"/>
    </i>
    <i>
      <x v="652"/>
    </i>
    <i>
      <x v="174"/>
    </i>
    <i>
      <x v="139"/>
    </i>
    <i>
      <x v="548"/>
    </i>
    <i>
      <x v="226"/>
    </i>
    <i>
      <x v="80"/>
    </i>
    <i>
      <x v="91"/>
    </i>
    <i>
      <x v="487"/>
    </i>
    <i>
      <x v="128"/>
    </i>
    <i>
      <x v="549"/>
    </i>
    <i>
      <x v="602"/>
    </i>
    <i>
      <x v="645"/>
    </i>
    <i>
      <x v="285"/>
    </i>
    <i>
      <x v="425"/>
    </i>
    <i>
      <x v="582"/>
    </i>
    <i>
      <x v="380"/>
    </i>
    <i>
      <x v="430"/>
    </i>
    <i>
      <x v="148"/>
    </i>
    <i>
      <x v="472"/>
    </i>
    <i>
      <x v="286"/>
    </i>
    <i>
      <x v="155"/>
    </i>
    <i>
      <x v="606"/>
    </i>
    <i>
      <x v="283"/>
    </i>
    <i>
      <x v="193"/>
    </i>
    <i>
      <x v="580"/>
    </i>
    <i>
      <x v="624"/>
    </i>
    <i>
      <x v="88"/>
    </i>
    <i>
      <x v="621"/>
    </i>
    <i>
      <x v="562"/>
    </i>
    <i>
      <x v="117"/>
    </i>
    <i>
      <x v="303"/>
    </i>
    <i>
      <x v="484"/>
    </i>
    <i>
      <x v="368"/>
    </i>
    <i>
      <x v="611"/>
    </i>
    <i>
      <x v="460"/>
    </i>
    <i>
      <x v="494"/>
    </i>
    <i>
      <x v="434"/>
    </i>
    <i>
      <x v="553"/>
    </i>
    <i>
      <x v="325"/>
    </i>
    <i>
      <x v="638"/>
    </i>
    <i>
      <x v="454"/>
    </i>
    <i>
      <x v="653"/>
    </i>
    <i>
      <x v="101"/>
    </i>
    <i>
      <x v="124"/>
    </i>
    <i>
      <x v="418"/>
    </i>
    <i>
      <x v="593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colItems>
  <dataFields count="1">
    <dataField name="Somma di IMPORTO" fld="8" baseField="0" baseItem="0" numFmtId="167"/>
  </dataFields>
  <formats count="17">
    <format dxfId="229">
      <pivotArea type="all" dataOnly="0" outline="0" fieldPosition="0"/>
    </format>
    <format dxfId="228">
      <pivotArea outline="0" collapsedLevelsAreSubtotals="1" fieldPosition="0"/>
    </format>
    <format dxfId="227">
      <pivotArea type="origin" dataOnly="0" labelOnly="1" outline="0" fieldPosition="0"/>
    </format>
    <format dxfId="226">
      <pivotArea field="2" type="button" dataOnly="0" labelOnly="1" outline="0" axis="axisCol" fieldPosition="0"/>
    </format>
    <format dxfId="225">
      <pivotArea type="topRight" dataOnly="0" labelOnly="1" outline="0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0" count="50">
            <x v="9"/>
            <x v="13"/>
            <x v="79"/>
            <x v="82"/>
            <x v="83"/>
            <x v="85"/>
            <x v="86"/>
            <x v="92"/>
            <x v="95"/>
            <x v="105"/>
            <x v="107"/>
            <x v="108"/>
            <x v="110"/>
            <x v="119"/>
            <x v="129"/>
            <x v="145"/>
            <x v="147"/>
            <x v="152"/>
            <x v="157"/>
            <x v="158"/>
            <x v="160"/>
            <x v="166"/>
            <x v="181"/>
            <x v="182"/>
            <x v="184"/>
            <x v="195"/>
            <x v="197"/>
            <x v="202"/>
            <x v="205"/>
            <x v="206"/>
            <x v="297"/>
            <x v="306"/>
            <x v="313"/>
            <x v="318"/>
            <x v="323"/>
            <x v="328"/>
            <x v="329"/>
            <x v="332"/>
            <x v="333"/>
            <x v="335"/>
            <x v="336"/>
            <x v="337"/>
            <x v="341"/>
            <x v="344"/>
            <x v="353"/>
            <x v="361"/>
            <x v="363"/>
            <x v="365"/>
            <x v="373"/>
            <x v="375"/>
          </reference>
        </references>
      </pivotArea>
    </format>
    <format dxfId="222">
      <pivotArea dataOnly="0" labelOnly="1" fieldPosition="0">
        <references count="1">
          <reference field="0" count="50">
            <x v="0"/>
            <x v="3"/>
            <x v="10"/>
            <x v="50"/>
            <x v="51"/>
            <x v="52"/>
            <x v="53"/>
            <x v="54"/>
            <x v="66"/>
            <x v="72"/>
            <x v="74"/>
            <x v="76"/>
            <x v="90"/>
            <x v="96"/>
            <x v="98"/>
            <x v="106"/>
            <x v="115"/>
            <x v="136"/>
            <x v="140"/>
            <x v="153"/>
            <x v="161"/>
            <x v="189"/>
            <x v="196"/>
            <x v="210"/>
            <x v="213"/>
            <x v="220"/>
            <x v="222"/>
            <x v="224"/>
            <x v="228"/>
            <x v="230"/>
            <x v="240"/>
            <x v="248"/>
            <x v="257"/>
            <x v="265"/>
            <x v="275"/>
            <x v="284"/>
            <x v="291"/>
            <x v="298"/>
            <x v="300"/>
            <x v="305"/>
            <x v="310"/>
            <x v="311"/>
            <x v="315"/>
            <x v="330"/>
            <x v="331"/>
            <x v="338"/>
            <x v="339"/>
            <x v="348"/>
            <x v="362"/>
            <x v="366"/>
          </reference>
        </references>
      </pivotArea>
    </format>
    <format dxfId="221">
      <pivotArea dataOnly="0" labelOnly="1" fieldPosition="0">
        <references count="1">
          <reference field="0" count="50">
            <x v="1"/>
            <x v="34"/>
            <x v="38"/>
            <x v="42"/>
            <x v="45"/>
            <x v="48"/>
            <x v="77"/>
            <x v="78"/>
            <x v="94"/>
            <x v="103"/>
            <x v="109"/>
            <x v="114"/>
            <x v="130"/>
            <x v="133"/>
            <x v="141"/>
            <x v="143"/>
            <x v="144"/>
            <x v="146"/>
            <x v="156"/>
            <x v="164"/>
            <x v="176"/>
            <x v="204"/>
            <x v="211"/>
            <x v="216"/>
            <x v="217"/>
            <x v="218"/>
            <x v="221"/>
            <x v="223"/>
            <x v="236"/>
            <x v="244"/>
            <x v="245"/>
            <x v="249"/>
            <x v="254"/>
            <x v="258"/>
            <x v="262"/>
            <x v="266"/>
            <x v="276"/>
            <x v="279"/>
            <x v="282"/>
            <x v="301"/>
            <x v="304"/>
            <x v="309"/>
            <x v="312"/>
            <x v="321"/>
            <x v="346"/>
            <x v="356"/>
            <x v="359"/>
            <x v="372"/>
            <x v="384"/>
            <x v="385"/>
          </reference>
        </references>
      </pivotArea>
    </format>
    <format dxfId="220">
      <pivotArea dataOnly="0" labelOnly="1" fieldPosition="0">
        <references count="1">
          <reference field="0" count="50">
            <x v="17"/>
            <x v="23"/>
            <x v="60"/>
            <x v="61"/>
            <x v="62"/>
            <x v="63"/>
            <x v="64"/>
            <x v="67"/>
            <x v="68"/>
            <x v="70"/>
            <x v="97"/>
            <x v="104"/>
            <x v="135"/>
            <x v="137"/>
            <x v="142"/>
            <x v="165"/>
            <x v="168"/>
            <x v="172"/>
            <x v="177"/>
            <x v="179"/>
            <x v="188"/>
            <x v="192"/>
            <x v="199"/>
            <x v="208"/>
            <x v="231"/>
            <x v="247"/>
            <x v="256"/>
            <x v="264"/>
            <x v="267"/>
            <x v="268"/>
            <x v="269"/>
            <x v="280"/>
            <x v="281"/>
            <x v="288"/>
            <x v="289"/>
            <x v="290"/>
            <x v="294"/>
            <x v="299"/>
            <x v="307"/>
            <x v="314"/>
            <x v="316"/>
            <x v="319"/>
            <x v="320"/>
            <x v="322"/>
            <x v="347"/>
            <x v="349"/>
            <x v="350"/>
            <x v="358"/>
            <x v="364"/>
            <x v="377"/>
          </reference>
        </references>
      </pivotArea>
    </format>
    <format dxfId="219">
      <pivotArea dataOnly="0" labelOnly="1" fieldPosition="0">
        <references count="1">
          <reference field="0" count="50">
            <x v="6"/>
            <x v="12"/>
            <x v="33"/>
            <x v="37"/>
            <x v="40"/>
            <x v="44"/>
            <x v="47"/>
            <x v="65"/>
            <x v="69"/>
            <x v="71"/>
            <x v="87"/>
            <x v="93"/>
            <x v="118"/>
            <x v="125"/>
            <x v="131"/>
            <x v="138"/>
            <x v="151"/>
            <x v="167"/>
            <x v="175"/>
            <x v="178"/>
            <x v="180"/>
            <x v="185"/>
            <x v="186"/>
            <x v="201"/>
            <x v="207"/>
            <x v="227"/>
            <x v="232"/>
            <x v="241"/>
            <x v="250"/>
            <x v="253"/>
            <x v="259"/>
            <x v="261"/>
            <x v="270"/>
            <x v="271"/>
            <x v="272"/>
            <x v="273"/>
            <x v="277"/>
            <x v="295"/>
            <x v="296"/>
            <x v="308"/>
            <x v="324"/>
            <x v="326"/>
            <x v="334"/>
            <x v="345"/>
            <x v="352"/>
            <x v="355"/>
            <x v="360"/>
            <x v="367"/>
            <x v="369"/>
            <x v="371"/>
          </reference>
        </references>
      </pivotArea>
    </format>
    <format dxfId="218">
      <pivotArea dataOnly="0" labelOnly="1" fieldPosition="0">
        <references count="1">
          <reference field="0" count="50">
            <x v="11"/>
            <x v="14"/>
            <x v="15"/>
            <x v="16"/>
            <x v="18"/>
            <x v="19"/>
            <x v="21"/>
            <x v="22"/>
            <x v="24"/>
            <x v="25"/>
            <x v="27"/>
            <x v="28"/>
            <x v="29"/>
            <x v="30"/>
            <x v="31"/>
            <x v="32"/>
            <x v="36"/>
            <x v="41"/>
            <x v="55"/>
            <x v="56"/>
            <x v="57"/>
            <x v="58"/>
            <x v="59"/>
            <x v="122"/>
            <x v="132"/>
            <x v="134"/>
            <x v="149"/>
            <x v="162"/>
            <x v="170"/>
            <x v="183"/>
            <x v="191"/>
            <x v="212"/>
            <x v="215"/>
            <x v="233"/>
            <x v="234"/>
            <x v="243"/>
            <x v="246"/>
            <x v="252"/>
            <x v="255"/>
            <x v="260"/>
            <x v="263"/>
            <x v="287"/>
            <x v="343"/>
            <x v="351"/>
            <x v="357"/>
            <x v="370"/>
            <x v="378"/>
            <x v="381"/>
            <x v="382"/>
            <x v="383"/>
          </reference>
        </references>
      </pivotArea>
    </format>
    <format dxfId="217">
      <pivotArea dataOnly="0" labelOnly="1" fieldPosition="0">
        <references count="1">
          <reference field="0" count="50">
            <x v="2"/>
            <x v="4"/>
            <x v="5"/>
            <x v="7"/>
            <x v="8"/>
            <x v="20"/>
            <x v="26"/>
            <x v="35"/>
            <x v="39"/>
            <x v="43"/>
            <x v="46"/>
            <x v="49"/>
            <x v="73"/>
            <x v="81"/>
            <x v="99"/>
            <x v="111"/>
            <x v="113"/>
            <x v="116"/>
            <x v="120"/>
            <x v="121"/>
            <x v="123"/>
            <x v="126"/>
            <x v="127"/>
            <x v="150"/>
            <x v="154"/>
            <x v="159"/>
            <x v="163"/>
            <x v="171"/>
            <x v="187"/>
            <x v="190"/>
            <x v="198"/>
            <x v="200"/>
            <x v="203"/>
            <x v="209"/>
            <x v="219"/>
            <x v="225"/>
            <x v="229"/>
            <x v="235"/>
            <x v="237"/>
            <x v="238"/>
            <x v="239"/>
            <x v="242"/>
            <x v="251"/>
            <x v="274"/>
            <x v="278"/>
            <x v="292"/>
            <x v="293"/>
            <x v="340"/>
            <x v="374"/>
            <x v="376"/>
          </reference>
        </references>
      </pivotArea>
    </format>
    <format dxfId="216">
      <pivotArea dataOnly="0" labelOnly="1" fieldPosition="0">
        <references count="1">
          <reference field="0" count="34">
            <x v="75"/>
            <x v="80"/>
            <x v="84"/>
            <x v="88"/>
            <x v="91"/>
            <x v="100"/>
            <x v="101"/>
            <x v="102"/>
            <x v="112"/>
            <x v="117"/>
            <x v="124"/>
            <x v="128"/>
            <x v="139"/>
            <x v="148"/>
            <x v="155"/>
            <x v="169"/>
            <x v="173"/>
            <x v="174"/>
            <x v="193"/>
            <x v="194"/>
            <x v="214"/>
            <x v="226"/>
            <x v="283"/>
            <x v="285"/>
            <x v="286"/>
            <x v="302"/>
            <x v="303"/>
            <x v="317"/>
            <x v="325"/>
            <x v="327"/>
            <x v="342"/>
            <x v="354"/>
            <x v="368"/>
            <x v="380"/>
          </reference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1">
          <reference field="2" count="0"/>
        </references>
      </pivotArea>
    </format>
    <format dxfId="2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92DAB-3B54-48A1-89AF-1C60E33544F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7" indent="0" outline="1" outlineData="1" multipleFieldFilters="0">
  <location ref="A6:BY27" firstHeaderRow="1" firstDataRow="2" firstDataCol="1" rowPageCount="2" colPageCount="1"/>
  <pivotFields count="9">
    <pivotField axis="axisPage" showAll="0" defaultSubtotal="0">
      <items count="35">
        <item x="25"/>
        <item x="0"/>
        <item x="21"/>
        <item x="22"/>
        <item x="24"/>
        <item x="23"/>
        <item x="15"/>
        <item x="18"/>
        <item x="28"/>
        <item x="2"/>
        <item x="1"/>
        <item x="14"/>
        <item x="27"/>
        <item x="29"/>
        <item x="26"/>
        <item x="20"/>
        <item x="31"/>
        <item x="33"/>
        <item x="9"/>
        <item x="11"/>
        <item x="13"/>
        <item x="4"/>
        <item x="3"/>
        <item x="19"/>
        <item x="30"/>
        <item x="17"/>
        <item x="32"/>
        <item x="34"/>
        <item x="16"/>
        <item x="8"/>
        <item x="7"/>
        <item x="12"/>
        <item x="6"/>
        <item x="10"/>
        <item x="5"/>
      </items>
    </pivotField>
    <pivotField axis="axisRow" showAll="0" defaultSubtotal="0">
      <items count="4">
        <item sd="0" x="2"/>
        <item x="0"/>
        <item x="1"/>
        <item x="3"/>
      </items>
    </pivotField>
    <pivotField showAll="0" sortType="ascending" defaultSubtotal="0"/>
    <pivotField axis="axisPage" multipleItemSelectionAllowed="1" showAll="0" defaultSubtotal="0">
      <items count="8">
        <item x="6"/>
        <item x="5"/>
        <item x="4"/>
        <item x="7"/>
        <item x="3"/>
        <item x="2"/>
        <item x="1"/>
        <item x="0"/>
      </items>
    </pivotField>
    <pivotField showAll="0" defaultSubtotal="0"/>
    <pivotField showAll="0" defaultSubtotal="0"/>
    <pivotField axis="axisCol" showAll="0" defaultSubtotal="0">
      <items count="77">
        <item h="1"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h="1" m="1" x="76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howAll="0" defaultSubtotal="0"/>
    <pivotField axis="axisRow" showAll="0" defaultSubtotal="0">
      <items count="16">
        <item x="2"/>
        <item x="1"/>
        <item x="15"/>
        <item x="11"/>
        <item x="7"/>
        <item x="6"/>
        <item x="8"/>
        <item x="13"/>
        <item x="4"/>
        <item x="0"/>
        <item x="12"/>
        <item x="3"/>
        <item x="14"/>
        <item x="10"/>
        <item x="9"/>
        <item x="5"/>
      </items>
    </pivotField>
  </pivotFields>
  <rowFields count="2">
    <field x="1"/>
    <field x="8"/>
  </rowFields>
  <rowItems count="20">
    <i>
      <x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>
      <x v="2"/>
    </i>
    <i r="1">
      <x/>
    </i>
    <i r="1">
      <x v="12"/>
    </i>
    <i t="grand">
      <x/>
    </i>
  </rowItems>
  <colFields count="1">
    <field x="6"/>
  </colFields>
  <colItems count="7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colItems>
  <pageFields count="2">
    <pageField fld="0" hier="-1"/>
    <pageField fld="3" hier="-1"/>
  </pageFields>
  <dataFields count="1">
    <dataField name="Somma di IMPORTO" fld="7" baseField="8" baseItem="5" numFmtId="169"/>
  </dataFields>
  <formats count="26">
    <format dxfId="212">
      <pivotArea outline="0" collapsedLevelsAreSubtotals="1" fieldPosition="0"/>
    </format>
    <format dxfId="211">
      <pivotArea field="6" type="button" dataOnly="0" labelOnly="1" outline="0" axis="axisCol" fieldPosition="0"/>
    </format>
    <format dxfId="210">
      <pivotArea type="topRight" dataOnly="0" labelOnly="1" outline="0" fieldPosition="0"/>
    </format>
    <format dxfId="209">
      <pivotArea dataOnly="0" labelOnly="1" fieldPosition="0">
        <references count="1">
          <reference field="6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08">
      <pivotArea dataOnly="0" labelOnly="1" fieldPosition="0">
        <references count="1">
          <reference field="6" count="13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207">
      <pivotArea dataOnly="0" labelOnly="1" grandCol="1" outline="0" fieldPosition="0"/>
    </format>
    <format dxfId="206">
      <pivotArea outline="0" collapsedLevelsAreSubtotals="1" fieldPosition="0"/>
    </format>
    <format dxfId="205">
      <pivotArea field="6" type="button" dataOnly="0" labelOnly="1" outline="0" axis="axisCol" fieldPosition="0"/>
    </format>
    <format dxfId="204">
      <pivotArea type="topRight" dataOnly="0" labelOnly="1" outline="0" fieldPosition="0"/>
    </format>
    <format dxfId="203">
      <pivotArea dataOnly="0" labelOnly="1" fieldPosition="0">
        <references count="1">
          <reference field="6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02">
      <pivotArea dataOnly="0" labelOnly="1" fieldPosition="0">
        <references count="1">
          <reference field="6" count="13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201">
      <pivotArea dataOnly="0" labelOnly="1" grandCol="1" outline="0" fieldPosition="0"/>
    </format>
    <format dxfId="200">
      <pivotArea grandCol="1" outline="0" collapsedLevelsAreSubtotals="1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type="origin" dataOnly="0" labelOnly="1" outline="0" fieldPosition="0"/>
    </format>
    <format dxfId="196">
      <pivotArea field="6" type="button" dataOnly="0" labelOnly="1" outline="0" axis="axisCol" fieldPosition="0"/>
    </format>
    <format dxfId="195">
      <pivotArea type="topRight" dataOnly="0" labelOnly="1" outline="0" fieldPosition="0"/>
    </format>
    <format dxfId="194">
      <pivotArea field="1" type="button" dataOnly="0" labelOnly="1" outline="0" axis="axisRow" fieldPosition="0"/>
    </format>
    <format dxfId="193">
      <pivotArea dataOnly="0" labelOnly="1" fieldPosition="0">
        <references count="1">
          <reference field="1" count="0"/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2">
          <reference field="1" count="1" selected="0">
            <x v="1"/>
          </reference>
          <reference field="8" count="14">
            <x v="0"/>
            <x v="1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</references>
      </pivotArea>
    </format>
    <format dxfId="190">
      <pivotArea dataOnly="0" labelOnly="1" fieldPosition="0">
        <references count="1">
          <reference field="6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89">
      <pivotArea dataOnly="0" labelOnly="1" fieldPosition="0">
        <references count="1">
          <reference field="6" count="1">
            <x v="51"/>
          </reference>
        </references>
      </pivotArea>
    </format>
    <format dxfId="188">
      <pivotArea dataOnly="0" labelOnly="1" grandCol="1" outline="0" fieldPosition="0"/>
    </format>
    <format dxfId="18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1" dT="2024-12-20T11:05:18.77" personId="{CDEB8033-3AB4-40E2-BFF9-589B15014663}" id="{682ABF1B-1A29-41A1-B4FE-7B507C42D083}">
    <text>3525€ tredicesima + bonus</text>
  </threadedComment>
  <threadedComment ref="AG11" dT="2024-12-20T11:05:48.43" personId="{CDEB8033-3AB4-40E2-BFF9-589B15014663}" id="{738C403F-F846-43A7-8CF9-FCDCE71EC583}">
    <text>+3291€ tredicesima + bonus</text>
  </threadedComment>
  <threadedComment ref="AO11" dT="2021-08-25T10:58:42.62" personId="{CDEB8033-3AB4-40E2-BFF9-589B15014663}" id="{469130CE-3F56-4CA8-A0C0-233638EED6E4}">
    <text>539€ di rimborso 730</text>
  </threadedComment>
  <threadedComment ref="AP11" dT="2021-09-16T14:20:38.14" personId="{CDEB8033-3AB4-40E2-BFF9-589B15014663}" id="{DD35D113-0642-4C54-989B-C589FF15C508}">
    <text>149,23€ detrazione irpef</text>
  </threadedComment>
  <threadedComment ref="BA11" dT="2023-03-13T08:56:57.31" personId="{CDEB8033-3AB4-40E2-BFF9-589B15014663}" id="{8B80781A-238E-4A07-81D2-8463488C3895}">
    <text>3048€ in busta paga di cui 804€ detrazioni</text>
  </threadedComment>
  <threadedComment ref="BE11" dT="2024-12-20T11:06:47.16" personId="{CDEB8033-3AB4-40E2-BFF9-589B15014663}" id="{176ECAA4-A34A-4979-85F6-54656F68F495}">
    <text>3871€ tredicesima + bonus</text>
  </threadedComment>
  <threadedComment ref="BQ11" dT="2024-12-20T11:07:36.03" personId="{CDEB8033-3AB4-40E2-BFF9-589B15014663}" id="{26328900-60EA-47E2-84F8-AFF0B144419F}">
    <text>2332€ tredicesima</text>
  </threadedComment>
  <threadedComment ref="BZ11" dT="2024-09-16T08:13:45.80" personId="{CDEB8033-3AB4-40E2-BFF9-589B15014663}" id="{F87E2B40-474B-4B25-A2F8-5ABA23B29DBA}">
    <text>-50€ Multa</text>
  </threadedComment>
  <threadedComment ref="CN11" dT="2025-10-24T15:28:14.76" personId="{CDEB8033-3AB4-40E2-BFF9-589B15014663}" id="{BD76684E-078B-40A8-AE5D-4C5714B8D8E2}">
    <text>31,97€ rimborso Pagamento parcheggio</text>
  </threadedComment>
  <threadedComment ref="U12" dT="2025-10-30T11:21:43.31" personId="{CDEB8033-3AB4-40E2-BFF9-589B15014663}" id="{248C0125-CB24-43DA-9EE2-EA4D7CAC0C42}">
    <text>3525€ Tredicesima + Premio Budget</text>
  </threadedComment>
  <threadedComment ref="AG12" dT="2025-10-30T11:22:06.50" personId="{CDEB8033-3AB4-40E2-BFF9-589B15014663}" id="{9D7DCD2E-D98C-4470-B59F-44A419D612FB}">
    <text>2500€ Tredicesima</text>
  </threadedComment>
  <threadedComment ref="AG12" dT="2025-10-30T11:22:17.02" personId="{CDEB8033-3AB4-40E2-BFF9-589B15014663}" id="{9A356FB7-F679-4C73-A853-E07F51085817}" parentId="{9D7DCD2E-D98C-4470-B59F-44A419D612FB}">
    <text>3291€ Premio Budget</text>
  </threadedComment>
  <threadedComment ref="AS12" dT="2025-10-30T11:23:55.93" personId="{CDEB8033-3AB4-40E2-BFF9-589B15014663}" id="{0738DD02-1D17-4D21-B8E3-8F1BCE631737}">
    <text>3290€ Tredicesima + Premio Budget</text>
  </threadedComment>
  <threadedComment ref="BE12" dT="2025-10-30T11:25:31.41" personId="{CDEB8033-3AB4-40E2-BFF9-589B15014663}" id="{24779BF0-E3EB-4A38-84FC-725FADF885B5}">
    <text>3871€ Tredicesima + Bonus</text>
  </threadedComment>
  <threadedComment ref="BQ12" dT="2025-10-30T11:27:07.31" personId="{CDEB8033-3AB4-40E2-BFF9-589B15014663}" id="{A9E22267-DB15-4CF8-98E0-B33D0478339E}">
    <text>2332€ Tredicesima</text>
  </threadedComment>
  <threadedComment ref="BT12" dT="2025-10-30T11:14:26.68" personId="{CDEB8033-3AB4-40E2-BFF9-589B15014663}" id="{9C3F4AA7-7946-4DF5-960E-3A1A2F00397D}">
    <text>3613 Premio MBO 2023</text>
  </threadedComment>
  <threadedComment ref="CC12" dT="2025-10-30T11:28:14.33" personId="{CDEB8033-3AB4-40E2-BFF9-589B15014663}" id="{DF949835-F7A9-42E8-BA34-B1358D84C63F}">
    <text>2627€ Tredicesima</text>
  </threadedComment>
  <threadedComment ref="CF12" dT="2025-10-30T11:30:03.35" personId="{CDEB8033-3AB4-40E2-BFF9-589B15014663}" id="{77FD1EB3-0C94-458B-B4F6-38FCABA9C86B}">
    <text>3313€ Premio MBO 2024</text>
  </threadedComment>
  <threadedComment ref="CO12" dT="2025-10-30T11:30:20.39" personId="{CDEB8033-3AB4-40E2-BFF9-589B15014663}" id="{FE4DFBC4-9AC4-49BE-85DF-6D779BFF4991}">
    <text>2430€ Tredicesima</text>
  </threadedComment>
  <threadedComment ref="CS12" dT="2026-04-10T07:41:58.88" personId="{CDEB8033-3AB4-40E2-BFF9-589B15014663}" id="{512D6D97-DC8D-4ED7-8381-2A2C21EDFB6F}">
    <text>MBO 3428 euro</text>
  </threadedComment>
  <threadedComment ref="CT12" dT="2026-05-11T19:01:43.11" personId="{CDEB8033-3AB4-40E2-BFF9-589B15014663}" id="{76F55F10-A9B1-4264-91A9-1D25CD0C6632}">
    <text>Ferie liquidate</text>
  </threadedComment>
  <threadedComment ref="CU12" dT="2026-06-14T19:44:30.35" personId="{CDEB8033-3AB4-40E2-BFF9-589B15014663}" id="{3CCFFEEE-3B23-4923-906C-E8F2E527734A}">
    <text>TFR REFRION</text>
  </threadedComment>
  <threadedComment ref="CX16" dT="2026-08-25T19:05:53.96" personId="{CDEB8033-3AB4-40E2-BFF9-589B15014663}" id="{4405536E-822A-45B8-9369-A3895EE81852}">
    <text>1340euro - IMU Angela</text>
  </threadedComment>
  <threadedComment ref="AP24" dT="2021-09-23T07:18:57.50" personId="{CDEB8033-3AB4-40E2-BFF9-589B15014663}" id="{84CA5DBF-444E-4CE9-B128-A66E764D6DF4}">
    <text>FANTACALCIO</text>
  </threadedComment>
  <threadedComment ref="AQ24" dT="2021-10-26T12:15:32.09" personId="{BD754104-B9C8-40E9-86FA-9A51F601C04E}" id="{A4FFAA74-FDA1-4AB3-8DFE-12874A224B48}">
    <text>Osteopata Gressani 83€</text>
  </threadedComment>
  <threadedComment ref="BB24" dT="2022-09-06T06:54:15.70" personId="{CDEB8033-3AB4-40E2-BFF9-589B15014663}" id="{12D28DA2-6481-494F-9637-26760DF849FD}">
    <text>250€ Fantacalcio</text>
  </threadedComment>
  <threadedComment ref="BR25" dT="2024-01-08T16:47:28.58" personId="{CDEB8033-3AB4-40E2-BFF9-589B15014663}" id="{6A6AD94B-CA85-4F68-B92D-0EEC7474ECD0}">
    <text>Rate XBox</text>
  </threadedComment>
  <threadedComment ref="BS25" dT="2024-01-08T16:47:28.58" personId="{CDEB8033-3AB4-40E2-BFF9-589B15014663}" id="{9E8F9D75-BF21-425F-B48A-825084886749}">
    <text>Rate XBox</text>
  </threadedComment>
  <threadedComment ref="BT25" dT="2024-01-08T16:47:28.58" personId="{CDEB8033-3AB4-40E2-BFF9-589B15014663}" id="{3971A920-0320-4464-8707-DE0CF97BC009}">
    <text>Rate XBox</text>
  </threadedComment>
  <threadedComment ref="BU25" dT="2024-01-08T16:47:28.58" personId="{CDEB8033-3AB4-40E2-BFF9-589B15014663}" id="{0257AB61-3292-47B0-9B79-D707124CEA3A}">
    <text>Rate XBox</text>
  </threadedComment>
  <threadedComment ref="BV25" dT="2024-01-08T16:47:28.58" personId="{CDEB8033-3AB4-40E2-BFF9-589B15014663}" id="{968F8EC0-96CE-4569-9481-44FBCEA9875E}">
    <text>Rate XBox</text>
  </threadedComment>
  <threadedComment ref="BW25" dT="2024-01-08T16:47:28.58" personId="{CDEB8033-3AB4-40E2-BFF9-589B15014663}" id="{833F46B5-B898-4F50-AC02-1BB3ED88A18F}">
    <text>Rate XBox</text>
  </threadedComment>
  <threadedComment ref="CB25" dT="2024-10-16T13:36:47.28" personId="{CDEB8033-3AB4-40E2-BFF9-589B15014663}" id="{6251FE31-C16E-4465-A3CC-1709C0EBDE97}">
    <text>Rate Mobile TV 95,34€</text>
  </threadedComment>
  <threadedComment ref="CC25" dT="2024-10-16T13:36:47.28" personId="{CDEB8033-3AB4-40E2-BFF9-589B15014663}" id="{F37AA58D-DAE7-4D0C-9F6E-F7CD5A0684B5}">
    <text>Rate Mobile TV 95,34€</text>
  </threadedComment>
  <threadedComment ref="CC25" dT="2024-11-29T14:40:48.24" personId="{CDEB8033-3AB4-40E2-BFF9-589B15014663}" id="{3ADEF93A-5BF7-4FF1-975D-1F4CED6C36BB}" parentId="{F37AA58D-DAE7-4D0C-9F6E-F7CD5A0684B5}">
    <text>Rate Homey Pro 119,26€</text>
  </threadedComment>
  <threadedComment ref="CD25" dT="2024-10-16T13:36:47.28" personId="{CDEB8033-3AB4-40E2-BFF9-589B15014663}" id="{B36DC7F0-6A5C-42C8-B7E1-289ADF8A5CA2}">
    <text>Rate Mobile TV 95,34€</text>
  </threadedComment>
  <threadedComment ref="CD25" dT="2024-11-29T14:40:36.54" personId="{CDEB8033-3AB4-40E2-BFF9-589B15014663}" id="{A0A31820-49F7-4114-BDD0-1913728F8A09}" parentId="{B36DC7F0-6A5C-42C8-B7E1-289ADF8A5CA2}">
    <text>Rate HOMEY Pro 119,26€</text>
  </threadedComment>
  <threadedComment ref="CE25" dT="2024-11-29T14:41:06.77" personId="{CDEB8033-3AB4-40E2-BFF9-589B15014663}" id="{47731485-45F6-4142-AE61-0490150EB3B9}">
    <text xml:space="preserve">Rate Homey Pro 119,26€
</text>
  </threadedComment>
  <threadedComment ref="CF25" dT="2025-02-03T08:53:46.74" personId="{CDEB8033-3AB4-40E2-BFF9-589B15014663}" id="{A16921D4-00EE-4EE9-AC4F-4DE6A4AC8EA7}">
    <text>Rate Homey Pro 119,26€</text>
  </threadedComment>
  <threadedComment ref="CO25" dT="2025-11-21T08:30:58.86" personId="{CDEB8033-3AB4-40E2-BFF9-589B15014663}" id="{0F2F3FBC-6721-473D-A822-DDA0F74E6278}">
    <text>65,39€ Forno Whirpool</text>
  </threadedComment>
  <threadedComment ref="CO25" dT="2025-11-21T08:31:13.16" personId="{CDEB8033-3AB4-40E2-BFF9-589B15014663}" id="{B8915EE6-645B-42C0-A052-032F0D4A9A1C}" parentId="{0F2F3FBC-6721-473D-A822-DDA0F74E6278}">
    <text>120,77€ Samsung Galaxy 7</text>
  </threadedComment>
  <threadedComment ref="CP25" dT="2025-11-21T08:30:58.86" personId="{CDEB8033-3AB4-40E2-BFF9-589B15014663}" id="{B3101B8C-F4E6-4167-B590-2DAAFC93B092}">
    <text>65,39€ Forno Whirpool</text>
  </threadedComment>
  <threadedComment ref="CP25" dT="2025-11-21T08:31:13.16" personId="{CDEB8033-3AB4-40E2-BFF9-589B15014663}" id="{12C47E59-5690-44EC-B44F-199CCEEE8D72}" parentId="{B3101B8C-F4E6-4167-B590-2DAAFC93B092}">
    <text>120,77€ Samsung Galaxy 7</text>
  </threadedComment>
  <threadedComment ref="CQ25" dT="2025-11-21T08:30:58.86" personId="{CDEB8033-3AB4-40E2-BFF9-589B15014663}" id="{CC31EC25-3EBF-4E09-8E2C-F7947AB82258}">
    <text>65,39€ Forno Whirpool</text>
  </threadedComment>
  <threadedComment ref="CQ25" dT="2025-11-21T08:31:13.16" personId="{CDEB8033-3AB4-40E2-BFF9-589B15014663}" id="{F3990E33-4F2B-45E4-9D4E-7D70BC3CE885}" parentId="{CC31EC25-3EBF-4E09-8E2C-F7947AB82258}">
    <text>120,77€ Samsung Galaxy 7</text>
  </threadedComment>
  <threadedComment ref="CR25" dT="2025-11-21T08:32:33.79" personId="{CDEB8033-3AB4-40E2-BFF9-589B15014663}" id="{C925AF21-2091-4489-9AAA-B3A5F2FDBD94}">
    <text>120,77€ Samsung Galaxy 7</text>
  </threadedComment>
  <threadedComment ref="CS25" dT="2025-11-21T08:32:33.79" personId="{CDEB8033-3AB4-40E2-BFF9-589B15014663}" id="{D939FB37-4B96-4F28-82C7-7B746BCE94DB}">
    <text>120,77€ Samsung Galaxy 7</text>
  </threadedComment>
  <threadedComment ref="CT25" dT="2025-11-21T08:32:33.79" personId="{CDEB8033-3AB4-40E2-BFF9-589B15014663}" id="{8D507FED-A649-4C10-91E2-35001E0660A7}">
    <text>120,77€ Samsung Galaxy 7</text>
  </threadedComment>
  <threadedComment ref="CU25" dT="2025-11-21T08:32:33.79" personId="{CDEB8033-3AB4-40E2-BFF9-589B15014663}" id="{A8017EB5-D472-4E4C-8C03-F88A237DD0D8}">
    <text>120,77€ Samsung Galaxy 7</text>
  </threadedComment>
  <threadedComment ref="AN28" dT="2021-08-25T10:39:03.87" personId="{CDEB8033-3AB4-40E2-BFF9-589B15014663}" id="{B9750EB0-6FDD-4DE7-8C97-10C723C19845}">
    <text>5000 da Papà</text>
  </threadedComment>
  <threadedComment ref="AT28" dT="2025-10-30T11:11:29.55" personId="{CDEB8033-3AB4-40E2-BFF9-589B15014663}" id="{CEFD2D52-50D4-4808-A23B-AEE18A08FEF2}">
    <text>13800€ Finanziameno Agos</text>
  </threadedComment>
  <threadedComment ref="AW28" dT="2022-07-07T08:19:14.11" personId="{CDEB8033-3AB4-40E2-BFF9-589B15014663}" id="{F4D2D0E5-E1F5-477C-A9AD-E144D94F1D95}">
    <text>Vendita Hyundai Tucson 18.400€</text>
  </threadedComment>
  <threadedComment ref="AZ28" dT="2022-07-07T08:18:53.70" personId="{CDEB8033-3AB4-40E2-BFF9-589B15014663}" id="{98FD9BA0-076F-4842-88C5-C70A7AE35F78}">
    <text>Vendita Playstation 4  - 200€</text>
  </threadedComment>
  <threadedComment ref="BA28" dT="2023-05-10T15:53:00.29" personId="{CDEB8033-3AB4-40E2-BFF9-589B15014663}" id="{9CE65DB9-3A36-48A4-8D3A-541C470528F3}">
    <text>804€ Detrazioni IRPEF</text>
  </threadedComment>
  <threadedComment ref="BB28" dT="2022-09-06T06:58:26.00" personId="{CDEB8033-3AB4-40E2-BFF9-589B15014663}" id="{12F3AD4C-D6ED-49D2-8E17-B1992A5944F6}">
    <text xml:space="preserve">100€ Soldi Cuc Fantacalcio
</text>
  </threadedComment>
  <threadedComment ref="BC28" dT="2022-09-19T13:23:57.56" personId="{CDEB8033-3AB4-40E2-BFF9-589B15014663}" id="{61407E05-C7E0-4C34-8783-4C6EE7CEE5F7}">
    <text>100€ da carta di credito a conto in banca</text>
  </threadedComment>
  <threadedComment ref="BL28" dT="2023-12-01T16:49:18.39" personId="{CDEB8033-3AB4-40E2-BFF9-589B15014663}" id="{8AA5B5C2-15AF-4D59-A75F-2201D4495122}">
    <text>Saldo a Spese assicurazione con Carta di credito</text>
  </threadedComment>
  <threadedComment ref="BM28" dT="2023-08-22T09:53:02.21" personId="{CDEB8033-3AB4-40E2-BFF9-589B15014663}" id="{0005CF07-6C34-4CA1-A48A-59ED4CB7508D}">
    <text xml:space="preserve">Quota vacanza Michela 281,63€
</text>
  </threadedComment>
  <threadedComment ref="BV28" dT="2024-05-28T10:03:19.28" personId="{CDEB8033-3AB4-40E2-BFF9-589B15014663}" id="{0BE31861-BAEC-455D-9907-88FB6E94D423}">
    <text>Bonifico Michela spese Lazise</text>
  </threadedComment>
  <threadedComment ref="BY28" dT="2024-08-02T07:54:03.84" personId="{CDEB8033-3AB4-40E2-BFF9-589B15014663}" id="{724681BC-8111-4DF0-8397-7D0AF39A5C2F}">
    <text xml:space="preserve">255€ da parte di Michela per la vacanza
</text>
  </threadedComment>
  <threadedComment ref="BY28" dT="2024-11-06T08:10:40.67" personId="{CDEB8033-3AB4-40E2-BFF9-589B15014663}" id="{774D48DE-BA37-4746-ADCB-23B4EF5692A1}" parentId="{724681BC-8111-4DF0-8397-7D0AF39A5C2F}">
    <text>763€ detrazioni</text>
  </threadedComment>
  <threadedComment ref="BZ28" dT="2024-09-26T07:19:17.82" personId="{CDEB8033-3AB4-40E2-BFF9-589B15014663}" id="{2F63A883-DB87-4BAF-93D4-6CFD6CB99DF5}">
    <text>700€ VENDITA AUTO</text>
  </threadedComment>
  <threadedComment ref="BZ28" dT="2024-09-30T08:09:50.12" personId="{CDEB8033-3AB4-40E2-BFF9-589B15014663}" id="{12AAE7A4-FF69-40B2-B13D-6EA15B2191BE}" parentId="{2F63A883-DB87-4BAF-93D4-6CFD6CB99DF5}">
    <text>100€ Basket Terzo su anticipo felpe campione</text>
  </threadedComment>
  <threadedComment ref="CA28" dT="2024-09-26T07:19:39.59" personId="{CDEB8033-3AB4-40E2-BFF9-589B15014663}" id="{37C7AE3D-1917-4A59-A47C-692655E6B6D1}">
    <text>700+200€ VENDITA AUTO</text>
  </threadedComment>
  <threadedComment ref="CA28" dT="2024-11-06T08:07:16.76" personId="{CDEB8033-3AB4-40E2-BFF9-589B15014663}" id="{09F3DF34-932E-46E8-8D98-5064528FFFA7}" parentId="{37C7AE3D-1917-4A59-A47C-692655E6B6D1}">
    <text>69€ Michela concerto cremonini</text>
  </threadedComment>
  <threadedComment ref="CA28" dT="2024-12-02T11:11:46.85" personId="{CDEB8033-3AB4-40E2-BFF9-589B15014663}" id="{C636E640-A536-4392-8C8E-BDB3414A8A30}" parentId="{37C7AE3D-1917-4A59-A47C-692655E6B6D1}">
    <text>30€ da Paypal</text>
  </threadedComment>
  <threadedComment ref="CB28" dT="2024-11-20T08:33:28.15" personId="{CDEB8033-3AB4-40E2-BFF9-589B15014663}" id="{32B77441-6ECF-4EB1-BF39-904342FC38E5}">
    <text xml:space="preserve">77€ Rimborso Michela biglietto Robbie Williams </text>
  </threadedComment>
  <threadedComment ref="CB28" dT="2024-12-02T11:06:39.14" personId="{CDEB8033-3AB4-40E2-BFF9-589B15014663}" id="{8FB38598-9986-483C-B1D7-36DA03DD85C2}" parentId="{32B77441-6ECF-4EB1-BF39-904342FC38E5}">
    <text>1050+229,01+300€ FELPE CLASSICS</text>
  </threadedComment>
  <threadedComment ref="CB28" dT="2024-12-02T11:07:11.42" personId="{CDEB8033-3AB4-40E2-BFF9-589B15014663}" id="{946F3262-552A-44F9-98A2-2FB0030E8044}" parentId="{32B77441-6ECF-4EB1-BF39-904342FC38E5}">
    <text>300€ VENDITA AUTO</text>
  </threadedComment>
  <threadedComment ref="CC28" dT="2024-12-11T08:00:34.32" personId="{CDEB8033-3AB4-40E2-BFF9-589B15014663}" id="{B8BA02BE-4CA9-4F50-BCC6-BFC8FE65D0EE}">
    <text>120€ Iacumin + 62€ Livon + 62€ Paolo felpe classics</text>
  </threadedComment>
  <threadedComment ref="CD28" dT="2025-01-07T08:32:54.64" personId="{CDEB8033-3AB4-40E2-BFF9-589B15014663}" id="{62CF34ED-8684-47DC-AB0E-86D9DCCBF0BE}">
    <text>+0,06 Interessi e competenze</text>
  </threadedComment>
  <threadedComment ref="CD28" dT="2025-01-28T08:32:56.52" personId="{CDEB8033-3AB4-40E2-BFF9-589B15014663}" id="{9E5C3508-3FA6-4351-A583-984DFCA7C3A5}" parentId="{62CF34ED-8684-47DC-AB0E-86D9DCCBF0BE}">
    <text>+65€ da Revolut</text>
  </threadedComment>
  <threadedComment ref="CF28" dT="2025-03-12T08:42:02.85" personId="{CDEB8033-3AB4-40E2-BFF9-589B15014663}" id="{48FE7575-E528-4FBD-9BE8-C3A474FF1B3A}">
    <text>+165€ Michela viaggio Napoli</text>
  </threadedComment>
  <threadedComment ref="CG28" dT="2025-04-08T15:21:26.90" personId="{CDEB8033-3AB4-40E2-BFF9-589B15014663}" id="{951C4347-4A0F-4B29-AEEB-74B6C23E9448}">
    <text>30€ Michela regalo francesco</text>
  </threadedComment>
  <threadedComment ref="CG28" dT="2025-04-11T14:11:16.35" personId="{CDEB8033-3AB4-40E2-BFF9-589B15014663}" id="{0BE62D2D-FA31-4142-AF60-B4BAF7867407}" parentId="{951C4347-4A0F-4B29-AEEB-74B6C23E9448}">
    <text>30€ Simone bagnoli</text>
  </threadedComment>
  <threadedComment ref="CG28" dT="2025-04-11T14:12:07.46" personId="{CDEB8033-3AB4-40E2-BFF9-589B15014663}" id="{565676EF-98C0-48E4-A72A-AB53116E6BF7}" parentId="{951C4347-4A0F-4B29-AEEB-74B6C23E9448}">
    <text>40€ Marco Aquaro</text>
  </threadedComment>
  <threadedComment ref="CG28" dT="2025-04-28T06:57:56.12" personId="{CDEB8033-3AB4-40E2-BFF9-589B15014663}" id="{F68F7E40-A548-4569-986F-A4A39C873DDC}" parentId="{951C4347-4A0F-4B29-AEEB-74B6C23E9448}">
    <text>137€ Michela viaggio napoli</text>
  </threadedComment>
  <threadedComment ref="CG28" dT="2025-05-05T07:50:56.63" personId="{CDEB8033-3AB4-40E2-BFF9-589B15014663}" id="{3351A995-0D14-47DC-A8EA-16756C1C40C4}" parentId="{951C4347-4A0F-4B29-AEEB-74B6C23E9448}">
    <text>77€ Da Revolut</text>
  </threadedComment>
  <threadedComment ref="CK28" dT="2025-04-28T07:22:07.04" personId="{CDEB8033-3AB4-40E2-BFF9-589B15014663}" id="{7B6D6B31-3737-4F78-AF63-CABCEA06F762}">
    <text>590€ Detrazioni INPS</text>
  </threadedComment>
  <threadedComment ref="CK28" dT="2025-09-08T07:40:37.94" personId="{CDEB8033-3AB4-40E2-BFF9-589B15014663}" id="{CDCAB938-D0BD-480E-B74B-48CD8EDA7610}" parentId="{7B6D6B31-3737-4F78-AF63-CABCEA06F762}">
    <text>480,28€ Rimborso Michy vancaza portogallo</text>
  </threadedComment>
  <threadedComment ref="CL28" dT="2025-09-11T15:10:44.17" personId="{CDEB8033-3AB4-40E2-BFF9-589B15014663}" id="{CD705128-B056-403F-9B7F-6D1DC5BB8713}">
    <text>Bonifico Bagnoli per Vacanza + Padel 87€</text>
  </threadedComment>
  <threadedComment ref="CL28" dT="2025-09-24T08:15:47.92" personId="{CDEB8033-3AB4-40E2-BFF9-589B15014663}" id="{D1F19DEC-0BDD-4726-BA86-AAB801B6EDFA}" parentId="{CD705128-B056-403F-9B7F-6D1DC5BB8713}">
    <text>Bonifico Farfa per Vacanza 76€</text>
  </threadedComment>
  <threadedComment ref="CL28" dT="2025-09-30T08:19:00.31" personId="{CDEB8033-3AB4-40E2-BFF9-589B15014663}" id="{DC47E4C5-B4A0-43AA-9A91-1C3D5274E13D}" parentId="{CD705128-B056-403F-9B7F-6D1DC5BB8713}">
    <text xml:space="preserve">62€ Detrazioni INPS
</text>
  </threadedComment>
  <threadedComment ref="CM28" dT="2025-09-24T08:16:51.84" personId="{CDEB8033-3AB4-40E2-BFF9-589B15014663}" id="{1BADE2FE-F718-437B-B691-953BF8311CEB}">
    <text>Revolut 80€ (76e ricevuti da Alberto x vacanza)</text>
  </threadedComment>
  <threadedComment ref="CM28" dT="2025-10-17T13:11:45.76" personId="{CDEB8033-3AB4-40E2-BFF9-589B15014663}" id="{840F4462-29DA-420A-9302-A2F607A01B52}" parentId="{1BADE2FE-F718-437B-B691-953BF8311CEB}">
    <text>Revolut 150€ consolidamento</text>
  </threadedComment>
  <threadedComment ref="CM28" dT="2025-10-17T13:11:58.10" personId="{CDEB8033-3AB4-40E2-BFF9-589B15014663}" id="{3D956E92-04BB-430A-90B8-7F70D7DEC4A7}" parentId="{1BADE2FE-F718-437B-B691-953BF8311CEB}">
    <text>Revolut 100€ consolidamento</text>
  </threadedComment>
  <threadedComment ref="CN28" dT="2025-10-17T13:13:28.50" personId="{CDEB8033-3AB4-40E2-BFF9-589B15014663}" id="{6A136E51-D5FC-461B-A01E-3C16D402E594}">
    <text>Revolut 210€ Consolidamento</text>
  </threadedComment>
  <threadedComment ref="CP28" dT="2026-01-08T16:50:58.91" personId="{CDEB8033-3AB4-40E2-BFF9-589B15014663}" id="{E1B37CD9-FED4-41CC-BB3D-8420DE804252}">
    <text>0,11€ interessi e competenze</text>
  </threadedComment>
  <threadedComment ref="CQ28" dT="2026-02-09T17:40:27.41" personId="{CDEB8033-3AB4-40E2-BFF9-589B15014663}" id="{E4D85B38-ED66-459C-8062-7375CF4A2E75}">
    <text>136€ Michela, rimborso Siviglia</text>
  </threadedComment>
  <threadedComment ref="CR28" dT="2026-03-02T08:39:24.73" personId="{CDEB8033-3AB4-40E2-BFF9-589B15014663}" id="{35DE3276-860A-43D1-8DAF-4812725A8100}">
    <text>+200€ consolidamento (DA FARE)</text>
  </threadedComment>
  <threadedComment ref="CS28" dT="2026-04-01T06:51:38.55" personId="{FFBDA191-F639-41C2-AEC5-01A54B091B89}" id="{D629B713-9F1B-4374-8CB2-799836C9384C}">
    <text>Revolut</text>
  </threadedComment>
  <threadedComment ref="CU28" dT="2026-06-14T19:55:31.03" personId="{CDEB8033-3AB4-40E2-BFF9-589B15014663}" id="{73AC319E-DBB3-45B1-8C53-1D266485FC5F}">
    <text>230euro accredito spese badante</text>
  </threadedComment>
  <threadedComment ref="CU28" dT="2026-06-14T19:55:47.74" personId="{CDEB8033-3AB4-40E2-BFF9-589B15014663}" id="{0F9662D2-F4B7-4B24-92F0-444C91A195E2}" parentId="{73AC319E-DBB3-45B1-8C53-1D266485FC5F}">
    <text xml:space="preserve">150euro accredito regalo nozze da michy
</text>
  </threadedComment>
  <threadedComment ref="CV28" dT="2026-08-03T19:07:52.57" personId="{CDEB8033-3AB4-40E2-BFF9-589B15014663}" id="{C48327E1-FF19-4CD9-BDC0-CD20A3F055D2}">
    <text>ACCREDITO SPESA ENEL GIUGNO</text>
  </threadedComment>
  <threadedComment ref="CW28" dT="2026-08-03T19:08:02.04" personId="{CDEB8033-3AB4-40E2-BFF9-589B15014663}" id="{A1B5108E-4B5A-423D-B7AB-5134806E1217}">
    <text>ACCREDITO SPESA ENEL LUGLIO 90,27€</text>
  </threadedComment>
  <threadedComment ref="CW28" dT="2026-08-31T07:24:18.70" personId="{CDEB8033-3AB4-40E2-BFF9-589B15014663}" id="{931502DF-77E1-4135-8B9A-4719CE526C65}" parentId="{A1B5108E-4B5A-423D-B7AB-5134806E1217}">
    <text>ACCREDITO SPESE VACANZA MICHELA 1266€</text>
  </threadedComment>
  <threadedComment ref="CW28" dT="2026-08-31T07:24:36.28" personId="{CDEB8033-3AB4-40E2-BFF9-589B15014663}" id="{5A787CCF-D9A1-4B33-90C1-B4CEA9FFD117}" parentId="{A1B5108E-4B5A-423D-B7AB-5134806E1217}">
    <text>ACCREDITO REVOLUT 418,09€</text>
  </threadedComment>
  <threadedComment ref="CW28" dT="2026-08-31T07:24:46.83" personId="{CDEB8033-3AB4-40E2-BFF9-589B15014663}" id="{624F448A-5BEA-4E0C-9363-2B25861C95FE}" parentId="{A1B5108E-4B5A-423D-B7AB-5134806E1217}">
    <text>ACCREDITO REVOLUT 650,00€</text>
  </threadedComment>
  <threadedComment ref="CW28" dT="2026-10-05T20:24:34.51" personId="{CDEB8033-3AB4-40E2-BFF9-589B15014663}" id="{FCE7CA5A-7AC4-4A63-9598-88E1BBA419BC}" parentId="{A1B5108E-4B5A-423D-B7AB-5134806E1217}">
    <text>ACCREDITO SPESA ENEL LUGLIO 30,25€</text>
  </threadedComment>
  <threadedComment ref="CX28" dT="2026-08-03T19:21:22.86" personId="{CDEB8033-3AB4-40E2-BFF9-589B15014663}" id="{9BBF34CE-7C68-4C65-993C-8A1E90F7DBFE}">
    <text>ACCREDITO ENEL GAS LUGLIO</text>
  </threadedComment>
  <threadedComment ref="CX28" dT="2026-08-31T07:05:43.30" personId="{CDEB8033-3AB4-40E2-BFF9-589B15014663}" id="{5898F3BF-F793-4394-BDF9-D01FA955F02B}" parentId="{9BBF34CE-7C68-4C65-993C-8A1E90F7DBFE}">
    <text>ACCREDITO ENEL ENERGIA LUGLIO 92,14</text>
  </threadedComment>
  <threadedComment ref="CX28" dT="2026-09-10T07:44:11.50" personId="{CDEB8033-3AB4-40E2-BFF9-589B15014663}" id="{5761DF3A-F6A2-44A5-87F2-E0218340CD1B}" parentId="{9BBF34CE-7C68-4C65-993C-8A1E90F7DBFE}">
    <text>ACCREDITO CONTANTI 150€ RIMBORSO SPESE PAPA</text>
  </threadedComment>
  <threadedComment ref="CX28" dT="2026-10-05T20:20:54.29" personId="{CDEB8033-3AB4-40E2-BFF9-589B15014663}" id="{252C693F-D139-4B7E-BABA-75982DFC7DC1}" parentId="{9BBF34CE-7C68-4C65-993C-8A1E90F7DBFE}">
    <text>RIMBORSO MICHELA MATRIMONIO CUC 162 EURO</text>
  </threadedComment>
  <threadedComment ref="CY28" dT="2026-08-31T07:13:18.40" personId="{CDEB8033-3AB4-40E2-BFF9-589B15014663}" id="{6363C6A8-9A99-41A0-AB3B-BC65CB0F3650}">
    <text>ACCREDITO ENEL GAS AGOSTO 20,29€</text>
  </threadedComment>
  <threadedComment ref="BA29" dT="2025-10-30T11:25:03.66" personId="{CDEB8033-3AB4-40E2-BFF9-589B15014663}" id="{90E3E93D-9481-4D3A-9E24-30BDE7629373}">
    <text>804€ Detrazioni IRPEF</text>
  </threadedComment>
  <threadedComment ref="BN29" dT="2025-10-30T11:26:42.32" personId="{CDEB8033-3AB4-40E2-BFF9-589B15014663}" id="{2061DDBD-3BEC-49A1-A029-288D82E78710}">
    <text>854€ Detrazioni IRPEF</text>
  </threadedComment>
  <threadedComment ref="BY29" dT="2025-10-30T11:15:24.53" personId="{CDEB8033-3AB4-40E2-BFF9-589B15014663}" id="{022422FA-E9E8-4454-ADDC-B549240767B9}">
    <text xml:space="preserve">763€ Entrate IRPEF </text>
  </threadedComment>
  <threadedComment ref="CK29" dT="2025-10-30T11:31:12.79" personId="{CDEB8033-3AB4-40E2-BFF9-589B15014663}" id="{67F6213F-E16F-4CE2-9DC5-61F11650C199}">
    <text>590€ Detrazione Irpef 2024</text>
  </threadedComment>
  <threadedComment ref="CD46" dT="2024-12-12T08:30:05.30" personId="{CDEB8033-3AB4-40E2-BFF9-589B15014663}" id="{E955F85E-6CB9-441E-A13E-CD2D9E828424}">
    <text>17,99€ paypal</text>
  </threadedComment>
  <threadedComment ref="BB51" dT="2022-09-09T07:24:57.81" personId="{CDEB8033-3AB4-40E2-BFF9-589B15014663}" id="{CFF42D54-42AA-4ADC-A0F5-77A19358EBC8}">
    <text>Abbonamento Gazzetta</text>
  </threadedComment>
  <threadedComment ref="CC63" dT="2024-11-06T08:05:31.94" personId="{CDEB8033-3AB4-40E2-BFF9-589B15014663}" id="{8CA5B320-D510-4757-B640-5262ABFF8394}">
    <text>Soldi Toso per merchandising Classics</text>
  </threadedComment>
  <threadedComment ref="CC63" dT="2024-12-02T10:52:22.71" personId="{CDEB8033-3AB4-40E2-BFF9-589B15014663}" id="{18AE3FD6-DE10-4BBD-8210-E76F178A687F}" parentId="{8CA5B320-D510-4757-B640-5262ABFF8394}">
    <text>0,97€ di rimanenza conto Paypal</text>
  </threadedComment>
  <threadedComment ref="CD63" dT="2024-12-09T11:02:31.25" personId="{CDEB8033-3AB4-40E2-BFF9-589B15014663}" id="{8FC76291-DB03-4168-ABC3-6785ED33A25D}">
    <text>Rimborso Amazon 3,58€</text>
  </threadedComment>
  <threadedComment ref="CD63" dT="2025-11-11T08:09:10.21" personId="{CDEB8033-3AB4-40E2-BFF9-589B15014663}" id="{10B80462-14E1-4278-BFF4-15DC63E5C1ED}" parentId="{8FC76291-DB03-4168-ABC3-6785ED33A25D}">
    <text>Conto Corrente Netflix: 6,99€</text>
  </threadedComment>
  <threadedComment ref="CD63" dT="2025-11-11T08:10:42.64" personId="{CDEB8033-3AB4-40E2-BFF9-589B15014663}" id="{BD4A00A7-2CA3-4C57-B5BF-91403A22DB77}" parentId="{8FC76291-DB03-4168-ABC3-6785ED33A25D}">
    <text>Paypal Microsoft: 17,99€</text>
  </threadedComment>
  <threadedComment ref="CD63" dT="2025-11-11T08:11:25.72" personId="{CDEB8033-3AB4-40E2-BFF9-589B15014663}" id="{A50253F8-1DAB-4726-A6A1-DAB4D103CB8B}" parentId="{8FC76291-DB03-4168-ABC3-6785ED33A25D}">
    <text>Paypal Now TV : 13,01€</text>
  </threadedComment>
  <threadedComment ref="CE63" dT="2025-11-11T08:08:34.03" personId="{CDEB8033-3AB4-40E2-BFF9-589B15014663}" id="{77E5D065-5FB7-43D3-A811-BEA4A47B8F8E}">
    <text xml:space="preserve">Conto corrente Netflix: 6,99€ </text>
  </threadedComment>
  <threadedComment ref="CH63" dT="2025-03-31T07:10:13.09" personId="{CDEB8033-3AB4-40E2-BFF9-589B15014663}" id="{5F6341D0-1683-4941-9E4E-5D7C9C86C0F1}">
    <text>47,99€ Office 365 Pagato con Revolut</text>
  </threadedComment>
  <threadedComment ref="CH63" dT="2025-04-14T15:28:02.94" personId="{CDEB8033-3AB4-40E2-BFF9-589B15014663}" id="{986E5AD3-2BAE-40FF-A570-C2A310F86B3B}" parentId="{5F6341D0-1683-4941-9E4E-5D7C9C86C0F1}">
    <text>17,99€ Xbox pass pagato con Paypal</text>
  </threadedComment>
  <threadedComment ref="CH63" dT="2025-04-14T15:34:31.42" personId="{CDEB8033-3AB4-40E2-BFF9-589B15014663}" id="{98AC423F-7030-4812-8D64-9282869CEDE6}" parentId="{5F6341D0-1683-4941-9E4E-5D7C9C86C0F1}">
    <text>27,53€ Spesa Lidl con Revolut</text>
  </threadedComment>
  <threadedComment ref="CH63" dT="2025-04-14T15:34:46.35" personId="{CDEB8033-3AB4-40E2-BFF9-589B15014663}" id="{19A5A827-D8C9-4EDC-9C31-86C1D21D2EA2}" parentId="{5F6341D0-1683-4941-9E4E-5D7C9C86C0F1}">
    <text>19,95€ Spesa conad con Revolut</text>
  </threadedComment>
  <threadedComment ref="CH63" dT="2025-04-14T15:54:32.19" personId="{CDEB8033-3AB4-40E2-BFF9-589B15014663}" id="{DB1F8ADE-0E7B-40E4-9983-FCAC1D5EEB52}" parentId="{5F6341D0-1683-4941-9E4E-5D7C9C86C0F1}">
    <text>61,68€ volotea aggiunta bagagli. Pagato con paypal</text>
  </threadedComment>
  <threadedComment ref="CH63" dT="2025-04-16T08:36:49.30" personId="{CDEB8033-3AB4-40E2-BFF9-589B15014663}" id="{C1980310-7557-4612-B888-BBD5C580434A}" parentId="{5F6341D0-1683-4941-9E4E-5D7C9C86C0F1}">
    <text>6,04€ Spesa Visotto con Revolut</text>
  </threadedComment>
  <threadedComment ref="CM63" dT="2025-09-08T07:18:13.21" personId="{CDEB8033-3AB4-40E2-BFF9-589B15014663}" id="{74F77F84-F941-48CA-9136-083FEC8FCDC8}">
    <text>Paypal pagamento Cuc Fantacalcio 50€</text>
  </threadedComment>
  <threadedComment ref="CM63" dT="2025-09-08T07:27:38.15" personId="{CDEB8033-3AB4-40E2-BFF9-589B15014663}" id="{7C781FA5-DF3D-47AC-9132-E548BE47A883}" parentId="{74F77F84-F941-48CA-9136-083FEC8FCDC8}">
    <text>Paypal veralab 16,66€ Saldo Paypal</text>
  </threadedComment>
  <threadedComment ref="CM63" dT="2025-09-08T07:32:04.12" personId="{CDEB8033-3AB4-40E2-BFF9-589B15014663}" id="{8694305D-BD8C-4836-8C5A-0A8910005A9E}" parentId="{74F77F84-F941-48CA-9136-083FEC8FCDC8}">
    <text>Paypal Tickeone 12,73€ Saldo Paypal</text>
  </threadedComment>
  <threadedComment ref="CM63" dT="2025-09-10T13:23:32.55" personId="{CDEB8033-3AB4-40E2-BFF9-589B15014663}" id="{FBD39088-570B-4289-9EC9-C335E3006E06}" parentId="{74F77F84-F941-48CA-9136-083FEC8FCDC8}">
    <text>Paypal NOW tv 4,99€ Saldo Paypal</text>
  </threadedComment>
  <threadedComment ref="CM63" dT="2025-09-15T07:16:59.73" personId="{CDEB8033-3AB4-40E2-BFF9-589B15014663}" id="{21376332-0363-471C-AB89-9157BD046898}" parentId="{74F77F84-F941-48CA-9136-083FEC8FCDC8}">
    <text>Paypal Microsoft 8,63€ Saldo Paypal</text>
  </threadedComment>
  <threadedComment ref="CM63" dT="2025-09-15T07:17:27.31" personId="{CDEB8033-3AB4-40E2-BFF9-589B15014663}" id="{7BC3A3C8-1D1D-4986-A5D8-EE4DEB6DA9F3}" parentId="{74F77F84-F941-48CA-9136-083FEC8FCDC8}">
    <text>Paypal Netflix 6,99€ Saldo Paypal</text>
  </threadedComment>
  <threadedComment ref="CN63" dT="2025-10-13T07:26:07.52" personId="{CDEB8033-3AB4-40E2-BFF9-589B15014663}" id="{8D70F259-3067-422A-A225-2617742355EE}">
    <text>Paypal Peppa 20,00€ compleanno Elena</text>
  </threadedComment>
  <threadedComment ref="CN63" dT="2025-10-17T14:36:02.48" personId="{CDEB8033-3AB4-40E2-BFF9-589B15014663}" id="{0E420DDE-1293-41DD-97BF-E9B7687D7644}" parentId="{8D70F259-3067-422A-A225-2617742355EE}">
    <text>Paypal Now -20€ saldo paypal</text>
  </threadedComment>
  <threadedComment ref="CO63" dT="2025-11-11T07:55:03.23" personId="{CDEB8033-3AB4-40E2-BFF9-589B15014663}" id="{A6CFDBF2-810A-41A8-BCA6-1F0F00E6C80D}">
    <text>Netflix: Conto corrente 6,99€</text>
  </threadedComment>
  <threadedComment ref="CO63" dT="2025-11-11T08:06:13.74" personId="{CDEB8033-3AB4-40E2-BFF9-589B15014663}" id="{CA78D422-E8AD-45F4-9805-D09E1E82E31A}" parentId="{A6CFDBF2-810A-41A8-BCA6-1F0F00E6C80D}">
    <text>NOW TV: Conto corrent 4,99€</text>
  </threadedComment>
  <threadedComment ref="CQ63" dT="2025-11-11T07:55:03.23" personId="{CDEB8033-3AB4-40E2-BFF9-589B15014663}" id="{323E6D70-769C-4114-BE24-8B997A18DEE1}">
    <text>Netflix: Paypal 5,00€</text>
  </threadedComment>
  <threadedComment ref="CR63" dT="2026-02-19T08:53:19.62" personId="{CDEB8033-3AB4-40E2-BFF9-589B15014663}" id="{B7749727-B6DA-4A3A-B396-07597B7DD9DE}">
    <text>Paypal Now TV 5€</text>
  </threadedComment>
  <threadedComment ref="CR63" dT="2026-02-19T08:54:35.15" personId="{CDEB8033-3AB4-40E2-BFF9-589B15014663}" id="{604F0157-E4D8-4009-9B7D-E183E441F14B}" parentId="{B7749727-B6DA-4A3A-B396-07597B7DD9DE}">
    <text>Paypal Easypark 0,85€</text>
  </threadedComment>
  <threadedComment ref="CS63" dT="2026-02-19T08:57:07.85" personId="{CDEB8033-3AB4-40E2-BFF9-589B15014663}" id="{1FA3FC9E-1323-4486-A214-3152BBE75667}">
    <text>Paypal: Now TV 29,99€</text>
  </threadedComment>
  <threadedComment ref="CS63" dT="2026-02-19T08:57:33.61" personId="{CDEB8033-3AB4-40E2-BFF9-589B15014663}" id="{37D88115-A4EB-46ED-A67C-A36D3DA33F6C}" parentId="{1FA3FC9E-1323-4486-A214-3152BBE75667}">
    <text>Paypal: Disney 8,00€</text>
  </threadedComment>
  <threadedComment ref="CS63" dT="2026-02-19T08:57:51.96" personId="{CDEB8033-3AB4-40E2-BFF9-589B15014663}" id="{F95D5CCC-2F9A-4B90-992B-56C765017AB1}" parentId="{1FA3FC9E-1323-4486-A214-3152BBE75667}">
    <text>Paypal: Netflix: 6,99€</text>
  </threadedComment>
  <threadedComment ref="CS63" dT="2026-03-06T11:56:41.20" personId="{CDEB8033-3AB4-40E2-BFF9-589B15014663}" id="{037EBFDA-8801-4375-928C-90B6BA91546D}" parentId="{1FA3FC9E-1323-4486-A214-3152BBE75667}">
    <text>Paypal: Dissabo Regalo Fabio 20,00€</text>
  </threadedComment>
  <threadedComment ref="CT63" dT="2026-04-10T07:48:04.62" personId="{CDEB8033-3AB4-40E2-BFF9-589B15014663}" id="{24AFCA09-206D-40CB-A079-2E695C93FCB2}">
    <text xml:space="preserve">Paypal Netflix: 1,01
</text>
  </threadedComment>
  <threadedComment ref="CV63" dT="2026-07-13T22:12:17.91" personId="{CDEB8033-3AB4-40E2-BFF9-589B15014663}" id="{C7DEAA8A-E9F7-445C-A5E5-8EB0BE9390D1}">
    <text>Spesa Enel</text>
  </threadedComment>
  <threadedComment ref="CY63" dT="2026-10-05T19:29:33.23" personId="{CDEB8033-3AB4-40E2-BFF9-589B15014663}" id="{96CDF55C-652E-4536-BA96-E3FCEA04F012}">
    <text>Paypal Debby Regalo Davide 7
Euro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6" dT="2021-09-23T07:18:57.50" personId="{CDEB8033-3AB4-40E2-BFF9-589B15014663}" id="{373FD6B0-C4DC-4C14-A85F-EB25A053E62A}">
    <text>FANTACALCIO</text>
  </threadedComment>
  <threadedComment ref="D27" dT="2021-10-26T12:15:32.09" personId="{BD754104-B9C8-40E9-86FA-9A51F601C04E}" id="{AF6E08AB-1096-41E2-92E5-A9D80175C6E8}">
    <text>Osteopata Gressani 83€</text>
  </threadedComment>
  <threadedComment ref="D38" dT="2022-09-06T06:54:15.70" personId="{CDEB8033-3AB4-40E2-BFF9-589B15014663}" id="{524CCDB4-D322-4F74-A3CD-7975395BC5F4}">
    <text>250€ Fantacalcio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38" dT="2022-11-04T13:34:26.56" personId="{CDEB8033-3AB4-40E2-BFF9-589B15014663}" id="{C47D3581-8E0C-4D71-9F7D-EB91F5BC1749}">
    <text>Passaggio di Proprietà</text>
  </threadedComment>
  <threadedComment ref="S42" dT="2022-08-25T09:07:38.54" personId="{CDEB8033-3AB4-40E2-BFF9-589B15014663}" id="{C5E309D8-C792-4579-A485-6BC9343A40FC}">
    <text>79€ Batteria Nuova</text>
  </threadedComment>
  <threadedComment ref="S44" dT="2022-11-04T13:34:55.43" personId="{CDEB8033-3AB4-40E2-BFF9-589B15014663}" id="{69B89BDD-97DF-4C05-8877-1FD4BCC88195}">
    <text>Revisione auto</text>
  </threadedComment>
  <threadedComment ref="S51" dT="2023-04-28T12:35:51.04" personId="{CDEB8033-3AB4-40E2-BFF9-589B15014663}" id="{76824819-A598-4DB3-9E9D-1796DB2E2ECF}">
    <text>Gomme Estive</text>
  </threadedComment>
  <threadedComment ref="L52" dT="2023-06-26T07:23:49.15" personId="{CDEB8033-3AB4-40E2-BFF9-589B15014663}" id="{325B27B7-EE3A-455B-B309-47AB82EDF62C}">
    <text>180€ Bonus Welfare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5A637E-5E6A-43F4-9F86-E3E9E7A5948B}">
  <we:reference id="wa104381701" version="1.0.0.4" store="it-IT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2C71-6D7D-42FF-BC83-E0FE1344EE29}">
  <sheetPr codeName="Foglio11"/>
  <dimension ref="A2:O54"/>
  <sheetViews>
    <sheetView topLeftCell="A4" workbookViewId="0">
      <selection activeCell="D6" sqref="D6:E17"/>
    </sheetView>
  </sheetViews>
  <sheetFormatPr defaultRowHeight="15"/>
  <cols>
    <col min="1" max="1" width="2.28515625" style="627" customWidth="1"/>
    <col min="4" max="4" width="38.140625" bestFit="1" customWidth="1"/>
    <col min="7" max="7" width="30.140625" style="627" customWidth="1"/>
    <col min="8" max="8" width="31.140625" style="627" bestFit="1" customWidth="1"/>
    <col min="9" max="9" width="39.5703125" style="627" bestFit="1" customWidth="1"/>
    <col min="10" max="10" width="31.42578125" style="627" bestFit="1" customWidth="1"/>
    <col min="11" max="15" width="2.28515625" style="627" customWidth="1"/>
  </cols>
  <sheetData>
    <row r="2" spans="1:15" s="1378" customFormat="1">
      <c r="G2" s="1389" t="s">
        <v>1245</v>
      </c>
      <c r="H2" s="1389" t="s">
        <v>83</v>
      </c>
      <c r="I2" s="1389" t="s">
        <v>1247</v>
      </c>
      <c r="J2" s="1389" t="s">
        <v>1241</v>
      </c>
    </row>
    <row r="3" spans="1:15" ht="15" customHeight="1">
      <c r="A3" s="1379"/>
      <c r="G3" s="627" t="s">
        <v>1239</v>
      </c>
      <c r="H3" s="627" t="s">
        <v>1232</v>
      </c>
      <c r="I3" s="1380" t="s">
        <v>1236</v>
      </c>
      <c r="J3" s="1379" t="s">
        <v>1242</v>
      </c>
      <c r="K3" s="1379"/>
      <c r="L3" s="1379"/>
      <c r="M3" s="1379"/>
      <c r="N3" s="1379"/>
      <c r="O3" s="1379"/>
    </row>
    <row r="4" spans="1:15">
      <c r="G4" s="1464" t="s">
        <v>1240</v>
      </c>
      <c r="H4" s="627" t="s">
        <v>121</v>
      </c>
      <c r="I4" s="1380" t="s">
        <v>1236</v>
      </c>
      <c r="J4" s="627" t="s">
        <v>1243</v>
      </c>
    </row>
    <row r="5" spans="1:15" ht="41.25" customHeight="1">
      <c r="G5" s="1464"/>
      <c r="H5" s="627" t="s">
        <v>121</v>
      </c>
      <c r="I5" s="1380" t="s">
        <v>1236</v>
      </c>
      <c r="J5" s="627" t="s">
        <v>1244</v>
      </c>
    </row>
    <row r="6" spans="1:15" ht="60.75" customHeight="1">
      <c r="D6" s="1396" t="s">
        <v>1247</v>
      </c>
      <c r="E6" s="1396" t="s">
        <v>1291</v>
      </c>
      <c r="G6" s="1464" t="s">
        <v>1238</v>
      </c>
      <c r="H6" s="627" t="s">
        <v>785</v>
      </c>
      <c r="I6" s="1380" t="s">
        <v>1236</v>
      </c>
      <c r="J6" s="627" t="s">
        <v>1242</v>
      </c>
    </row>
    <row r="7" spans="1:15">
      <c r="D7" s="1397" t="s">
        <v>1236</v>
      </c>
      <c r="E7" s="1397"/>
      <c r="G7" s="1464"/>
      <c r="H7" s="627" t="s">
        <v>1231</v>
      </c>
      <c r="I7" s="1380" t="s">
        <v>1236</v>
      </c>
      <c r="J7" s="627" t="s">
        <v>1242</v>
      </c>
    </row>
    <row r="8" spans="1:15">
      <c r="D8" s="1398" t="s">
        <v>739</v>
      </c>
      <c r="E8" s="1398"/>
      <c r="G8" s="1464" t="s">
        <v>111</v>
      </c>
      <c r="H8" s="627" t="s">
        <v>111</v>
      </c>
      <c r="I8" s="1380" t="s">
        <v>1236</v>
      </c>
      <c r="J8" s="627" t="s">
        <v>1243</v>
      </c>
    </row>
    <row r="9" spans="1:15">
      <c r="D9" s="1399" t="s">
        <v>740</v>
      </c>
      <c r="E9" s="1399"/>
      <c r="G9" s="1464"/>
      <c r="H9" s="627" t="s">
        <v>111</v>
      </c>
      <c r="I9" s="1380" t="s">
        <v>1236</v>
      </c>
      <c r="J9" s="627" t="s">
        <v>1244</v>
      </c>
    </row>
    <row r="10" spans="1:15">
      <c r="D10" s="1400" t="s">
        <v>741</v>
      </c>
      <c r="E10" s="1400"/>
      <c r="G10" s="1379" t="s">
        <v>1248</v>
      </c>
      <c r="H10" s="627" t="s">
        <v>1233</v>
      </c>
      <c r="I10" s="1381" t="s">
        <v>739</v>
      </c>
      <c r="J10" s="627" t="s">
        <v>1242</v>
      </c>
    </row>
    <row r="11" spans="1:15">
      <c r="D11" s="1401" t="s">
        <v>742</v>
      </c>
      <c r="E11" s="1401"/>
      <c r="G11" s="1464" t="s">
        <v>1249</v>
      </c>
      <c r="H11" s="627" t="s">
        <v>132</v>
      </c>
      <c r="I11" s="1381" t="s">
        <v>739</v>
      </c>
      <c r="J11" s="627" t="s">
        <v>1243</v>
      </c>
    </row>
    <row r="12" spans="1:15">
      <c r="D12" s="1402" t="s">
        <v>743</v>
      </c>
      <c r="E12" s="1402"/>
      <c r="G12" s="1464"/>
      <c r="H12" s="627" t="s">
        <v>132</v>
      </c>
      <c r="I12" s="1381" t="s">
        <v>739</v>
      </c>
      <c r="J12" s="627" t="s">
        <v>1244</v>
      </c>
    </row>
    <row r="13" spans="1:15">
      <c r="D13" s="1403" t="s">
        <v>744</v>
      </c>
      <c r="E13" s="1403"/>
      <c r="G13" s="1464"/>
      <c r="H13" s="627" t="s">
        <v>1274</v>
      </c>
      <c r="I13" s="1381" t="s">
        <v>739</v>
      </c>
      <c r="J13" s="627" t="s">
        <v>1242</v>
      </c>
    </row>
    <row r="14" spans="1:15">
      <c r="D14" s="1404" t="s">
        <v>1252</v>
      </c>
      <c r="E14" s="1404"/>
      <c r="G14" s="1464"/>
      <c r="H14" s="627" t="s">
        <v>1275</v>
      </c>
      <c r="I14" s="1381" t="s">
        <v>739</v>
      </c>
      <c r="J14" s="627" t="s">
        <v>1242</v>
      </c>
    </row>
    <row r="15" spans="1:15">
      <c r="D15" s="1405" t="s">
        <v>116</v>
      </c>
      <c r="E15" s="1405"/>
      <c r="G15" s="1464"/>
      <c r="H15" s="627" t="s">
        <v>892</v>
      </c>
      <c r="I15" s="1381" t="s">
        <v>739</v>
      </c>
      <c r="J15" s="627" t="s">
        <v>1242</v>
      </c>
    </row>
    <row r="16" spans="1:15">
      <c r="D16" s="1398" t="s">
        <v>1255</v>
      </c>
      <c r="E16" s="1398"/>
      <c r="G16" s="1464"/>
      <c r="H16" s="627" t="s">
        <v>1234</v>
      </c>
      <c r="I16" s="1381" t="s">
        <v>739</v>
      </c>
      <c r="J16" s="627" t="s">
        <v>1242</v>
      </c>
    </row>
    <row r="17" spans="4:10">
      <c r="D17" s="1406" t="s">
        <v>747</v>
      </c>
      <c r="E17" s="1406"/>
      <c r="G17" s="1464"/>
      <c r="H17" s="627" t="s">
        <v>1235</v>
      </c>
      <c r="I17" s="1381" t="s">
        <v>739</v>
      </c>
      <c r="J17" s="627" t="s">
        <v>1242</v>
      </c>
    </row>
    <row r="18" spans="4:10">
      <c r="G18" s="1464"/>
      <c r="H18" s="627" t="s">
        <v>371</v>
      </c>
      <c r="I18" s="1381" t="s">
        <v>739</v>
      </c>
      <c r="J18" s="627" t="s">
        <v>1243</v>
      </c>
    </row>
    <row r="19" spans="4:10">
      <c r="G19" s="1464"/>
      <c r="H19" s="627" t="s">
        <v>371</v>
      </c>
      <c r="I19" s="1381" t="s">
        <v>739</v>
      </c>
      <c r="J19" s="627" t="s">
        <v>1244</v>
      </c>
    </row>
    <row r="20" spans="4:10">
      <c r="H20" s="627" t="s">
        <v>38</v>
      </c>
      <c r="I20" s="1382" t="s">
        <v>740</v>
      </c>
    </row>
    <row r="21" spans="4:10">
      <c r="H21" s="627" t="s">
        <v>1237</v>
      </c>
      <c r="I21" s="1382" t="s">
        <v>740</v>
      </c>
    </row>
    <row r="22" spans="4:10" s="627" customFormat="1">
      <c r="H22" s="627" t="s">
        <v>121</v>
      </c>
      <c r="I22" s="1382" t="s">
        <v>740</v>
      </c>
    </row>
    <row r="23" spans="4:10">
      <c r="H23" s="627" t="s">
        <v>91</v>
      </c>
      <c r="I23" s="1382" t="s">
        <v>740</v>
      </c>
    </row>
    <row r="24" spans="4:10" s="627" customFormat="1">
      <c r="H24" s="627" t="s">
        <v>365</v>
      </c>
      <c r="I24" s="1382" t="s">
        <v>740</v>
      </c>
    </row>
    <row r="25" spans="4:10" s="627" customFormat="1">
      <c r="H25" s="627" t="s">
        <v>418</v>
      </c>
      <c r="I25" s="1382" t="s">
        <v>740</v>
      </c>
    </row>
    <row r="26" spans="4:10" s="627" customFormat="1">
      <c r="H26" s="627" t="s">
        <v>96</v>
      </c>
      <c r="I26" s="1382" t="s">
        <v>740</v>
      </c>
    </row>
    <row r="27" spans="4:10" s="627" customFormat="1">
      <c r="H27" s="627" t="s">
        <v>107</v>
      </c>
      <c r="I27" s="1382" t="s">
        <v>740</v>
      </c>
    </row>
    <row r="28" spans="4:10" s="627" customFormat="1">
      <c r="H28" s="627" t="s">
        <v>93</v>
      </c>
      <c r="I28" s="1382" t="s">
        <v>740</v>
      </c>
    </row>
    <row r="29" spans="4:10" s="627" customFormat="1">
      <c r="H29" s="627" t="s">
        <v>632</v>
      </c>
      <c r="I29" s="1382" t="s">
        <v>740</v>
      </c>
    </row>
    <row r="30" spans="4:10" s="627" customFormat="1">
      <c r="H30" s="627" t="s">
        <v>1222</v>
      </c>
      <c r="I30" s="1383" t="s">
        <v>741</v>
      </c>
    </row>
    <row r="31" spans="4:10" s="627" customFormat="1">
      <c r="H31" s="627" t="s">
        <v>1225</v>
      </c>
      <c r="I31" s="1383" t="s">
        <v>741</v>
      </c>
    </row>
    <row r="32" spans="4:10" s="627" customFormat="1">
      <c r="H32" s="627" t="s">
        <v>242</v>
      </c>
      <c r="I32" s="1383" t="s">
        <v>741</v>
      </c>
    </row>
    <row r="33" spans="8:9" s="627" customFormat="1">
      <c r="H33" s="627" t="s">
        <v>94</v>
      </c>
      <c r="I33" s="1384" t="s">
        <v>1290</v>
      </c>
    </row>
    <row r="34" spans="8:9" s="627" customFormat="1">
      <c r="H34" s="627" t="s">
        <v>163</v>
      </c>
      <c r="I34" s="1384" t="s">
        <v>1290</v>
      </c>
    </row>
    <row r="35" spans="8:9" s="627" customFormat="1">
      <c r="H35" s="627" t="s">
        <v>1246</v>
      </c>
      <c r="I35" s="1384" t="s">
        <v>1290</v>
      </c>
    </row>
    <row r="36" spans="8:9" s="627" customFormat="1">
      <c r="H36" s="627" t="s">
        <v>188</v>
      </c>
      <c r="I36" s="1385" t="s">
        <v>743</v>
      </c>
    </row>
    <row r="37" spans="8:9" s="627" customFormat="1">
      <c r="H37" s="627" t="s">
        <v>1250</v>
      </c>
      <c r="I37" s="1385" t="s">
        <v>743</v>
      </c>
    </row>
    <row r="38" spans="8:9" s="627" customFormat="1">
      <c r="H38" s="627" t="s">
        <v>100</v>
      </c>
      <c r="I38" s="1386" t="s">
        <v>744</v>
      </c>
    </row>
    <row r="39" spans="8:9" s="627" customFormat="1">
      <c r="H39" s="627" t="s">
        <v>1289</v>
      </c>
      <c r="I39" s="1386" t="s">
        <v>744</v>
      </c>
    </row>
    <row r="40" spans="8:9" s="627" customFormat="1">
      <c r="H40" s="627" t="s">
        <v>385</v>
      </c>
      <c r="I40" s="1386" t="s">
        <v>744</v>
      </c>
    </row>
    <row r="41" spans="8:9" s="627" customFormat="1">
      <c r="H41" s="627" t="s">
        <v>108</v>
      </c>
      <c r="I41" s="1386" t="s">
        <v>744</v>
      </c>
    </row>
    <row r="42" spans="8:9" s="627" customFormat="1">
      <c r="H42" s="627" t="s">
        <v>107</v>
      </c>
      <c r="I42" s="1386" t="s">
        <v>744</v>
      </c>
    </row>
    <row r="43" spans="8:9" s="627" customFormat="1">
      <c r="H43" s="627" t="s">
        <v>632</v>
      </c>
      <c r="I43" s="1386" t="s">
        <v>744</v>
      </c>
    </row>
    <row r="44" spans="8:9" s="627" customFormat="1">
      <c r="H44" s="627" t="s">
        <v>402</v>
      </c>
      <c r="I44" s="1386" t="s">
        <v>744</v>
      </c>
    </row>
    <row r="45" spans="8:9" s="627" customFormat="1">
      <c r="H45" s="627" t="s">
        <v>185</v>
      </c>
      <c r="I45" s="1386" t="s">
        <v>744</v>
      </c>
    </row>
    <row r="46" spans="8:9" s="627" customFormat="1">
      <c r="H46" s="627" t="s">
        <v>789</v>
      </c>
      <c r="I46" s="1387" t="s">
        <v>1252</v>
      </c>
    </row>
    <row r="47" spans="8:9" s="627" customFormat="1">
      <c r="H47" s="627" t="s">
        <v>1251</v>
      </c>
      <c r="I47" s="1387" t="s">
        <v>1252</v>
      </c>
    </row>
    <row r="48" spans="8:9">
      <c r="H48" s="627" t="s">
        <v>1253</v>
      </c>
      <c r="I48" s="1387" t="s">
        <v>1252</v>
      </c>
    </row>
    <row r="49" spans="8:9">
      <c r="H49" s="627" t="s">
        <v>116</v>
      </c>
      <c r="I49" s="1388" t="s">
        <v>116</v>
      </c>
    </row>
    <row r="50" spans="8:9">
      <c r="H50" s="627" t="s">
        <v>766</v>
      </c>
      <c r="I50" s="1388" t="s">
        <v>116</v>
      </c>
    </row>
    <row r="51" spans="8:9">
      <c r="H51" s="627" t="s">
        <v>693</v>
      </c>
      <c r="I51" s="1381" t="s">
        <v>1255</v>
      </c>
    </row>
    <row r="52" spans="8:9">
      <c r="H52" s="627" t="s">
        <v>1254</v>
      </c>
      <c r="I52" s="1381" t="s">
        <v>1255</v>
      </c>
    </row>
    <row r="53" spans="8:9">
      <c r="H53" s="627" t="s">
        <v>676</v>
      </c>
      <c r="I53" s="1381" t="s">
        <v>1255</v>
      </c>
    </row>
    <row r="54" spans="8:9">
      <c r="H54" s="627" t="s">
        <v>790</v>
      </c>
      <c r="I54" s="1391" t="s">
        <v>747</v>
      </c>
    </row>
  </sheetData>
  <mergeCells count="4">
    <mergeCell ref="G4:G5"/>
    <mergeCell ref="G6:G7"/>
    <mergeCell ref="G8:G9"/>
    <mergeCell ref="G11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0BAB-DD11-4A55-98EB-4784C64EEFEA}">
  <sheetPr codeName="Foglio1">
    <tabColor rgb="FF92D050"/>
    <outlinePr summaryRight="0"/>
  </sheetPr>
  <dimension ref="A1:GT86"/>
  <sheetViews>
    <sheetView showGridLines="0" tabSelected="1" zoomScale="85" zoomScaleNormal="85" workbookViewId="0">
      <selection activeCell="DA13" sqref="DA13"/>
    </sheetView>
  </sheetViews>
  <sheetFormatPr defaultColWidth="9.140625" defaultRowHeight="15" outlineLevelCol="3"/>
  <cols>
    <col min="1" max="1" width="0.85546875" style="9" customWidth="1"/>
    <col min="2" max="2" width="38.42578125" style="9" bestFit="1" customWidth="1" collapsed="1"/>
    <col min="3" max="6" width="14.7109375" style="9" hidden="1" customWidth="1" outlineLevel="2"/>
    <col min="7" max="7" width="13.7109375" style="9" hidden="1" customWidth="1" outlineLevel="1"/>
    <col min="8" max="9" width="13.7109375" style="9" customWidth="1"/>
    <col min="10" max="10" width="2.140625" style="1076" customWidth="1" collapsed="1"/>
    <col min="11" max="17" width="22.42578125" style="9" hidden="1" customWidth="1" outlineLevel="1"/>
    <col min="18" max="18" width="1.85546875" style="1076" customWidth="1" collapsed="1"/>
    <col min="19" max="77" width="14.28515625" style="9" hidden="1" customWidth="1" outlineLevel="3"/>
    <col min="78" max="78" width="10.85546875" style="9" hidden="1" customWidth="1" outlineLevel="3"/>
    <col min="79" max="79" width="11.42578125" style="9" hidden="1" customWidth="1" outlineLevel="3"/>
    <col min="80" max="80" width="11.85546875" style="9" hidden="1" customWidth="1" outlineLevel="2"/>
    <col min="81" max="81" width="11.140625" style="9" hidden="1" customWidth="1" outlineLevel="2"/>
    <col min="82" max="91" width="14.28515625" style="9" hidden="1" customWidth="1" outlineLevel="1"/>
    <col min="92" max="105" width="14.28515625" style="9" customWidth="1"/>
    <col min="106" max="106" width="14.28515625" style="9" customWidth="1" collapsed="1"/>
    <col min="107" max="146" width="14.28515625" style="9" hidden="1" customWidth="1" outlineLevel="1"/>
    <col min="147" max="202" width="13.7109375" style="9" hidden="1" customWidth="1" outlineLevel="1"/>
    <col min="203" max="16384" width="9.140625" style="9"/>
  </cols>
  <sheetData>
    <row r="1" spans="1:202" ht="35.25" customHeight="1">
      <c r="B1" s="906" t="s">
        <v>0</v>
      </c>
      <c r="G1" s="10"/>
      <c r="H1" s="10"/>
      <c r="I1" s="10"/>
      <c r="J1" s="1073"/>
      <c r="K1" s="10"/>
      <c r="L1" s="10"/>
      <c r="M1" s="10"/>
      <c r="N1" s="10"/>
      <c r="O1" s="10"/>
      <c r="P1" s="10"/>
      <c r="Q1" s="10"/>
      <c r="R1" s="1073"/>
      <c r="U1" s="11">
        <f>MONTH(B2)</f>
        <v>10</v>
      </c>
      <c r="AJ1" s="12"/>
    </row>
    <row r="2" spans="1:202" ht="35.25" customHeight="1">
      <c r="B2" s="905">
        <v>46296</v>
      </c>
      <c r="G2" s="13"/>
      <c r="H2" s="13"/>
      <c r="I2" s="13"/>
      <c r="J2" s="1074"/>
      <c r="K2" s="13"/>
      <c r="L2" s="13"/>
      <c r="M2" s="13"/>
      <c r="N2" s="13"/>
      <c r="O2" s="13"/>
      <c r="P2" s="13"/>
      <c r="Q2" s="13"/>
      <c r="R2" s="1074"/>
      <c r="U2" s="11"/>
      <c r="AH2" s="12"/>
      <c r="AJ2" s="12"/>
      <c r="CH2" s="639"/>
    </row>
    <row r="3" spans="1:202" ht="21">
      <c r="B3" s="903" t="str">
        <f>CONCATENATE("Spesa Carta ",Valutazioni!E3," €")</f>
        <v>Spesa Carta 2230,93 €</v>
      </c>
      <c r="C3" s="633"/>
      <c r="D3" s="632"/>
      <c r="E3" s="633"/>
      <c r="F3" s="684"/>
      <c r="G3" s="13"/>
      <c r="H3" s="13"/>
      <c r="I3" s="13"/>
      <c r="J3" s="1074"/>
      <c r="K3" s="13"/>
      <c r="L3" s="13"/>
      <c r="M3" s="13"/>
      <c r="N3" s="13"/>
      <c r="O3" s="13"/>
      <c r="P3" s="13"/>
      <c r="Q3" s="13"/>
      <c r="R3" s="1074"/>
      <c r="U3" s="11"/>
      <c r="AH3" s="12"/>
      <c r="AJ3" s="12"/>
      <c r="CH3" s="639"/>
      <c r="CJ3" s="639"/>
    </row>
    <row r="4" spans="1:202" ht="21">
      <c r="B4" s="903" t="str">
        <f>CONCATENATE("Budget Rimanente ",Valutazioni!I3," €")</f>
        <v>Budget Rimanente 0 €</v>
      </c>
      <c r="C4" s="633"/>
      <c r="D4" s="632"/>
      <c r="E4" s="633"/>
      <c r="F4" s="684"/>
      <c r="G4" s="13"/>
      <c r="H4" s="13"/>
      <c r="I4" s="13"/>
      <c r="J4" s="1074"/>
      <c r="K4" s="13"/>
      <c r="L4" s="13"/>
      <c r="M4" s="13"/>
      <c r="N4" s="13"/>
      <c r="O4" s="13"/>
      <c r="P4" s="13"/>
      <c r="Q4" s="13"/>
      <c r="R4" s="1074"/>
      <c r="U4" s="11"/>
      <c r="AH4" s="12"/>
      <c r="AJ4" s="12"/>
    </row>
    <row r="5" spans="1:202" ht="21">
      <c r="B5" s="904" t="str">
        <f>CONCATENATE(CONCATENATE("Margine mensile ",YEAR(B2))," ",ROUND(AVERAGEIF(CN71:CQ71,"&gt;0"),1)," €")</f>
        <v>Margine mensile 2026 491,8 €</v>
      </c>
      <c r="C5" s="684"/>
      <c r="D5" s="632"/>
      <c r="E5" s="633"/>
      <c r="F5" s="684"/>
      <c r="G5" s="13"/>
      <c r="H5" s="13"/>
      <c r="I5" s="13"/>
      <c r="J5" s="1075"/>
      <c r="K5" s="13"/>
      <c r="L5" s="13"/>
      <c r="M5" s="13"/>
      <c r="N5" s="13"/>
      <c r="O5" s="13"/>
      <c r="P5" s="13"/>
      <c r="Q5" s="13"/>
      <c r="R5" s="1074"/>
      <c r="U5" s="11"/>
      <c r="AH5" s="12"/>
      <c r="AJ5" s="12"/>
      <c r="CE5" s="40"/>
      <c r="CF5" s="40"/>
    </row>
    <row r="6" spans="1:202" ht="21">
      <c r="B6" s="720"/>
      <c r="C6" s="684"/>
      <c r="D6" s="632"/>
      <c r="E6" s="633"/>
      <c r="F6" s="684"/>
      <c r="G6" s="13"/>
      <c r="H6" s="13"/>
      <c r="I6" s="13"/>
      <c r="J6" s="1075"/>
      <c r="K6" s="13"/>
      <c r="L6" s="13"/>
      <c r="M6" s="13"/>
      <c r="N6" s="13"/>
      <c r="O6" s="13"/>
      <c r="P6" s="13"/>
      <c r="Q6" s="13"/>
      <c r="R6" s="1107"/>
      <c r="U6" s="11"/>
      <c r="AH6" s="12"/>
      <c r="AJ6" s="12"/>
      <c r="CE6" s="40"/>
      <c r="CF6" s="40"/>
    </row>
    <row r="7" spans="1:202" hidden="1">
      <c r="B7" s="136">
        <f>YEAR(B2)</f>
        <v>2026</v>
      </c>
      <c r="C7" s="9" t="b">
        <f t="shared" ref="C7:G7" si="0">IF(YEAR($B$2)=C9,TRUE,FALSE)</f>
        <v>0</v>
      </c>
      <c r="D7" s="9" t="b">
        <f t="shared" si="0"/>
        <v>0</v>
      </c>
      <c r="E7" s="9" t="b">
        <f t="shared" si="0"/>
        <v>0</v>
      </c>
      <c r="F7" s="9" t="b">
        <f t="shared" si="0"/>
        <v>0</v>
      </c>
      <c r="G7" s="9" t="b">
        <f t="shared" si="0"/>
        <v>0</v>
      </c>
      <c r="H7" s="9" t="b">
        <f>IF(YEAR($B$2)=H9,TRUE,FALSE)</f>
        <v>0</v>
      </c>
      <c r="I7" s="9" t="b">
        <f t="shared" ref="I7:K7" si="1">IF(YEAR($B$2)=I9,TRUE,FALSE)</f>
        <v>1</v>
      </c>
      <c r="J7" s="1075"/>
      <c r="K7" s="9" t="b">
        <f t="shared" si="1"/>
        <v>0</v>
      </c>
      <c r="L7" s="9" t="b">
        <f t="shared" ref="L7:Q7" si="2">IF(YEAR($B$2)=L9,TRUE,FALSE)</f>
        <v>0</v>
      </c>
      <c r="M7" s="9" t="b">
        <f t="shared" si="2"/>
        <v>0</v>
      </c>
      <c r="N7" s="9" t="b">
        <f t="shared" si="2"/>
        <v>0</v>
      </c>
      <c r="O7" s="9" t="b">
        <f t="shared" si="2"/>
        <v>0</v>
      </c>
      <c r="P7" s="9" t="b">
        <f t="shared" si="2"/>
        <v>0</v>
      </c>
      <c r="Q7" s="9" t="b">
        <f t="shared" si="2"/>
        <v>1</v>
      </c>
      <c r="R7" s="363"/>
      <c r="S7" s="9" t="b">
        <f t="shared" ref="S7:CC7" si="3">IF($B$2=S9,TRUE,FALSE)</f>
        <v>0</v>
      </c>
      <c r="T7" s="9" t="b">
        <f t="shared" si="3"/>
        <v>0</v>
      </c>
      <c r="U7" s="9" t="b">
        <f t="shared" si="3"/>
        <v>0</v>
      </c>
      <c r="V7" s="9" t="b">
        <f t="shared" si="3"/>
        <v>0</v>
      </c>
      <c r="W7" s="9" t="b">
        <f t="shared" si="3"/>
        <v>0</v>
      </c>
      <c r="X7" s="9" t="b">
        <f t="shared" si="3"/>
        <v>0</v>
      </c>
      <c r="Y7" s="9" t="b">
        <f t="shared" si="3"/>
        <v>0</v>
      </c>
      <c r="Z7" s="9" t="b">
        <f t="shared" si="3"/>
        <v>0</v>
      </c>
      <c r="AA7" s="9" t="b">
        <f t="shared" si="3"/>
        <v>0</v>
      </c>
      <c r="AB7" s="9" t="b">
        <f t="shared" si="3"/>
        <v>0</v>
      </c>
      <c r="AC7" s="9" t="b">
        <f t="shared" si="3"/>
        <v>0</v>
      </c>
      <c r="AD7" s="9" t="b">
        <f t="shared" si="3"/>
        <v>0</v>
      </c>
      <c r="AE7" s="9" t="b">
        <f t="shared" si="3"/>
        <v>0</v>
      </c>
      <c r="AF7" s="9" t="b">
        <f t="shared" si="3"/>
        <v>0</v>
      </c>
      <c r="AG7" s="9" t="b">
        <f t="shared" si="3"/>
        <v>0</v>
      </c>
      <c r="AH7" s="9" t="b">
        <f t="shared" si="3"/>
        <v>0</v>
      </c>
      <c r="AI7" s="9" t="b">
        <f t="shared" si="3"/>
        <v>0</v>
      </c>
      <c r="AJ7" s="9" t="b">
        <f t="shared" si="3"/>
        <v>0</v>
      </c>
      <c r="AK7" s="9" t="b">
        <f t="shared" si="3"/>
        <v>0</v>
      </c>
      <c r="AL7" s="9" t="b">
        <f t="shared" si="3"/>
        <v>0</v>
      </c>
      <c r="AM7" s="9" t="b">
        <f t="shared" si="3"/>
        <v>0</v>
      </c>
      <c r="AN7" s="9" t="b">
        <f t="shared" si="3"/>
        <v>0</v>
      </c>
      <c r="AO7" s="9" t="b">
        <f t="shared" si="3"/>
        <v>0</v>
      </c>
      <c r="AP7" s="9" t="b">
        <f t="shared" si="3"/>
        <v>0</v>
      </c>
      <c r="AQ7" s="9" t="b">
        <f t="shared" si="3"/>
        <v>0</v>
      </c>
      <c r="AR7" s="9" t="b">
        <f t="shared" si="3"/>
        <v>0</v>
      </c>
      <c r="AS7" s="9" t="b">
        <f t="shared" si="3"/>
        <v>0</v>
      </c>
      <c r="AT7" s="9" t="b">
        <f t="shared" si="3"/>
        <v>0</v>
      </c>
      <c r="AU7" s="9" t="b">
        <f t="shared" si="3"/>
        <v>0</v>
      </c>
      <c r="AV7" s="9" t="b">
        <f t="shared" si="3"/>
        <v>0</v>
      </c>
      <c r="AW7" s="9" t="b">
        <f t="shared" si="3"/>
        <v>0</v>
      </c>
      <c r="AX7" s="9" t="b">
        <f t="shared" si="3"/>
        <v>0</v>
      </c>
      <c r="AY7" s="9" t="b">
        <f t="shared" si="3"/>
        <v>0</v>
      </c>
      <c r="AZ7" s="9" t="b">
        <f t="shared" si="3"/>
        <v>0</v>
      </c>
      <c r="BA7" s="9" t="b">
        <f t="shared" si="3"/>
        <v>0</v>
      </c>
      <c r="BB7" s="9" t="b">
        <f t="shared" si="3"/>
        <v>0</v>
      </c>
      <c r="BC7" s="9" t="b">
        <f t="shared" si="3"/>
        <v>0</v>
      </c>
      <c r="BD7" s="9" t="b">
        <f t="shared" si="3"/>
        <v>0</v>
      </c>
      <c r="BE7" s="9" t="b">
        <f t="shared" si="3"/>
        <v>0</v>
      </c>
      <c r="BF7" s="9" t="b">
        <f t="shared" si="3"/>
        <v>0</v>
      </c>
      <c r="BG7" s="9" t="b">
        <f t="shared" si="3"/>
        <v>0</v>
      </c>
      <c r="BH7" s="9" t="b">
        <f t="shared" si="3"/>
        <v>0</v>
      </c>
      <c r="BI7" s="9" t="b">
        <f t="shared" si="3"/>
        <v>0</v>
      </c>
      <c r="BJ7" s="9" t="b">
        <f t="shared" si="3"/>
        <v>0</v>
      </c>
      <c r="BK7" s="9" t="b">
        <f t="shared" si="3"/>
        <v>0</v>
      </c>
      <c r="BL7" s="9" t="b">
        <f t="shared" si="3"/>
        <v>0</v>
      </c>
      <c r="BM7" s="9" t="b">
        <f t="shared" si="3"/>
        <v>0</v>
      </c>
      <c r="BN7" s="9" t="b">
        <f t="shared" si="3"/>
        <v>0</v>
      </c>
      <c r="BO7" s="9" t="b">
        <f t="shared" si="3"/>
        <v>0</v>
      </c>
      <c r="BP7" s="9" t="b">
        <f t="shared" si="3"/>
        <v>0</v>
      </c>
      <c r="BQ7" s="9" t="b">
        <f t="shared" si="3"/>
        <v>0</v>
      </c>
      <c r="BR7" s="9" t="b">
        <f t="shared" si="3"/>
        <v>0</v>
      </c>
      <c r="BS7" s="9" t="b">
        <f t="shared" si="3"/>
        <v>0</v>
      </c>
      <c r="BT7" s="9" t="b">
        <f t="shared" si="3"/>
        <v>0</v>
      </c>
      <c r="BU7" s="9" t="b">
        <f t="shared" si="3"/>
        <v>0</v>
      </c>
      <c r="BV7" s="9" t="b">
        <f t="shared" si="3"/>
        <v>0</v>
      </c>
      <c r="BW7" s="9" t="b">
        <f t="shared" si="3"/>
        <v>0</v>
      </c>
      <c r="BX7" s="9" t="b">
        <f>IF($B$2=BX9,TRUE,FALSE)</f>
        <v>0</v>
      </c>
      <c r="BY7" s="9" t="b">
        <f t="shared" si="3"/>
        <v>0</v>
      </c>
      <c r="BZ7" s="9" t="b">
        <f t="shared" si="3"/>
        <v>0</v>
      </c>
      <c r="CA7" s="9" t="b">
        <f t="shared" si="3"/>
        <v>0</v>
      </c>
      <c r="CB7" s="9" t="b">
        <f>IF($B$2=CB9,TRUE,FALSE)</f>
        <v>0</v>
      </c>
      <c r="CC7" s="9" t="b">
        <f t="shared" si="3"/>
        <v>0</v>
      </c>
      <c r="CD7" s="9" t="b">
        <f>IF($B$2=CD9,TRUE,FALSE)</f>
        <v>0</v>
      </c>
      <c r="CE7" s="9" t="b">
        <f>IF($B$2=CE9,TRUE,FALSE)</f>
        <v>0</v>
      </c>
      <c r="CF7" s="9" t="b">
        <f t="shared" ref="CF7:EP7" si="4">IF($B$2=CF9,TRUE,FALSE)</f>
        <v>0</v>
      </c>
      <c r="CG7" s="9" t="b">
        <f t="shared" si="4"/>
        <v>0</v>
      </c>
      <c r="CH7" s="9" t="b">
        <f t="shared" si="4"/>
        <v>0</v>
      </c>
      <c r="CI7" s="9" t="b">
        <f t="shared" si="4"/>
        <v>0</v>
      </c>
      <c r="CJ7" s="9" t="b">
        <f t="shared" si="4"/>
        <v>0</v>
      </c>
      <c r="CK7" s="9" t="b">
        <f t="shared" si="4"/>
        <v>0</v>
      </c>
      <c r="CL7" s="9" t="b">
        <f t="shared" si="4"/>
        <v>0</v>
      </c>
      <c r="CM7" s="9" t="b">
        <f t="shared" si="4"/>
        <v>0</v>
      </c>
      <c r="CN7" s="9" t="b">
        <f t="shared" si="4"/>
        <v>0</v>
      </c>
      <c r="CO7" s="9" t="b">
        <f t="shared" si="4"/>
        <v>0</v>
      </c>
      <c r="CP7" s="9" t="b">
        <f t="shared" si="4"/>
        <v>0</v>
      </c>
      <c r="CQ7" s="9" t="b">
        <f t="shared" si="4"/>
        <v>0</v>
      </c>
      <c r="CR7" s="9" t="b">
        <f t="shared" si="4"/>
        <v>0</v>
      </c>
      <c r="CS7" s="9" t="b">
        <f t="shared" si="4"/>
        <v>0</v>
      </c>
      <c r="CT7" s="9" t="b">
        <f t="shared" si="4"/>
        <v>0</v>
      </c>
      <c r="CU7" s="9" t="b">
        <f t="shared" si="4"/>
        <v>0</v>
      </c>
      <c r="CV7" s="9" t="b">
        <f t="shared" si="4"/>
        <v>0</v>
      </c>
      <c r="CW7" s="9" t="b">
        <f t="shared" si="4"/>
        <v>0</v>
      </c>
      <c r="CX7" s="9" t="b">
        <f t="shared" si="4"/>
        <v>0</v>
      </c>
      <c r="CY7" s="9" t="b">
        <f t="shared" si="4"/>
        <v>1</v>
      </c>
      <c r="CZ7" s="9" t="b">
        <f t="shared" si="4"/>
        <v>0</v>
      </c>
      <c r="DA7" s="9" t="b">
        <f t="shared" si="4"/>
        <v>0</v>
      </c>
      <c r="DB7" s="9" t="b">
        <f t="shared" si="4"/>
        <v>0</v>
      </c>
      <c r="DC7" s="9" t="b">
        <f t="shared" si="4"/>
        <v>0</v>
      </c>
      <c r="DD7" s="9" t="b">
        <f t="shared" si="4"/>
        <v>0</v>
      </c>
      <c r="DE7" s="9" t="b">
        <f t="shared" si="4"/>
        <v>0</v>
      </c>
      <c r="DF7" s="9" t="b">
        <f t="shared" si="4"/>
        <v>0</v>
      </c>
      <c r="DG7" s="9" t="b">
        <f t="shared" si="4"/>
        <v>0</v>
      </c>
      <c r="DH7" s="9" t="b">
        <f t="shared" si="4"/>
        <v>0</v>
      </c>
      <c r="DI7" s="9" t="b">
        <f t="shared" si="4"/>
        <v>0</v>
      </c>
      <c r="DJ7" s="9" t="b">
        <f t="shared" si="4"/>
        <v>0</v>
      </c>
      <c r="DK7" s="9" t="b">
        <f t="shared" si="4"/>
        <v>0</v>
      </c>
      <c r="DL7" s="9" t="b">
        <f t="shared" si="4"/>
        <v>0</v>
      </c>
      <c r="DM7" s="9" t="b">
        <f t="shared" si="4"/>
        <v>0</v>
      </c>
      <c r="DN7" s="9" t="b">
        <f t="shared" si="4"/>
        <v>0</v>
      </c>
      <c r="DO7" s="9" t="b">
        <f t="shared" si="4"/>
        <v>0</v>
      </c>
      <c r="DP7" s="9" t="b">
        <f t="shared" si="4"/>
        <v>0</v>
      </c>
      <c r="DQ7" s="9" t="b">
        <f t="shared" si="4"/>
        <v>0</v>
      </c>
      <c r="DR7" s="9" t="b">
        <f t="shared" si="4"/>
        <v>0</v>
      </c>
      <c r="DS7" s="9" t="b">
        <f t="shared" si="4"/>
        <v>0</v>
      </c>
      <c r="DT7" s="9" t="b">
        <f t="shared" si="4"/>
        <v>0</v>
      </c>
      <c r="DU7" s="9" t="b">
        <f t="shared" si="4"/>
        <v>0</v>
      </c>
      <c r="DV7" s="9" t="b">
        <f t="shared" si="4"/>
        <v>0</v>
      </c>
      <c r="DW7" s="9" t="b">
        <f t="shared" si="4"/>
        <v>0</v>
      </c>
      <c r="DX7" s="9" t="b">
        <f t="shared" si="4"/>
        <v>0</v>
      </c>
      <c r="DY7" s="9" t="b">
        <f t="shared" si="4"/>
        <v>0</v>
      </c>
      <c r="DZ7" s="9" t="b">
        <f t="shared" si="4"/>
        <v>0</v>
      </c>
      <c r="EA7" s="9" t="b">
        <f t="shared" si="4"/>
        <v>0</v>
      </c>
      <c r="EB7" s="9" t="b">
        <f t="shared" si="4"/>
        <v>0</v>
      </c>
      <c r="EC7" s="9" t="b">
        <f t="shared" si="4"/>
        <v>0</v>
      </c>
      <c r="ED7" s="9" t="b">
        <f t="shared" si="4"/>
        <v>0</v>
      </c>
      <c r="EE7" s="9" t="b">
        <f t="shared" si="4"/>
        <v>0</v>
      </c>
      <c r="EF7" s="9" t="b">
        <f t="shared" si="4"/>
        <v>0</v>
      </c>
      <c r="EG7" s="9" t="b">
        <f t="shared" si="4"/>
        <v>0</v>
      </c>
      <c r="EH7" s="9" t="b">
        <f t="shared" si="4"/>
        <v>0</v>
      </c>
      <c r="EI7" s="9" t="b">
        <f t="shared" si="4"/>
        <v>0</v>
      </c>
      <c r="EJ7" s="9" t="b">
        <f t="shared" si="4"/>
        <v>0</v>
      </c>
      <c r="EK7" s="9" t="b">
        <f t="shared" si="4"/>
        <v>0</v>
      </c>
      <c r="EL7" s="9" t="b">
        <f t="shared" si="4"/>
        <v>0</v>
      </c>
      <c r="EM7" s="9" t="b">
        <f t="shared" si="4"/>
        <v>0</v>
      </c>
      <c r="EN7" s="9" t="b">
        <f t="shared" si="4"/>
        <v>0</v>
      </c>
      <c r="EO7" s="9" t="b">
        <f t="shared" si="4"/>
        <v>0</v>
      </c>
      <c r="EP7" s="9" t="b">
        <f t="shared" si="4"/>
        <v>0</v>
      </c>
      <c r="EQ7" s="9" t="b">
        <f t="shared" ref="EQ7:GT7" si="5">IF($B$2=EQ9,TRUE,FALSE)</f>
        <v>0</v>
      </c>
      <c r="ER7" s="9" t="b">
        <f t="shared" si="5"/>
        <v>0</v>
      </c>
      <c r="ES7" s="9" t="b">
        <f t="shared" si="5"/>
        <v>0</v>
      </c>
      <c r="ET7" s="9" t="b">
        <f t="shared" si="5"/>
        <v>0</v>
      </c>
      <c r="EU7" s="9" t="b">
        <f t="shared" si="5"/>
        <v>0</v>
      </c>
      <c r="EV7" s="9" t="b">
        <f t="shared" si="5"/>
        <v>0</v>
      </c>
      <c r="EW7" s="9" t="b">
        <f t="shared" si="5"/>
        <v>0</v>
      </c>
      <c r="EX7" s="9" t="b">
        <f t="shared" si="5"/>
        <v>0</v>
      </c>
      <c r="EY7" s="9" t="b">
        <f t="shared" si="5"/>
        <v>0</v>
      </c>
      <c r="EZ7" s="9" t="b">
        <f t="shared" si="5"/>
        <v>0</v>
      </c>
      <c r="FA7" s="9" t="b">
        <f t="shared" si="5"/>
        <v>0</v>
      </c>
      <c r="FB7" s="9" t="b">
        <f t="shared" si="5"/>
        <v>0</v>
      </c>
      <c r="FC7" s="9" t="b">
        <f t="shared" si="5"/>
        <v>0</v>
      </c>
      <c r="FD7" s="9" t="b">
        <f t="shared" si="5"/>
        <v>0</v>
      </c>
      <c r="FE7" s="9" t="b">
        <f t="shared" si="5"/>
        <v>0</v>
      </c>
      <c r="FF7" s="9" t="b">
        <f t="shared" si="5"/>
        <v>0</v>
      </c>
      <c r="FG7" s="9" t="b">
        <f t="shared" si="5"/>
        <v>0</v>
      </c>
      <c r="FH7" s="9" t="b">
        <f t="shared" si="5"/>
        <v>0</v>
      </c>
      <c r="FI7" s="9" t="b">
        <f t="shared" si="5"/>
        <v>0</v>
      </c>
      <c r="FJ7" s="9" t="b">
        <f t="shared" si="5"/>
        <v>0</v>
      </c>
      <c r="FK7" s="9" t="b">
        <f t="shared" si="5"/>
        <v>0</v>
      </c>
      <c r="FL7" s="9" t="b">
        <f t="shared" si="5"/>
        <v>0</v>
      </c>
      <c r="FM7" s="9" t="b">
        <f t="shared" si="5"/>
        <v>0</v>
      </c>
      <c r="FN7" s="9" t="b">
        <f t="shared" si="5"/>
        <v>0</v>
      </c>
      <c r="FO7" s="9" t="b">
        <f t="shared" si="5"/>
        <v>0</v>
      </c>
      <c r="FP7" s="9" t="b">
        <f t="shared" si="5"/>
        <v>0</v>
      </c>
      <c r="FQ7" s="9" t="b">
        <f t="shared" si="5"/>
        <v>0</v>
      </c>
      <c r="FR7" s="9" t="b">
        <f t="shared" si="5"/>
        <v>0</v>
      </c>
      <c r="FS7" s="9" t="b">
        <f t="shared" si="5"/>
        <v>0</v>
      </c>
      <c r="FT7" s="9" t="b">
        <f t="shared" si="5"/>
        <v>0</v>
      </c>
      <c r="FU7" s="9" t="b">
        <f t="shared" si="5"/>
        <v>0</v>
      </c>
      <c r="FV7" s="9" t="b">
        <f t="shared" si="5"/>
        <v>0</v>
      </c>
      <c r="FW7" s="9" t="b">
        <f t="shared" si="5"/>
        <v>0</v>
      </c>
      <c r="FX7" s="9" t="b">
        <f t="shared" si="5"/>
        <v>0</v>
      </c>
      <c r="FY7" s="9" t="b">
        <f t="shared" si="5"/>
        <v>0</v>
      </c>
      <c r="FZ7" s="9" t="b">
        <f t="shared" si="5"/>
        <v>0</v>
      </c>
      <c r="GA7" s="9" t="b">
        <f t="shared" si="5"/>
        <v>0</v>
      </c>
      <c r="GB7" s="9" t="b">
        <f t="shared" si="5"/>
        <v>0</v>
      </c>
      <c r="GC7" s="9" t="b">
        <f t="shared" si="5"/>
        <v>0</v>
      </c>
      <c r="GD7" s="9" t="b">
        <f t="shared" si="5"/>
        <v>0</v>
      </c>
      <c r="GE7" s="9" t="b">
        <f t="shared" si="5"/>
        <v>0</v>
      </c>
      <c r="GF7" s="9" t="b">
        <f t="shared" si="5"/>
        <v>0</v>
      </c>
      <c r="GG7" s="9" t="b">
        <f t="shared" si="5"/>
        <v>0</v>
      </c>
      <c r="GH7" s="9" t="b">
        <f t="shared" si="5"/>
        <v>0</v>
      </c>
      <c r="GI7" s="9" t="b">
        <f t="shared" si="5"/>
        <v>0</v>
      </c>
      <c r="GJ7" s="9" t="b">
        <f t="shared" si="5"/>
        <v>0</v>
      </c>
      <c r="GK7" s="9" t="b">
        <f t="shared" si="5"/>
        <v>0</v>
      </c>
      <c r="GL7" s="9" t="b">
        <f t="shared" si="5"/>
        <v>0</v>
      </c>
      <c r="GM7" s="9" t="b">
        <f t="shared" si="5"/>
        <v>0</v>
      </c>
      <c r="GN7" s="9" t="b">
        <f t="shared" si="5"/>
        <v>0</v>
      </c>
      <c r="GO7" s="9" t="b">
        <f t="shared" si="5"/>
        <v>0</v>
      </c>
      <c r="GP7" s="9" t="b">
        <f t="shared" si="5"/>
        <v>0</v>
      </c>
      <c r="GQ7" s="9" t="b">
        <f t="shared" si="5"/>
        <v>0</v>
      </c>
      <c r="GR7" s="9" t="b">
        <f t="shared" si="5"/>
        <v>0</v>
      </c>
      <c r="GS7" s="9" t="b">
        <f t="shared" si="5"/>
        <v>0</v>
      </c>
      <c r="GT7" s="9" t="b">
        <f t="shared" si="5"/>
        <v>0</v>
      </c>
    </row>
    <row r="8" spans="1:202" hidden="1">
      <c r="C8" s="15">
        <f t="shared" ref="C8:Q8" si="6">IF(C9&lt;=$B$2,1,0)</f>
        <v>1</v>
      </c>
      <c r="D8" s="15">
        <f t="shared" si="6"/>
        <v>1</v>
      </c>
      <c r="E8" s="15">
        <f t="shared" si="6"/>
        <v>1</v>
      </c>
      <c r="F8" s="15">
        <f t="shared" si="6"/>
        <v>1</v>
      </c>
      <c r="G8" s="15">
        <f t="shared" si="6"/>
        <v>1</v>
      </c>
      <c r="H8" s="15">
        <f t="shared" ref="H8" si="7">IF(H9&lt;=$B$2,1,0)</f>
        <v>1</v>
      </c>
      <c r="I8" s="15">
        <f t="shared" si="6"/>
        <v>1</v>
      </c>
      <c r="J8" s="1075"/>
      <c r="K8" s="15">
        <f t="shared" si="6"/>
        <v>1</v>
      </c>
      <c r="L8" s="15">
        <f t="shared" si="6"/>
        <v>1</v>
      </c>
      <c r="M8" s="15">
        <f t="shared" si="6"/>
        <v>1</v>
      </c>
      <c r="N8" s="15">
        <f t="shared" si="6"/>
        <v>1</v>
      </c>
      <c r="O8" s="15">
        <f t="shared" si="6"/>
        <v>1</v>
      </c>
      <c r="P8" s="15">
        <f t="shared" si="6"/>
        <v>1</v>
      </c>
      <c r="Q8" s="15">
        <f t="shared" si="6"/>
        <v>1</v>
      </c>
      <c r="R8" s="363"/>
      <c r="S8" s="15">
        <f t="shared" ref="S8:CD8" si="8">IF(S9&lt;=$B$2,1,0)</f>
        <v>1</v>
      </c>
      <c r="T8" s="15">
        <f t="shared" si="8"/>
        <v>1</v>
      </c>
      <c r="U8" s="15">
        <f t="shared" si="8"/>
        <v>1</v>
      </c>
      <c r="V8" s="15">
        <f t="shared" si="8"/>
        <v>1</v>
      </c>
      <c r="W8" s="15">
        <f t="shared" si="8"/>
        <v>1</v>
      </c>
      <c r="X8" s="15">
        <f t="shared" si="8"/>
        <v>1</v>
      </c>
      <c r="Y8" s="15">
        <f t="shared" si="8"/>
        <v>1</v>
      </c>
      <c r="Z8" s="15">
        <f t="shared" si="8"/>
        <v>1</v>
      </c>
      <c r="AA8" s="15">
        <f t="shared" si="8"/>
        <v>1</v>
      </c>
      <c r="AB8" s="15">
        <f t="shared" si="8"/>
        <v>1</v>
      </c>
      <c r="AC8" s="15">
        <f t="shared" si="8"/>
        <v>1</v>
      </c>
      <c r="AD8" s="15">
        <f t="shared" si="8"/>
        <v>1</v>
      </c>
      <c r="AE8" s="15">
        <f t="shared" si="8"/>
        <v>1</v>
      </c>
      <c r="AF8" s="15">
        <f t="shared" si="8"/>
        <v>1</v>
      </c>
      <c r="AG8" s="15">
        <f t="shared" si="8"/>
        <v>1</v>
      </c>
      <c r="AH8" s="15">
        <f t="shared" si="8"/>
        <v>1</v>
      </c>
      <c r="AI8" s="15">
        <f t="shared" si="8"/>
        <v>1</v>
      </c>
      <c r="AJ8" s="15">
        <f t="shared" si="8"/>
        <v>1</v>
      </c>
      <c r="AK8" s="15">
        <f t="shared" si="8"/>
        <v>1</v>
      </c>
      <c r="AL8" s="15">
        <f t="shared" si="8"/>
        <v>1</v>
      </c>
      <c r="AM8" s="15">
        <f t="shared" si="8"/>
        <v>1</v>
      </c>
      <c r="AN8" s="15">
        <f t="shared" si="8"/>
        <v>1</v>
      </c>
      <c r="AO8" s="15">
        <f t="shared" si="8"/>
        <v>1</v>
      </c>
      <c r="AP8" s="15">
        <f t="shared" si="8"/>
        <v>1</v>
      </c>
      <c r="AQ8" s="15">
        <f t="shared" si="8"/>
        <v>1</v>
      </c>
      <c r="AR8" s="15">
        <f t="shared" si="8"/>
        <v>1</v>
      </c>
      <c r="AS8" s="15">
        <f t="shared" si="8"/>
        <v>1</v>
      </c>
      <c r="AT8" s="15">
        <f t="shared" si="8"/>
        <v>1</v>
      </c>
      <c r="AU8" s="15">
        <f t="shared" si="8"/>
        <v>1</v>
      </c>
      <c r="AV8" s="15">
        <f t="shared" si="8"/>
        <v>1</v>
      </c>
      <c r="AW8" s="15">
        <f t="shared" si="8"/>
        <v>1</v>
      </c>
      <c r="AX8" s="15">
        <f t="shared" si="8"/>
        <v>1</v>
      </c>
      <c r="AY8" s="15">
        <f t="shared" si="8"/>
        <v>1</v>
      </c>
      <c r="AZ8" s="15">
        <f t="shared" si="8"/>
        <v>1</v>
      </c>
      <c r="BA8" s="15">
        <f t="shared" si="8"/>
        <v>1</v>
      </c>
      <c r="BB8" s="15">
        <f t="shared" si="8"/>
        <v>1</v>
      </c>
      <c r="BC8" s="15">
        <f t="shared" si="8"/>
        <v>1</v>
      </c>
      <c r="BD8" s="15">
        <f t="shared" si="8"/>
        <v>1</v>
      </c>
      <c r="BE8" s="15">
        <f t="shared" si="8"/>
        <v>1</v>
      </c>
      <c r="BF8" s="15">
        <f t="shared" si="8"/>
        <v>1</v>
      </c>
      <c r="BG8" s="15">
        <f t="shared" si="8"/>
        <v>1</v>
      </c>
      <c r="BH8" s="15">
        <f t="shared" si="8"/>
        <v>1</v>
      </c>
      <c r="BI8" s="15">
        <f t="shared" si="8"/>
        <v>1</v>
      </c>
      <c r="BJ8" s="15">
        <f t="shared" si="8"/>
        <v>1</v>
      </c>
      <c r="BK8" s="15">
        <f t="shared" si="8"/>
        <v>1</v>
      </c>
      <c r="BL8" s="15">
        <f t="shared" si="8"/>
        <v>1</v>
      </c>
      <c r="BM8" s="15">
        <f t="shared" si="8"/>
        <v>1</v>
      </c>
      <c r="BN8" s="15">
        <f t="shared" si="8"/>
        <v>1</v>
      </c>
      <c r="BO8" s="15">
        <f t="shared" si="8"/>
        <v>1</v>
      </c>
      <c r="BP8" s="15">
        <f t="shared" si="8"/>
        <v>1</v>
      </c>
      <c r="BQ8" s="15">
        <f t="shared" si="8"/>
        <v>1</v>
      </c>
      <c r="BR8" s="15">
        <f t="shared" si="8"/>
        <v>1</v>
      </c>
      <c r="BS8" s="15">
        <f t="shared" si="8"/>
        <v>1</v>
      </c>
      <c r="BT8" s="15">
        <f t="shared" si="8"/>
        <v>1</v>
      </c>
      <c r="BU8" s="15">
        <f t="shared" si="8"/>
        <v>1</v>
      </c>
      <c r="BV8" s="15">
        <f t="shared" si="8"/>
        <v>1</v>
      </c>
      <c r="BW8" s="15">
        <f t="shared" si="8"/>
        <v>1</v>
      </c>
      <c r="BX8" s="15">
        <f t="shared" si="8"/>
        <v>1</v>
      </c>
      <c r="BY8" s="15">
        <f t="shared" si="8"/>
        <v>1</v>
      </c>
      <c r="BZ8" s="15">
        <f t="shared" si="8"/>
        <v>1</v>
      </c>
      <c r="CA8" s="15">
        <f t="shared" si="8"/>
        <v>1</v>
      </c>
      <c r="CB8" s="15">
        <f t="shared" si="8"/>
        <v>1</v>
      </c>
      <c r="CC8" s="15">
        <f t="shared" si="8"/>
        <v>1</v>
      </c>
      <c r="CD8" s="15">
        <f t="shared" si="8"/>
        <v>1</v>
      </c>
      <c r="CE8" s="15">
        <f>IF(CE9&lt;=$B$2,1,0)</f>
        <v>1</v>
      </c>
      <c r="CF8" s="15">
        <f t="shared" ref="CF8:EQ8" si="9">IF(CF9&lt;=$B$2,1,0)</f>
        <v>1</v>
      </c>
      <c r="CG8" s="15">
        <f t="shared" si="9"/>
        <v>1</v>
      </c>
      <c r="CH8" s="15">
        <f t="shared" si="9"/>
        <v>1</v>
      </c>
      <c r="CI8" s="15">
        <f t="shared" si="9"/>
        <v>1</v>
      </c>
      <c r="CJ8" s="15">
        <f t="shared" si="9"/>
        <v>1</v>
      </c>
      <c r="CK8" s="15">
        <f t="shared" si="9"/>
        <v>1</v>
      </c>
      <c r="CL8" s="15">
        <f t="shared" si="9"/>
        <v>1</v>
      </c>
      <c r="CM8" s="15">
        <f t="shared" si="9"/>
        <v>1</v>
      </c>
      <c r="CN8" s="15">
        <f t="shared" si="9"/>
        <v>1</v>
      </c>
      <c r="CO8" s="15">
        <f t="shared" si="9"/>
        <v>1</v>
      </c>
      <c r="CP8" s="15">
        <f t="shared" si="9"/>
        <v>1</v>
      </c>
      <c r="CQ8" s="15">
        <f t="shared" si="9"/>
        <v>1</v>
      </c>
      <c r="CR8" s="15">
        <f t="shared" si="9"/>
        <v>1</v>
      </c>
      <c r="CS8" s="15">
        <f t="shared" si="9"/>
        <v>1</v>
      </c>
      <c r="CT8" s="15">
        <f t="shared" si="9"/>
        <v>1</v>
      </c>
      <c r="CU8" s="15">
        <f t="shared" si="9"/>
        <v>1</v>
      </c>
      <c r="CV8" s="15">
        <f t="shared" si="9"/>
        <v>1</v>
      </c>
      <c r="CW8" s="15">
        <f t="shared" si="9"/>
        <v>1</v>
      </c>
      <c r="CX8" s="15">
        <f t="shared" si="9"/>
        <v>1</v>
      </c>
      <c r="CY8" s="15">
        <f t="shared" si="9"/>
        <v>1</v>
      </c>
      <c r="CZ8" s="15">
        <f t="shared" si="9"/>
        <v>0</v>
      </c>
      <c r="DA8" s="15">
        <f t="shared" si="9"/>
        <v>0</v>
      </c>
      <c r="DB8" s="15">
        <f t="shared" si="9"/>
        <v>0</v>
      </c>
      <c r="DC8" s="15">
        <f t="shared" si="9"/>
        <v>0</v>
      </c>
      <c r="DD8" s="15">
        <f t="shared" si="9"/>
        <v>0</v>
      </c>
      <c r="DE8" s="15">
        <f t="shared" si="9"/>
        <v>0</v>
      </c>
      <c r="DF8" s="15">
        <f t="shared" si="9"/>
        <v>0</v>
      </c>
      <c r="DG8" s="15">
        <f t="shared" si="9"/>
        <v>0</v>
      </c>
      <c r="DH8" s="15">
        <f t="shared" si="9"/>
        <v>0</v>
      </c>
      <c r="DI8" s="15">
        <f t="shared" si="9"/>
        <v>0</v>
      </c>
      <c r="DJ8" s="15">
        <f t="shared" si="9"/>
        <v>0</v>
      </c>
      <c r="DK8" s="15">
        <f t="shared" si="9"/>
        <v>0</v>
      </c>
      <c r="DL8" s="15">
        <f t="shared" si="9"/>
        <v>0</v>
      </c>
      <c r="DM8" s="15">
        <f t="shared" si="9"/>
        <v>0</v>
      </c>
      <c r="DN8" s="15">
        <f t="shared" si="9"/>
        <v>0</v>
      </c>
      <c r="DO8" s="15">
        <f t="shared" si="9"/>
        <v>0</v>
      </c>
      <c r="DP8" s="15">
        <f t="shared" si="9"/>
        <v>0</v>
      </c>
      <c r="DQ8" s="15">
        <f t="shared" si="9"/>
        <v>0</v>
      </c>
      <c r="DR8" s="15">
        <f t="shared" si="9"/>
        <v>0</v>
      </c>
      <c r="DS8" s="15">
        <f t="shared" si="9"/>
        <v>0</v>
      </c>
      <c r="DT8" s="15">
        <f t="shared" si="9"/>
        <v>0</v>
      </c>
      <c r="DU8" s="15">
        <f t="shared" si="9"/>
        <v>0</v>
      </c>
      <c r="DV8" s="15">
        <f t="shared" si="9"/>
        <v>0</v>
      </c>
      <c r="DW8" s="15">
        <f t="shared" si="9"/>
        <v>0</v>
      </c>
      <c r="DX8" s="15">
        <f t="shared" si="9"/>
        <v>0</v>
      </c>
      <c r="DY8" s="15">
        <f t="shared" si="9"/>
        <v>0</v>
      </c>
      <c r="DZ8" s="15">
        <f t="shared" si="9"/>
        <v>0</v>
      </c>
      <c r="EA8" s="15">
        <f t="shared" si="9"/>
        <v>0</v>
      </c>
      <c r="EB8" s="15">
        <f t="shared" si="9"/>
        <v>0</v>
      </c>
      <c r="EC8" s="15">
        <f t="shared" si="9"/>
        <v>0</v>
      </c>
      <c r="ED8" s="15">
        <f t="shared" si="9"/>
        <v>0</v>
      </c>
      <c r="EE8" s="15">
        <f t="shared" si="9"/>
        <v>0</v>
      </c>
      <c r="EF8" s="15">
        <f t="shared" si="9"/>
        <v>0</v>
      </c>
      <c r="EG8" s="15">
        <f t="shared" si="9"/>
        <v>0</v>
      </c>
      <c r="EH8" s="15">
        <f t="shared" si="9"/>
        <v>0</v>
      </c>
      <c r="EI8" s="15">
        <f t="shared" si="9"/>
        <v>0</v>
      </c>
      <c r="EJ8" s="15">
        <f t="shared" si="9"/>
        <v>0</v>
      </c>
      <c r="EK8" s="15">
        <f t="shared" si="9"/>
        <v>0</v>
      </c>
      <c r="EL8" s="15">
        <f t="shared" si="9"/>
        <v>0</v>
      </c>
      <c r="EM8" s="15">
        <f t="shared" si="9"/>
        <v>0</v>
      </c>
      <c r="EN8" s="15">
        <f t="shared" si="9"/>
        <v>0</v>
      </c>
      <c r="EO8" s="15">
        <f t="shared" si="9"/>
        <v>0</v>
      </c>
      <c r="EP8" s="15">
        <f t="shared" si="9"/>
        <v>0</v>
      </c>
      <c r="EQ8" s="15">
        <f t="shared" si="9"/>
        <v>0</v>
      </c>
      <c r="ER8" s="15">
        <f t="shared" ref="ER8:GT8" si="10">IF(ER9&lt;=$B$2,1,0)</f>
        <v>0</v>
      </c>
      <c r="ES8" s="15">
        <f t="shared" si="10"/>
        <v>0</v>
      </c>
      <c r="ET8" s="15">
        <f t="shared" si="10"/>
        <v>0</v>
      </c>
      <c r="EU8" s="15">
        <f t="shared" si="10"/>
        <v>0</v>
      </c>
      <c r="EV8" s="15">
        <f t="shared" si="10"/>
        <v>0</v>
      </c>
      <c r="EW8" s="15">
        <f t="shared" si="10"/>
        <v>0</v>
      </c>
      <c r="EX8" s="15">
        <f t="shared" si="10"/>
        <v>0</v>
      </c>
      <c r="EY8" s="15">
        <f t="shared" si="10"/>
        <v>0</v>
      </c>
      <c r="EZ8" s="15">
        <f t="shared" si="10"/>
        <v>0</v>
      </c>
      <c r="FA8" s="15">
        <f t="shared" si="10"/>
        <v>0</v>
      </c>
      <c r="FB8" s="15">
        <f t="shared" si="10"/>
        <v>0</v>
      </c>
      <c r="FC8" s="15">
        <f t="shared" si="10"/>
        <v>0</v>
      </c>
      <c r="FD8" s="15">
        <f t="shared" si="10"/>
        <v>0</v>
      </c>
      <c r="FE8" s="15">
        <f t="shared" si="10"/>
        <v>0</v>
      </c>
      <c r="FF8" s="15">
        <f t="shared" si="10"/>
        <v>0</v>
      </c>
      <c r="FG8" s="15">
        <f t="shared" si="10"/>
        <v>0</v>
      </c>
      <c r="FH8" s="15">
        <f t="shared" si="10"/>
        <v>0</v>
      </c>
      <c r="FI8" s="15">
        <f t="shared" si="10"/>
        <v>0</v>
      </c>
      <c r="FJ8" s="15">
        <f t="shared" si="10"/>
        <v>0</v>
      </c>
      <c r="FK8" s="15">
        <f t="shared" si="10"/>
        <v>0</v>
      </c>
      <c r="FL8" s="15">
        <f t="shared" si="10"/>
        <v>0</v>
      </c>
      <c r="FM8" s="15">
        <f t="shared" si="10"/>
        <v>0</v>
      </c>
      <c r="FN8" s="15">
        <f t="shared" si="10"/>
        <v>0</v>
      </c>
      <c r="FO8" s="15">
        <f t="shared" si="10"/>
        <v>0</v>
      </c>
      <c r="FP8" s="15">
        <f t="shared" si="10"/>
        <v>0</v>
      </c>
      <c r="FQ8" s="15">
        <f t="shared" si="10"/>
        <v>0</v>
      </c>
      <c r="FR8" s="15">
        <f t="shared" si="10"/>
        <v>0</v>
      </c>
      <c r="FS8" s="15">
        <f t="shared" si="10"/>
        <v>0</v>
      </c>
      <c r="FT8" s="15">
        <f t="shared" si="10"/>
        <v>0</v>
      </c>
      <c r="FU8" s="15">
        <f t="shared" si="10"/>
        <v>0</v>
      </c>
      <c r="FV8" s="15">
        <f t="shared" si="10"/>
        <v>0</v>
      </c>
      <c r="FW8" s="15">
        <f t="shared" si="10"/>
        <v>0</v>
      </c>
      <c r="FX8" s="15">
        <f t="shared" si="10"/>
        <v>0</v>
      </c>
      <c r="FY8" s="15">
        <f t="shared" si="10"/>
        <v>0</v>
      </c>
      <c r="FZ8" s="15">
        <f t="shared" si="10"/>
        <v>0</v>
      </c>
      <c r="GA8" s="15">
        <f t="shared" si="10"/>
        <v>0</v>
      </c>
      <c r="GB8" s="15">
        <f t="shared" si="10"/>
        <v>0</v>
      </c>
      <c r="GC8" s="15">
        <f t="shared" si="10"/>
        <v>0</v>
      </c>
      <c r="GD8" s="15">
        <f t="shared" si="10"/>
        <v>0</v>
      </c>
      <c r="GE8" s="15">
        <f t="shared" si="10"/>
        <v>0</v>
      </c>
      <c r="GF8" s="15">
        <f t="shared" si="10"/>
        <v>0</v>
      </c>
      <c r="GG8" s="15">
        <f t="shared" si="10"/>
        <v>0</v>
      </c>
      <c r="GH8" s="15">
        <f t="shared" si="10"/>
        <v>0</v>
      </c>
      <c r="GI8" s="15">
        <f t="shared" si="10"/>
        <v>0</v>
      </c>
      <c r="GJ8" s="15">
        <f t="shared" si="10"/>
        <v>0</v>
      </c>
      <c r="GK8" s="15">
        <f t="shared" si="10"/>
        <v>0</v>
      </c>
      <c r="GL8" s="15">
        <f t="shared" si="10"/>
        <v>0</v>
      </c>
      <c r="GM8" s="15">
        <f t="shared" si="10"/>
        <v>0</v>
      </c>
      <c r="GN8" s="15">
        <f t="shared" si="10"/>
        <v>0</v>
      </c>
      <c r="GO8" s="15">
        <f t="shared" si="10"/>
        <v>0</v>
      </c>
      <c r="GP8" s="15">
        <f t="shared" si="10"/>
        <v>0</v>
      </c>
      <c r="GQ8" s="15">
        <f t="shared" si="10"/>
        <v>0</v>
      </c>
      <c r="GR8" s="15">
        <f t="shared" si="10"/>
        <v>0</v>
      </c>
      <c r="GS8" s="15">
        <f t="shared" si="10"/>
        <v>0</v>
      </c>
      <c r="GT8" s="15">
        <f t="shared" si="10"/>
        <v>0</v>
      </c>
    </row>
    <row r="9" spans="1:202" s="18" customFormat="1" ht="19.5" customHeight="1">
      <c r="C9" s="16">
        <v>2020</v>
      </c>
      <c r="D9" s="16">
        <v>2021</v>
      </c>
      <c r="E9" s="16">
        <v>2022</v>
      </c>
      <c r="F9" s="16">
        <v>2023</v>
      </c>
      <c r="G9" s="1021">
        <v>2024</v>
      </c>
      <c r="H9" s="1021">
        <v>2025</v>
      </c>
      <c r="I9" s="1021">
        <v>2026</v>
      </c>
      <c r="J9" s="1075"/>
      <c r="K9" s="18">
        <v>2020</v>
      </c>
      <c r="L9" s="18">
        <v>2021</v>
      </c>
      <c r="M9" s="18">
        <v>2022</v>
      </c>
      <c r="N9" s="18">
        <v>2023</v>
      </c>
      <c r="O9" s="18">
        <v>2024</v>
      </c>
      <c r="P9" s="18">
        <v>2025</v>
      </c>
      <c r="Q9" s="18">
        <v>2026</v>
      </c>
      <c r="R9" s="1107"/>
      <c r="S9" s="1016">
        <v>43739</v>
      </c>
      <c r="T9" s="1016">
        <v>43770</v>
      </c>
      <c r="U9" s="1017">
        <v>43800</v>
      </c>
      <c r="V9" s="1016">
        <v>43831</v>
      </c>
      <c r="W9" s="1016">
        <v>43862</v>
      </c>
      <c r="X9" s="1016">
        <v>43891</v>
      </c>
      <c r="Y9" s="1016">
        <v>43922</v>
      </c>
      <c r="Z9" s="1016">
        <v>43952</v>
      </c>
      <c r="AA9" s="1016">
        <v>43983</v>
      </c>
      <c r="AB9" s="1016">
        <v>44013</v>
      </c>
      <c r="AC9" s="1016">
        <v>44044</v>
      </c>
      <c r="AD9" s="1016">
        <v>44075</v>
      </c>
      <c r="AE9" s="1016">
        <v>44105</v>
      </c>
      <c r="AF9" s="1016">
        <v>44136</v>
      </c>
      <c r="AG9" s="1017">
        <v>44166</v>
      </c>
      <c r="AH9" s="1016">
        <v>44197</v>
      </c>
      <c r="AI9" s="1016">
        <v>44228</v>
      </c>
      <c r="AJ9" s="1016">
        <v>44256</v>
      </c>
      <c r="AK9" s="1016">
        <v>44287</v>
      </c>
      <c r="AL9" s="1016">
        <v>44317</v>
      </c>
      <c r="AM9" s="1016">
        <v>44348</v>
      </c>
      <c r="AN9" s="1016">
        <v>44378</v>
      </c>
      <c r="AO9" s="1016">
        <v>44409</v>
      </c>
      <c r="AP9" s="1016">
        <v>44440</v>
      </c>
      <c r="AQ9" s="1016">
        <v>44470</v>
      </c>
      <c r="AR9" s="1016">
        <v>44501</v>
      </c>
      <c r="AS9" s="1018">
        <v>44531</v>
      </c>
      <c r="AT9" s="1019">
        <v>44562</v>
      </c>
      <c r="AU9" s="1016">
        <v>44593</v>
      </c>
      <c r="AV9" s="1016">
        <v>44621</v>
      </c>
      <c r="AW9" s="1016">
        <v>44652</v>
      </c>
      <c r="AX9" s="1016">
        <v>44682</v>
      </c>
      <c r="AY9" s="1016">
        <v>44713</v>
      </c>
      <c r="AZ9" s="1016">
        <v>44743</v>
      </c>
      <c r="BA9" s="1016">
        <v>44774</v>
      </c>
      <c r="BB9" s="1016">
        <v>44805</v>
      </c>
      <c r="BC9" s="1016">
        <v>44835</v>
      </c>
      <c r="BD9" s="1016">
        <v>44866</v>
      </c>
      <c r="BE9" s="1016">
        <v>44896</v>
      </c>
      <c r="BF9" s="1019">
        <v>44927</v>
      </c>
      <c r="BG9" s="1016">
        <v>44958</v>
      </c>
      <c r="BH9" s="1016">
        <v>44986</v>
      </c>
      <c r="BI9" s="1016">
        <v>45017</v>
      </c>
      <c r="BJ9" s="1016">
        <v>45047</v>
      </c>
      <c r="BK9" s="1016">
        <v>45078</v>
      </c>
      <c r="BL9" s="1016">
        <v>45108</v>
      </c>
      <c r="BM9" s="1016">
        <v>45139</v>
      </c>
      <c r="BN9" s="1016">
        <v>45170</v>
      </c>
      <c r="BO9" s="1016">
        <v>45200</v>
      </c>
      <c r="BP9" s="1016">
        <v>45231</v>
      </c>
      <c r="BQ9" s="1016">
        <v>45261</v>
      </c>
      <c r="BR9" s="1020">
        <v>45292</v>
      </c>
      <c r="BS9" s="1016">
        <v>45323</v>
      </c>
      <c r="BT9" s="1016">
        <v>45352</v>
      </c>
      <c r="BU9" s="1016">
        <v>45383</v>
      </c>
      <c r="BV9" s="1016">
        <v>45413</v>
      </c>
      <c r="BW9" s="1016">
        <v>45444</v>
      </c>
      <c r="BX9" s="1016">
        <v>45474</v>
      </c>
      <c r="BY9" s="1016">
        <v>45505</v>
      </c>
      <c r="BZ9" s="1016">
        <v>45536</v>
      </c>
      <c r="CA9" s="1016">
        <v>45566</v>
      </c>
      <c r="CB9" s="1016">
        <v>45597</v>
      </c>
      <c r="CC9" s="1016">
        <v>45627</v>
      </c>
      <c r="CD9" s="1020">
        <v>45658</v>
      </c>
      <c r="CE9" s="1016">
        <v>45689</v>
      </c>
      <c r="CF9" s="1016">
        <v>45717</v>
      </c>
      <c r="CG9" s="1016">
        <v>45748</v>
      </c>
      <c r="CH9" s="1016">
        <v>45778</v>
      </c>
      <c r="CI9" s="1016">
        <v>45809</v>
      </c>
      <c r="CJ9" s="1016">
        <v>45839</v>
      </c>
      <c r="CK9" s="1016">
        <v>45870</v>
      </c>
      <c r="CL9" s="1016">
        <v>45901</v>
      </c>
      <c r="CM9" s="1016">
        <v>45931</v>
      </c>
      <c r="CN9" s="1016">
        <v>45962</v>
      </c>
      <c r="CO9" s="1016">
        <v>45992</v>
      </c>
      <c r="CP9" s="1020">
        <v>46023</v>
      </c>
      <c r="CQ9" s="1016">
        <v>46054</v>
      </c>
      <c r="CR9" s="1016">
        <v>46082</v>
      </c>
      <c r="CS9" s="1016">
        <v>46113</v>
      </c>
      <c r="CT9" s="1016">
        <v>46143</v>
      </c>
      <c r="CU9" s="1016">
        <v>46174</v>
      </c>
      <c r="CV9" s="1016">
        <v>46204</v>
      </c>
      <c r="CW9" s="1016">
        <v>46235</v>
      </c>
      <c r="CX9" s="1016">
        <v>46266</v>
      </c>
      <c r="CY9" s="1016">
        <v>46296</v>
      </c>
      <c r="CZ9" s="1016">
        <v>46327</v>
      </c>
      <c r="DA9" s="1016">
        <v>46357</v>
      </c>
      <c r="DB9" s="1020">
        <v>46388</v>
      </c>
      <c r="DC9" s="1016">
        <v>46419</v>
      </c>
      <c r="DD9" s="1016">
        <v>46447</v>
      </c>
      <c r="DE9" s="1016">
        <v>46478</v>
      </c>
      <c r="DF9" s="1016">
        <v>46508</v>
      </c>
      <c r="DG9" s="1016">
        <v>46539</v>
      </c>
      <c r="DH9" s="1016">
        <v>46569</v>
      </c>
      <c r="DI9" s="1016">
        <v>46600</v>
      </c>
      <c r="DJ9" s="1016">
        <v>46631</v>
      </c>
      <c r="DK9" s="1016">
        <v>46661</v>
      </c>
      <c r="DL9" s="1016">
        <v>46692</v>
      </c>
      <c r="DM9" s="1016">
        <v>46722</v>
      </c>
      <c r="DN9" s="1020">
        <v>46753</v>
      </c>
      <c r="DO9" s="1016">
        <v>46784</v>
      </c>
      <c r="DP9" s="1016">
        <v>46813</v>
      </c>
      <c r="DQ9" s="1016">
        <v>46844</v>
      </c>
      <c r="DR9" s="1016">
        <v>46874</v>
      </c>
      <c r="DS9" s="1016">
        <v>46905</v>
      </c>
      <c r="DT9" s="1016">
        <v>46935</v>
      </c>
      <c r="DU9" s="1016">
        <v>46966</v>
      </c>
      <c r="DV9" s="1016">
        <v>46997</v>
      </c>
      <c r="DW9" s="1016">
        <v>47027</v>
      </c>
      <c r="DX9" s="1016">
        <v>47058</v>
      </c>
      <c r="DY9" s="1016">
        <v>47088</v>
      </c>
      <c r="DZ9" s="1020">
        <v>47119</v>
      </c>
      <c r="EA9" s="1016">
        <v>47150</v>
      </c>
      <c r="EB9" s="1016">
        <v>47178</v>
      </c>
      <c r="EC9" s="1016">
        <v>47209</v>
      </c>
      <c r="ED9" s="1016">
        <v>47239</v>
      </c>
      <c r="EE9" s="1016">
        <v>47270</v>
      </c>
      <c r="EF9" s="1016">
        <v>47300</v>
      </c>
      <c r="EG9" s="1016">
        <v>47331</v>
      </c>
      <c r="EH9" s="1016">
        <v>47362</v>
      </c>
      <c r="EI9" s="1016">
        <v>47392</v>
      </c>
      <c r="EJ9" s="1016">
        <v>47423</v>
      </c>
      <c r="EK9" s="1016">
        <v>47453</v>
      </c>
      <c r="EL9" s="1020">
        <v>47484</v>
      </c>
      <c r="EM9" s="1016">
        <v>47515</v>
      </c>
      <c r="EN9" s="1016">
        <v>47543</v>
      </c>
      <c r="EO9" s="1016">
        <v>47574</v>
      </c>
      <c r="EP9" s="1016">
        <v>47604</v>
      </c>
      <c r="EQ9" s="1016">
        <v>47635</v>
      </c>
      <c r="ER9" s="1016">
        <v>47665</v>
      </c>
      <c r="ES9" s="1016">
        <v>47696</v>
      </c>
      <c r="ET9" s="1016">
        <v>47727</v>
      </c>
      <c r="EU9" s="1016">
        <v>47757</v>
      </c>
      <c r="EV9" s="1016">
        <v>47788</v>
      </c>
      <c r="EW9" s="1016">
        <v>47818</v>
      </c>
      <c r="EX9" s="1020">
        <v>47849</v>
      </c>
      <c r="EY9" s="1016">
        <v>47880</v>
      </c>
      <c r="EZ9" s="1016">
        <v>47908</v>
      </c>
      <c r="FA9" s="1016">
        <v>47939</v>
      </c>
      <c r="FB9" s="1016">
        <v>47969</v>
      </c>
      <c r="FC9" s="1016">
        <v>48000</v>
      </c>
      <c r="FD9" s="1016">
        <v>48030</v>
      </c>
      <c r="FE9" s="1016">
        <v>48061</v>
      </c>
      <c r="FF9" s="1016">
        <v>48092</v>
      </c>
      <c r="FG9" s="1016">
        <v>48122</v>
      </c>
      <c r="FH9" s="1016">
        <v>48153</v>
      </c>
      <c r="FI9" s="1016">
        <v>48183</v>
      </c>
      <c r="FJ9" s="1020">
        <v>48214</v>
      </c>
      <c r="FK9" s="1016">
        <v>48245</v>
      </c>
      <c r="FL9" s="1016">
        <v>48274</v>
      </c>
      <c r="FM9" s="1016">
        <v>48305</v>
      </c>
      <c r="FN9" s="1016">
        <v>48335</v>
      </c>
      <c r="FO9" s="1016">
        <v>48366</v>
      </c>
      <c r="FP9" s="1016">
        <v>48396</v>
      </c>
      <c r="FQ9" s="1016">
        <v>48427</v>
      </c>
      <c r="FR9" s="1016">
        <v>48458</v>
      </c>
      <c r="FS9" s="1016">
        <v>48488</v>
      </c>
      <c r="FT9" s="1016">
        <v>48519</v>
      </c>
      <c r="FU9" s="1016">
        <v>48549</v>
      </c>
      <c r="FV9" s="1020">
        <v>48580</v>
      </c>
      <c r="FW9" s="1016">
        <v>48611</v>
      </c>
      <c r="FX9" s="1016">
        <v>48639</v>
      </c>
      <c r="FY9" s="1016">
        <v>48670</v>
      </c>
      <c r="FZ9" s="1016">
        <v>48700</v>
      </c>
      <c r="GA9" s="1016">
        <v>48731</v>
      </c>
      <c r="GB9" s="1016">
        <v>48761</v>
      </c>
      <c r="GC9" s="1016">
        <v>48792</v>
      </c>
      <c r="GD9" s="1016">
        <v>48823</v>
      </c>
      <c r="GE9" s="1016">
        <v>48853</v>
      </c>
      <c r="GF9" s="1016">
        <v>48884</v>
      </c>
      <c r="GG9" s="1016">
        <v>48914</v>
      </c>
      <c r="GH9" s="1020">
        <v>48945</v>
      </c>
      <c r="GI9" s="1016">
        <v>48976</v>
      </c>
      <c r="GJ9" s="1016">
        <v>49004</v>
      </c>
      <c r="GK9" s="1016">
        <v>49035</v>
      </c>
      <c r="GL9" s="1016">
        <v>49065</v>
      </c>
      <c r="GM9" s="1016">
        <v>49096</v>
      </c>
      <c r="GN9" s="1016">
        <v>49126</v>
      </c>
      <c r="GO9" s="1016">
        <v>49157</v>
      </c>
      <c r="GP9" s="1016">
        <v>49188</v>
      </c>
      <c r="GQ9" s="1016">
        <v>49218</v>
      </c>
      <c r="GR9" s="1016">
        <v>49249</v>
      </c>
      <c r="GS9" s="1016">
        <v>49279</v>
      </c>
      <c r="GT9" s="1020">
        <v>49310</v>
      </c>
    </row>
    <row r="10" spans="1:202" s="637" customFormat="1" ht="28.5" customHeight="1">
      <c r="A10" s="1015"/>
      <c r="B10" s="1102" t="s">
        <v>1</v>
      </c>
      <c r="C10" s="1103">
        <f>U32</f>
        <v>11552.48</v>
      </c>
      <c r="D10" s="1103">
        <f t="shared" ref="D10:I10" si="11">C35</f>
        <v>2224.5099999999966</v>
      </c>
      <c r="E10" s="1103">
        <f t="shared" si="11"/>
        <v>4838.6099999999969</v>
      </c>
      <c r="F10" s="1103">
        <f t="shared" si="11"/>
        <v>3883.4299999999994</v>
      </c>
      <c r="G10" s="1103">
        <f t="shared" si="11"/>
        <v>3214.4500000000003</v>
      </c>
      <c r="H10" s="1103">
        <f t="shared" si="11"/>
        <v>8487.159999999998</v>
      </c>
      <c r="I10" s="1104">
        <f t="shared" si="11"/>
        <v>11614.741999999995</v>
      </c>
      <c r="J10" s="1105"/>
      <c r="K10" s="1466" t="s">
        <v>2</v>
      </c>
      <c r="L10" s="1467"/>
      <c r="M10" s="1467"/>
      <c r="N10" s="1467"/>
      <c r="O10" s="1467"/>
      <c r="P10" s="1467"/>
      <c r="Q10" s="1467"/>
      <c r="R10" s="1106"/>
      <c r="S10" s="1120">
        <v>7395.16</v>
      </c>
      <c r="T10" s="1121">
        <f>S32</f>
        <v>7851.23</v>
      </c>
      <c r="U10" s="1122">
        <f>T32</f>
        <v>8195.7999999999993</v>
      </c>
      <c r="V10" s="1120">
        <f>U32</f>
        <v>11552.48</v>
      </c>
      <c r="W10" s="1121">
        <f t="shared" ref="W10" si="12">V32</f>
        <v>11541.369999999999</v>
      </c>
      <c r="X10" s="1121">
        <f t="shared" ref="X10:BD10" si="13">W32</f>
        <v>11543.579999999998</v>
      </c>
      <c r="Y10" s="1121">
        <f t="shared" si="13"/>
        <v>11517.649999999998</v>
      </c>
      <c r="Z10" s="1121">
        <f t="shared" si="13"/>
        <v>11874.519999999997</v>
      </c>
      <c r="AA10" s="1121">
        <f t="shared" si="13"/>
        <v>12417.519999999997</v>
      </c>
      <c r="AB10" s="1121">
        <f t="shared" si="13"/>
        <v>12636.559999999998</v>
      </c>
      <c r="AC10" s="1121">
        <f t="shared" si="13"/>
        <v>13224.529999999997</v>
      </c>
      <c r="AD10" s="1121">
        <f t="shared" si="13"/>
        <v>13228.389999999998</v>
      </c>
      <c r="AE10" s="1121">
        <f t="shared" si="13"/>
        <v>12707.639999999998</v>
      </c>
      <c r="AF10" s="1121">
        <f t="shared" si="13"/>
        <v>12629.769999999997</v>
      </c>
      <c r="AG10" s="1122">
        <f t="shared" si="13"/>
        <v>1559.4499999999971</v>
      </c>
      <c r="AH10" s="1120">
        <f t="shared" si="13"/>
        <v>2224.5099999999966</v>
      </c>
      <c r="AI10" s="1121">
        <f t="shared" si="13"/>
        <v>1843.8699999999963</v>
      </c>
      <c r="AJ10" s="1121">
        <f t="shared" si="13"/>
        <v>3684.5199999999959</v>
      </c>
      <c r="AK10" s="1121">
        <f t="shared" si="13"/>
        <v>882.47999999999683</v>
      </c>
      <c r="AL10" s="1121">
        <f t="shared" si="13"/>
        <v>1203.769999999997</v>
      </c>
      <c r="AM10" s="1121">
        <f t="shared" si="13"/>
        <v>1394.4199999999967</v>
      </c>
      <c r="AN10" s="1121">
        <f t="shared" si="13"/>
        <v>1366.5399999999963</v>
      </c>
      <c r="AO10" s="1121">
        <f t="shared" si="13"/>
        <v>5941.1799999999957</v>
      </c>
      <c r="AP10" s="1121">
        <f t="shared" si="13"/>
        <v>4125.6699999999964</v>
      </c>
      <c r="AQ10" s="1121">
        <f t="shared" si="13"/>
        <v>3502.8099999999968</v>
      </c>
      <c r="AR10" s="1121">
        <f t="shared" si="13"/>
        <v>3155.3399999999965</v>
      </c>
      <c r="AS10" s="1122">
        <f t="shared" si="13"/>
        <v>3050.5299999999966</v>
      </c>
      <c r="AT10" s="1120">
        <f t="shared" si="13"/>
        <v>4838.6099999999969</v>
      </c>
      <c r="AU10" s="1121">
        <f t="shared" si="13"/>
        <v>17167.149999999998</v>
      </c>
      <c r="AV10" s="1121">
        <f t="shared" si="13"/>
        <v>2534.41</v>
      </c>
      <c r="AW10" s="1121">
        <f t="shared" si="13"/>
        <v>3121.67</v>
      </c>
      <c r="AX10" s="1121">
        <f t="shared" si="13"/>
        <v>20882.830000000002</v>
      </c>
      <c r="AY10" s="1121">
        <f t="shared" si="13"/>
        <v>20604.54</v>
      </c>
      <c r="AZ10" s="1121">
        <f t="shared" si="13"/>
        <v>20634.57</v>
      </c>
      <c r="BA10" s="1121">
        <f t="shared" si="13"/>
        <v>20065.32</v>
      </c>
      <c r="BB10" s="1121">
        <f t="shared" si="13"/>
        <v>20213.27</v>
      </c>
      <c r="BC10" s="1121">
        <f t="shared" si="13"/>
        <v>1128.0699999999997</v>
      </c>
      <c r="BD10" s="1121">
        <f t="shared" si="13"/>
        <v>1094.2699999999995</v>
      </c>
      <c r="BE10" s="1122">
        <f>BD32</f>
        <v>1161.3299999999995</v>
      </c>
      <c r="BF10" s="1120">
        <f t="shared" ref="BF10" si="14">BE32</f>
        <v>3883.4299999999994</v>
      </c>
      <c r="BG10" s="1121">
        <f t="shared" ref="BG10" si="15">BF32</f>
        <v>3226.3999999999996</v>
      </c>
      <c r="BH10" s="1121">
        <f t="shared" ref="BH10" si="16">BG32</f>
        <v>3271.6299999999997</v>
      </c>
      <c r="BI10" s="1121">
        <f t="shared" ref="BI10" si="17">BH32</f>
        <v>3117.9299999999989</v>
      </c>
      <c r="BJ10" s="1121">
        <f t="shared" ref="BJ10" si="18">BI32</f>
        <v>3071.7999999999984</v>
      </c>
      <c r="BK10" s="1121">
        <f t="shared" ref="BK10" si="19">BJ32</f>
        <v>2873.8999999999987</v>
      </c>
      <c r="BL10" s="1121">
        <f>BK32</f>
        <v>2571.9299999999985</v>
      </c>
      <c r="BM10" s="1121">
        <f t="shared" ref="BM10" si="20">BL32</f>
        <v>2751.3699999999985</v>
      </c>
      <c r="BN10" s="1121">
        <f t="shared" ref="BN10" si="21">BM32</f>
        <v>2194.3199999999993</v>
      </c>
      <c r="BO10" s="1121">
        <f t="shared" ref="BO10" si="22">BN32</f>
        <v>1700.2799999999997</v>
      </c>
      <c r="BP10" s="1121">
        <f t="shared" ref="BP10" si="23">BO32</f>
        <v>1654.12</v>
      </c>
      <c r="BQ10" s="1122">
        <f t="shared" ref="BQ10" si="24">BP32</f>
        <v>1489.0699999999997</v>
      </c>
      <c r="BR10" s="1120">
        <f t="shared" ref="BR10" si="25">BQ32</f>
        <v>3214.4500000000003</v>
      </c>
      <c r="BS10" s="1121">
        <f t="shared" ref="BS10" si="26">BR32</f>
        <v>2849.4200000000005</v>
      </c>
      <c r="BT10" s="1121">
        <f t="shared" ref="BT10" si="27">BS32</f>
        <v>2754.95</v>
      </c>
      <c r="BU10" s="1121">
        <f t="shared" ref="BU10" si="28">BT32</f>
        <v>5906.15</v>
      </c>
      <c r="BV10" s="1121">
        <f t="shared" ref="BV10" si="29">BU32</f>
        <v>5970.15</v>
      </c>
      <c r="BW10" s="1121">
        <f t="shared" ref="BW10" si="30">BV32</f>
        <v>5908.9</v>
      </c>
      <c r="BX10" s="1121">
        <f t="shared" ref="BX10" si="31">BW32</f>
        <v>5520.5599999999995</v>
      </c>
      <c r="BY10" s="1121">
        <f t="shared" ref="BY10" si="32">BX32</f>
        <v>5590.37</v>
      </c>
      <c r="BZ10" s="1121">
        <f t="shared" ref="BZ10" si="33">BY32</f>
        <v>5403.21</v>
      </c>
      <c r="CA10" s="1121">
        <f t="shared" ref="CA10" si="34">BZ32</f>
        <v>5004.3500000000004</v>
      </c>
      <c r="CB10" s="1121">
        <f t="shared" ref="CB10" si="35">CA32</f>
        <v>8062.55</v>
      </c>
      <c r="CC10" s="1122">
        <f t="shared" ref="CC10" si="36">CB32</f>
        <v>6638.329999999999</v>
      </c>
      <c r="CD10" s="1120">
        <f t="shared" ref="CD10" si="37">CC32</f>
        <v>8487.159999999998</v>
      </c>
      <c r="CE10" s="1121">
        <f t="shared" ref="CE10" si="38">CD32</f>
        <v>8547.0499999999975</v>
      </c>
      <c r="CF10" s="1121">
        <f t="shared" ref="CF10" si="39">CE32</f>
        <v>8673.3199999999979</v>
      </c>
      <c r="CG10" s="1121">
        <f t="shared" ref="CG10" si="40">CF32</f>
        <v>11338.679999999997</v>
      </c>
      <c r="CH10" s="1121">
        <f t="shared" ref="CH10" si="41">CG32</f>
        <v>11272.169999999996</v>
      </c>
      <c r="CI10" s="1121">
        <f t="shared" ref="CI10" si="42">CH32</f>
        <v>11159.409999999996</v>
      </c>
      <c r="CJ10" s="1121">
        <f t="shared" ref="CJ10" si="43">CI32</f>
        <v>11206.049999999996</v>
      </c>
      <c r="CK10" s="1121">
        <f t="shared" ref="CK10" si="44">CJ32</f>
        <v>11116.089999999995</v>
      </c>
      <c r="CL10" s="1121">
        <f t="shared" ref="CL10" si="45">CK32</f>
        <v>10905.101999999995</v>
      </c>
      <c r="CM10" s="1121">
        <f t="shared" ref="CM10" si="46">CL32</f>
        <v>10226.301999999994</v>
      </c>
      <c r="CN10" s="1121">
        <f t="shared" ref="CN10" si="47">CM32</f>
        <v>10230.011999999995</v>
      </c>
      <c r="CO10" s="1122">
        <f t="shared" ref="CO10" si="48">CN32</f>
        <v>10230.741999999995</v>
      </c>
      <c r="CP10" s="1120">
        <f t="shared" ref="CP10" si="49">CO32</f>
        <v>11614.741999999995</v>
      </c>
      <c r="CQ10" s="1121">
        <f t="shared" ref="CQ10" si="50">CP32</f>
        <v>11338.621999999994</v>
      </c>
      <c r="CR10" s="1121">
        <f t="shared" ref="CR10" si="51">CQ32</f>
        <v>11429.191999999994</v>
      </c>
      <c r="CS10" s="1121">
        <f t="shared" ref="CS10" si="52">CR32</f>
        <v>11034.723999999995</v>
      </c>
      <c r="CT10" s="1121">
        <f t="shared" ref="CT10" si="53">CS32</f>
        <v>12846.083999999995</v>
      </c>
      <c r="CU10" s="1121">
        <f t="shared" ref="CU10" si="54">CT32</f>
        <v>20283.255999999994</v>
      </c>
      <c r="CV10" s="1121">
        <f t="shared" ref="CV10" si="55">CU32</f>
        <v>54638.227999999996</v>
      </c>
      <c r="CW10" s="1121">
        <f t="shared" ref="CW10" si="56">CV32</f>
        <v>54234.477999999996</v>
      </c>
      <c r="CX10" s="1121">
        <f t="shared" ref="CX10" si="57">CW32</f>
        <v>54331.037999999993</v>
      </c>
      <c r="CY10" s="1121">
        <f t="shared" ref="CY10" si="58">CX32</f>
        <v>51856.187999999995</v>
      </c>
      <c r="CZ10" s="1121">
        <f t="shared" ref="CZ10" si="59">CY32</f>
        <v>51056.687999999995</v>
      </c>
      <c r="DA10" s="1122">
        <f t="shared" ref="DA10" si="60">CZ32</f>
        <v>51485.837999999996</v>
      </c>
      <c r="DB10" s="1120">
        <f t="shared" ref="DB10" si="61">DA32</f>
        <v>54158.711890759929</v>
      </c>
      <c r="DC10" s="1121">
        <f t="shared" ref="DC10" si="62">DB32</f>
        <v>54625.461890759929</v>
      </c>
      <c r="DD10" s="1121">
        <f t="shared" ref="DD10" si="63">DC32</f>
        <v>54766.651890759931</v>
      </c>
      <c r="DE10" s="1121">
        <f t="shared" ref="DE10" si="64">DD32</f>
        <v>55286.551890759933</v>
      </c>
      <c r="DF10" s="1121">
        <f t="shared" ref="DF10" si="65">DE32</f>
        <v>55450.721890759931</v>
      </c>
      <c r="DG10" s="1121">
        <f t="shared" ref="DG10" si="66">DF32</f>
        <v>55970.621890759932</v>
      </c>
      <c r="DH10" s="1121">
        <f t="shared" ref="DH10" si="67">DG32</f>
        <v>56268.831890759931</v>
      </c>
      <c r="DI10" s="1121">
        <f t="shared" ref="DI10" si="68">DH32</f>
        <v>56788.731890759933</v>
      </c>
      <c r="DJ10" s="1121">
        <f t="shared" ref="DJ10" si="69">DI32</f>
        <v>57112.351890759935</v>
      </c>
      <c r="DK10" s="1121">
        <f t="shared" ref="DK10" si="70">DJ32</f>
        <v>57632.251890759937</v>
      </c>
      <c r="DL10" s="1121">
        <f t="shared" ref="DL10" si="71">DK32</f>
        <v>57952.15085220617</v>
      </c>
      <c r="DM10" s="1122">
        <f t="shared" ref="DM10" si="72">DL32</f>
        <v>58472.050852206172</v>
      </c>
      <c r="DN10" s="1120">
        <f t="shared" ref="DN10" si="73">DM32</f>
        <v>61255.103840810763</v>
      </c>
      <c r="DO10" s="1121">
        <f t="shared" ref="DO10" si="74">DN32</f>
        <v>61775.003840810765</v>
      </c>
      <c r="DP10" s="1121">
        <f t="shared" ref="DP10" si="75">DO32</f>
        <v>61916.193840810767</v>
      </c>
      <c r="DQ10" s="1121">
        <f t="shared" ref="DQ10" si="76">DP32</f>
        <v>62436.093840810769</v>
      </c>
      <c r="DR10" s="1121">
        <f t="shared" ref="DR10" si="77">DQ32</f>
        <v>62600.263840810767</v>
      </c>
      <c r="DS10" s="1121">
        <f t="shared" ref="DS10" si="78">DR32</f>
        <v>63120.163840810768</v>
      </c>
      <c r="DT10" s="1121">
        <f t="shared" ref="DT10" si="79">DS32</f>
        <v>63418.373840810767</v>
      </c>
      <c r="DU10" s="1121">
        <f t="shared" ref="DU10" si="80">DT32</f>
        <v>63938.273840810762</v>
      </c>
      <c r="DV10" s="1121">
        <f t="shared" ref="DV10" si="81">DU32</f>
        <v>64344.893840810757</v>
      </c>
      <c r="DW10" s="1121">
        <f t="shared" ref="DW10" si="82">DV32</f>
        <v>64947.793840810751</v>
      </c>
      <c r="DX10" s="1121">
        <f t="shared" ref="DX10" si="83">DW32</f>
        <v>65350.692802256977</v>
      </c>
      <c r="DY10" s="1122">
        <f t="shared" ref="DY10" si="84">DX32</f>
        <v>65953.592802256971</v>
      </c>
      <c r="DZ10" s="1120">
        <f t="shared" ref="DZ10" si="85">DY32</f>
        <v>68819.64579086157</v>
      </c>
      <c r="EA10" s="1121">
        <f t="shared" ref="EA10" si="86">DZ32</f>
        <v>69422.545790861564</v>
      </c>
      <c r="EB10" s="1121">
        <f t="shared" ref="EB10" si="87">EA32</f>
        <v>69646.735790861567</v>
      </c>
      <c r="EC10" s="1121">
        <f t="shared" ref="EC10" si="88">EB32</f>
        <v>70249.635790861561</v>
      </c>
      <c r="ED10" s="1121">
        <f t="shared" ref="ED10" si="89">EC32</f>
        <v>70496.805790861559</v>
      </c>
      <c r="EE10" s="1121">
        <f t="shared" ref="EE10" si="90">ED32</f>
        <v>71099.705790861553</v>
      </c>
      <c r="EF10" s="1121">
        <f t="shared" ref="EF10" si="91">EE32</f>
        <v>71480.91579086156</v>
      </c>
      <c r="EG10" s="1121">
        <f t="shared" ref="EG10" si="92">EF32</f>
        <v>72083.815790861554</v>
      </c>
      <c r="EH10" s="1121">
        <f t="shared" ref="EH10" si="93">EG32</f>
        <v>72490.435790861549</v>
      </c>
      <c r="EI10" s="1121">
        <f t="shared" ref="EI10" si="94">EH32</f>
        <v>73093.335790861544</v>
      </c>
      <c r="EJ10" s="1121">
        <f t="shared" ref="EJ10" si="95">EI32</f>
        <v>73496.234752307777</v>
      </c>
      <c r="EK10" s="1122">
        <f t="shared" ref="EK10" si="96">EJ32</f>
        <v>74099.134752307771</v>
      </c>
      <c r="EL10" s="1120">
        <f t="shared" ref="EL10" si="97">EK32</f>
        <v>76965.18774091237</v>
      </c>
      <c r="EM10" s="1121">
        <f t="shared" ref="EM10" si="98">EL32</f>
        <v>77568.087740912364</v>
      </c>
      <c r="EN10" s="1121">
        <f t="shared" ref="EN10" si="99">EM32</f>
        <v>77792.277740912366</v>
      </c>
      <c r="EO10" s="1121">
        <f t="shared" ref="EO10" si="100">EN32</f>
        <v>78395.177740912361</v>
      </c>
      <c r="EP10" s="1121">
        <f t="shared" ref="EP10" si="101">EO32</f>
        <v>78642.347740912359</v>
      </c>
      <c r="EQ10" s="1121">
        <f t="shared" ref="EQ10" si="102">EP32</f>
        <v>79245.247740912353</v>
      </c>
      <c r="ER10" s="1121">
        <f t="shared" ref="ER10" si="103">EQ32</f>
        <v>79626.457740912359</v>
      </c>
      <c r="ES10" s="1121">
        <f t="shared" ref="ES10" si="104">ER32</f>
        <v>80229.357740912354</v>
      </c>
      <c r="ET10" s="1121">
        <f t="shared" ref="ET10" si="105">ES32</f>
        <v>80635.977740912349</v>
      </c>
      <c r="EU10" s="1121">
        <f t="shared" ref="EU10" si="106">ET32</f>
        <v>81238.877740912343</v>
      </c>
      <c r="EV10" s="1121">
        <f t="shared" ref="EV10" si="107">EU32</f>
        <v>81641.776702358577</v>
      </c>
      <c r="EW10" s="1122">
        <f t="shared" ref="EW10" si="108">EV32</f>
        <v>82244.676702358571</v>
      </c>
      <c r="EX10" s="1120">
        <f t="shared" ref="EX10" si="109">EW32</f>
        <v>85110.72969096317</v>
      </c>
      <c r="EY10" s="1121">
        <f t="shared" ref="EY10" si="110">EX32</f>
        <v>85713.629690963164</v>
      </c>
      <c r="EZ10" s="1121">
        <f t="shared" ref="EZ10" si="111">EY32</f>
        <v>85937.819690963166</v>
      </c>
      <c r="FA10" s="1121">
        <f t="shared" ref="FA10" si="112">EZ32</f>
        <v>86540.71969096316</v>
      </c>
      <c r="FB10" s="1121">
        <f t="shared" ref="FB10" si="113">FA32</f>
        <v>86787.889690963159</v>
      </c>
      <c r="FC10" s="1121">
        <f t="shared" ref="FC10" si="114">FB32</f>
        <v>87390.789690963153</v>
      </c>
      <c r="FD10" s="1121">
        <f t="shared" ref="FD10" si="115">FC32</f>
        <v>87771.999690963159</v>
      </c>
      <c r="FE10" s="1121">
        <f t="shared" ref="FE10" si="116">FD32</f>
        <v>88374.899690963153</v>
      </c>
      <c r="FF10" s="1121">
        <f t="shared" ref="FF10" si="117">FE32</f>
        <v>88781.519690963149</v>
      </c>
      <c r="FG10" s="1121">
        <f t="shared" ref="FG10" si="118">FF32</f>
        <v>89384.419690963143</v>
      </c>
      <c r="FH10" s="1121">
        <f t="shared" ref="FH10" si="119">FG32</f>
        <v>89787.318652409376</v>
      </c>
      <c r="FI10" s="1122">
        <f t="shared" ref="FI10" si="120">FH32</f>
        <v>90390.21865240937</v>
      </c>
      <c r="FJ10" s="1120">
        <f t="shared" ref="FJ10" si="121">FI32</f>
        <v>93256.271641013969</v>
      </c>
      <c r="FK10" s="1121">
        <f t="shared" ref="FK10" si="122">FJ32</f>
        <v>93859.171641013963</v>
      </c>
      <c r="FL10" s="1121">
        <f t="shared" ref="FL10" si="123">FK32</f>
        <v>94083.361641013966</v>
      </c>
      <c r="FM10" s="1121">
        <f t="shared" ref="FM10" si="124">FL32</f>
        <v>94686.26164101396</v>
      </c>
      <c r="FN10" s="1121">
        <f t="shared" ref="FN10" si="125">FM32</f>
        <v>94933.431641013958</v>
      </c>
      <c r="FO10" s="1121">
        <f t="shared" ref="FO10" si="126">FN32</f>
        <v>95536.331641013952</v>
      </c>
      <c r="FP10" s="1121">
        <f t="shared" ref="FP10" si="127">FO32</f>
        <v>95917.541641013959</v>
      </c>
      <c r="FQ10" s="1121">
        <f t="shared" ref="FQ10" si="128">FP32</f>
        <v>96520.441641013953</v>
      </c>
      <c r="FR10" s="1121">
        <f t="shared" ref="FR10" si="129">FQ32</f>
        <v>96927.061641013948</v>
      </c>
      <c r="FS10" s="1121">
        <f t="shared" ref="FS10" si="130">FR32</f>
        <v>97529.961641013942</v>
      </c>
      <c r="FT10" s="1121">
        <f t="shared" ref="FT10" si="131">FS32</f>
        <v>97932.860602460176</v>
      </c>
      <c r="FU10" s="1122">
        <f t="shared" ref="FU10" si="132">FT32</f>
        <v>98535.76060246017</v>
      </c>
      <c r="FV10" s="1120">
        <f t="shared" ref="FV10" si="133">FU32</f>
        <v>101590.06359106477</v>
      </c>
      <c r="FW10" s="1121">
        <f t="shared" ref="FW10" si="134">FV32</f>
        <v>102381.21359106476</v>
      </c>
      <c r="FX10" s="1121">
        <f t="shared" ref="FX10" si="135">FW32</f>
        <v>102793.65359106477</v>
      </c>
      <c r="FY10" s="1121">
        <f t="shared" ref="FY10" si="136">FX32</f>
        <v>103584.80359106476</v>
      </c>
      <c r="FZ10" s="1121">
        <f t="shared" ref="FZ10" si="137">FY32</f>
        <v>104020.22359106476</v>
      </c>
      <c r="GA10" s="1121">
        <f t="shared" ref="GA10" si="138">FZ32</f>
        <v>104811.37359106475</v>
      </c>
      <c r="GB10" s="1121">
        <f t="shared" ref="GB10" si="139">GA32</f>
        <v>105380.83359106476</v>
      </c>
      <c r="GC10" s="1121">
        <f t="shared" ref="GC10" si="140">GB32</f>
        <v>106171.98359106475</v>
      </c>
      <c r="GD10" s="1121">
        <f t="shared" ref="GD10" si="141">GC32</f>
        <v>106766.85359106475</v>
      </c>
      <c r="GE10" s="1121">
        <f t="shared" ref="GE10" si="142">GD32</f>
        <v>107558.00359106474</v>
      </c>
      <c r="GF10" s="1121">
        <f t="shared" ref="GF10" si="143">GE32</f>
        <v>108149.15255251098</v>
      </c>
      <c r="GG10" s="1122">
        <f t="shared" ref="GG10" si="144">GF32</f>
        <v>108940.30255251097</v>
      </c>
      <c r="GH10" s="1120">
        <f t="shared" ref="GH10" si="145">GG32</f>
        <v>111994.60554111557</v>
      </c>
      <c r="GI10" s="1121">
        <f t="shared" ref="GI10" si="146">GH32</f>
        <v>112785.75554111556</v>
      </c>
      <c r="GJ10" s="1121">
        <f t="shared" ref="GJ10" si="147">GI32</f>
        <v>113198.19554111556</v>
      </c>
      <c r="GK10" s="1121">
        <f t="shared" ref="GK10" si="148">GJ32</f>
        <v>113989.34554111556</v>
      </c>
      <c r="GL10" s="1121">
        <f t="shared" ref="GL10" si="149">GK32</f>
        <v>114424.76554111556</v>
      </c>
      <c r="GM10" s="1121">
        <f t="shared" ref="GM10" si="150">GL32</f>
        <v>115215.91554111555</v>
      </c>
      <c r="GN10" s="1121">
        <f t="shared" ref="GN10" si="151">GM32</f>
        <v>115785.37554111556</v>
      </c>
      <c r="GO10" s="1121">
        <f t="shared" ref="GO10" si="152">GN32</f>
        <v>116576.52554111555</v>
      </c>
      <c r="GP10" s="1121">
        <f t="shared" ref="GP10" si="153">GO32</f>
        <v>117171.39554111555</v>
      </c>
      <c r="GQ10" s="1121">
        <f t="shared" ref="GQ10" si="154">GP32</f>
        <v>117962.54554111554</v>
      </c>
      <c r="GR10" s="1121">
        <f t="shared" ref="GR10" si="155">GQ32</f>
        <v>118553.69450256178</v>
      </c>
      <c r="GS10" s="1122">
        <f t="shared" ref="GS10" si="156">GR32</f>
        <v>119344.84450256177</v>
      </c>
      <c r="GT10" s="1120">
        <f t="shared" ref="GT10" si="157">GS32</f>
        <v>122399.14749116637</v>
      </c>
    </row>
    <row r="11" spans="1:202" s="1090" customFormat="1" ht="15.75" customHeight="1">
      <c r="A11" s="1082"/>
      <c r="B11" s="1083" t="s">
        <v>3</v>
      </c>
      <c r="C11" s="1084">
        <f>SUM(V11:AG11)</f>
        <v>26686</v>
      </c>
      <c r="D11" s="1085">
        <f>SUM(AH11:AS11)</f>
        <v>26628</v>
      </c>
      <c r="E11" s="1084">
        <f>SUM(AT11:BE11)</f>
        <v>27484</v>
      </c>
      <c r="F11" s="1085">
        <f>SUM(BF11:BQ11)</f>
        <v>27474</v>
      </c>
      <c r="G11" s="1084">
        <f>SUM(BR11:CC11)</f>
        <v>30103</v>
      </c>
      <c r="H11" s="1085">
        <f>SUM(CD11:CO11)</f>
        <v>30235</v>
      </c>
      <c r="I11" s="1086">
        <f>SUM(CP11:DA11)</f>
        <v>32872</v>
      </c>
      <c r="J11" s="396"/>
      <c r="K11" s="1084">
        <f t="shared" ref="K11:Q12" si="158">C11/12</f>
        <v>2223.8333333333335</v>
      </c>
      <c r="L11" s="1087">
        <f t="shared" si="158"/>
        <v>2219</v>
      </c>
      <c r="M11" s="1085">
        <f t="shared" si="158"/>
        <v>2290.3333333333335</v>
      </c>
      <c r="N11" s="1088">
        <f t="shared" si="158"/>
        <v>2289.5</v>
      </c>
      <c r="O11" s="1085">
        <f t="shared" si="158"/>
        <v>2508.5833333333335</v>
      </c>
      <c r="P11" s="1085">
        <f t="shared" si="158"/>
        <v>2519.5833333333335</v>
      </c>
      <c r="Q11" s="1085">
        <f t="shared" si="158"/>
        <v>2739.3333333333335</v>
      </c>
      <c r="R11" s="1089"/>
      <c r="S11" s="1087">
        <v>2158</v>
      </c>
      <c r="T11" s="1084">
        <v>2222</v>
      </c>
      <c r="U11" s="1088">
        <f>2271</f>
        <v>2271</v>
      </c>
      <c r="V11" s="1087">
        <v>2741</v>
      </c>
      <c r="W11" s="1084">
        <v>2166</v>
      </c>
      <c r="X11" s="1084">
        <v>2175</v>
      </c>
      <c r="Y11" s="1084">
        <v>2158</v>
      </c>
      <c r="Z11" s="1084">
        <v>2157</v>
      </c>
      <c r="AA11" s="1084">
        <v>2158</v>
      </c>
      <c r="AB11" s="1084">
        <v>2156</v>
      </c>
      <c r="AC11" s="1084">
        <v>2169</v>
      </c>
      <c r="AD11" s="1084">
        <v>2098</v>
      </c>
      <c r="AE11" s="1084">
        <v>2167</v>
      </c>
      <c r="AF11" s="1084">
        <v>2168</v>
      </c>
      <c r="AG11" s="1088">
        <f>2373</f>
        <v>2373</v>
      </c>
      <c r="AH11" s="1087">
        <v>1827</v>
      </c>
      <c r="AI11" s="1084">
        <v>2177</v>
      </c>
      <c r="AJ11" s="1084">
        <v>2165</v>
      </c>
      <c r="AK11" s="1084">
        <v>2170</v>
      </c>
      <c r="AL11" s="1084">
        <v>2227</v>
      </c>
      <c r="AM11" s="1084">
        <v>2168</v>
      </c>
      <c r="AN11" s="1084">
        <v>2167</v>
      </c>
      <c r="AO11" s="1084">
        <f>2167+539</f>
        <v>2706</v>
      </c>
      <c r="AP11" s="1084">
        <f>2379</f>
        <v>2379</v>
      </c>
      <c r="AQ11" s="1084">
        <v>2164</v>
      </c>
      <c r="AR11" s="1084">
        <v>2166</v>
      </c>
      <c r="AS11" s="1088">
        <f>2312</f>
        <v>2312</v>
      </c>
      <c r="AT11" s="1087">
        <f>2308</f>
        <v>2308</v>
      </c>
      <c r="AU11" s="1084">
        <v>2249</v>
      </c>
      <c r="AV11" s="1084">
        <v>2238</v>
      </c>
      <c r="AW11" s="1084">
        <v>2250</v>
      </c>
      <c r="AX11" s="1084">
        <v>2243</v>
      </c>
      <c r="AY11" s="1084">
        <v>2314</v>
      </c>
      <c r="AZ11" s="1084">
        <v>2242</v>
      </c>
      <c r="BA11" s="1084">
        <v>2244</v>
      </c>
      <c r="BB11" s="1084">
        <f>2519</f>
        <v>2519</v>
      </c>
      <c r="BC11" s="1084">
        <v>2238</v>
      </c>
      <c r="BD11" s="1084">
        <f>2248</f>
        <v>2248</v>
      </c>
      <c r="BE11" s="1088">
        <f>2391</f>
        <v>2391</v>
      </c>
      <c r="BF11" s="1087">
        <v>2078</v>
      </c>
      <c r="BG11" s="1084">
        <f>2294</f>
        <v>2294</v>
      </c>
      <c r="BH11" s="1084">
        <v>2245</v>
      </c>
      <c r="BI11" s="1084">
        <v>2251</v>
      </c>
      <c r="BJ11" s="1084">
        <v>2250</v>
      </c>
      <c r="BK11" s="1084">
        <v>2251</v>
      </c>
      <c r="BL11" s="1084">
        <v>2326</v>
      </c>
      <c r="BM11" s="1084">
        <v>2327</v>
      </c>
      <c r="BN11" s="1084">
        <v>2325</v>
      </c>
      <c r="BO11" s="1084">
        <f t="shared" ref="BO11" si="159">BN11</f>
        <v>2325</v>
      </c>
      <c r="BP11" s="1084">
        <v>2327</v>
      </c>
      <c r="BQ11" s="1088">
        <f>2475</f>
        <v>2475</v>
      </c>
      <c r="BR11" s="1087">
        <v>3111</v>
      </c>
      <c r="BS11" s="1084">
        <f>2425</f>
        <v>2425</v>
      </c>
      <c r="BT11" s="1084">
        <v>2373</v>
      </c>
      <c r="BU11" s="1084">
        <v>2373</v>
      </c>
      <c r="BV11" s="1084">
        <f t="shared" ref="BV11" si="160">BU11</f>
        <v>2373</v>
      </c>
      <c r="BW11" s="1084">
        <f>2385</f>
        <v>2385</v>
      </c>
      <c r="BX11" s="1084">
        <v>2541</v>
      </c>
      <c r="BY11" s="1084">
        <f>2394</f>
        <v>2394</v>
      </c>
      <c r="BZ11" s="1084">
        <v>2389</v>
      </c>
      <c r="CA11" s="1084">
        <v>2538</v>
      </c>
      <c r="CB11" s="1084">
        <v>2429</v>
      </c>
      <c r="CC11" s="1088">
        <f>2772</f>
        <v>2772</v>
      </c>
      <c r="CD11" s="1087">
        <v>3117</v>
      </c>
      <c r="CE11" s="1084">
        <v>2538</v>
      </c>
      <c r="CF11" s="1084">
        <f>CB11</f>
        <v>2429</v>
      </c>
      <c r="CG11" s="1084">
        <v>2506</v>
      </c>
      <c r="CH11" s="1084">
        <v>2506</v>
      </c>
      <c r="CI11" s="1084">
        <v>2411</v>
      </c>
      <c r="CJ11" s="1084">
        <v>2430</v>
      </c>
      <c r="CK11" s="1084">
        <v>2367</v>
      </c>
      <c r="CL11" s="1084">
        <v>2430</v>
      </c>
      <c r="CM11" s="1084">
        <v>2430</v>
      </c>
      <c r="CN11" s="1084">
        <v>2461</v>
      </c>
      <c r="CO11" s="1088">
        <v>2610</v>
      </c>
      <c r="CP11" s="1087">
        <v>3012</v>
      </c>
      <c r="CQ11" s="1084">
        <v>2497</v>
      </c>
      <c r="CR11" s="1084">
        <v>2486</v>
      </c>
      <c r="CS11" s="1084">
        <f t="shared" ref="CS11" si="161">CR11</f>
        <v>2486</v>
      </c>
      <c r="CT11" s="1084">
        <v>2486</v>
      </c>
      <c r="CU11" s="1084">
        <v>2636</v>
      </c>
      <c r="CV11" s="1084">
        <f>2638</f>
        <v>2638</v>
      </c>
      <c r="CW11" s="1084">
        <v>3488</v>
      </c>
      <c r="CX11" s="1084">
        <v>3229</v>
      </c>
      <c r="CY11" s="1084">
        <f>CV11</f>
        <v>2638</v>
      </c>
      <c r="CZ11" s="1084">
        <f t="shared" ref="CZ11" si="162">CY11</f>
        <v>2638</v>
      </c>
      <c r="DA11" s="1088">
        <f>CZ11</f>
        <v>2638</v>
      </c>
      <c r="DB11" s="1087">
        <f>CZ11</f>
        <v>2638</v>
      </c>
      <c r="DC11" s="1084">
        <f t="shared" ref="DC11" si="163">DB11</f>
        <v>2638</v>
      </c>
      <c r="DD11" s="1084">
        <f t="shared" ref="DD11" si="164">DC11</f>
        <v>2638</v>
      </c>
      <c r="DE11" s="1084">
        <f t="shared" ref="DE11" si="165">DD11</f>
        <v>2638</v>
      </c>
      <c r="DF11" s="1084">
        <f t="shared" ref="DF11" si="166">DE11</f>
        <v>2638</v>
      </c>
      <c r="DG11" s="1084">
        <f t="shared" ref="DG11" si="167">DF11</f>
        <v>2638</v>
      </c>
      <c r="DH11" s="1084">
        <f t="shared" ref="DH11" si="168">DG11</f>
        <v>2638</v>
      </c>
      <c r="DI11" s="1084">
        <f t="shared" ref="DI11" si="169">DH11</f>
        <v>2638</v>
      </c>
      <c r="DJ11" s="1084">
        <f t="shared" ref="DJ11" si="170">DI11</f>
        <v>2638</v>
      </c>
      <c r="DK11" s="1084">
        <f t="shared" ref="DK11" si="171">DJ11</f>
        <v>2638</v>
      </c>
      <c r="DL11" s="1084">
        <f t="shared" ref="DL11" si="172">DK11</f>
        <v>2638</v>
      </c>
      <c r="DM11" s="1088">
        <f>DL11</f>
        <v>2638</v>
      </c>
      <c r="DN11" s="1087">
        <f>DL11</f>
        <v>2638</v>
      </c>
      <c r="DO11" s="1084">
        <f t="shared" ref="DO11" si="173">DN11</f>
        <v>2638</v>
      </c>
      <c r="DP11" s="1084">
        <f t="shared" ref="DP11" si="174">DO11</f>
        <v>2638</v>
      </c>
      <c r="DQ11" s="1084">
        <f t="shared" ref="DQ11" si="175">DP11</f>
        <v>2638</v>
      </c>
      <c r="DR11" s="1084">
        <f t="shared" ref="DR11" si="176">DQ11</f>
        <v>2638</v>
      </c>
      <c r="DS11" s="1084">
        <f t="shared" ref="DS11" si="177">DR11</f>
        <v>2638</v>
      </c>
      <c r="DT11" s="1084">
        <f t="shared" ref="DT11" si="178">DS11</f>
        <v>2638</v>
      </c>
      <c r="DU11" s="1084">
        <f t="shared" ref="DU11" si="179">DT11</f>
        <v>2638</v>
      </c>
      <c r="DV11" s="1084">
        <f t="shared" ref="DV11" si="180">DU11</f>
        <v>2638</v>
      </c>
      <c r="DW11" s="1084">
        <f t="shared" ref="DW11" si="181">DV11</f>
        <v>2638</v>
      </c>
      <c r="DX11" s="1084">
        <f t="shared" ref="DX11" si="182">DW11</f>
        <v>2638</v>
      </c>
      <c r="DY11" s="1088">
        <f>DX11</f>
        <v>2638</v>
      </c>
      <c r="DZ11" s="1087">
        <f>DX11</f>
        <v>2638</v>
      </c>
      <c r="EA11" s="1084">
        <f t="shared" ref="EA11" si="183">DZ11</f>
        <v>2638</v>
      </c>
      <c r="EB11" s="1084">
        <f t="shared" ref="EB11" si="184">EA11</f>
        <v>2638</v>
      </c>
      <c r="EC11" s="1084">
        <f t="shared" ref="EC11" si="185">EB11</f>
        <v>2638</v>
      </c>
      <c r="ED11" s="1084">
        <f t="shared" ref="ED11" si="186">EC11</f>
        <v>2638</v>
      </c>
      <c r="EE11" s="1084">
        <f t="shared" ref="EE11" si="187">ED11</f>
        <v>2638</v>
      </c>
      <c r="EF11" s="1084">
        <f t="shared" ref="EF11" si="188">EE11</f>
        <v>2638</v>
      </c>
      <c r="EG11" s="1084">
        <f t="shared" ref="EG11" si="189">EF11</f>
        <v>2638</v>
      </c>
      <c r="EH11" s="1084">
        <f t="shared" ref="EH11" si="190">EG11</f>
        <v>2638</v>
      </c>
      <c r="EI11" s="1084">
        <f t="shared" ref="EI11" si="191">EH11</f>
        <v>2638</v>
      </c>
      <c r="EJ11" s="1084">
        <f t="shared" ref="EJ11" si="192">EI11</f>
        <v>2638</v>
      </c>
      <c r="EK11" s="1088">
        <f>EJ11</f>
        <v>2638</v>
      </c>
      <c r="EL11" s="1087">
        <f>EJ11</f>
        <v>2638</v>
      </c>
      <c r="EM11" s="1084">
        <f t="shared" ref="EM11" si="193">EL11</f>
        <v>2638</v>
      </c>
      <c r="EN11" s="1084">
        <f t="shared" ref="EN11" si="194">EM11</f>
        <v>2638</v>
      </c>
      <c r="EO11" s="1084">
        <f t="shared" ref="EO11" si="195">EN11</f>
        <v>2638</v>
      </c>
      <c r="EP11" s="1084">
        <f t="shared" ref="EP11" si="196">EO11</f>
        <v>2638</v>
      </c>
      <c r="EQ11" s="1084">
        <f t="shared" ref="EQ11" si="197">EP11</f>
        <v>2638</v>
      </c>
      <c r="ER11" s="1084">
        <f t="shared" ref="ER11" si="198">EQ11</f>
        <v>2638</v>
      </c>
      <c r="ES11" s="1084">
        <f t="shared" ref="ES11" si="199">ER11</f>
        <v>2638</v>
      </c>
      <c r="ET11" s="1084">
        <f t="shared" ref="ET11" si="200">ES11</f>
        <v>2638</v>
      </c>
      <c r="EU11" s="1084">
        <f t="shared" ref="EU11" si="201">ET11</f>
        <v>2638</v>
      </c>
      <c r="EV11" s="1084">
        <f t="shared" ref="EV11" si="202">EU11</f>
        <v>2638</v>
      </c>
      <c r="EW11" s="1088">
        <f t="shared" ref="EW11" si="203">EV11</f>
        <v>2638</v>
      </c>
      <c r="EX11" s="1084">
        <f t="shared" ref="EX11" si="204">EW11</f>
        <v>2638</v>
      </c>
      <c r="EY11" s="1084">
        <f t="shared" ref="EY11" si="205">EX11</f>
        <v>2638</v>
      </c>
      <c r="EZ11" s="1084">
        <f t="shared" ref="EZ11" si="206">EY11</f>
        <v>2638</v>
      </c>
      <c r="FA11" s="1084">
        <f t="shared" ref="FA11" si="207">EZ11</f>
        <v>2638</v>
      </c>
      <c r="FB11" s="1084">
        <f t="shared" ref="FB11" si="208">FA11</f>
        <v>2638</v>
      </c>
      <c r="FC11" s="1084">
        <f t="shared" ref="FC11" si="209">FB11</f>
        <v>2638</v>
      </c>
      <c r="FD11" s="1084">
        <f t="shared" ref="FD11" si="210">FC11</f>
        <v>2638</v>
      </c>
      <c r="FE11" s="1084">
        <f t="shared" ref="FE11" si="211">FD11</f>
        <v>2638</v>
      </c>
      <c r="FF11" s="1084">
        <f t="shared" ref="FF11" si="212">FE11</f>
        <v>2638</v>
      </c>
      <c r="FG11" s="1084">
        <f t="shared" ref="FG11" si="213">FF11</f>
        <v>2638</v>
      </c>
      <c r="FH11" s="1084">
        <f t="shared" ref="FH11" si="214">FG11</f>
        <v>2638</v>
      </c>
      <c r="FI11" s="1088">
        <f t="shared" ref="FI11" si="215">FH11</f>
        <v>2638</v>
      </c>
      <c r="FJ11" s="1084">
        <f t="shared" ref="FJ11" si="216">FI11</f>
        <v>2638</v>
      </c>
      <c r="FK11" s="1084">
        <f t="shared" ref="FK11" si="217">FJ11</f>
        <v>2638</v>
      </c>
      <c r="FL11" s="1084">
        <f t="shared" ref="FL11" si="218">FK11</f>
        <v>2638</v>
      </c>
      <c r="FM11" s="1084">
        <f t="shared" ref="FM11" si="219">FL11</f>
        <v>2638</v>
      </c>
      <c r="FN11" s="1084">
        <f t="shared" ref="FN11" si="220">FM11</f>
        <v>2638</v>
      </c>
      <c r="FO11" s="1084">
        <f t="shared" ref="FO11" si="221">FN11</f>
        <v>2638</v>
      </c>
      <c r="FP11" s="1084">
        <f t="shared" ref="FP11" si="222">FO11</f>
        <v>2638</v>
      </c>
      <c r="FQ11" s="1084">
        <f t="shared" ref="FQ11" si="223">FP11</f>
        <v>2638</v>
      </c>
      <c r="FR11" s="1084">
        <f t="shared" ref="FR11" si="224">FQ11</f>
        <v>2638</v>
      </c>
      <c r="FS11" s="1084">
        <f t="shared" ref="FS11" si="225">FR11</f>
        <v>2638</v>
      </c>
      <c r="FT11" s="1084">
        <f t="shared" ref="FT11" si="226">FS11</f>
        <v>2638</v>
      </c>
      <c r="FU11" s="1088">
        <f t="shared" ref="FU11" si="227">FT11</f>
        <v>2638</v>
      </c>
      <c r="FV11" s="1084">
        <f t="shared" ref="FV11" si="228">FU11</f>
        <v>2638</v>
      </c>
      <c r="FW11" s="1084">
        <f t="shared" ref="FW11" si="229">FV11</f>
        <v>2638</v>
      </c>
      <c r="FX11" s="1084">
        <f t="shared" ref="FX11" si="230">FW11</f>
        <v>2638</v>
      </c>
      <c r="FY11" s="1084">
        <f t="shared" ref="FY11" si="231">FX11</f>
        <v>2638</v>
      </c>
      <c r="FZ11" s="1084">
        <f t="shared" ref="FZ11" si="232">FY11</f>
        <v>2638</v>
      </c>
      <c r="GA11" s="1084">
        <f t="shared" ref="GA11" si="233">FZ11</f>
        <v>2638</v>
      </c>
      <c r="GB11" s="1084">
        <f t="shared" ref="GB11" si="234">GA11</f>
        <v>2638</v>
      </c>
      <c r="GC11" s="1084">
        <f t="shared" ref="GC11" si="235">GB11</f>
        <v>2638</v>
      </c>
      <c r="GD11" s="1084">
        <f t="shared" ref="GD11" si="236">GC11</f>
        <v>2638</v>
      </c>
      <c r="GE11" s="1084">
        <f t="shared" ref="GE11" si="237">GD11</f>
        <v>2638</v>
      </c>
      <c r="GF11" s="1084">
        <f t="shared" ref="GF11" si="238">GE11</f>
        <v>2638</v>
      </c>
      <c r="GG11" s="1088">
        <f t="shared" ref="GG11" si="239">GF11</f>
        <v>2638</v>
      </c>
      <c r="GH11" s="1084">
        <f t="shared" ref="GH11" si="240">GG11</f>
        <v>2638</v>
      </c>
      <c r="GI11" s="1084">
        <f t="shared" ref="GI11" si="241">GH11</f>
        <v>2638</v>
      </c>
      <c r="GJ11" s="1084">
        <f t="shared" ref="GJ11" si="242">GI11</f>
        <v>2638</v>
      </c>
      <c r="GK11" s="1084">
        <f t="shared" ref="GK11" si="243">GJ11</f>
        <v>2638</v>
      </c>
      <c r="GL11" s="1084">
        <f t="shared" ref="GL11" si="244">GK11</f>
        <v>2638</v>
      </c>
      <c r="GM11" s="1084">
        <f t="shared" ref="GM11" si="245">GL11</f>
        <v>2638</v>
      </c>
      <c r="GN11" s="1084">
        <f t="shared" ref="GN11" si="246">GM11</f>
        <v>2638</v>
      </c>
      <c r="GO11" s="1084">
        <f t="shared" ref="GO11" si="247">GN11</f>
        <v>2638</v>
      </c>
      <c r="GP11" s="1084">
        <f t="shared" ref="GP11" si="248">GO11</f>
        <v>2638</v>
      </c>
      <c r="GQ11" s="1084">
        <f t="shared" ref="GQ11" si="249">GP11</f>
        <v>2638</v>
      </c>
      <c r="GR11" s="1084">
        <f t="shared" ref="GR11" si="250">GQ11</f>
        <v>2638</v>
      </c>
      <c r="GS11" s="1088">
        <f t="shared" ref="GS11" si="251">GR11</f>
        <v>2638</v>
      </c>
      <c r="GT11" s="1084">
        <f t="shared" ref="GT11" si="252">GS11</f>
        <v>2638</v>
      </c>
    </row>
    <row r="12" spans="1:202" s="1072" customFormat="1">
      <c r="A12" s="1065"/>
      <c r="B12" s="1066" t="s">
        <v>4</v>
      </c>
      <c r="C12" s="1067">
        <f>SUM(V12:AG12)</f>
        <v>5791</v>
      </c>
      <c r="D12" s="1068">
        <f>SUM(AH12:AS12)</f>
        <v>3290</v>
      </c>
      <c r="E12" s="1067">
        <f>SUM(AT12:BE12)</f>
        <v>3871</v>
      </c>
      <c r="F12" s="1068">
        <f>SUM(BF12:BQ12)</f>
        <v>2332</v>
      </c>
      <c r="G12" s="1067">
        <f>SUM(BR12:CC12)</f>
        <v>6240</v>
      </c>
      <c r="H12" s="1068">
        <f>SUM(CD12:CO12)</f>
        <v>5937</v>
      </c>
      <c r="I12" s="1069">
        <f>SUM(CP12:DA12)</f>
        <v>50120.05</v>
      </c>
      <c r="J12" s="328"/>
      <c r="K12" s="1067">
        <f t="shared" si="158"/>
        <v>482.58333333333331</v>
      </c>
      <c r="L12" s="1071">
        <f t="shared" si="158"/>
        <v>274.16666666666669</v>
      </c>
      <c r="M12" s="1068">
        <f t="shared" si="158"/>
        <v>322.58333333333331</v>
      </c>
      <c r="N12" s="1070">
        <f t="shared" si="158"/>
        <v>194.33333333333334</v>
      </c>
      <c r="O12" s="1068">
        <f t="shared" si="158"/>
        <v>520</v>
      </c>
      <c r="P12" s="1068">
        <f>IFERROR(SUM(CD12:CO12)/12,0)</f>
        <v>494.75</v>
      </c>
      <c r="Q12" s="1068">
        <f>IFERROR(SUM(CP12:DA12)/12,0)</f>
        <v>4176.6708333333336</v>
      </c>
      <c r="R12" s="363"/>
      <c r="S12" s="1071"/>
      <c r="T12" s="1067"/>
      <c r="U12" s="1070">
        <v>3525</v>
      </c>
      <c r="V12" s="1071"/>
      <c r="W12" s="1067"/>
      <c r="X12" s="1067"/>
      <c r="Y12" s="1067"/>
      <c r="Z12" s="1067"/>
      <c r="AA12" s="1067"/>
      <c r="AB12" s="1067"/>
      <c r="AC12" s="1067"/>
      <c r="AD12" s="1067"/>
      <c r="AE12" s="1067"/>
      <c r="AF12" s="1067"/>
      <c r="AG12" s="1070">
        <f>2500+3291</f>
        <v>5791</v>
      </c>
      <c r="AH12" s="1071"/>
      <c r="AI12" s="1067"/>
      <c r="AJ12" s="1067"/>
      <c r="AK12" s="1067"/>
      <c r="AL12" s="1067"/>
      <c r="AM12" s="1067"/>
      <c r="AN12" s="1067"/>
      <c r="AO12" s="1067"/>
      <c r="AP12" s="1067"/>
      <c r="AQ12" s="1067"/>
      <c r="AR12" s="1067"/>
      <c r="AS12" s="1070">
        <v>3290</v>
      </c>
      <c r="AT12" s="1071"/>
      <c r="AU12" s="1067"/>
      <c r="AV12" s="1067"/>
      <c r="AW12" s="1067"/>
      <c r="AX12" s="1067"/>
      <c r="AY12" s="1067"/>
      <c r="AZ12" s="1067"/>
      <c r="BA12" s="1067"/>
      <c r="BB12" s="1067"/>
      <c r="BC12" s="1067"/>
      <c r="BD12" s="1067"/>
      <c r="BE12" s="1070">
        <v>3871</v>
      </c>
      <c r="BF12" s="1071"/>
      <c r="BG12" s="1067"/>
      <c r="BH12" s="1067"/>
      <c r="BI12" s="1067"/>
      <c r="BJ12" s="1067"/>
      <c r="BK12" s="1067"/>
      <c r="BL12" s="1067"/>
      <c r="BM12" s="1067"/>
      <c r="BN12" s="1067"/>
      <c r="BO12" s="1067"/>
      <c r="BP12" s="1067"/>
      <c r="BQ12" s="1070">
        <v>2332</v>
      </c>
      <c r="BR12" s="1071"/>
      <c r="BS12" s="1067"/>
      <c r="BT12" s="1067">
        <v>3613</v>
      </c>
      <c r="BU12" s="1067"/>
      <c r="BV12" s="1067"/>
      <c r="BW12" s="1067"/>
      <c r="BX12" s="1067"/>
      <c r="BY12" s="1067"/>
      <c r="BZ12" s="1067"/>
      <c r="CA12" s="1067"/>
      <c r="CB12" s="1067"/>
      <c r="CC12" s="1070">
        <v>2627</v>
      </c>
      <c r="CD12" s="1071"/>
      <c r="CE12" s="1067"/>
      <c r="CF12" s="1067">
        <v>3313</v>
      </c>
      <c r="CG12" s="1067"/>
      <c r="CH12" s="1067"/>
      <c r="CI12" s="1067"/>
      <c r="CJ12" s="1067"/>
      <c r="CK12" s="1067"/>
      <c r="CL12" s="1067"/>
      <c r="CM12" s="1067"/>
      <c r="CN12" s="1067"/>
      <c r="CO12" s="1070">
        <v>2624</v>
      </c>
      <c r="CP12" s="1071"/>
      <c r="CQ12" s="1067"/>
      <c r="CR12" s="1305"/>
      <c r="CS12" s="1067">
        <v>3428</v>
      </c>
      <c r="CT12" s="1067">
        <f>8581.07</f>
        <v>8581.07</v>
      </c>
      <c r="CU12" s="1067">
        <v>35680.980000000003</v>
      </c>
      <c r="CV12" s="1067"/>
      <c r="CW12" s="1067"/>
      <c r="CX12" s="1067"/>
      <c r="CY12" s="1067"/>
      <c r="CZ12" s="1067"/>
      <c r="DA12" s="1306">
        <v>2430</v>
      </c>
      <c r="DB12" s="1071"/>
      <c r="DC12" s="1067"/>
      <c r="DD12" s="1067"/>
      <c r="DE12" s="1067"/>
      <c r="DF12" s="1067"/>
      <c r="DG12" s="1067"/>
      <c r="DH12" s="1067"/>
      <c r="DI12" s="1067"/>
      <c r="DJ12" s="1067"/>
      <c r="DK12" s="1067"/>
      <c r="DL12" s="1067"/>
      <c r="DM12" s="1070">
        <v>2430</v>
      </c>
      <c r="DN12" s="1071"/>
      <c r="DO12" s="1067"/>
      <c r="DP12" s="1067"/>
      <c r="DQ12" s="1067"/>
      <c r="DR12" s="1067"/>
      <c r="DS12" s="1067"/>
      <c r="DT12" s="1067"/>
      <c r="DU12" s="1067"/>
      <c r="DV12" s="1067"/>
      <c r="DW12" s="1067"/>
      <c r="DX12" s="1067"/>
      <c r="DY12" s="1070">
        <v>2430</v>
      </c>
      <c r="DZ12" s="1071"/>
      <c r="EA12" s="1067"/>
      <c r="EB12" s="1067"/>
      <c r="EC12" s="1067"/>
      <c r="ED12" s="1067"/>
      <c r="EE12" s="1067"/>
      <c r="EF12" s="1067"/>
      <c r="EG12" s="1067"/>
      <c r="EH12" s="1067"/>
      <c r="EI12" s="1067"/>
      <c r="EJ12" s="1067"/>
      <c r="EK12" s="1070">
        <v>2430</v>
      </c>
      <c r="EL12" s="1071"/>
      <c r="EM12" s="1067"/>
      <c r="EN12" s="1067"/>
      <c r="EO12" s="1067"/>
      <c r="EP12" s="1067"/>
      <c r="EQ12" s="1067"/>
      <c r="ER12" s="1067"/>
      <c r="ES12" s="1067"/>
      <c r="ET12" s="1067"/>
      <c r="EU12" s="1067"/>
      <c r="EV12" s="1067"/>
      <c r="EW12" s="1070">
        <v>2430</v>
      </c>
      <c r="EX12" s="1067"/>
      <c r="EY12" s="1067"/>
      <c r="EZ12" s="1067"/>
      <c r="FA12" s="1067"/>
      <c r="FB12" s="1067"/>
      <c r="FC12" s="1067"/>
      <c r="FD12" s="1067"/>
      <c r="FE12" s="1067"/>
      <c r="FF12" s="1067"/>
      <c r="FG12" s="1067"/>
      <c r="FH12" s="1067"/>
      <c r="FI12" s="1070">
        <v>2430</v>
      </c>
      <c r="FJ12" s="1067"/>
      <c r="FK12" s="1067"/>
      <c r="FL12" s="1067"/>
      <c r="FM12" s="1067"/>
      <c r="FN12" s="1067"/>
      <c r="FO12" s="1067"/>
      <c r="FP12" s="1067"/>
      <c r="FQ12" s="1067"/>
      <c r="FR12" s="1067"/>
      <c r="FS12" s="1067"/>
      <c r="FT12" s="1067"/>
      <c r="FU12" s="1070">
        <v>2430</v>
      </c>
      <c r="FV12" s="1067"/>
      <c r="FW12" s="1067"/>
      <c r="FX12" s="1067"/>
      <c r="FY12" s="1067"/>
      <c r="FZ12" s="1067"/>
      <c r="GA12" s="1067"/>
      <c r="GB12" s="1067"/>
      <c r="GC12" s="1067"/>
      <c r="GD12" s="1067"/>
      <c r="GE12" s="1067"/>
      <c r="GF12" s="1067"/>
      <c r="GG12" s="1070">
        <v>2430</v>
      </c>
      <c r="GH12" s="1067"/>
      <c r="GI12" s="1067"/>
      <c r="GJ12" s="1067"/>
      <c r="GK12" s="1067"/>
      <c r="GL12" s="1067"/>
      <c r="GM12" s="1067"/>
      <c r="GN12" s="1067"/>
      <c r="GO12" s="1067"/>
      <c r="GP12" s="1067"/>
      <c r="GQ12" s="1067"/>
      <c r="GR12" s="1067"/>
      <c r="GS12" s="1070">
        <v>2430</v>
      </c>
      <c r="GT12" s="1067"/>
    </row>
    <row r="13" spans="1:202">
      <c r="A13" s="19"/>
      <c r="B13" s="325" t="s">
        <v>5</v>
      </c>
      <c r="C13" s="318">
        <f t="shared" ref="C13:I13" si="253">C11+C12</f>
        <v>32477</v>
      </c>
      <c r="D13" s="318">
        <f t="shared" si="253"/>
        <v>29918</v>
      </c>
      <c r="E13" s="318">
        <f t="shared" si="253"/>
        <v>31355</v>
      </c>
      <c r="F13" s="318">
        <f t="shared" si="253"/>
        <v>29806</v>
      </c>
      <c r="G13" s="1108">
        <f t="shared" si="253"/>
        <v>36343</v>
      </c>
      <c r="H13" s="318">
        <f t="shared" si="253"/>
        <v>36172</v>
      </c>
      <c r="I13" s="715">
        <f t="shared" si="253"/>
        <v>82992.05</v>
      </c>
      <c r="J13" s="328"/>
      <c r="K13" s="37">
        <f t="shared" ref="K13" si="254">C13/12</f>
        <v>2706.4166666666665</v>
      </c>
      <c r="L13" s="37">
        <f t="shared" ref="L13" si="255">D13/12</f>
        <v>2493.1666666666665</v>
      </c>
      <c r="M13" s="37">
        <f t="shared" ref="M13" si="256">E13/12</f>
        <v>2612.9166666666665</v>
      </c>
      <c r="N13" s="37">
        <f t="shared" ref="N13" si="257">F13/12</f>
        <v>2483.8333333333335</v>
      </c>
      <c r="O13" s="37">
        <f t="shared" ref="O13" si="258">G13/12</f>
        <v>3028.5833333333335</v>
      </c>
      <c r="P13" s="37">
        <f t="shared" ref="P13" si="259">H13/12</f>
        <v>3014.3333333333335</v>
      </c>
      <c r="Q13" s="37">
        <f>Q11+Q12</f>
        <v>6916.0041666666675</v>
      </c>
      <c r="R13" s="363"/>
      <c r="S13" s="307"/>
      <c r="T13" s="28"/>
      <c r="U13" s="310"/>
      <c r="V13" s="307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310"/>
      <c r="AH13" s="307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310"/>
      <c r="AT13" s="307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310"/>
      <c r="BF13" s="307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310"/>
      <c r="BR13" s="307"/>
      <c r="BS13" s="308"/>
      <c r="BT13" s="28"/>
      <c r="BU13" s="28"/>
      <c r="BV13" s="28"/>
      <c r="BW13" s="28"/>
      <c r="BX13" s="28"/>
      <c r="BY13" s="28"/>
      <c r="BZ13" s="28"/>
      <c r="CA13" s="28"/>
      <c r="CB13" s="28">
        <f>CB11+CB12</f>
        <v>2429</v>
      </c>
      <c r="CC13" s="310">
        <f t="shared" ref="CC13:EN13" si="260">CC11+CC12</f>
        <v>5399</v>
      </c>
      <c r="CD13" s="307">
        <f t="shared" si="260"/>
        <v>3117</v>
      </c>
      <c r="CE13" s="28">
        <f t="shared" si="260"/>
        <v>2538</v>
      </c>
      <c r="CF13" s="28">
        <f t="shared" si="260"/>
        <v>5742</v>
      </c>
      <c r="CG13" s="28">
        <f t="shared" si="260"/>
        <v>2506</v>
      </c>
      <c r="CH13" s="28">
        <f t="shared" si="260"/>
        <v>2506</v>
      </c>
      <c r="CI13" s="28">
        <f t="shared" si="260"/>
        <v>2411</v>
      </c>
      <c r="CJ13" s="28">
        <f t="shared" si="260"/>
        <v>2430</v>
      </c>
      <c r="CK13" s="28">
        <f t="shared" si="260"/>
        <v>2367</v>
      </c>
      <c r="CL13" s="28">
        <f t="shared" si="260"/>
        <v>2430</v>
      </c>
      <c r="CM13" s="28">
        <f t="shared" si="260"/>
        <v>2430</v>
      </c>
      <c r="CN13" s="28">
        <f t="shared" si="260"/>
        <v>2461</v>
      </c>
      <c r="CO13" s="310">
        <f t="shared" si="260"/>
        <v>5234</v>
      </c>
      <c r="CP13" s="307">
        <f t="shared" si="260"/>
        <v>3012</v>
      </c>
      <c r="CQ13" s="28">
        <f t="shared" si="260"/>
        <v>2497</v>
      </c>
      <c r="CR13" s="28">
        <f t="shared" si="260"/>
        <v>2486</v>
      </c>
      <c r="CS13" s="28">
        <f t="shared" si="260"/>
        <v>5914</v>
      </c>
      <c r="CT13" s="28">
        <f t="shared" si="260"/>
        <v>11067.07</v>
      </c>
      <c r="CU13" s="28">
        <f t="shared" si="260"/>
        <v>38316.980000000003</v>
      </c>
      <c r="CV13" s="28">
        <f t="shared" si="260"/>
        <v>2638</v>
      </c>
      <c r="CW13" s="28">
        <f t="shared" si="260"/>
        <v>3488</v>
      </c>
      <c r="CX13" s="28">
        <f t="shared" si="260"/>
        <v>3229</v>
      </c>
      <c r="CY13" s="28">
        <f t="shared" si="260"/>
        <v>2638</v>
      </c>
      <c r="CZ13" s="28">
        <f t="shared" si="260"/>
        <v>2638</v>
      </c>
      <c r="DA13" s="310">
        <f t="shared" si="260"/>
        <v>5068</v>
      </c>
      <c r="DB13" s="307">
        <f t="shared" si="260"/>
        <v>2638</v>
      </c>
      <c r="DC13" s="28">
        <f t="shared" si="260"/>
        <v>2638</v>
      </c>
      <c r="DD13" s="28">
        <f t="shared" si="260"/>
        <v>2638</v>
      </c>
      <c r="DE13" s="28">
        <f t="shared" si="260"/>
        <v>2638</v>
      </c>
      <c r="DF13" s="28">
        <f t="shared" si="260"/>
        <v>2638</v>
      </c>
      <c r="DG13" s="28">
        <f t="shared" si="260"/>
        <v>2638</v>
      </c>
      <c r="DH13" s="28">
        <f t="shared" si="260"/>
        <v>2638</v>
      </c>
      <c r="DI13" s="28">
        <f t="shared" si="260"/>
        <v>2638</v>
      </c>
      <c r="DJ13" s="28">
        <f t="shared" si="260"/>
        <v>2638</v>
      </c>
      <c r="DK13" s="28">
        <f t="shared" si="260"/>
        <v>2638</v>
      </c>
      <c r="DL13" s="28">
        <f t="shared" si="260"/>
        <v>2638</v>
      </c>
      <c r="DM13" s="310">
        <f t="shared" si="260"/>
        <v>5068</v>
      </c>
      <c r="DN13" s="307">
        <f t="shared" si="260"/>
        <v>2638</v>
      </c>
      <c r="DO13" s="28">
        <f t="shared" si="260"/>
        <v>2638</v>
      </c>
      <c r="DP13" s="28">
        <f t="shared" si="260"/>
        <v>2638</v>
      </c>
      <c r="DQ13" s="28">
        <f t="shared" si="260"/>
        <v>2638</v>
      </c>
      <c r="DR13" s="28">
        <f t="shared" si="260"/>
        <v>2638</v>
      </c>
      <c r="DS13" s="28">
        <f t="shared" si="260"/>
        <v>2638</v>
      </c>
      <c r="DT13" s="28">
        <f t="shared" si="260"/>
        <v>2638</v>
      </c>
      <c r="DU13" s="28">
        <f t="shared" si="260"/>
        <v>2638</v>
      </c>
      <c r="DV13" s="28">
        <f t="shared" si="260"/>
        <v>2638</v>
      </c>
      <c r="DW13" s="28">
        <f t="shared" si="260"/>
        <v>2638</v>
      </c>
      <c r="DX13" s="28">
        <f t="shared" si="260"/>
        <v>2638</v>
      </c>
      <c r="DY13" s="310">
        <f t="shared" si="260"/>
        <v>5068</v>
      </c>
      <c r="DZ13" s="307">
        <f t="shared" si="260"/>
        <v>2638</v>
      </c>
      <c r="EA13" s="28">
        <f t="shared" si="260"/>
        <v>2638</v>
      </c>
      <c r="EB13" s="28">
        <f t="shared" si="260"/>
        <v>2638</v>
      </c>
      <c r="EC13" s="28">
        <f t="shared" si="260"/>
        <v>2638</v>
      </c>
      <c r="ED13" s="28">
        <f t="shared" si="260"/>
        <v>2638</v>
      </c>
      <c r="EE13" s="28">
        <f t="shared" si="260"/>
        <v>2638</v>
      </c>
      <c r="EF13" s="28">
        <f t="shared" si="260"/>
        <v>2638</v>
      </c>
      <c r="EG13" s="28">
        <f t="shared" si="260"/>
        <v>2638</v>
      </c>
      <c r="EH13" s="28">
        <f t="shared" si="260"/>
        <v>2638</v>
      </c>
      <c r="EI13" s="28">
        <f t="shared" si="260"/>
        <v>2638</v>
      </c>
      <c r="EJ13" s="28">
        <f t="shared" si="260"/>
        <v>2638</v>
      </c>
      <c r="EK13" s="310">
        <f t="shared" si="260"/>
        <v>5068</v>
      </c>
      <c r="EL13" s="307">
        <f t="shared" si="260"/>
        <v>2638</v>
      </c>
      <c r="EM13" s="28">
        <f t="shared" si="260"/>
        <v>2638</v>
      </c>
      <c r="EN13" s="28">
        <f t="shared" si="260"/>
        <v>2638</v>
      </c>
      <c r="EO13" s="28">
        <f t="shared" ref="EO13:GT13" si="261">EO11+EO12</f>
        <v>2638</v>
      </c>
      <c r="EP13" s="28">
        <f t="shared" si="261"/>
        <v>2638</v>
      </c>
      <c r="EQ13" s="28">
        <f t="shared" si="261"/>
        <v>2638</v>
      </c>
      <c r="ER13" s="28">
        <f t="shared" si="261"/>
        <v>2638</v>
      </c>
      <c r="ES13" s="28">
        <f t="shared" si="261"/>
        <v>2638</v>
      </c>
      <c r="ET13" s="28">
        <f t="shared" si="261"/>
        <v>2638</v>
      </c>
      <c r="EU13" s="28">
        <f t="shared" si="261"/>
        <v>2638</v>
      </c>
      <c r="EV13" s="28">
        <f t="shared" si="261"/>
        <v>2638</v>
      </c>
      <c r="EW13" s="310">
        <f t="shared" si="261"/>
        <v>5068</v>
      </c>
      <c r="EX13" s="28">
        <f t="shared" si="261"/>
        <v>2638</v>
      </c>
      <c r="EY13" s="28">
        <f t="shared" si="261"/>
        <v>2638</v>
      </c>
      <c r="EZ13" s="28">
        <f t="shared" si="261"/>
        <v>2638</v>
      </c>
      <c r="FA13" s="28">
        <f t="shared" si="261"/>
        <v>2638</v>
      </c>
      <c r="FB13" s="28">
        <f t="shared" si="261"/>
        <v>2638</v>
      </c>
      <c r="FC13" s="28">
        <f t="shared" si="261"/>
        <v>2638</v>
      </c>
      <c r="FD13" s="28">
        <f t="shared" si="261"/>
        <v>2638</v>
      </c>
      <c r="FE13" s="28">
        <f t="shared" si="261"/>
        <v>2638</v>
      </c>
      <c r="FF13" s="28">
        <f t="shared" si="261"/>
        <v>2638</v>
      </c>
      <c r="FG13" s="28">
        <f t="shared" si="261"/>
        <v>2638</v>
      </c>
      <c r="FH13" s="28">
        <f t="shared" si="261"/>
        <v>2638</v>
      </c>
      <c r="FI13" s="310">
        <f t="shared" si="261"/>
        <v>5068</v>
      </c>
      <c r="FJ13" s="28">
        <f t="shared" si="261"/>
        <v>2638</v>
      </c>
      <c r="FK13" s="28">
        <f t="shared" si="261"/>
        <v>2638</v>
      </c>
      <c r="FL13" s="28">
        <f t="shared" si="261"/>
        <v>2638</v>
      </c>
      <c r="FM13" s="28">
        <f t="shared" si="261"/>
        <v>2638</v>
      </c>
      <c r="FN13" s="28">
        <f t="shared" si="261"/>
        <v>2638</v>
      </c>
      <c r="FO13" s="28">
        <f t="shared" si="261"/>
        <v>2638</v>
      </c>
      <c r="FP13" s="28">
        <f t="shared" si="261"/>
        <v>2638</v>
      </c>
      <c r="FQ13" s="28">
        <f t="shared" si="261"/>
        <v>2638</v>
      </c>
      <c r="FR13" s="28">
        <f t="shared" si="261"/>
        <v>2638</v>
      </c>
      <c r="FS13" s="28">
        <f t="shared" si="261"/>
        <v>2638</v>
      </c>
      <c r="FT13" s="28">
        <f t="shared" si="261"/>
        <v>2638</v>
      </c>
      <c r="FU13" s="310">
        <f t="shared" si="261"/>
        <v>5068</v>
      </c>
      <c r="FV13" s="28">
        <f t="shared" si="261"/>
        <v>2638</v>
      </c>
      <c r="FW13" s="28">
        <f t="shared" si="261"/>
        <v>2638</v>
      </c>
      <c r="FX13" s="28">
        <f t="shared" si="261"/>
        <v>2638</v>
      </c>
      <c r="FY13" s="28">
        <f t="shared" si="261"/>
        <v>2638</v>
      </c>
      <c r="FZ13" s="28">
        <f t="shared" si="261"/>
        <v>2638</v>
      </c>
      <c r="GA13" s="28">
        <f t="shared" si="261"/>
        <v>2638</v>
      </c>
      <c r="GB13" s="28">
        <f t="shared" si="261"/>
        <v>2638</v>
      </c>
      <c r="GC13" s="28">
        <f t="shared" si="261"/>
        <v>2638</v>
      </c>
      <c r="GD13" s="28">
        <f t="shared" si="261"/>
        <v>2638</v>
      </c>
      <c r="GE13" s="28">
        <f t="shared" si="261"/>
        <v>2638</v>
      </c>
      <c r="GF13" s="28">
        <f t="shared" si="261"/>
        <v>2638</v>
      </c>
      <c r="GG13" s="310">
        <f t="shared" si="261"/>
        <v>5068</v>
      </c>
      <c r="GH13" s="28">
        <f t="shared" si="261"/>
        <v>2638</v>
      </c>
      <c r="GI13" s="28">
        <f t="shared" si="261"/>
        <v>2638</v>
      </c>
      <c r="GJ13" s="28">
        <f t="shared" si="261"/>
        <v>2638</v>
      </c>
      <c r="GK13" s="28">
        <f t="shared" si="261"/>
        <v>2638</v>
      </c>
      <c r="GL13" s="28">
        <f t="shared" si="261"/>
        <v>2638</v>
      </c>
      <c r="GM13" s="28">
        <f t="shared" si="261"/>
        <v>2638</v>
      </c>
      <c r="GN13" s="28">
        <f t="shared" si="261"/>
        <v>2638</v>
      </c>
      <c r="GO13" s="28">
        <f t="shared" si="261"/>
        <v>2638</v>
      </c>
      <c r="GP13" s="28">
        <f t="shared" si="261"/>
        <v>2638</v>
      </c>
      <c r="GQ13" s="28">
        <f t="shared" si="261"/>
        <v>2638</v>
      </c>
      <c r="GR13" s="28">
        <f t="shared" si="261"/>
        <v>2638</v>
      </c>
      <c r="GS13" s="310">
        <f t="shared" si="261"/>
        <v>5068</v>
      </c>
      <c r="GT13" s="28">
        <f t="shared" si="261"/>
        <v>2638</v>
      </c>
    </row>
    <row r="14" spans="1:202">
      <c r="A14" s="19"/>
      <c r="B14" s="436" t="s">
        <v>6</v>
      </c>
      <c r="C14" s="1295"/>
      <c r="D14" s="1296">
        <f t="shared" ref="D14:I14" si="262">(D11-C11)/C11</f>
        <v>-2.1734242674061304E-3</v>
      </c>
      <c r="E14" s="1296">
        <f t="shared" si="262"/>
        <v>3.2146612588252965E-2</v>
      </c>
      <c r="F14" s="1296">
        <f t="shared" si="262"/>
        <v>-3.6384805705137535E-4</v>
      </c>
      <c r="G14" s="1293">
        <f t="shared" si="262"/>
        <v>9.5690470990754894E-2</v>
      </c>
      <c r="H14" s="1294">
        <f t="shared" si="262"/>
        <v>4.3849450220908217E-3</v>
      </c>
      <c r="I14" s="1028">
        <f t="shared" si="262"/>
        <v>8.7216801719861084E-2</v>
      </c>
      <c r="J14" s="328"/>
      <c r="R14" s="363"/>
      <c r="S14" s="432">
        <f t="shared" ref="S14:AX14" si="263">S10+S11</f>
        <v>9553.16</v>
      </c>
      <c r="T14" s="238">
        <f t="shared" si="263"/>
        <v>10073.23</v>
      </c>
      <c r="U14" s="560">
        <f t="shared" si="263"/>
        <v>10466.799999999999</v>
      </c>
      <c r="V14" s="432">
        <f t="shared" si="263"/>
        <v>14293.48</v>
      </c>
      <c r="W14" s="238">
        <f t="shared" si="263"/>
        <v>13707.369999999999</v>
      </c>
      <c r="X14" s="238">
        <f t="shared" si="263"/>
        <v>13718.579999999998</v>
      </c>
      <c r="Y14" s="238">
        <f t="shared" si="263"/>
        <v>13675.649999999998</v>
      </c>
      <c r="Z14" s="238">
        <f t="shared" si="263"/>
        <v>14031.519999999997</v>
      </c>
      <c r="AA14" s="238">
        <f t="shared" si="263"/>
        <v>14575.519999999997</v>
      </c>
      <c r="AB14" s="238">
        <f t="shared" si="263"/>
        <v>14792.559999999998</v>
      </c>
      <c r="AC14" s="238">
        <f t="shared" si="263"/>
        <v>15393.529999999997</v>
      </c>
      <c r="AD14" s="238">
        <f t="shared" si="263"/>
        <v>15326.389999999998</v>
      </c>
      <c r="AE14" s="238">
        <f t="shared" si="263"/>
        <v>14874.639999999998</v>
      </c>
      <c r="AF14" s="238">
        <f t="shared" si="263"/>
        <v>14797.769999999997</v>
      </c>
      <c r="AG14" s="560">
        <f t="shared" si="263"/>
        <v>3932.4499999999971</v>
      </c>
      <c r="AH14" s="432">
        <f t="shared" si="263"/>
        <v>4051.5099999999966</v>
      </c>
      <c r="AI14" s="238">
        <f t="shared" si="263"/>
        <v>4020.8699999999963</v>
      </c>
      <c r="AJ14" s="238">
        <f t="shared" si="263"/>
        <v>5849.5199999999959</v>
      </c>
      <c r="AK14" s="238">
        <f t="shared" si="263"/>
        <v>3052.4799999999968</v>
      </c>
      <c r="AL14" s="238">
        <f t="shared" si="263"/>
        <v>3430.7699999999968</v>
      </c>
      <c r="AM14" s="238">
        <f t="shared" si="263"/>
        <v>3562.4199999999964</v>
      </c>
      <c r="AN14" s="238">
        <f t="shared" si="263"/>
        <v>3533.5399999999963</v>
      </c>
      <c r="AO14" s="238">
        <f t="shared" si="263"/>
        <v>8647.1799999999967</v>
      </c>
      <c r="AP14" s="238">
        <f t="shared" si="263"/>
        <v>6504.6699999999964</v>
      </c>
      <c r="AQ14" s="238">
        <f t="shared" si="263"/>
        <v>5666.8099999999968</v>
      </c>
      <c r="AR14" s="238">
        <f t="shared" si="263"/>
        <v>5321.3399999999965</v>
      </c>
      <c r="AS14" s="560">
        <f t="shared" si="263"/>
        <v>5362.529999999997</v>
      </c>
      <c r="AT14" s="432">
        <f t="shared" si="263"/>
        <v>7146.6099999999969</v>
      </c>
      <c r="AU14" s="238">
        <f t="shared" si="263"/>
        <v>19416.149999999998</v>
      </c>
      <c r="AV14" s="238">
        <f t="shared" si="263"/>
        <v>4772.41</v>
      </c>
      <c r="AW14" s="238">
        <f t="shared" si="263"/>
        <v>5371.67</v>
      </c>
      <c r="AX14" s="238">
        <f t="shared" si="263"/>
        <v>23125.83</v>
      </c>
      <c r="AY14" s="238">
        <f t="shared" ref="AY14:CD14" si="264">AY10+AY11</f>
        <v>22918.54</v>
      </c>
      <c r="AZ14" s="238">
        <f t="shared" si="264"/>
        <v>22876.57</v>
      </c>
      <c r="BA14" s="238">
        <f t="shared" si="264"/>
        <v>22309.32</v>
      </c>
      <c r="BB14" s="238">
        <f t="shared" si="264"/>
        <v>22732.27</v>
      </c>
      <c r="BC14" s="238">
        <f t="shared" si="264"/>
        <v>3366.0699999999997</v>
      </c>
      <c r="BD14" s="238">
        <f t="shared" si="264"/>
        <v>3342.2699999999995</v>
      </c>
      <c r="BE14" s="560">
        <f t="shared" si="264"/>
        <v>3552.3299999999995</v>
      </c>
      <c r="BF14" s="432">
        <f t="shared" si="264"/>
        <v>5961.4299999999994</v>
      </c>
      <c r="BG14" s="238">
        <f t="shared" si="264"/>
        <v>5520.4</v>
      </c>
      <c r="BH14" s="238">
        <f t="shared" si="264"/>
        <v>5516.6299999999992</v>
      </c>
      <c r="BI14" s="238">
        <f t="shared" si="264"/>
        <v>5368.9299999999985</v>
      </c>
      <c r="BJ14" s="238">
        <f t="shared" si="264"/>
        <v>5321.7999999999984</v>
      </c>
      <c r="BK14" s="238">
        <f t="shared" si="264"/>
        <v>5124.8999999999987</v>
      </c>
      <c r="BL14" s="238">
        <f t="shared" si="264"/>
        <v>4897.9299999999985</v>
      </c>
      <c r="BM14" s="238">
        <f t="shared" si="264"/>
        <v>5078.369999999999</v>
      </c>
      <c r="BN14" s="238">
        <f t="shared" si="264"/>
        <v>4519.32</v>
      </c>
      <c r="BO14" s="238">
        <f t="shared" si="264"/>
        <v>4025.2799999999997</v>
      </c>
      <c r="BP14" s="238">
        <f t="shared" si="264"/>
        <v>3981.12</v>
      </c>
      <c r="BQ14" s="560">
        <f t="shared" si="264"/>
        <v>3964.0699999999997</v>
      </c>
      <c r="BR14" s="432">
        <f t="shared" si="264"/>
        <v>6325.4500000000007</v>
      </c>
      <c r="BS14" s="238">
        <f t="shared" si="264"/>
        <v>5274.42</v>
      </c>
      <c r="BT14" s="238">
        <f t="shared" si="264"/>
        <v>5127.95</v>
      </c>
      <c r="BU14" s="238">
        <f t="shared" si="264"/>
        <v>8279.15</v>
      </c>
      <c r="BV14" s="238">
        <f t="shared" si="264"/>
        <v>8343.15</v>
      </c>
      <c r="BW14" s="238">
        <f t="shared" si="264"/>
        <v>8293.9</v>
      </c>
      <c r="BX14" s="238">
        <f t="shared" si="264"/>
        <v>8061.5599999999995</v>
      </c>
      <c r="BY14" s="238">
        <f t="shared" si="264"/>
        <v>7984.37</v>
      </c>
      <c r="BZ14" s="238">
        <f t="shared" si="264"/>
        <v>7792.21</v>
      </c>
      <c r="CA14" s="238">
        <f t="shared" si="264"/>
        <v>7542.35</v>
      </c>
      <c r="CB14" s="238">
        <f t="shared" si="264"/>
        <v>10491.55</v>
      </c>
      <c r="CC14" s="560">
        <f t="shared" si="264"/>
        <v>9410.3299999999981</v>
      </c>
      <c r="CD14" s="432">
        <f t="shared" si="264"/>
        <v>11604.159999999998</v>
      </c>
      <c r="CE14" s="238">
        <f t="shared" ref="CE14:DJ14" si="265">CE10+CE11</f>
        <v>11085.049999999997</v>
      </c>
      <c r="CF14" s="238">
        <f t="shared" si="265"/>
        <v>11102.319999999998</v>
      </c>
      <c r="CG14" s="238">
        <f t="shared" si="265"/>
        <v>13844.679999999997</v>
      </c>
      <c r="CH14" s="238">
        <f t="shared" si="265"/>
        <v>13778.169999999996</v>
      </c>
      <c r="CI14" s="238">
        <f t="shared" si="265"/>
        <v>13570.409999999996</v>
      </c>
      <c r="CJ14" s="238">
        <f t="shared" si="265"/>
        <v>13636.049999999996</v>
      </c>
      <c r="CK14" s="238">
        <f t="shared" si="265"/>
        <v>13483.089999999995</v>
      </c>
      <c r="CL14" s="238">
        <f t="shared" si="265"/>
        <v>13335.101999999995</v>
      </c>
      <c r="CM14" s="238">
        <f t="shared" si="265"/>
        <v>12656.301999999994</v>
      </c>
      <c r="CN14" s="238">
        <f t="shared" si="265"/>
        <v>12691.011999999995</v>
      </c>
      <c r="CO14" s="560">
        <f t="shared" si="265"/>
        <v>12840.741999999995</v>
      </c>
      <c r="CP14" s="432">
        <f t="shared" si="265"/>
        <v>14626.741999999995</v>
      </c>
      <c r="CQ14" s="238">
        <f t="shared" si="265"/>
        <v>13835.621999999994</v>
      </c>
      <c r="CR14" s="238">
        <f t="shared" si="265"/>
        <v>13915.191999999994</v>
      </c>
      <c r="CS14" s="238">
        <f t="shared" si="265"/>
        <v>13520.723999999995</v>
      </c>
      <c r="CT14" s="238">
        <f t="shared" si="265"/>
        <v>15332.083999999995</v>
      </c>
      <c r="CU14" s="238">
        <f t="shared" si="265"/>
        <v>22919.255999999994</v>
      </c>
      <c r="CV14" s="238">
        <f t="shared" si="265"/>
        <v>57276.227999999996</v>
      </c>
      <c r="CW14" s="238">
        <f t="shared" si="265"/>
        <v>57722.477999999996</v>
      </c>
      <c r="CX14" s="238">
        <f t="shared" si="265"/>
        <v>57560.037999999993</v>
      </c>
      <c r="CY14" s="238">
        <f t="shared" si="265"/>
        <v>54494.187999999995</v>
      </c>
      <c r="CZ14" s="238">
        <f t="shared" si="265"/>
        <v>53694.687999999995</v>
      </c>
      <c r="DA14" s="560">
        <f t="shared" si="265"/>
        <v>54123.837999999996</v>
      </c>
      <c r="DB14" s="432">
        <f t="shared" si="265"/>
        <v>56796.711890759929</v>
      </c>
      <c r="DC14" s="238">
        <f t="shared" si="265"/>
        <v>57263.461890759929</v>
      </c>
      <c r="DD14" s="238">
        <f t="shared" si="265"/>
        <v>57404.651890759931</v>
      </c>
      <c r="DE14" s="238">
        <f t="shared" si="265"/>
        <v>57924.551890759933</v>
      </c>
      <c r="DF14" s="238">
        <f t="shared" si="265"/>
        <v>58088.721890759931</v>
      </c>
      <c r="DG14" s="238">
        <f t="shared" si="265"/>
        <v>58608.621890759932</v>
      </c>
      <c r="DH14" s="238">
        <f t="shared" si="265"/>
        <v>58906.831890759931</v>
      </c>
      <c r="DI14" s="238">
        <f t="shared" si="265"/>
        <v>59426.731890759933</v>
      </c>
      <c r="DJ14" s="238">
        <f t="shared" si="265"/>
        <v>59750.351890759935</v>
      </c>
      <c r="DK14" s="238">
        <f t="shared" ref="DK14:EP14" si="266">DK10+DK11</f>
        <v>60270.251890759937</v>
      </c>
      <c r="DL14" s="238">
        <f t="shared" si="266"/>
        <v>60590.15085220617</v>
      </c>
      <c r="DM14" s="560">
        <f t="shared" si="266"/>
        <v>61110.050852206172</v>
      </c>
      <c r="DN14" s="432">
        <f t="shared" si="266"/>
        <v>63893.103840810763</v>
      </c>
      <c r="DO14" s="238">
        <f t="shared" si="266"/>
        <v>64413.003840810765</v>
      </c>
      <c r="DP14" s="238">
        <f t="shared" si="266"/>
        <v>64554.193840810767</v>
      </c>
      <c r="DQ14" s="238">
        <f t="shared" si="266"/>
        <v>65074.093840810769</v>
      </c>
      <c r="DR14" s="238">
        <f t="shared" si="266"/>
        <v>65238.263840810767</v>
      </c>
      <c r="DS14" s="238">
        <f t="shared" si="266"/>
        <v>65758.163840810768</v>
      </c>
      <c r="DT14" s="238">
        <f t="shared" si="266"/>
        <v>66056.37384081076</v>
      </c>
      <c r="DU14" s="238">
        <f t="shared" si="266"/>
        <v>66576.273840810754</v>
      </c>
      <c r="DV14" s="238">
        <f t="shared" si="266"/>
        <v>66982.89384081075</v>
      </c>
      <c r="DW14" s="238">
        <f t="shared" si="266"/>
        <v>67585.793840810744</v>
      </c>
      <c r="DX14" s="238">
        <f t="shared" si="266"/>
        <v>67988.692802256977</v>
      </c>
      <c r="DY14" s="560">
        <f t="shared" si="266"/>
        <v>68591.592802256971</v>
      </c>
      <c r="DZ14" s="432">
        <f t="shared" si="266"/>
        <v>71457.64579086157</v>
      </c>
      <c r="EA14" s="238">
        <f t="shared" si="266"/>
        <v>72060.545790861564</v>
      </c>
      <c r="EB14" s="238">
        <f t="shared" si="266"/>
        <v>72284.735790861567</v>
      </c>
      <c r="EC14" s="238">
        <f t="shared" si="266"/>
        <v>72887.635790861561</v>
      </c>
      <c r="ED14" s="238">
        <f t="shared" si="266"/>
        <v>73134.805790861559</v>
      </c>
      <c r="EE14" s="238">
        <f t="shared" si="266"/>
        <v>73737.705790861553</v>
      </c>
      <c r="EF14" s="238">
        <f t="shared" si="266"/>
        <v>74118.91579086156</v>
      </c>
      <c r="EG14" s="238">
        <f t="shared" si="266"/>
        <v>74721.815790861554</v>
      </c>
      <c r="EH14" s="238">
        <f t="shared" si="266"/>
        <v>75128.435790861549</v>
      </c>
      <c r="EI14" s="238">
        <f t="shared" si="266"/>
        <v>75731.335790861544</v>
      </c>
      <c r="EJ14" s="238">
        <f t="shared" si="266"/>
        <v>76134.234752307777</v>
      </c>
      <c r="EK14" s="560">
        <f t="shared" si="266"/>
        <v>76737.134752307771</v>
      </c>
      <c r="EL14" s="432">
        <f t="shared" si="266"/>
        <v>79603.18774091237</v>
      </c>
      <c r="EM14" s="238">
        <f t="shared" si="266"/>
        <v>80206.087740912364</v>
      </c>
      <c r="EN14" s="238">
        <f t="shared" si="266"/>
        <v>80430.277740912366</v>
      </c>
      <c r="EO14" s="238">
        <f t="shared" si="266"/>
        <v>81033.177740912361</v>
      </c>
      <c r="EP14" s="238">
        <f t="shared" si="266"/>
        <v>81280.347740912359</v>
      </c>
      <c r="EQ14" s="238">
        <f t="shared" ref="EQ14:FV14" si="267">EQ10+EQ11</f>
        <v>81883.247740912353</v>
      </c>
      <c r="ER14" s="238">
        <f t="shared" si="267"/>
        <v>82264.457740912359</v>
      </c>
      <c r="ES14" s="238">
        <f t="shared" si="267"/>
        <v>82867.357740912354</v>
      </c>
      <c r="ET14" s="238">
        <f t="shared" si="267"/>
        <v>83273.977740912349</v>
      </c>
      <c r="EU14" s="238">
        <f t="shared" si="267"/>
        <v>83876.877740912343</v>
      </c>
      <c r="EV14" s="238">
        <f t="shared" si="267"/>
        <v>84279.776702358577</v>
      </c>
      <c r="EW14" s="560">
        <f t="shared" si="267"/>
        <v>84882.676702358571</v>
      </c>
      <c r="EX14" s="238">
        <f t="shared" si="267"/>
        <v>87748.72969096317</v>
      </c>
      <c r="EY14" s="238">
        <f t="shared" si="267"/>
        <v>88351.629690963164</v>
      </c>
      <c r="EZ14" s="238">
        <f t="shared" si="267"/>
        <v>88575.819690963166</v>
      </c>
      <c r="FA14" s="238">
        <f t="shared" si="267"/>
        <v>89178.71969096316</v>
      </c>
      <c r="FB14" s="238">
        <f t="shared" si="267"/>
        <v>89425.889690963159</v>
      </c>
      <c r="FC14" s="238">
        <f t="shared" si="267"/>
        <v>90028.789690963153</v>
      </c>
      <c r="FD14" s="238">
        <f t="shared" si="267"/>
        <v>90409.999690963159</v>
      </c>
      <c r="FE14" s="238">
        <f t="shared" si="267"/>
        <v>91012.899690963153</v>
      </c>
      <c r="FF14" s="238">
        <f t="shared" si="267"/>
        <v>91419.519690963149</v>
      </c>
      <c r="FG14" s="238">
        <f t="shared" si="267"/>
        <v>92022.419690963143</v>
      </c>
      <c r="FH14" s="238">
        <f t="shared" si="267"/>
        <v>92425.318652409376</v>
      </c>
      <c r="FI14" s="560">
        <f t="shared" si="267"/>
        <v>93028.21865240937</v>
      </c>
      <c r="FJ14" s="238">
        <f t="shared" si="267"/>
        <v>95894.271641013969</v>
      </c>
      <c r="FK14" s="238">
        <f t="shared" si="267"/>
        <v>96497.171641013963</v>
      </c>
      <c r="FL14" s="238">
        <f t="shared" si="267"/>
        <v>96721.361641013966</v>
      </c>
      <c r="FM14" s="238">
        <f t="shared" si="267"/>
        <v>97324.26164101396</v>
      </c>
      <c r="FN14" s="238">
        <f t="shared" si="267"/>
        <v>97571.431641013958</v>
      </c>
      <c r="FO14" s="238">
        <f t="shared" si="267"/>
        <v>98174.331641013952</v>
      </c>
      <c r="FP14" s="238">
        <f t="shared" si="267"/>
        <v>98555.541641013959</v>
      </c>
      <c r="FQ14" s="238">
        <f t="shared" si="267"/>
        <v>99158.441641013953</v>
      </c>
      <c r="FR14" s="238">
        <f t="shared" si="267"/>
        <v>99565.061641013948</v>
      </c>
      <c r="FS14" s="238">
        <f t="shared" si="267"/>
        <v>100167.96164101394</v>
      </c>
      <c r="FT14" s="238">
        <f t="shared" si="267"/>
        <v>100570.86060246018</v>
      </c>
      <c r="FU14" s="560">
        <f t="shared" si="267"/>
        <v>101173.76060246017</v>
      </c>
      <c r="FV14" s="238">
        <f t="shared" si="267"/>
        <v>104228.06359106477</v>
      </c>
      <c r="FW14" s="238">
        <f t="shared" ref="FW14:GT14" si="268">FW10+FW11</f>
        <v>105019.21359106476</v>
      </c>
      <c r="FX14" s="238">
        <f t="shared" si="268"/>
        <v>105431.65359106477</v>
      </c>
      <c r="FY14" s="238">
        <f t="shared" si="268"/>
        <v>106222.80359106476</v>
      </c>
      <c r="FZ14" s="238">
        <f t="shared" si="268"/>
        <v>106658.22359106476</v>
      </c>
      <c r="GA14" s="238">
        <f t="shared" si="268"/>
        <v>107449.37359106475</v>
      </c>
      <c r="GB14" s="238">
        <f t="shared" si="268"/>
        <v>108018.83359106476</v>
      </c>
      <c r="GC14" s="238">
        <f t="shared" si="268"/>
        <v>108809.98359106475</v>
      </c>
      <c r="GD14" s="238">
        <f t="shared" si="268"/>
        <v>109404.85359106475</v>
      </c>
      <c r="GE14" s="238">
        <f t="shared" si="268"/>
        <v>110196.00359106474</v>
      </c>
      <c r="GF14" s="238">
        <f t="shared" si="268"/>
        <v>110787.15255251098</v>
      </c>
      <c r="GG14" s="560">
        <f t="shared" si="268"/>
        <v>111578.30255251097</v>
      </c>
      <c r="GH14" s="238">
        <f t="shared" si="268"/>
        <v>114632.60554111557</v>
      </c>
      <c r="GI14" s="238">
        <f t="shared" si="268"/>
        <v>115423.75554111556</v>
      </c>
      <c r="GJ14" s="238">
        <f t="shared" si="268"/>
        <v>115836.19554111556</v>
      </c>
      <c r="GK14" s="238">
        <f t="shared" si="268"/>
        <v>116627.34554111556</v>
      </c>
      <c r="GL14" s="238">
        <f t="shared" si="268"/>
        <v>117062.76554111556</v>
      </c>
      <c r="GM14" s="238">
        <f t="shared" si="268"/>
        <v>117853.91554111555</v>
      </c>
      <c r="GN14" s="238">
        <f t="shared" si="268"/>
        <v>118423.37554111556</v>
      </c>
      <c r="GO14" s="238">
        <f t="shared" si="268"/>
        <v>119214.52554111555</v>
      </c>
      <c r="GP14" s="238">
        <f t="shared" si="268"/>
        <v>119809.39554111555</v>
      </c>
      <c r="GQ14" s="238">
        <f t="shared" si="268"/>
        <v>120600.54554111554</v>
      </c>
      <c r="GR14" s="238">
        <f t="shared" si="268"/>
        <v>121191.69450256178</v>
      </c>
      <c r="GS14" s="560">
        <f t="shared" si="268"/>
        <v>121982.84450256177</v>
      </c>
      <c r="GT14" s="238">
        <f t="shared" si="268"/>
        <v>125037.14749116637</v>
      </c>
    </row>
    <row r="15" spans="1:202" hidden="1">
      <c r="A15" s="19"/>
      <c r="B15" s="253" t="s">
        <v>7</v>
      </c>
      <c r="C15" s="23"/>
      <c r="D15" s="245"/>
      <c r="E15" s="23">
        <f>SUM(AT15:BE15)</f>
        <v>0</v>
      </c>
      <c r="F15" s="245">
        <f>SUM(AJ15:AU15)</f>
        <v>0</v>
      </c>
      <c r="G15" s="23">
        <f>SUM(AK15:AV15)</f>
        <v>0</v>
      </c>
      <c r="H15" s="245">
        <f>SUM(AL15:AW15)</f>
        <v>0</v>
      </c>
      <c r="I15" s="693">
        <f>SUM(AM15:AX15)</f>
        <v>0</v>
      </c>
      <c r="J15" s="328"/>
      <c r="K15" s="273"/>
      <c r="L15" s="273"/>
      <c r="M15" s="245"/>
      <c r="N15" s="250"/>
      <c r="O15" s="250"/>
      <c r="P15" s="250"/>
      <c r="Q15" s="250"/>
      <c r="R15" s="328"/>
      <c r="S15" s="274">
        <v>420.5</v>
      </c>
      <c r="T15" s="23">
        <v>420.5</v>
      </c>
      <c r="U15" s="251">
        <v>420.5</v>
      </c>
      <c r="V15" s="274">
        <v>420.5</v>
      </c>
      <c r="W15" s="23">
        <v>420.5</v>
      </c>
      <c r="X15" s="23">
        <v>420.5</v>
      </c>
      <c r="Y15" s="23">
        <v>420.5</v>
      </c>
      <c r="Z15" s="23">
        <v>420.5</v>
      </c>
      <c r="AA15" s="23">
        <v>420.5</v>
      </c>
      <c r="AB15" s="23">
        <v>420.5</v>
      </c>
      <c r="AC15" s="23">
        <v>420.5</v>
      </c>
      <c r="AD15" s="23">
        <v>420.5</v>
      </c>
      <c r="AE15" s="23">
        <v>420.5</v>
      </c>
      <c r="AF15" s="23">
        <v>420.5</v>
      </c>
      <c r="AG15" s="251">
        <v>420.5</v>
      </c>
      <c r="AH15" s="274">
        <v>420.5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51"/>
      <c r="AT15" s="274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51"/>
      <c r="BF15" s="274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51"/>
      <c r="BR15" s="274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51"/>
      <c r="CD15" s="274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51"/>
      <c r="CP15" s="274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51"/>
      <c r="DB15" s="274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51"/>
      <c r="DN15" s="274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51"/>
      <c r="DZ15" s="274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51"/>
      <c r="EL15" s="274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51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51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51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51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51"/>
      <c r="GT15" s="23"/>
    </row>
    <row r="16" spans="1:202">
      <c r="A16" s="19"/>
      <c r="B16" s="350" t="s">
        <v>8</v>
      </c>
      <c r="C16" s="328">
        <f>SUM(V16:AG16)+SUM(V17:AG17)+SUM(V15:AG15)</f>
        <v>17059.5</v>
      </c>
      <c r="D16" s="330">
        <f>SUM(AH16:AS16)+SUM(AH17:AS17)+SUM(AH15:AS15)</f>
        <v>8286</v>
      </c>
      <c r="E16" s="328">
        <f t="shared" ref="E16:E26" si="269">SUM(AT16:BE16)</f>
        <v>29295</v>
      </c>
      <c r="F16" s="330">
        <f>SUM(BF16:BQ16)</f>
        <v>10606</v>
      </c>
      <c r="G16" s="328">
        <f t="shared" ref="G16:G26" si="270">SUM(BR16:CC16)</f>
        <v>10231</v>
      </c>
      <c r="H16" s="330">
        <f t="shared" ref="H16:H26" si="271">SUM(CD16:CO16)</f>
        <v>8760</v>
      </c>
      <c r="I16" s="1029">
        <f>SUM(CP16:DA16)</f>
        <v>9966</v>
      </c>
      <c r="J16" s="328"/>
      <c r="K16" s="1037">
        <f t="shared" ref="K16:P16" si="272">C16/12</f>
        <v>1421.625</v>
      </c>
      <c r="L16" s="1037">
        <f t="shared" si="272"/>
        <v>690.5</v>
      </c>
      <c r="M16" s="1041">
        <f t="shared" si="272"/>
        <v>2441.25</v>
      </c>
      <c r="N16" s="1039">
        <f t="shared" si="272"/>
        <v>883.83333333333337</v>
      </c>
      <c r="O16" s="1039">
        <f t="shared" si="272"/>
        <v>852.58333333333337</v>
      </c>
      <c r="P16" s="1039">
        <f t="shared" si="272"/>
        <v>730</v>
      </c>
      <c r="Q16" s="1039">
        <f>IFERROR(AVERAGEIF(CP16:DA16,"&gt;0"),0)</f>
        <v>830.5</v>
      </c>
      <c r="R16" s="328"/>
      <c r="S16" s="341"/>
      <c r="T16" s="328"/>
      <c r="U16" s="342"/>
      <c r="V16" s="341"/>
      <c r="W16" s="328"/>
      <c r="X16" s="328"/>
      <c r="Y16" s="328"/>
      <c r="Z16" s="328"/>
      <c r="AA16" s="328"/>
      <c r="AB16" s="328"/>
      <c r="AC16" s="328"/>
      <c r="AD16" s="328"/>
      <c r="AE16" s="328"/>
      <c r="AF16" s="328">
        <v>11003</v>
      </c>
      <c r="AG16" s="342">
        <f>350.5</f>
        <v>350.5</v>
      </c>
      <c r="AH16" s="341"/>
      <c r="AI16" s="328">
        <v>500.5</v>
      </c>
      <c r="AJ16" s="328">
        <v>350.5</v>
      </c>
      <c r="AK16" s="328">
        <v>500.5</v>
      </c>
      <c r="AL16" s="328">
        <v>500.5</v>
      </c>
      <c r="AM16" s="328">
        <v>600.5</v>
      </c>
      <c r="AN16" s="328">
        <v>550.5</v>
      </c>
      <c r="AO16" s="328">
        <v>900.5</v>
      </c>
      <c r="AP16" s="328">
        <v>950.5</v>
      </c>
      <c r="AQ16" s="328">
        <v>1000.5</v>
      </c>
      <c r="AR16" s="328">
        <v>950.5</v>
      </c>
      <c r="AS16" s="342">
        <v>1000.5</v>
      </c>
      <c r="AT16" s="341">
        <f>50.5+845.5</f>
        <v>896</v>
      </c>
      <c r="AU16" s="328">
        <v>870.5</v>
      </c>
      <c r="AV16" s="328">
        <v>600.5</v>
      </c>
      <c r="AW16" s="328">
        <v>700.5</v>
      </c>
      <c r="AX16" s="328">
        <v>820.5</v>
      </c>
      <c r="AY16" s="328">
        <v>700.5</v>
      </c>
      <c r="AZ16" s="328">
        <f>820.5+50.5+200.5</f>
        <v>1071.5</v>
      </c>
      <c r="BA16" s="328">
        <v>870.5</v>
      </c>
      <c r="BB16" s="328">
        <f>BA16+19002.5</f>
        <v>19873</v>
      </c>
      <c r="BC16" s="328">
        <f>870.5</f>
        <v>870.5</v>
      </c>
      <c r="BD16" s="328">
        <f t="shared" ref="BD16" si="273">BC16</f>
        <v>870.5</v>
      </c>
      <c r="BE16" s="342">
        <f>1150.5</f>
        <v>1150.5</v>
      </c>
      <c r="BF16" s="341">
        <v>820.5</v>
      </c>
      <c r="BG16" s="328">
        <v>870.5</v>
      </c>
      <c r="BH16" s="328">
        <f t="shared" ref="BH16" si="274">BG16</f>
        <v>870.5</v>
      </c>
      <c r="BI16" s="328">
        <v>850.5</v>
      </c>
      <c r="BJ16" s="328">
        <f>BH16</f>
        <v>870.5</v>
      </c>
      <c r="BK16" s="328">
        <f t="shared" ref="BK16" si="275">BJ16</f>
        <v>870.5</v>
      </c>
      <c r="BL16" s="328">
        <f>BK16</f>
        <v>870.5</v>
      </c>
      <c r="BM16" s="328">
        <f t="shared" ref="BM16:BN16" si="276">BL16</f>
        <v>870.5</v>
      </c>
      <c r="BN16" s="328">
        <f t="shared" si="276"/>
        <v>870.5</v>
      </c>
      <c r="BO16" s="328">
        <f t="shared" ref="BO16" si="277">BN16</f>
        <v>870.5</v>
      </c>
      <c r="BP16" s="328">
        <f t="shared" ref="BP16" si="278">BO16</f>
        <v>870.5</v>
      </c>
      <c r="BQ16" s="342">
        <v>1100.5</v>
      </c>
      <c r="BR16" s="341">
        <v>870</v>
      </c>
      <c r="BS16" s="328">
        <f>819.5+0.5</f>
        <v>820</v>
      </c>
      <c r="BT16" s="328">
        <f>849.5+0.5</f>
        <v>850</v>
      </c>
      <c r="BU16" s="328">
        <f>785+0.5</f>
        <v>785.5</v>
      </c>
      <c r="BV16" s="328">
        <f>859.5+0.5</f>
        <v>860</v>
      </c>
      <c r="BW16" s="328">
        <f t="shared" ref="BW16" si="279">BV16</f>
        <v>860</v>
      </c>
      <c r="BX16" s="328">
        <f t="shared" ref="BX16" si="280">BW16</f>
        <v>860</v>
      </c>
      <c r="BY16" s="328">
        <f t="shared" ref="BY16" si="281">BX16</f>
        <v>860</v>
      </c>
      <c r="BZ16" s="328">
        <f t="shared" ref="BZ16" si="282">BY16</f>
        <v>860</v>
      </c>
      <c r="CA16" s="328">
        <f t="shared" ref="CA16" si="283">BZ16</f>
        <v>860</v>
      </c>
      <c r="CB16" s="328">
        <f>859.5+0.5</f>
        <v>860</v>
      </c>
      <c r="CC16" s="342">
        <f>825+59.5+0.5+0.5</f>
        <v>885.5</v>
      </c>
      <c r="CD16" s="341">
        <f>(749.5+0.5)+(99.5+0.5)</f>
        <v>850</v>
      </c>
      <c r="CE16" s="328">
        <f>799.5+0.5</f>
        <v>800</v>
      </c>
      <c r="CF16" s="328">
        <f>739.5+0.5</f>
        <v>740</v>
      </c>
      <c r="CG16" s="328">
        <f>CF16-60</f>
        <v>680</v>
      </c>
      <c r="CH16" s="328">
        <f>CF16</f>
        <v>740</v>
      </c>
      <c r="CI16" s="328">
        <f>679.5+0.5</f>
        <v>680</v>
      </c>
      <c r="CJ16" s="328">
        <f>639.5+0.5</f>
        <v>640</v>
      </c>
      <c r="CK16" s="328">
        <f>740</f>
        <v>740</v>
      </c>
      <c r="CL16" s="328">
        <f>640</f>
        <v>640</v>
      </c>
      <c r="CM16" s="328">
        <f>770</f>
        <v>770</v>
      </c>
      <c r="CN16" s="328">
        <v>700</v>
      </c>
      <c r="CO16" s="342">
        <v>780</v>
      </c>
      <c r="CP16" s="341">
        <v>780</v>
      </c>
      <c r="CQ16" s="328">
        <v>500</v>
      </c>
      <c r="CR16" s="328">
        <v>850</v>
      </c>
      <c r="CS16" s="328">
        <f>700</f>
        <v>700</v>
      </c>
      <c r="CT16" s="328">
        <f>699.5+0.5</f>
        <v>700</v>
      </c>
      <c r="CU16" s="328">
        <v>700</v>
      </c>
      <c r="CV16" s="328">
        <v>750</v>
      </c>
      <c r="CW16" s="328">
        <f>740</f>
        <v>740</v>
      </c>
      <c r="CX16" s="328">
        <f>685.5+1340.5</f>
        <v>2026</v>
      </c>
      <c r="CY16" s="328">
        <v>740</v>
      </c>
      <c r="CZ16" s="328">
        <f t="shared" ref="CZ16" si="284">CY16</f>
        <v>740</v>
      </c>
      <c r="DA16" s="342">
        <f t="shared" ref="DA16" si="285">CZ16</f>
        <v>740</v>
      </c>
      <c r="DB16" s="341">
        <f t="shared" ref="DB16" si="286">DA16</f>
        <v>740</v>
      </c>
      <c r="DC16" s="328">
        <f t="shared" ref="DC16" si="287">DB16</f>
        <v>740</v>
      </c>
      <c r="DD16" s="328">
        <f t="shared" ref="DD16" si="288">DC16</f>
        <v>740</v>
      </c>
      <c r="DE16" s="328">
        <f t="shared" ref="DE16" si="289">DD16</f>
        <v>740</v>
      </c>
      <c r="DF16" s="328">
        <f t="shared" ref="DF16" si="290">DE16</f>
        <v>740</v>
      </c>
      <c r="DG16" s="328">
        <f t="shared" ref="DG16" si="291">DF16</f>
        <v>740</v>
      </c>
      <c r="DH16" s="328">
        <f t="shared" ref="DH16" si="292">DG16</f>
        <v>740</v>
      </c>
      <c r="DI16" s="328">
        <f t="shared" ref="DI16" si="293">DH16</f>
        <v>740</v>
      </c>
      <c r="DJ16" s="328">
        <f t="shared" ref="DJ16" si="294">DI16</f>
        <v>740</v>
      </c>
      <c r="DK16" s="328">
        <f t="shared" ref="DK16" si="295">DJ16</f>
        <v>740</v>
      </c>
      <c r="DL16" s="328">
        <f t="shared" ref="DL16" si="296">DK16</f>
        <v>740</v>
      </c>
      <c r="DM16" s="342">
        <f t="shared" ref="DM16" si="297">DL16</f>
        <v>740</v>
      </c>
      <c r="DN16" s="341">
        <f t="shared" ref="DN16" si="298">DM16</f>
        <v>740</v>
      </c>
      <c r="DO16" s="328">
        <f t="shared" ref="DO16" si="299">DN16</f>
        <v>740</v>
      </c>
      <c r="DP16" s="328">
        <f t="shared" ref="DP16" si="300">DO16</f>
        <v>740</v>
      </c>
      <c r="DQ16" s="328">
        <f t="shared" ref="DQ16" si="301">DP16</f>
        <v>740</v>
      </c>
      <c r="DR16" s="328">
        <f t="shared" ref="DR16" si="302">DQ16</f>
        <v>740</v>
      </c>
      <c r="DS16" s="328">
        <f t="shared" ref="DS16" si="303">DR16</f>
        <v>740</v>
      </c>
      <c r="DT16" s="328">
        <f t="shared" ref="DT16" si="304">DS16</f>
        <v>740</v>
      </c>
      <c r="DU16" s="328">
        <f t="shared" ref="DU16" si="305">DT16</f>
        <v>740</v>
      </c>
      <c r="DV16" s="328">
        <f t="shared" ref="DV16" si="306">DU16</f>
        <v>740</v>
      </c>
      <c r="DW16" s="328">
        <f t="shared" ref="DW16" si="307">DV16</f>
        <v>740</v>
      </c>
      <c r="DX16" s="328">
        <f t="shared" ref="DX16" si="308">DW16</f>
        <v>740</v>
      </c>
      <c r="DY16" s="342">
        <f t="shared" ref="DY16" si="309">DX16</f>
        <v>740</v>
      </c>
      <c r="DZ16" s="341">
        <f t="shared" ref="DZ16" si="310">DY16</f>
        <v>740</v>
      </c>
      <c r="EA16" s="328">
        <f t="shared" ref="EA16" si="311">DZ16</f>
        <v>740</v>
      </c>
      <c r="EB16" s="328">
        <f t="shared" ref="EB16" si="312">EA16</f>
        <v>740</v>
      </c>
      <c r="EC16" s="328">
        <f t="shared" ref="EC16" si="313">EB16</f>
        <v>740</v>
      </c>
      <c r="ED16" s="328">
        <f t="shared" ref="ED16" si="314">EC16</f>
        <v>740</v>
      </c>
      <c r="EE16" s="328">
        <f t="shared" ref="EE16" si="315">ED16</f>
        <v>740</v>
      </c>
      <c r="EF16" s="328">
        <f t="shared" ref="EF16" si="316">EE16</f>
        <v>740</v>
      </c>
      <c r="EG16" s="328">
        <f t="shared" ref="EG16" si="317">EF16</f>
        <v>740</v>
      </c>
      <c r="EH16" s="328">
        <f t="shared" ref="EH16" si="318">EG16</f>
        <v>740</v>
      </c>
      <c r="EI16" s="328">
        <f t="shared" ref="EI16" si="319">EH16</f>
        <v>740</v>
      </c>
      <c r="EJ16" s="328">
        <f t="shared" ref="EJ16" si="320">EI16</f>
        <v>740</v>
      </c>
      <c r="EK16" s="342">
        <f t="shared" ref="EK16" si="321">EJ16</f>
        <v>740</v>
      </c>
      <c r="EL16" s="341">
        <f t="shared" ref="EL16" si="322">EK16</f>
        <v>740</v>
      </c>
      <c r="EM16" s="328">
        <f t="shared" ref="EM16" si="323">EL16</f>
        <v>740</v>
      </c>
      <c r="EN16" s="328">
        <f t="shared" ref="EN16" si="324">EM16</f>
        <v>740</v>
      </c>
      <c r="EO16" s="328">
        <f t="shared" ref="EO16" si="325">EN16</f>
        <v>740</v>
      </c>
      <c r="EP16" s="328">
        <f t="shared" ref="EP16" si="326">EO16</f>
        <v>740</v>
      </c>
      <c r="EQ16" s="328">
        <f t="shared" ref="EQ16" si="327">EP16</f>
        <v>740</v>
      </c>
      <c r="ER16" s="328">
        <f t="shared" ref="ER16" si="328">EQ16</f>
        <v>740</v>
      </c>
      <c r="ES16" s="328">
        <f t="shared" ref="ES16" si="329">ER16</f>
        <v>740</v>
      </c>
      <c r="ET16" s="328">
        <f t="shared" ref="ET16" si="330">ES16</f>
        <v>740</v>
      </c>
      <c r="EU16" s="328">
        <f t="shared" ref="EU16" si="331">ET16</f>
        <v>740</v>
      </c>
      <c r="EV16" s="328">
        <f t="shared" ref="EV16" si="332">EU16</f>
        <v>740</v>
      </c>
      <c r="EW16" s="342">
        <f t="shared" ref="EW16" si="333">EV16</f>
        <v>740</v>
      </c>
      <c r="EX16" s="328">
        <f t="shared" ref="EX16" si="334">EW16</f>
        <v>740</v>
      </c>
      <c r="EY16" s="328">
        <f t="shared" ref="EY16" si="335">EX16</f>
        <v>740</v>
      </c>
      <c r="EZ16" s="328">
        <f t="shared" ref="EZ16" si="336">EY16</f>
        <v>740</v>
      </c>
      <c r="FA16" s="328">
        <f t="shared" ref="FA16" si="337">EZ16</f>
        <v>740</v>
      </c>
      <c r="FB16" s="328">
        <f t="shared" ref="FB16" si="338">FA16</f>
        <v>740</v>
      </c>
      <c r="FC16" s="328">
        <f t="shared" ref="FC16" si="339">FB16</f>
        <v>740</v>
      </c>
      <c r="FD16" s="328">
        <f t="shared" ref="FD16" si="340">FC16</f>
        <v>740</v>
      </c>
      <c r="FE16" s="328">
        <f t="shared" ref="FE16" si="341">FD16</f>
        <v>740</v>
      </c>
      <c r="FF16" s="328">
        <f t="shared" ref="FF16" si="342">FE16</f>
        <v>740</v>
      </c>
      <c r="FG16" s="328">
        <f t="shared" ref="FG16" si="343">FF16</f>
        <v>740</v>
      </c>
      <c r="FH16" s="328">
        <f t="shared" ref="FH16" si="344">FG16</f>
        <v>740</v>
      </c>
      <c r="FI16" s="342">
        <f t="shared" ref="FI16" si="345">FH16</f>
        <v>740</v>
      </c>
      <c r="FJ16" s="328">
        <f t="shared" ref="FJ16" si="346">FI16</f>
        <v>740</v>
      </c>
      <c r="FK16" s="328">
        <f t="shared" ref="FK16" si="347">FJ16</f>
        <v>740</v>
      </c>
      <c r="FL16" s="328">
        <f t="shared" ref="FL16" si="348">FK16</f>
        <v>740</v>
      </c>
      <c r="FM16" s="328">
        <f t="shared" ref="FM16" si="349">FL16</f>
        <v>740</v>
      </c>
      <c r="FN16" s="328">
        <f t="shared" ref="FN16" si="350">FM16</f>
        <v>740</v>
      </c>
      <c r="FO16" s="328">
        <f t="shared" ref="FO16" si="351">FN16</f>
        <v>740</v>
      </c>
      <c r="FP16" s="328">
        <f t="shared" ref="FP16" si="352">FO16</f>
        <v>740</v>
      </c>
      <c r="FQ16" s="328">
        <f t="shared" ref="FQ16" si="353">FP16</f>
        <v>740</v>
      </c>
      <c r="FR16" s="328">
        <f t="shared" ref="FR16" si="354">FQ16</f>
        <v>740</v>
      </c>
      <c r="FS16" s="328">
        <f t="shared" ref="FS16" si="355">FR16</f>
        <v>740</v>
      </c>
      <c r="FT16" s="328">
        <f t="shared" ref="FT16" si="356">FS16</f>
        <v>740</v>
      </c>
      <c r="FU16" s="342">
        <f t="shared" ref="FU16" si="357">FT16</f>
        <v>740</v>
      </c>
      <c r="FV16" s="328">
        <f t="shared" ref="FV16" si="358">FU16</f>
        <v>740</v>
      </c>
      <c r="FW16" s="328">
        <f t="shared" ref="FW16" si="359">FV16</f>
        <v>740</v>
      </c>
      <c r="FX16" s="328">
        <f t="shared" ref="FX16" si="360">FW16</f>
        <v>740</v>
      </c>
      <c r="FY16" s="328">
        <f t="shared" ref="FY16" si="361">FX16</f>
        <v>740</v>
      </c>
      <c r="FZ16" s="328">
        <f t="shared" ref="FZ16" si="362">FY16</f>
        <v>740</v>
      </c>
      <c r="GA16" s="328">
        <f t="shared" ref="GA16" si="363">FZ16</f>
        <v>740</v>
      </c>
      <c r="GB16" s="328">
        <f t="shared" ref="GB16" si="364">GA16</f>
        <v>740</v>
      </c>
      <c r="GC16" s="328">
        <f t="shared" ref="GC16" si="365">GB16</f>
        <v>740</v>
      </c>
      <c r="GD16" s="328">
        <f t="shared" ref="GD16" si="366">GC16</f>
        <v>740</v>
      </c>
      <c r="GE16" s="328">
        <f t="shared" ref="GE16" si="367">GD16</f>
        <v>740</v>
      </c>
      <c r="GF16" s="328">
        <f t="shared" ref="GF16" si="368">GE16</f>
        <v>740</v>
      </c>
      <c r="GG16" s="342">
        <f t="shared" ref="GG16" si="369">GF16</f>
        <v>740</v>
      </c>
      <c r="GH16" s="328">
        <f t="shared" ref="GH16" si="370">GG16</f>
        <v>740</v>
      </c>
      <c r="GI16" s="328">
        <f t="shared" ref="GI16" si="371">GH16</f>
        <v>740</v>
      </c>
      <c r="GJ16" s="328">
        <f t="shared" ref="GJ16" si="372">GI16</f>
        <v>740</v>
      </c>
      <c r="GK16" s="328">
        <f t="shared" ref="GK16" si="373">GJ16</f>
        <v>740</v>
      </c>
      <c r="GL16" s="328">
        <f t="shared" ref="GL16" si="374">GK16</f>
        <v>740</v>
      </c>
      <c r="GM16" s="328">
        <f t="shared" ref="GM16" si="375">GL16</f>
        <v>740</v>
      </c>
      <c r="GN16" s="328">
        <f t="shared" ref="GN16" si="376">GM16</f>
        <v>740</v>
      </c>
      <c r="GO16" s="328">
        <f t="shared" ref="GO16" si="377">GN16</f>
        <v>740</v>
      </c>
      <c r="GP16" s="328">
        <f t="shared" ref="GP16" si="378">GO16</f>
        <v>740</v>
      </c>
      <c r="GQ16" s="328">
        <f t="shared" ref="GQ16" si="379">GP16</f>
        <v>740</v>
      </c>
      <c r="GR16" s="328">
        <f t="shared" ref="GR16" si="380">GQ16</f>
        <v>740</v>
      </c>
      <c r="GS16" s="342">
        <f t="shared" ref="GS16" si="381">GR16</f>
        <v>740</v>
      </c>
      <c r="GT16" s="328">
        <f t="shared" ref="GT16" si="382">GS16</f>
        <v>740</v>
      </c>
    </row>
    <row r="17" spans="1:202">
      <c r="A17" s="19"/>
      <c r="B17" s="253" t="s">
        <v>9</v>
      </c>
      <c r="C17" s="23"/>
      <c r="D17" s="246"/>
      <c r="E17" s="23">
        <f t="shared" si="269"/>
        <v>0</v>
      </c>
      <c r="F17" s="246">
        <f>SUM(BF17:BQ17)</f>
        <v>0</v>
      </c>
      <c r="G17" s="23">
        <f t="shared" si="270"/>
        <v>0</v>
      </c>
      <c r="H17" s="246">
        <f t="shared" si="271"/>
        <v>0</v>
      </c>
      <c r="I17" s="694">
        <f>SUM(CE17:CP17)</f>
        <v>0</v>
      </c>
      <c r="J17" s="328"/>
      <c r="K17" s="274"/>
      <c r="L17" s="274"/>
      <c r="M17" s="246"/>
      <c r="N17" s="251"/>
      <c r="O17" s="251"/>
      <c r="P17" s="251"/>
      <c r="Q17" s="251">
        <f t="shared" ref="Q17:Q21" si="383">IFERROR(AVERAGEIF(CE17:CP17,"&gt;0"),0)</f>
        <v>0</v>
      </c>
      <c r="R17" s="328"/>
      <c r="S17" s="274"/>
      <c r="T17" s="23"/>
      <c r="U17" s="251"/>
      <c r="V17" s="274"/>
      <c r="W17" s="23">
        <v>180</v>
      </c>
      <c r="X17" s="23"/>
      <c r="Y17" s="23"/>
      <c r="Z17" s="23">
        <v>180</v>
      </c>
      <c r="AA17" s="23"/>
      <c r="AB17" s="23"/>
      <c r="AC17" s="23">
        <v>180</v>
      </c>
      <c r="AD17" s="23"/>
      <c r="AE17" s="23"/>
      <c r="AF17" s="23">
        <v>60</v>
      </c>
      <c r="AG17" s="251">
        <v>60</v>
      </c>
      <c r="AH17" s="274">
        <v>60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51"/>
      <c r="AT17" s="274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51"/>
      <c r="BF17" s="274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51"/>
      <c r="BR17" s="274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51"/>
      <c r="CD17" s="274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51"/>
      <c r="CP17" s="274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51"/>
      <c r="DB17" s="274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51"/>
      <c r="DN17" s="274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51"/>
      <c r="DZ17" s="274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51"/>
      <c r="EL17" s="274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51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51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51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51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51"/>
      <c r="GT17" s="23"/>
    </row>
    <row r="18" spans="1:202">
      <c r="A18" s="19"/>
      <c r="B18" s="350" t="s">
        <v>10</v>
      </c>
      <c r="C18" s="328">
        <f t="shared" ref="C18:C26" si="384">SUM(V18:AG18)</f>
        <v>3564</v>
      </c>
      <c r="D18" s="330">
        <f t="shared" ref="D18:D25" si="385">SUM(AH18:AS18)</f>
        <v>3568.5</v>
      </c>
      <c r="E18" s="328">
        <f t="shared" si="269"/>
        <v>16885.23</v>
      </c>
      <c r="F18" s="330">
        <f t="shared" ref="F18:F25" si="386">SUM(BF18:BQ18)</f>
        <v>3259</v>
      </c>
      <c r="G18" s="328">
        <f t="shared" si="270"/>
        <v>3259</v>
      </c>
      <c r="H18" s="330">
        <f t="shared" si="271"/>
        <v>3259</v>
      </c>
      <c r="I18" s="1029">
        <f t="shared" ref="I18:I30" si="387">SUM(CP18:DA18)</f>
        <v>3259</v>
      </c>
      <c r="J18" s="328"/>
      <c r="K18" s="1037">
        <f t="shared" ref="K18:K31" si="388">C18/12</f>
        <v>297</v>
      </c>
      <c r="L18" s="1037">
        <f t="shared" ref="L18:L32" si="389">D18/12</f>
        <v>297.375</v>
      </c>
      <c r="M18" s="1041">
        <f t="shared" ref="M18:M32" si="390">E18/12</f>
        <v>1407.1025</v>
      </c>
      <c r="N18" s="1039">
        <f t="shared" ref="N18:N32" si="391">F18/12</f>
        <v>271.58333333333331</v>
      </c>
      <c r="O18" s="1039">
        <f t="shared" ref="O18:Q32" si="392">G18/12</f>
        <v>271.58333333333331</v>
      </c>
      <c r="P18" s="1039">
        <f t="shared" si="392"/>
        <v>271.58333333333331</v>
      </c>
      <c r="Q18" s="1039">
        <f>IFERROR(AVERAGEIF(CP18:DA18,"&gt;0"),0)</f>
        <v>271.58333333333331</v>
      </c>
      <c r="R18" s="328"/>
      <c r="S18" s="341">
        <v>297</v>
      </c>
      <c r="T18" s="328">
        <v>297</v>
      </c>
      <c r="U18" s="342">
        <v>297</v>
      </c>
      <c r="V18" s="341">
        <v>297</v>
      </c>
      <c r="W18" s="328">
        <v>297</v>
      </c>
      <c r="X18" s="328">
        <v>297</v>
      </c>
      <c r="Y18" s="328">
        <v>297</v>
      </c>
      <c r="Z18" s="328">
        <v>297</v>
      </c>
      <c r="AA18" s="328">
        <v>297</v>
      </c>
      <c r="AB18" s="328">
        <v>297</v>
      </c>
      <c r="AC18" s="328">
        <v>297</v>
      </c>
      <c r="AD18" s="328">
        <v>297</v>
      </c>
      <c r="AE18" s="328">
        <v>297</v>
      </c>
      <c r="AF18" s="328">
        <v>297</v>
      </c>
      <c r="AG18" s="342">
        <v>297</v>
      </c>
      <c r="AH18" s="341">
        <v>297</v>
      </c>
      <c r="AI18" s="328">
        <v>297</v>
      </c>
      <c r="AJ18" s="328">
        <v>297</v>
      </c>
      <c r="AK18" s="328">
        <v>297.5</v>
      </c>
      <c r="AL18" s="328">
        <v>297.5</v>
      </c>
      <c r="AM18" s="328">
        <v>297.5</v>
      </c>
      <c r="AN18" s="328">
        <v>297.5</v>
      </c>
      <c r="AO18" s="328">
        <v>297.5</v>
      </c>
      <c r="AP18" s="328">
        <v>297.5</v>
      </c>
      <c r="AQ18" s="328">
        <v>297.5</v>
      </c>
      <c r="AR18" s="328">
        <v>297.5</v>
      </c>
      <c r="AS18" s="342">
        <v>297.5</v>
      </c>
      <c r="AT18" s="341">
        <v>297.5</v>
      </c>
      <c r="AU18" s="328">
        <f>199+2.75+0.5+13838.98</f>
        <v>14041.23</v>
      </c>
      <c r="AV18" s="328">
        <f>185.75+2.5</f>
        <v>188.25</v>
      </c>
      <c r="AW18" s="328">
        <f>AV18</f>
        <v>188.25</v>
      </c>
      <c r="AX18" s="328">
        <f>AW18+83</f>
        <v>271.25</v>
      </c>
      <c r="AY18" s="328">
        <f t="shared" ref="AY18:BE18" si="393">AX18</f>
        <v>271.25</v>
      </c>
      <c r="AZ18" s="328">
        <f t="shared" si="393"/>
        <v>271.25</v>
      </c>
      <c r="BA18" s="328">
        <f>80.5+2.5+185.75+2.5</f>
        <v>271.25</v>
      </c>
      <c r="BB18" s="328">
        <f t="shared" si="393"/>
        <v>271.25</v>
      </c>
      <c r="BC18" s="328">
        <f t="shared" si="393"/>
        <v>271.25</v>
      </c>
      <c r="BD18" s="328">
        <f t="shared" si="393"/>
        <v>271.25</v>
      </c>
      <c r="BE18" s="342">
        <f t="shared" si="393"/>
        <v>271.25</v>
      </c>
      <c r="BF18" s="341">
        <f>BE18</f>
        <v>271.25</v>
      </c>
      <c r="BG18" s="328">
        <f t="shared" ref="BG18:BH18" si="394">BF18</f>
        <v>271.25</v>
      </c>
      <c r="BH18" s="328">
        <f t="shared" si="394"/>
        <v>271.25</v>
      </c>
      <c r="BI18" s="328">
        <f>'SPESE MENSILI MACCHINA'!P50</f>
        <v>275.25</v>
      </c>
      <c r="BJ18" s="328">
        <f>BH18</f>
        <v>271.25</v>
      </c>
      <c r="BK18" s="328">
        <f t="shared" ref="BK18:DT18" si="395">BJ18</f>
        <v>271.25</v>
      </c>
      <c r="BL18" s="328">
        <f t="shared" si="395"/>
        <v>271.25</v>
      </c>
      <c r="BM18" s="328">
        <f t="shared" si="395"/>
        <v>271.25</v>
      </c>
      <c r="BN18" s="328">
        <f t="shared" si="395"/>
        <v>271.25</v>
      </c>
      <c r="BO18" s="328">
        <f>'SPESE MENSILI MACCHINA'!P56</f>
        <v>271.25</v>
      </c>
      <c r="BP18" s="328">
        <f t="shared" si="395"/>
        <v>271.25</v>
      </c>
      <c r="BQ18" s="342">
        <f t="shared" si="395"/>
        <v>271.25</v>
      </c>
      <c r="BR18" s="341">
        <f t="shared" si="395"/>
        <v>271.25</v>
      </c>
      <c r="BS18" s="328">
        <f t="shared" si="395"/>
        <v>271.25</v>
      </c>
      <c r="BT18" s="328">
        <f t="shared" si="395"/>
        <v>271.25</v>
      </c>
      <c r="BU18" s="328">
        <f>275.25</f>
        <v>275.25</v>
      </c>
      <c r="BV18" s="328">
        <v>271.25</v>
      </c>
      <c r="BW18" s="328">
        <f>BV18</f>
        <v>271.25</v>
      </c>
      <c r="BX18" s="328">
        <f t="shared" si="395"/>
        <v>271.25</v>
      </c>
      <c r="BY18" s="328">
        <f t="shared" si="395"/>
        <v>271.25</v>
      </c>
      <c r="BZ18" s="328">
        <f t="shared" si="395"/>
        <v>271.25</v>
      </c>
      <c r="CA18" s="328">
        <f t="shared" si="395"/>
        <v>271.25</v>
      </c>
      <c r="CB18" s="328">
        <f t="shared" si="395"/>
        <v>271.25</v>
      </c>
      <c r="CC18" s="342">
        <f t="shared" si="395"/>
        <v>271.25</v>
      </c>
      <c r="CD18" s="341">
        <f t="shared" si="395"/>
        <v>271.25</v>
      </c>
      <c r="CE18" s="328">
        <f t="shared" si="395"/>
        <v>271.25</v>
      </c>
      <c r="CF18" s="328">
        <f t="shared" si="395"/>
        <v>271.25</v>
      </c>
      <c r="CG18" s="328">
        <v>275.25</v>
      </c>
      <c r="CH18" s="328">
        <f>CF18</f>
        <v>271.25</v>
      </c>
      <c r="CI18" s="328">
        <f t="shared" si="395"/>
        <v>271.25</v>
      </c>
      <c r="CJ18" s="328">
        <f t="shared" si="395"/>
        <v>271.25</v>
      </c>
      <c r="CK18" s="328">
        <f t="shared" si="395"/>
        <v>271.25</v>
      </c>
      <c r="CL18" s="328">
        <f t="shared" si="395"/>
        <v>271.25</v>
      </c>
      <c r="CM18" s="328">
        <f t="shared" si="395"/>
        <v>271.25</v>
      </c>
      <c r="CN18" s="328">
        <f t="shared" si="395"/>
        <v>271.25</v>
      </c>
      <c r="CO18" s="342">
        <f t="shared" si="395"/>
        <v>271.25</v>
      </c>
      <c r="CP18" s="341">
        <f t="shared" si="395"/>
        <v>271.25</v>
      </c>
      <c r="CQ18" s="328">
        <f t="shared" si="395"/>
        <v>271.25</v>
      </c>
      <c r="CR18" s="328">
        <f t="shared" si="395"/>
        <v>271.25</v>
      </c>
      <c r="CS18" s="328">
        <f>275.25</f>
        <v>275.25</v>
      </c>
      <c r="CT18" s="328">
        <f>CR18</f>
        <v>271.25</v>
      </c>
      <c r="CU18" s="328">
        <f t="shared" si="395"/>
        <v>271.25</v>
      </c>
      <c r="CV18" s="328">
        <f t="shared" si="395"/>
        <v>271.25</v>
      </c>
      <c r="CW18" s="328">
        <f t="shared" si="395"/>
        <v>271.25</v>
      </c>
      <c r="CX18" s="328">
        <f t="shared" si="395"/>
        <v>271.25</v>
      </c>
      <c r="CY18" s="328">
        <f t="shared" si="395"/>
        <v>271.25</v>
      </c>
      <c r="CZ18" s="328">
        <f t="shared" si="395"/>
        <v>271.25</v>
      </c>
      <c r="DA18" s="342">
        <f t="shared" si="395"/>
        <v>271.25</v>
      </c>
      <c r="DB18" s="341">
        <f t="shared" si="395"/>
        <v>271.25</v>
      </c>
      <c r="DC18" s="328">
        <f t="shared" si="395"/>
        <v>271.25</v>
      </c>
      <c r="DD18" s="328">
        <f t="shared" si="395"/>
        <v>271.25</v>
      </c>
      <c r="DE18" s="328">
        <f t="shared" si="395"/>
        <v>271.25</v>
      </c>
      <c r="DF18" s="328">
        <f t="shared" si="395"/>
        <v>271.25</v>
      </c>
      <c r="DG18" s="328">
        <f t="shared" si="395"/>
        <v>271.25</v>
      </c>
      <c r="DH18" s="328">
        <f t="shared" si="395"/>
        <v>271.25</v>
      </c>
      <c r="DI18" s="328">
        <f t="shared" si="395"/>
        <v>271.25</v>
      </c>
      <c r="DJ18" s="328">
        <f t="shared" si="395"/>
        <v>271.25</v>
      </c>
      <c r="DK18" s="328">
        <f t="shared" si="395"/>
        <v>271.25</v>
      </c>
      <c r="DL18" s="328">
        <f t="shared" si="395"/>
        <v>271.25</v>
      </c>
      <c r="DM18" s="342">
        <f t="shared" si="395"/>
        <v>271.25</v>
      </c>
      <c r="DN18" s="341">
        <f t="shared" si="395"/>
        <v>271.25</v>
      </c>
      <c r="DO18" s="328">
        <f t="shared" si="395"/>
        <v>271.25</v>
      </c>
      <c r="DP18" s="328">
        <f t="shared" si="395"/>
        <v>271.25</v>
      </c>
      <c r="DQ18" s="328">
        <f t="shared" si="395"/>
        <v>271.25</v>
      </c>
      <c r="DR18" s="328">
        <f t="shared" si="395"/>
        <v>271.25</v>
      </c>
      <c r="DS18" s="328">
        <f t="shared" si="395"/>
        <v>271.25</v>
      </c>
      <c r="DT18" s="328">
        <f t="shared" si="395"/>
        <v>271.25</v>
      </c>
      <c r="DU18" s="328">
        <f>DT18-('Gestione finanziamenti'!K10)</f>
        <v>188.25</v>
      </c>
      <c r="DV18" s="328">
        <f t="shared" ref="DV18:EP18" si="396">DU18</f>
        <v>188.25</v>
      </c>
      <c r="DW18" s="328">
        <f t="shared" si="396"/>
        <v>188.25</v>
      </c>
      <c r="DX18" s="328">
        <f t="shared" si="396"/>
        <v>188.25</v>
      </c>
      <c r="DY18" s="342">
        <f t="shared" si="396"/>
        <v>188.25</v>
      </c>
      <c r="DZ18" s="341">
        <f t="shared" si="396"/>
        <v>188.25</v>
      </c>
      <c r="EA18" s="328">
        <f t="shared" si="396"/>
        <v>188.25</v>
      </c>
      <c r="EB18" s="328">
        <f t="shared" si="396"/>
        <v>188.25</v>
      </c>
      <c r="EC18" s="328">
        <f t="shared" si="396"/>
        <v>188.25</v>
      </c>
      <c r="ED18" s="328">
        <f t="shared" si="396"/>
        <v>188.25</v>
      </c>
      <c r="EE18" s="328">
        <f t="shared" si="396"/>
        <v>188.25</v>
      </c>
      <c r="EF18" s="328">
        <f t="shared" si="396"/>
        <v>188.25</v>
      </c>
      <c r="EG18" s="328">
        <f t="shared" si="396"/>
        <v>188.25</v>
      </c>
      <c r="EH18" s="328">
        <f t="shared" si="396"/>
        <v>188.25</v>
      </c>
      <c r="EI18" s="328">
        <f t="shared" si="396"/>
        <v>188.25</v>
      </c>
      <c r="EJ18" s="328">
        <f t="shared" si="396"/>
        <v>188.25</v>
      </c>
      <c r="EK18" s="342">
        <f t="shared" si="396"/>
        <v>188.25</v>
      </c>
      <c r="EL18" s="341">
        <f t="shared" si="396"/>
        <v>188.25</v>
      </c>
      <c r="EM18" s="328">
        <f t="shared" si="396"/>
        <v>188.25</v>
      </c>
      <c r="EN18" s="328">
        <f t="shared" si="396"/>
        <v>188.25</v>
      </c>
      <c r="EO18" s="328">
        <f t="shared" si="396"/>
        <v>188.25</v>
      </c>
      <c r="EP18" s="328">
        <f t="shared" si="396"/>
        <v>188.25</v>
      </c>
      <c r="EQ18" s="328">
        <f t="shared" ref="EQ18" si="397">EP18</f>
        <v>188.25</v>
      </c>
      <c r="ER18" s="328">
        <f t="shared" ref="ER18" si="398">EQ18</f>
        <v>188.25</v>
      </c>
      <c r="ES18" s="328">
        <f t="shared" ref="ES18" si="399">ER18</f>
        <v>188.25</v>
      </c>
      <c r="ET18" s="328">
        <f t="shared" ref="ET18" si="400">ES18</f>
        <v>188.25</v>
      </c>
      <c r="EU18" s="328">
        <f t="shared" ref="EU18" si="401">ET18</f>
        <v>188.25</v>
      </c>
      <c r="EV18" s="328">
        <f t="shared" ref="EV18" si="402">EU18</f>
        <v>188.25</v>
      </c>
      <c r="EW18" s="342">
        <f t="shared" ref="EW18" si="403">EV18</f>
        <v>188.25</v>
      </c>
      <c r="EX18" s="328">
        <f t="shared" ref="EX18" si="404">EW18</f>
        <v>188.25</v>
      </c>
      <c r="EY18" s="328">
        <f t="shared" ref="EY18" si="405">EX18</f>
        <v>188.25</v>
      </c>
      <c r="EZ18" s="328">
        <f t="shared" ref="EZ18" si="406">EY18</f>
        <v>188.25</v>
      </c>
      <c r="FA18" s="328">
        <f t="shared" ref="FA18" si="407">EZ18</f>
        <v>188.25</v>
      </c>
      <c r="FB18" s="328">
        <f t="shared" ref="FB18" si="408">FA18</f>
        <v>188.25</v>
      </c>
      <c r="FC18" s="328">
        <f t="shared" ref="FC18" si="409">FB18</f>
        <v>188.25</v>
      </c>
      <c r="FD18" s="328">
        <f t="shared" ref="FD18" si="410">FC18</f>
        <v>188.25</v>
      </c>
      <c r="FE18" s="328">
        <f t="shared" ref="FE18" si="411">FD18</f>
        <v>188.25</v>
      </c>
      <c r="FF18" s="328">
        <f t="shared" ref="FF18" si="412">FE18</f>
        <v>188.25</v>
      </c>
      <c r="FG18" s="328">
        <f t="shared" ref="FG18" si="413">FF18</f>
        <v>188.25</v>
      </c>
      <c r="FH18" s="328">
        <f t="shared" ref="FH18" si="414">FG18</f>
        <v>188.25</v>
      </c>
      <c r="FI18" s="342">
        <f t="shared" ref="FI18" si="415">FH18</f>
        <v>188.25</v>
      </c>
      <c r="FJ18" s="328">
        <f t="shared" ref="FJ18" si="416">FI18</f>
        <v>188.25</v>
      </c>
      <c r="FK18" s="328">
        <f t="shared" ref="FK18" si="417">FJ18</f>
        <v>188.25</v>
      </c>
      <c r="FL18" s="328">
        <f t="shared" ref="FL18" si="418">FK18</f>
        <v>188.25</v>
      </c>
      <c r="FM18" s="328">
        <f t="shared" ref="FM18" si="419">FL18</f>
        <v>188.25</v>
      </c>
      <c r="FN18" s="328">
        <f t="shared" ref="FN18" si="420">FM18</f>
        <v>188.25</v>
      </c>
      <c r="FO18" s="328">
        <f t="shared" ref="FO18" si="421">FN18</f>
        <v>188.25</v>
      </c>
      <c r="FP18" s="328">
        <f t="shared" ref="FP18" si="422">FO18</f>
        <v>188.25</v>
      </c>
      <c r="FQ18" s="328">
        <f t="shared" ref="FQ18" si="423">FP18</f>
        <v>188.25</v>
      </c>
      <c r="FR18" s="328">
        <f t="shared" ref="FR18" si="424">FQ18</f>
        <v>188.25</v>
      </c>
      <c r="FS18" s="328">
        <f t="shared" ref="FS18" si="425">FR18</f>
        <v>188.25</v>
      </c>
      <c r="FT18" s="328">
        <f t="shared" ref="FT18" si="426">FS18</f>
        <v>188.25</v>
      </c>
      <c r="FU18" s="342"/>
      <c r="FV18" s="328"/>
      <c r="FW18" s="328"/>
      <c r="FX18" s="328"/>
      <c r="FY18" s="328"/>
      <c r="FZ18" s="328"/>
      <c r="GA18" s="328"/>
      <c r="GB18" s="328"/>
      <c r="GC18" s="328"/>
      <c r="GD18" s="328"/>
      <c r="GE18" s="328"/>
      <c r="GF18" s="328"/>
      <c r="GG18" s="342"/>
      <c r="GH18" s="328"/>
      <c r="GI18" s="328"/>
      <c r="GJ18" s="328"/>
      <c r="GK18" s="328"/>
      <c r="GL18" s="328"/>
      <c r="GM18" s="328"/>
      <c r="GN18" s="328"/>
      <c r="GO18" s="328"/>
      <c r="GP18" s="328"/>
      <c r="GQ18" s="328"/>
      <c r="GR18" s="328"/>
      <c r="GS18" s="342"/>
      <c r="GT18" s="328"/>
    </row>
    <row r="19" spans="1:202">
      <c r="A19" s="19"/>
      <c r="B19" s="253" t="s">
        <v>11</v>
      </c>
      <c r="C19" s="23">
        <f t="shared" si="384"/>
        <v>539.88999999999987</v>
      </c>
      <c r="D19" s="246">
        <f t="shared" si="385"/>
        <v>531.89</v>
      </c>
      <c r="E19" s="23">
        <f t="shared" si="269"/>
        <v>589.84</v>
      </c>
      <c r="F19" s="246">
        <f>SUM(BF19:BQ19)</f>
        <v>380</v>
      </c>
      <c r="G19" s="23">
        <f t="shared" si="270"/>
        <v>0</v>
      </c>
      <c r="H19" s="246">
        <f t="shared" si="271"/>
        <v>0</v>
      </c>
      <c r="I19" s="694">
        <f t="shared" si="387"/>
        <v>0</v>
      </c>
      <c r="J19" s="328"/>
      <c r="K19" s="274">
        <f t="shared" si="388"/>
        <v>44.99083333333332</v>
      </c>
      <c r="L19" s="274">
        <f t="shared" si="389"/>
        <v>44.324166666666663</v>
      </c>
      <c r="M19" s="246">
        <f t="shared" si="390"/>
        <v>49.153333333333336</v>
      </c>
      <c r="N19" s="251">
        <f t="shared" si="391"/>
        <v>31.666666666666668</v>
      </c>
      <c r="O19" s="251">
        <f t="shared" si="392"/>
        <v>0</v>
      </c>
      <c r="P19" s="251">
        <f t="shared" si="392"/>
        <v>0</v>
      </c>
      <c r="Q19" s="251">
        <f t="shared" si="383"/>
        <v>0</v>
      </c>
      <c r="R19" s="328"/>
      <c r="S19" s="274">
        <v>53.93</v>
      </c>
      <c r="T19" s="23">
        <v>53.93</v>
      </c>
      <c r="U19" s="251">
        <v>53.93</v>
      </c>
      <c r="V19" s="274">
        <v>53.93</v>
      </c>
      <c r="W19" s="23">
        <v>53.93</v>
      </c>
      <c r="X19" s="23">
        <v>53.93</v>
      </c>
      <c r="Y19" s="23">
        <v>53.93</v>
      </c>
      <c r="Z19" s="23">
        <v>54.02</v>
      </c>
      <c r="AA19" s="23"/>
      <c r="AB19" s="23"/>
      <c r="AC19" s="23">
        <v>54.03</v>
      </c>
      <c r="AD19" s="23">
        <v>54.03</v>
      </c>
      <c r="AE19" s="23">
        <v>54.03</v>
      </c>
      <c r="AF19" s="23">
        <v>54.03</v>
      </c>
      <c r="AG19" s="251">
        <v>54.03</v>
      </c>
      <c r="AH19" s="274">
        <v>54.03</v>
      </c>
      <c r="AI19" s="23"/>
      <c r="AJ19" s="23">
        <f>54.03+54.03</f>
        <v>108.06</v>
      </c>
      <c r="AK19" s="23">
        <v>54.53</v>
      </c>
      <c r="AL19" s="23">
        <v>54.62</v>
      </c>
      <c r="AM19" s="23"/>
      <c r="AN19" s="23"/>
      <c r="AO19" s="23">
        <v>52.13</v>
      </c>
      <c r="AP19" s="23">
        <v>52.13</v>
      </c>
      <c r="AQ19" s="23">
        <v>52.13</v>
      </c>
      <c r="AR19" s="23">
        <v>52.13</v>
      </c>
      <c r="AS19" s="251">
        <v>52.13</v>
      </c>
      <c r="AT19" s="274">
        <f>53.23+2.5</f>
        <v>55.73</v>
      </c>
      <c r="AU19" s="23">
        <v>52.13</v>
      </c>
      <c r="AV19" s="23">
        <v>52.13</v>
      </c>
      <c r="AW19" s="23">
        <v>52.13</v>
      </c>
      <c r="AX19" s="23">
        <v>52.22</v>
      </c>
      <c r="AY19" s="23"/>
      <c r="AZ19" s="23">
        <v>325.5</v>
      </c>
      <c r="BA19" s="23"/>
      <c r="BB19" s="23"/>
      <c r="BC19" s="23"/>
      <c r="BD19" s="23"/>
      <c r="BE19" s="251"/>
      <c r="BF19" s="274"/>
      <c r="BG19" s="23"/>
      <c r="BH19" s="23"/>
      <c r="BI19" s="23"/>
      <c r="BJ19" s="23"/>
      <c r="BK19" s="23"/>
      <c r="BL19" s="23">
        <v>380</v>
      </c>
      <c r="BM19" s="23"/>
      <c r="BN19" s="23"/>
      <c r="BO19" s="23"/>
      <c r="BP19" s="23"/>
      <c r="BQ19" s="251"/>
      <c r="BR19" s="274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51"/>
      <c r="CD19" s="274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51"/>
      <c r="CP19" s="274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51"/>
      <c r="DB19" s="274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51"/>
      <c r="DN19" s="274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51"/>
      <c r="DZ19" s="274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51"/>
      <c r="EL19" s="274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51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51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51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51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51"/>
      <c r="GT19" s="23"/>
    </row>
    <row r="20" spans="1:202">
      <c r="A20" s="19"/>
      <c r="B20" s="350" t="s">
        <v>12</v>
      </c>
      <c r="C20" s="328">
        <f t="shared" si="384"/>
        <v>66</v>
      </c>
      <c r="D20" s="330">
        <f t="shared" si="385"/>
        <v>112.34999999999997</v>
      </c>
      <c r="E20" s="328">
        <f t="shared" si="269"/>
        <v>82.199999999999989</v>
      </c>
      <c r="F20" s="330">
        <f t="shared" si="386"/>
        <v>82.199999999999989</v>
      </c>
      <c r="G20" s="328">
        <f t="shared" si="270"/>
        <v>82.199999999999989</v>
      </c>
      <c r="H20" s="330">
        <f t="shared" si="271"/>
        <v>82.199999999999989</v>
      </c>
      <c r="I20" s="1029">
        <f t="shared" si="387"/>
        <v>82.199999999999989</v>
      </c>
      <c r="J20" s="328"/>
      <c r="K20" s="341">
        <f t="shared" si="388"/>
        <v>5.5</v>
      </c>
      <c r="L20" s="341">
        <f t="shared" si="389"/>
        <v>9.3624999999999972</v>
      </c>
      <c r="M20" s="330">
        <f t="shared" si="390"/>
        <v>6.8499999999999988</v>
      </c>
      <c r="N20" s="342">
        <f t="shared" si="391"/>
        <v>6.8499999999999988</v>
      </c>
      <c r="O20" s="342">
        <f t="shared" si="392"/>
        <v>6.8499999999999988</v>
      </c>
      <c r="P20" s="342">
        <f t="shared" si="392"/>
        <v>6.8499999999999988</v>
      </c>
      <c r="Q20" s="342">
        <f>IFERROR(AVERAGEIF(CP20:DA20,"&gt;0"),0)</f>
        <v>6.8499999999999988</v>
      </c>
      <c r="R20" s="328"/>
      <c r="S20" s="341">
        <v>5.5</v>
      </c>
      <c r="T20" s="328">
        <v>5.5</v>
      </c>
      <c r="U20" s="342">
        <v>5.5</v>
      </c>
      <c r="V20" s="341">
        <v>5.5</v>
      </c>
      <c r="W20" s="328">
        <v>5.5</v>
      </c>
      <c r="X20" s="328">
        <v>5.5</v>
      </c>
      <c r="Y20" s="328">
        <v>5.5</v>
      </c>
      <c r="Z20" s="328">
        <v>5.5</v>
      </c>
      <c r="AA20" s="328">
        <v>5.5</v>
      </c>
      <c r="AB20" s="328">
        <v>5.5</v>
      </c>
      <c r="AC20" s="328">
        <v>5.5</v>
      </c>
      <c r="AD20" s="328">
        <v>5.5</v>
      </c>
      <c r="AE20" s="328">
        <v>5.5</v>
      </c>
      <c r="AF20" s="328">
        <v>5.5</v>
      </c>
      <c r="AG20" s="342">
        <v>5.5</v>
      </c>
      <c r="AH20" s="341">
        <f>5.5+34.2</f>
        <v>39.700000000000003</v>
      </c>
      <c r="AI20" s="328">
        <v>5.5</v>
      </c>
      <c r="AJ20" s="328">
        <v>5.5</v>
      </c>
      <c r="AK20" s="328">
        <v>6.85</v>
      </c>
      <c r="AL20" s="328">
        <v>6.85</v>
      </c>
      <c r="AM20" s="328">
        <v>6.85</v>
      </c>
      <c r="AN20" s="328">
        <v>6.85</v>
      </c>
      <c r="AO20" s="328">
        <v>6.85</v>
      </c>
      <c r="AP20" s="328">
        <v>6.85</v>
      </c>
      <c r="AQ20" s="328">
        <v>6.85</v>
      </c>
      <c r="AR20" s="328">
        <v>6.85</v>
      </c>
      <c r="AS20" s="342">
        <v>6.85</v>
      </c>
      <c r="AT20" s="341">
        <v>6.85</v>
      </c>
      <c r="AU20" s="328">
        <v>6.85</v>
      </c>
      <c r="AV20" s="328">
        <v>6.85</v>
      </c>
      <c r="AW20" s="328">
        <v>6.85</v>
      </c>
      <c r="AX20" s="328">
        <v>6.85</v>
      </c>
      <c r="AY20" s="328">
        <v>6.85</v>
      </c>
      <c r="AZ20" s="328">
        <v>6.85</v>
      </c>
      <c r="BA20" s="328">
        <v>6.85</v>
      </c>
      <c r="BB20" s="328">
        <v>6.85</v>
      </c>
      <c r="BC20" s="328">
        <v>6.85</v>
      </c>
      <c r="BD20" s="328">
        <v>6.85</v>
      </c>
      <c r="BE20" s="342">
        <v>6.85</v>
      </c>
      <c r="BF20" s="341">
        <v>6.85</v>
      </c>
      <c r="BG20" s="328">
        <v>6.85</v>
      </c>
      <c r="BH20" s="328">
        <v>6.85</v>
      </c>
      <c r="BI20" s="328">
        <v>6.85</v>
      </c>
      <c r="BJ20" s="328">
        <v>6.85</v>
      </c>
      <c r="BK20" s="328">
        <v>6.85</v>
      </c>
      <c r="BL20" s="328">
        <v>6.85</v>
      </c>
      <c r="BM20" s="328">
        <v>6.85</v>
      </c>
      <c r="BN20" s="344">
        <v>6.85</v>
      </c>
      <c r="BO20" s="328">
        <v>6.85</v>
      </c>
      <c r="BP20" s="328">
        <v>6.85</v>
      </c>
      <c r="BQ20" s="342">
        <v>6.85</v>
      </c>
      <c r="BR20" s="341">
        <v>6.85</v>
      </c>
      <c r="BS20" s="328">
        <v>6.85</v>
      </c>
      <c r="BT20" s="328">
        <v>6.85</v>
      </c>
      <c r="BU20" s="328">
        <v>6.85</v>
      </c>
      <c r="BV20" s="328">
        <v>6.85</v>
      </c>
      <c r="BW20" s="328">
        <v>6.85</v>
      </c>
      <c r="BX20" s="328">
        <v>6.85</v>
      </c>
      <c r="BY20" s="328">
        <v>6.85</v>
      </c>
      <c r="BZ20" s="328">
        <v>6.85</v>
      </c>
      <c r="CA20" s="328">
        <v>6.85</v>
      </c>
      <c r="CB20" s="328">
        <v>6.85</v>
      </c>
      <c r="CC20" s="342">
        <v>6.85</v>
      </c>
      <c r="CD20" s="341">
        <v>6.85</v>
      </c>
      <c r="CE20" s="328">
        <v>6.85</v>
      </c>
      <c r="CF20" s="328">
        <v>6.85</v>
      </c>
      <c r="CG20" s="328">
        <v>6.85</v>
      </c>
      <c r="CH20" s="328">
        <v>6.85</v>
      </c>
      <c r="CI20" s="328">
        <v>6.85</v>
      </c>
      <c r="CJ20" s="328">
        <v>6.85</v>
      </c>
      <c r="CK20" s="328">
        <v>6.85</v>
      </c>
      <c r="CL20" s="328">
        <v>6.85</v>
      </c>
      <c r="CM20" s="328">
        <v>6.85</v>
      </c>
      <c r="CN20" s="328">
        <v>6.85</v>
      </c>
      <c r="CO20" s="342">
        <v>6.85</v>
      </c>
      <c r="CP20" s="341">
        <v>6.85</v>
      </c>
      <c r="CQ20" s="328">
        <v>6.85</v>
      </c>
      <c r="CR20" s="328">
        <v>6.85</v>
      </c>
      <c r="CS20" s="328">
        <v>6.85</v>
      </c>
      <c r="CT20" s="328">
        <v>6.85</v>
      </c>
      <c r="CU20" s="328">
        <v>6.85</v>
      </c>
      <c r="CV20" s="328">
        <v>6.85</v>
      </c>
      <c r="CW20" s="328">
        <v>6.85</v>
      </c>
      <c r="CX20" s="328">
        <v>6.85</v>
      </c>
      <c r="CY20" s="328">
        <v>6.85</v>
      </c>
      <c r="CZ20" s="328">
        <v>6.85</v>
      </c>
      <c r="DA20" s="342">
        <v>6.85</v>
      </c>
      <c r="DB20" s="341">
        <v>6.85</v>
      </c>
      <c r="DC20" s="328">
        <v>6.85</v>
      </c>
      <c r="DD20" s="328">
        <v>6.85</v>
      </c>
      <c r="DE20" s="328">
        <v>6.85</v>
      </c>
      <c r="DF20" s="328">
        <v>6.85</v>
      </c>
      <c r="DG20" s="328">
        <v>6.85</v>
      </c>
      <c r="DH20" s="328">
        <v>6.85</v>
      </c>
      <c r="DI20" s="328">
        <v>6.85</v>
      </c>
      <c r="DJ20" s="328">
        <v>6.85</v>
      </c>
      <c r="DK20" s="328">
        <v>6.85</v>
      </c>
      <c r="DL20" s="328">
        <v>6.85</v>
      </c>
      <c r="DM20" s="342">
        <v>6.85</v>
      </c>
      <c r="DN20" s="341">
        <v>6.85</v>
      </c>
      <c r="DO20" s="328">
        <v>6.85</v>
      </c>
      <c r="DP20" s="328">
        <v>6.85</v>
      </c>
      <c r="DQ20" s="328">
        <v>6.85</v>
      </c>
      <c r="DR20" s="328">
        <v>6.85</v>
      </c>
      <c r="DS20" s="328">
        <v>6.85</v>
      </c>
      <c r="DT20" s="328">
        <v>6.85</v>
      </c>
      <c r="DU20" s="328">
        <v>6.85</v>
      </c>
      <c r="DV20" s="328">
        <v>6.85</v>
      </c>
      <c r="DW20" s="328">
        <v>6.85</v>
      </c>
      <c r="DX20" s="328">
        <v>6.85</v>
      </c>
      <c r="DY20" s="342">
        <v>6.85</v>
      </c>
      <c r="DZ20" s="341">
        <v>6.85</v>
      </c>
      <c r="EA20" s="328">
        <v>6.85</v>
      </c>
      <c r="EB20" s="328">
        <v>6.85</v>
      </c>
      <c r="EC20" s="328">
        <v>6.85</v>
      </c>
      <c r="ED20" s="328">
        <v>6.85</v>
      </c>
      <c r="EE20" s="328">
        <v>6.85</v>
      </c>
      <c r="EF20" s="328">
        <v>6.85</v>
      </c>
      <c r="EG20" s="328">
        <v>6.85</v>
      </c>
      <c r="EH20" s="328">
        <v>6.85</v>
      </c>
      <c r="EI20" s="328">
        <v>6.85</v>
      </c>
      <c r="EJ20" s="328">
        <v>6.85</v>
      </c>
      <c r="EK20" s="342">
        <v>6.85</v>
      </c>
      <c r="EL20" s="341">
        <v>6.85</v>
      </c>
      <c r="EM20" s="328">
        <v>6.85</v>
      </c>
      <c r="EN20" s="328">
        <v>6.85</v>
      </c>
      <c r="EO20" s="328">
        <v>6.85</v>
      </c>
      <c r="EP20" s="328">
        <v>6.85</v>
      </c>
      <c r="EQ20" s="328">
        <v>6.85</v>
      </c>
      <c r="ER20" s="328">
        <v>6.85</v>
      </c>
      <c r="ES20" s="328">
        <v>6.85</v>
      </c>
      <c r="ET20" s="328">
        <v>6.85</v>
      </c>
      <c r="EU20" s="328">
        <v>6.85</v>
      </c>
      <c r="EV20" s="328">
        <v>6.85</v>
      </c>
      <c r="EW20" s="342">
        <v>6.85</v>
      </c>
      <c r="EX20" s="328">
        <v>6.85</v>
      </c>
      <c r="EY20" s="328">
        <v>6.85</v>
      </c>
      <c r="EZ20" s="328">
        <v>6.85</v>
      </c>
      <c r="FA20" s="328">
        <v>6.85</v>
      </c>
      <c r="FB20" s="328">
        <v>6.85</v>
      </c>
      <c r="FC20" s="328">
        <v>6.85</v>
      </c>
      <c r="FD20" s="328">
        <v>6.85</v>
      </c>
      <c r="FE20" s="328">
        <v>6.85</v>
      </c>
      <c r="FF20" s="328">
        <v>6.85</v>
      </c>
      <c r="FG20" s="328">
        <v>6.85</v>
      </c>
      <c r="FH20" s="328">
        <v>6.85</v>
      </c>
      <c r="FI20" s="342">
        <v>6.85</v>
      </c>
      <c r="FJ20" s="328">
        <v>6.85</v>
      </c>
      <c r="FK20" s="328">
        <v>6.85</v>
      </c>
      <c r="FL20" s="328">
        <v>6.85</v>
      </c>
      <c r="FM20" s="328">
        <v>6.85</v>
      </c>
      <c r="FN20" s="328">
        <v>6.85</v>
      </c>
      <c r="FO20" s="328">
        <v>6.85</v>
      </c>
      <c r="FP20" s="328">
        <v>6.85</v>
      </c>
      <c r="FQ20" s="328">
        <v>6.85</v>
      </c>
      <c r="FR20" s="328">
        <v>6.85</v>
      </c>
      <c r="FS20" s="328">
        <v>6.85</v>
      </c>
      <c r="FT20" s="328">
        <v>6.85</v>
      </c>
      <c r="FU20" s="342">
        <v>6.85</v>
      </c>
      <c r="FV20" s="328">
        <v>6.85</v>
      </c>
      <c r="FW20" s="328">
        <v>6.85</v>
      </c>
      <c r="FX20" s="328">
        <v>6.85</v>
      </c>
      <c r="FY20" s="328">
        <v>6.85</v>
      </c>
      <c r="FZ20" s="328">
        <v>6.85</v>
      </c>
      <c r="GA20" s="328">
        <v>6.85</v>
      </c>
      <c r="GB20" s="328">
        <v>6.85</v>
      </c>
      <c r="GC20" s="328">
        <v>6.85</v>
      </c>
      <c r="GD20" s="328">
        <v>6.85</v>
      </c>
      <c r="GE20" s="328">
        <v>6.85</v>
      </c>
      <c r="GF20" s="328">
        <v>6.85</v>
      </c>
      <c r="GG20" s="342">
        <v>6.85</v>
      </c>
      <c r="GH20" s="328">
        <v>6.85</v>
      </c>
      <c r="GI20" s="328">
        <v>6.85</v>
      </c>
      <c r="GJ20" s="328">
        <v>6.85</v>
      </c>
      <c r="GK20" s="328">
        <v>6.85</v>
      </c>
      <c r="GL20" s="328">
        <v>6.85</v>
      </c>
      <c r="GM20" s="328">
        <v>6.85</v>
      </c>
      <c r="GN20" s="328">
        <v>6.85</v>
      </c>
      <c r="GO20" s="328">
        <v>6.85</v>
      </c>
      <c r="GP20" s="328">
        <v>6.85</v>
      </c>
      <c r="GQ20" s="328">
        <v>6.85</v>
      </c>
      <c r="GR20" s="328">
        <v>6.85</v>
      </c>
      <c r="GS20" s="342">
        <v>6.85</v>
      </c>
      <c r="GT20" s="328">
        <v>6.85</v>
      </c>
    </row>
    <row r="21" spans="1:202">
      <c r="A21" s="19"/>
      <c r="B21" s="253" t="s">
        <v>13</v>
      </c>
      <c r="C21" s="23">
        <f t="shared" si="384"/>
        <v>253.62</v>
      </c>
      <c r="D21" s="246">
        <f t="shared" si="385"/>
        <v>128.01999999999998</v>
      </c>
      <c r="E21" s="23">
        <f>SUM(AT21:BE21)</f>
        <v>294.97000000000003</v>
      </c>
      <c r="F21" s="246">
        <f t="shared" si="386"/>
        <v>262.76</v>
      </c>
      <c r="G21" s="23">
        <f t="shared" si="270"/>
        <v>157.85999999999999</v>
      </c>
      <c r="H21" s="246">
        <f t="shared" si="271"/>
        <v>52.25</v>
      </c>
      <c r="I21" s="694">
        <f t="shared" si="387"/>
        <v>0</v>
      </c>
      <c r="J21" s="328"/>
      <c r="K21" s="274">
        <f t="shared" si="388"/>
        <v>21.135000000000002</v>
      </c>
      <c r="L21" s="274">
        <f t="shared" si="389"/>
        <v>10.668333333333331</v>
      </c>
      <c r="M21" s="246">
        <f t="shared" si="390"/>
        <v>24.580833333333334</v>
      </c>
      <c r="N21" s="251">
        <f t="shared" si="391"/>
        <v>21.896666666666665</v>
      </c>
      <c r="O21" s="251">
        <f t="shared" si="392"/>
        <v>13.154999999999999</v>
      </c>
      <c r="P21" s="251">
        <f t="shared" si="392"/>
        <v>4.354166666666667</v>
      </c>
      <c r="Q21" s="251">
        <f t="shared" si="383"/>
        <v>52.25</v>
      </c>
      <c r="R21" s="328"/>
      <c r="S21" s="274"/>
      <c r="T21" s="23"/>
      <c r="U21" s="251">
        <v>55.13</v>
      </c>
      <c r="V21" s="274"/>
      <c r="W21" s="23"/>
      <c r="X21" s="23">
        <v>93.43</v>
      </c>
      <c r="Y21" s="23"/>
      <c r="Z21" s="23"/>
      <c r="AA21" s="23">
        <v>12.53</v>
      </c>
      <c r="AB21" s="23"/>
      <c r="AC21" s="23"/>
      <c r="AD21" s="23">
        <v>75.930000000000007</v>
      </c>
      <c r="AE21" s="23"/>
      <c r="AF21" s="23"/>
      <c r="AG21" s="251">
        <v>71.73</v>
      </c>
      <c r="AH21" s="274"/>
      <c r="AI21" s="23"/>
      <c r="AJ21" s="23">
        <v>35.83</v>
      </c>
      <c r="AK21" s="23"/>
      <c r="AL21" s="23"/>
      <c r="AM21" s="23">
        <v>34.83</v>
      </c>
      <c r="AN21" s="23"/>
      <c r="AO21" s="23"/>
      <c r="AP21" s="23">
        <v>22.53</v>
      </c>
      <c r="AQ21" s="23"/>
      <c r="AR21" s="23"/>
      <c r="AS21" s="251">
        <f>33.28+1.55</f>
        <v>34.83</v>
      </c>
      <c r="AT21" s="274"/>
      <c r="AU21" s="23">
        <f>31.08+1.55</f>
        <v>32.629999999999995</v>
      </c>
      <c r="AV21" s="23"/>
      <c r="AW21" s="23"/>
      <c r="AX21" s="23">
        <f>95.18+1.55</f>
        <v>96.73</v>
      </c>
      <c r="AZ21" s="23"/>
      <c r="BA21" s="23">
        <f>66.82+1.55</f>
        <v>68.36999999999999</v>
      </c>
      <c r="BB21" s="23"/>
      <c r="BC21" s="23"/>
      <c r="BD21" s="23">
        <f>95.69+1.55</f>
        <v>97.24</v>
      </c>
      <c r="BE21" s="251"/>
      <c r="BF21" s="274"/>
      <c r="BH21" s="23">
        <f>47.09+1.55</f>
        <v>48.64</v>
      </c>
      <c r="BI21" s="23"/>
      <c r="BK21" s="23">
        <f>49.59+1.55</f>
        <v>51.14</v>
      </c>
      <c r="BL21" s="23"/>
      <c r="BM21" s="23">
        <f>111.49+1.55</f>
        <v>113.03999999999999</v>
      </c>
      <c r="BN21" s="23"/>
      <c r="BO21" s="23"/>
      <c r="BP21" s="23">
        <f>48.39+1.55</f>
        <v>49.94</v>
      </c>
      <c r="BQ21" s="251"/>
      <c r="BR21" s="274"/>
      <c r="BS21" s="23">
        <f>50.59+1.55</f>
        <v>52.14</v>
      </c>
      <c r="BT21" s="23"/>
      <c r="BU21" s="23"/>
      <c r="BW21" s="23">
        <f>85.19+1.55</f>
        <v>86.74</v>
      </c>
      <c r="BX21" s="23"/>
      <c r="BY21" s="24"/>
      <c r="BZ21" s="23"/>
      <c r="CA21" s="23"/>
      <c r="CB21" s="24"/>
      <c r="CC21" s="251">
        <f>17.43+1.55</f>
        <v>18.98</v>
      </c>
      <c r="CD21" s="274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51">
        <f>50.7+1.55</f>
        <v>52.25</v>
      </c>
      <c r="CP21" s="274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51"/>
      <c r="DB21" s="274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51"/>
      <c r="DN21" s="274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51"/>
      <c r="DZ21" s="274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51"/>
      <c r="EL21" s="274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51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51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51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51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51"/>
      <c r="GT21" s="23"/>
    </row>
    <row r="22" spans="1:202">
      <c r="A22" s="19"/>
      <c r="B22" s="350" t="s">
        <v>14</v>
      </c>
      <c r="C22" s="328">
        <f t="shared" ref="C22:C23" si="427">SUM(V22:AG22)</f>
        <v>0</v>
      </c>
      <c r="D22" s="330">
        <f>SUM(AH22:AS22)</f>
        <v>521.57999999999993</v>
      </c>
      <c r="E22" s="328">
        <f t="shared" si="269"/>
        <v>610.79999999999995</v>
      </c>
      <c r="F22" s="330">
        <f>SUM(BF22:BQ22)</f>
        <v>333.84000000000003</v>
      </c>
      <c r="G22" s="328">
        <f t="shared" si="270"/>
        <v>718.13999999999987</v>
      </c>
      <c r="H22" s="330">
        <f t="shared" si="271"/>
        <v>743.07</v>
      </c>
      <c r="I22" s="1029">
        <f t="shared" si="387"/>
        <v>840.12503175683025</v>
      </c>
      <c r="J22" s="328"/>
      <c r="K22" s="341">
        <f t="shared" si="388"/>
        <v>0</v>
      </c>
      <c r="L22" s="341">
        <f t="shared" si="389"/>
        <v>43.464999999999996</v>
      </c>
      <c r="M22" s="330">
        <f t="shared" si="390"/>
        <v>50.9</v>
      </c>
      <c r="N22" s="342">
        <f t="shared" si="391"/>
        <v>27.820000000000004</v>
      </c>
      <c r="O22" s="342">
        <f t="shared" si="392"/>
        <v>59.844999999999992</v>
      </c>
      <c r="P22" s="342">
        <f t="shared" si="392"/>
        <v>61.922500000000007</v>
      </c>
      <c r="Q22" s="342">
        <f>I22/12</f>
        <v>70.010419313069193</v>
      </c>
      <c r="R22" s="328"/>
      <c r="S22" s="341"/>
      <c r="T22" s="328"/>
      <c r="U22" s="342"/>
      <c r="V22" s="341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42"/>
      <c r="AH22" s="341"/>
      <c r="AI22" s="328">
        <v>111.86</v>
      </c>
      <c r="AJ22" s="328"/>
      <c r="AK22" s="328">
        <v>100.96</v>
      </c>
      <c r="AL22" s="328"/>
      <c r="AM22" s="328">
        <v>66.38</v>
      </c>
      <c r="AN22" s="328"/>
      <c r="AO22" s="328">
        <v>41.39</v>
      </c>
      <c r="AP22" s="328"/>
      <c r="AQ22" s="328">
        <v>37.5</v>
      </c>
      <c r="AR22" s="328"/>
      <c r="AS22" s="342">
        <v>163.49</v>
      </c>
      <c r="AT22" s="341"/>
      <c r="AU22" s="328">
        <f>372.21+0.5</f>
        <v>372.71</v>
      </c>
      <c r="AV22" s="328"/>
      <c r="AW22" s="328">
        <f>44.18+18+0.5+0.5</f>
        <v>63.18</v>
      </c>
      <c r="AX22" s="328"/>
      <c r="AY22" s="328">
        <f>40.16+0.5</f>
        <v>40.659999999999997</v>
      </c>
      <c r="AZ22" s="328"/>
      <c r="BA22" s="328">
        <f>35.03+0.5</f>
        <v>35.53</v>
      </c>
      <c r="BB22" s="328"/>
      <c r="BC22" s="328">
        <f>17.33+0.5</f>
        <v>17.829999999999998</v>
      </c>
      <c r="BD22" s="328"/>
      <c r="BE22" s="342">
        <f>80.39+0.5</f>
        <v>80.89</v>
      </c>
      <c r="BF22" s="341"/>
      <c r="BG22" s="328">
        <f>'ANALISI CONSUMI GAS ENERGIA'!AL17+0.5</f>
        <v>48.97</v>
      </c>
      <c r="BH22" s="328">
        <f>'ANALISI CONSUMI GAS ENERGIA'!AN17+0.5</f>
        <v>112.97999999999999</v>
      </c>
      <c r="BI22" s="343"/>
      <c r="BJ22" s="345"/>
      <c r="BK22" s="328">
        <f>'ANALISI CONSUMI GAS ENERGIA'!AP17+0.5</f>
        <v>58.88</v>
      </c>
      <c r="BL22" s="345"/>
      <c r="BM22" s="328">
        <f>'ANALISI CONSUMI GAS ENERGIA'!AR17+0.5</f>
        <v>39.85</v>
      </c>
      <c r="BN22" s="345"/>
      <c r="BO22" s="328">
        <f>'ANALISI CONSUMI GAS ENERGIA'!AT17+0.5</f>
        <v>35</v>
      </c>
      <c r="BP22" s="343"/>
      <c r="BQ22" s="342">
        <f>'ANALISI CONSUMI GAS ENERGIA'!AV17+0.5</f>
        <v>38.159999999999997</v>
      </c>
      <c r="BR22" s="433"/>
      <c r="BS22" s="328">
        <f>'ANALISI CONSUMI GAS ENERGIA'!AX17+0.5</f>
        <v>197.9</v>
      </c>
      <c r="BT22" s="346"/>
      <c r="BU22" s="328">
        <f>'ANALISI CONSUMI GAS ENERGIA'!AZ17+0.5</f>
        <v>268.89999999999998</v>
      </c>
      <c r="BV22" s="343"/>
      <c r="BW22" s="328">
        <f>'ANALISI CONSUMI GAS ENERGIA'!BB17+0.5</f>
        <v>108.25999999999999</v>
      </c>
      <c r="BX22" s="346"/>
      <c r="BY22" s="328">
        <f>'ANALISI CONSUMI GAS ENERGIA'!BD17+0.5</f>
        <v>49.259999999999991</v>
      </c>
      <c r="BZ22" s="328"/>
      <c r="CA22" s="328">
        <f>'ANALISI CONSUMI GAS ENERGIA'!BF17+0.5</f>
        <v>45.79</v>
      </c>
      <c r="CB22" s="328"/>
      <c r="CC22" s="342">
        <f>'ANALISI CONSUMI GAS ENERGIA'!BH17+0.5</f>
        <v>48.03</v>
      </c>
      <c r="CD22" s="341"/>
      <c r="CE22" s="328">
        <f>'ANALISI CONSUMI GAS ENERGIA'!BJ17+0.5</f>
        <v>270.52999999999997</v>
      </c>
      <c r="CF22" s="328"/>
      <c r="CG22" s="328">
        <f>'ANALISI CONSUMI GAS ENERGIA'!BL17+0.5</f>
        <v>228.34</v>
      </c>
      <c r="CH22" s="328"/>
      <c r="CI22" s="328">
        <f>'ANALISI CONSUMI GAS ENERGIA'!BN17+0.5</f>
        <v>96.490000000000009</v>
      </c>
      <c r="CJ22" s="328"/>
      <c r="CK22" s="328">
        <f>'ANALISI CONSUMI GAS ENERGIA'!BP17+0.5</f>
        <v>49.78</v>
      </c>
      <c r="CL22" s="328"/>
      <c r="CM22" s="328">
        <f>'ANALISI CONSUMI GAS ENERGIA'!BR17+0.5</f>
        <v>47.81</v>
      </c>
      <c r="CN22" s="328"/>
      <c r="CO22" s="328">
        <f>'ANALISI CONSUMI GAS ENERGIA'!BT17+0.5</f>
        <v>50.12</v>
      </c>
      <c r="CP22" s="433"/>
      <c r="CQ22" s="328">
        <f>'ANALISI CONSUMI GAS ENERGIA'!BV17+0.5</f>
        <v>272.08</v>
      </c>
      <c r="CR22" s="346"/>
      <c r="CS22" s="328">
        <f>'ANALISI CONSUMI GAS ENERGIA'!BX17+0.5</f>
        <v>319.82</v>
      </c>
      <c r="CT22" s="346"/>
      <c r="CU22" s="328">
        <f>'ANALISI CONSUMI GAS ENERGIA'!BZ17+0.5</f>
        <v>120.97</v>
      </c>
      <c r="CV22" s="346"/>
      <c r="CW22" s="328">
        <v>30.25</v>
      </c>
      <c r="CX22" s="328">
        <v>21.23</v>
      </c>
      <c r="CY22" s="328">
        <v>20.29</v>
      </c>
      <c r="CZ22" s="346"/>
      <c r="DA22" s="561">
        <f>'ANALISI CONSUMI GAS ENERGIA'!CK17</f>
        <v>55.485031756830281</v>
      </c>
      <c r="DB22" s="433"/>
      <c r="DC22" s="346">
        <v>270.52999999999997</v>
      </c>
      <c r="DD22" s="346"/>
      <c r="DE22" s="346">
        <v>228.34</v>
      </c>
      <c r="DF22" s="346"/>
      <c r="DG22" s="346">
        <v>96.490000000000009</v>
      </c>
      <c r="DH22" s="346"/>
      <c r="DI22" s="346">
        <v>49.78</v>
      </c>
      <c r="DJ22" s="346"/>
      <c r="DK22" s="346">
        <v>46.517834186131878</v>
      </c>
      <c r="DL22" s="346"/>
      <c r="DM22" s="561">
        <v>47.187904641935312</v>
      </c>
      <c r="DN22" s="433"/>
      <c r="DO22" s="346">
        <v>270.52999999999997</v>
      </c>
      <c r="DP22" s="346"/>
      <c r="DQ22" s="346">
        <v>228.34</v>
      </c>
      <c r="DR22" s="346"/>
      <c r="DS22" s="346">
        <v>96.490000000000009</v>
      </c>
      <c r="DT22" s="346"/>
      <c r="DU22" s="346">
        <v>49.78</v>
      </c>
      <c r="DV22" s="346"/>
      <c r="DW22" s="346">
        <v>46.517834186131878</v>
      </c>
      <c r="DX22" s="346"/>
      <c r="DY22" s="561">
        <v>47.187904641935312</v>
      </c>
      <c r="DZ22" s="433"/>
      <c r="EA22" s="346">
        <v>270.52999999999997</v>
      </c>
      <c r="EB22" s="346"/>
      <c r="EC22" s="346">
        <v>228.34</v>
      </c>
      <c r="ED22" s="346"/>
      <c r="EE22" s="346">
        <v>96.490000000000009</v>
      </c>
      <c r="EF22" s="346"/>
      <c r="EG22" s="346">
        <v>49.78</v>
      </c>
      <c r="EH22" s="346"/>
      <c r="EI22" s="346">
        <v>46.517834186131878</v>
      </c>
      <c r="EJ22" s="346"/>
      <c r="EK22" s="561">
        <v>47.187904641935312</v>
      </c>
      <c r="EL22" s="433"/>
      <c r="EM22" s="346">
        <v>270.52999999999997</v>
      </c>
      <c r="EN22" s="346"/>
      <c r="EO22" s="346">
        <v>228.34</v>
      </c>
      <c r="EP22" s="346"/>
      <c r="EQ22" s="346">
        <v>96.490000000000009</v>
      </c>
      <c r="ER22" s="346"/>
      <c r="ES22" s="346">
        <v>49.78</v>
      </c>
      <c r="ET22" s="346"/>
      <c r="EU22" s="346">
        <v>46.517834186131878</v>
      </c>
      <c r="EV22" s="346"/>
      <c r="EW22" s="561">
        <v>47.187904641935312</v>
      </c>
      <c r="EX22" s="433"/>
      <c r="EY22" s="346">
        <v>270.52999999999997</v>
      </c>
      <c r="EZ22" s="346"/>
      <c r="FA22" s="346">
        <v>228.34</v>
      </c>
      <c r="FB22" s="346"/>
      <c r="FC22" s="346">
        <v>96.490000000000009</v>
      </c>
      <c r="FD22" s="346"/>
      <c r="FE22" s="346">
        <v>49.78</v>
      </c>
      <c r="FF22" s="346"/>
      <c r="FG22" s="346">
        <v>46.517834186131878</v>
      </c>
      <c r="FH22" s="346"/>
      <c r="FI22" s="561">
        <v>47.187904641935312</v>
      </c>
      <c r="FJ22" s="433"/>
      <c r="FK22" s="346">
        <v>270.52999999999997</v>
      </c>
      <c r="FL22" s="346"/>
      <c r="FM22" s="346">
        <v>228.34</v>
      </c>
      <c r="FN22" s="346"/>
      <c r="FO22" s="346">
        <v>96.490000000000009</v>
      </c>
      <c r="FP22" s="346"/>
      <c r="FQ22" s="346">
        <v>49.78</v>
      </c>
      <c r="FR22" s="346"/>
      <c r="FS22" s="346">
        <v>46.517834186131878</v>
      </c>
      <c r="FT22" s="346"/>
      <c r="FU22" s="561">
        <v>47.187904641935312</v>
      </c>
      <c r="FV22" s="433"/>
      <c r="FW22" s="346">
        <v>270.52999999999997</v>
      </c>
      <c r="FX22" s="346"/>
      <c r="FY22" s="346">
        <v>228.34</v>
      </c>
      <c r="FZ22" s="346"/>
      <c r="GA22" s="346">
        <v>96.490000000000009</v>
      </c>
      <c r="GB22" s="346"/>
      <c r="GC22" s="346">
        <v>49.78</v>
      </c>
      <c r="GD22" s="346"/>
      <c r="GE22" s="346">
        <v>46.517834186131878</v>
      </c>
      <c r="GF22" s="346"/>
      <c r="GG22" s="561">
        <v>47.187904641935312</v>
      </c>
      <c r="GH22" s="433"/>
      <c r="GI22" s="346">
        <v>270.52999999999997</v>
      </c>
      <c r="GJ22" s="346"/>
      <c r="GK22" s="346">
        <v>228.34</v>
      </c>
      <c r="GL22" s="346"/>
      <c r="GM22" s="346">
        <v>96.490000000000009</v>
      </c>
      <c r="GN22" s="346"/>
      <c r="GO22" s="346">
        <v>49.78</v>
      </c>
      <c r="GP22" s="346"/>
      <c r="GQ22" s="346">
        <v>46.517834186131878</v>
      </c>
      <c r="GR22" s="346"/>
      <c r="GS22" s="561">
        <v>47.187904641935312</v>
      </c>
      <c r="GT22" s="328"/>
    </row>
    <row r="23" spans="1:202">
      <c r="A23" s="673"/>
      <c r="B23" s="674" t="s">
        <v>15</v>
      </c>
      <c r="C23" s="675">
        <f t="shared" si="427"/>
        <v>0</v>
      </c>
      <c r="D23" s="676">
        <f t="shared" ref="D23" si="428">SUM(AH23:AS23)</f>
        <v>828.89</v>
      </c>
      <c r="E23" s="675">
        <f t="shared" si="269"/>
        <v>556.23</v>
      </c>
      <c r="F23" s="676">
        <f>SUM(BF23:BQ23)</f>
        <v>573.19000000000005</v>
      </c>
      <c r="G23" s="675">
        <f t="shared" si="270"/>
        <v>754.73</v>
      </c>
      <c r="H23" s="676">
        <f t="shared" si="271"/>
        <v>807.44</v>
      </c>
      <c r="I23" s="1030">
        <f t="shared" si="387"/>
        <v>885.69107748323916</v>
      </c>
      <c r="J23" s="328"/>
      <c r="K23" s="677">
        <f t="shared" si="388"/>
        <v>0</v>
      </c>
      <c r="L23" s="677">
        <f t="shared" si="389"/>
        <v>69.07416666666667</v>
      </c>
      <c r="M23" s="676">
        <f t="shared" si="390"/>
        <v>46.352499999999999</v>
      </c>
      <c r="N23" s="678">
        <f t="shared" si="391"/>
        <v>47.76583333333334</v>
      </c>
      <c r="O23" s="678">
        <f t="shared" si="392"/>
        <v>62.894166666666671</v>
      </c>
      <c r="P23" s="678">
        <f t="shared" si="392"/>
        <v>67.286666666666676</v>
      </c>
      <c r="Q23" s="678">
        <f>I23/12</f>
        <v>73.80758979026993</v>
      </c>
      <c r="R23" s="328"/>
      <c r="S23" s="677"/>
      <c r="T23" s="675"/>
      <c r="U23" s="678"/>
      <c r="V23" s="677"/>
      <c r="W23" s="675"/>
      <c r="X23" s="675"/>
      <c r="Y23" s="675"/>
      <c r="Z23" s="675"/>
      <c r="AA23" s="675"/>
      <c r="AB23" s="675"/>
      <c r="AC23" s="675"/>
      <c r="AD23" s="675"/>
      <c r="AE23" s="675"/>
      <c r="AF23" s="675"/>
      <c r="AG23" s="678"/>
      <c r="AH23" s="677"/>
      <c r="AI23" s="675">
        <v>272.57</v>
      </c>
      <c r="AJ23" s="675"/>
      <c r="AK23" s="675">
        <v>133.32</v>
      </c>
      <c r="AL23" s="675"/>
      <c r="AM23" s="675">
        <v>116.72</v>
      </c>
      <c r="AN23" s="675"/>
      <c r="AO23" s="675">
        <v>111.88</v>
      </c>
      <c r="AP23" s="675"/>
      <c r="AQ23" s="675">
        <v>110.75</v>
      </c>
      <c r="AR23" s="675"/>
      <c r="AS23" s="678">
        <v>83.65</v>
      </c>
      <c r="AT23" s="677"/>
      <c r="AU23" s="675">
        <f>'ANALISI CONSUMI GAS ENERGIA'!Z60</f>
        <v>101.33</v>
      </c>
      <c r="AV23" s="675"/>
      <c r="AW23" s="675">
        <f>51.4+0.5</f>
        <v>51.9</v>
      </c>
      <c r="AX23" s="675"/>
      <c r="AY23" s="675">
        <f>78.61+0.5+18+0.5</f>
        <v>97.61</v>
      </c>
      <c r="AZ23" s="675"/>
      <c r="BA23" s="675">
        <f>81.65+0.5+18+0.5</f>
        <v>100.65</v>
      </c>
      <c r="BB23" s="675">
        <f>96.31+0.5+9+0.5</f>
        <v>106.31</v>
      </c>
      <c r="BC23" s="675"/>
      <c r="BD23" s="675"/>
      <c r="BE23" s="678">
        <f>79.43+18+0.5+0.5</f>
        <v>98.43</v>
      </c>
      <c r="BF23" s="677"/>
      <c r="BG23" s="675">
        <f>'ANALISI CONSUMI GAS ENERGIA'!AL60+0.5</f>
        <v>80.25</v>
      </c>
      <c r="BH23" s="679"/>
      <c r="BI23" s="675">
        <f>18+0.5+69.65+0.5</f>
        <v>88.65</v>
      </c>
      <c r="BJ23" s="675">
        <f>18+0.5+67.91+0.5</f>
        <v>86.91</v>
      </c>
      <c r="BK23" s="675"/>
      <c r="BL23" s="679"/>
      <c r="BM23" s="675">
        <f>'ANALISI CONSUMI GAS ENERGIA'!AR60+0.5</f>
        <v>89.14</v>
      </c>
      <c r="BN23" s="675">
        <f>'ANALISI CONSUMI GAS ENERGIA'!AT60+0.5</f>
        <v>125.24</v>
      </c>
      <c r="BO23" s="680"/>
      <c r="BP23" s="675">
        <f>'ANALISI CONSUMI GAS ENERGIA'!AV60+0.5</f>
        <v>103</v>
      </c>
      <c r="BQ23" s="678"/>
      <c r="BR23" s="681"/>
      <c r="BS23" s="675">
        <f>'ANALISI CONSUMI GAS ENERGIA'!AX60+0.5</f>
        <v>106.64000000000001</v>
      </c>
      <c r="BT23" s="675">
        <f>'ANALISI CONSUMI GAS ENERGIA'!AZ60+0.5</f>
        <v>129.6</v>
      </c>
      <c r="BU23" s="680"/>
      <c r="BV23" s="675">
        <f>'ANALISI CONSUMI GAS ENERGIA'!BB60+0.5</f>
        <v>127.71000000000001</v>
      </c>
      <c r="BW23" s="680"/>
      <c r="BX23" s="680"/>
      <c r="BY23" s="675">
        <f>'ANALISI CONSUMI GAS ENERGIA'!BD60+0.5</f>
        <v>138.12</v>
      </c>
      <c r="BZ23" s="675"/>
      <c r="CA23" s="675">
        <f>'ANALISI CONSUMI GAS ENERGIA'!BF60+0.5</f>
        <v>147.4</v>
      </c>
      <c r="CB23" s="675"/>
      <c r="CC23" s="678">
        <f>'ANALISI CONSUMI GAS ENERGIA'!BH60+0.5</f>
        <v>105.26</v>
      </c>
      <c r="CD23" s="677"/>
      <c r="CE23" s="239">
        <f>'ANALISI CONSUMI GAS ENERGIA'!BJ60+0.5</f>
        <v>108.18</v>
      </c>
      <c r="CF23" s="675"/>
      <c r="CG23" s="239">
        <f>'ANALISI CONSUMI GAS ENERGIA'!BL60+0.5</f>
        <v>127.39</v>
      </c>
      <c r="CH23" s="675"/>
      <c r="CI23" s="239">
        <f>'ANALISI CONSUMI GAS ENERGIA'!BN60+0.5</f>
        <v>125.2</v>
      </c>
      <c r="CJ23" s="675"/>
      <c r="CK23" s="239">
        <f>'ANALISI CONSUMI GAS ENERGIA'!BP60+0.5</f>
        <v>146.5</v>
      </c>
      <c r="CL23" s="675"/>
      <c r="CM23" s="239">
        <f>'ANALISI CONSUMI GAS ENERGIA'!BR60+0.5</f>
        <v>169.76</v>
      </c>
      <c r="CN23" s="675"/>
      <c r="CO23" s="678">
        <f>'ANALISI CONSUMI GAS ENERGIA'!BT60+0.5</f>
        <v>130.41000000000003</v>
      </c>
      <c r="CP23" s="939"/>
      <c r="CQ23" s="239">
        <f>'ANALISI CONSUMI GAS ENERGIA'!BV60+0.5</f>
        <v>131.95999999999998</v>
      </c>
      <c r="CR23" s="682"/>
      <c r="CS23" s="239">
        <f>'ANALISI CONSUMI GAS ENERGIA'!BX60+0.5</f>
        <v>138.62</v>
      </c>
      <c r="CT23" s="682"/>
      <c r="CU23" s="239">
        <f>'ANALISI CONSUMI GAS ENERGIA'!BZ60+0.5</f>
        <v>134.73999999999998</v>
      </c>
      <c r="CV23" s="239">
        <v>69.45</v>
      </c>
      <c r="CW23" s="239">
        <v>90.27</v>
      </c>
      <c r="CX23" s="239">
        <v>92.14</v>
      </c>
      <c r="CY23" s="239">
        <v>97.72</v>
      </c>
      <c r="CZ23" s="682"/>
      <c r="DA23" s="683">
        <f>'ANALISI CONSUMI GAS ENERGIA'!CK60</f>
        <v>130.79107748323921</v>
      </c>
      <c r="DB23" s="939"/>
      <c r="DC23" s="682">
        <v>108.18</v>
      </c>
      <c r="DD23" s="682"/>
      <c r="DE23" s="682">
        <v>127.39</v>
      </c>
      <c r="DF23" s="682"/>
      <c r="DG23" s="682">
        <v>125.2</v>
      </c>
      <c r="DH23" s="682"/>
      <c r="DI23" s="682">
        <v>146.5</v>
      </c>
      <c r="DJ23" s="682"/>
      <c r="DK23" s="682">
        <v>153.48320436763524</v>
      </c>
      <c r="DL23" s="682"/>
      <c r="DM23" s="683">
        <v>119.65910675347145</v>
      </c>
      <c r="DN23" s="939"/>
      <c r="DO23" s="682">
        <v>108.18</v>
      </c>
      <c r="DP23" s="682"/>
      <c r="DQ23" s="682">
        <v>127.39</v>
      </c>
      <c r="DR23" s="682"/>
      <c r="DS23" s="682">
        <v>125.2</v>
      </c>
      <c r="DT23" s="682"/>
      <c r="DU23" s="682">
        <v>146.5</v>
      </c>
      <c r="DV23" s="682"/>
      <c r="DW23" s="682">
        <v>153.48320436763524</v>
      </c>
      <c r="DX23" s="682"/>
      <c r="DY23" s="683">
        <v>119.65910675347145</v>
      </c>
      <c r="DZ23" s="939"/>
      <c r="EA23" s="682">
        <v>108.18</v>
      </c>
      <c r="EB23" s="682"/>
      <c r="EC23" s="682">
        <v>127.39</v>
      </c>
      <c r="ED23" s="682"/>
      <c r="EE23" s="682">
        <v>125.2</v>
      </c>
      <c r="EF23" s="682"/>
      <c r="EG23" s="682">
        <v>146.5</v>
      </c>
      <c r="EH23" s="682"/>
      <c r="EI23" s="682">
        <v>153.48320436763524</v>
      </c>
      <c r="EJ23" s="682"/>
      <c r="EK23" s="683">
        <v>119.65910675347145</v>
      </c>
      <c r="EL23" s="939"/>
      <c r="EM23" s="682">
        <v>108.18</v>
      </c>
      <c r="EN23" s="682"/>
      <c r="EO23" s="682">
        <v>127.39</v>
      </c>
      <c r="EP23" s="682"/>
      <c r="EQ23" s="682">
        <v>125.2</v>
      </c>
      <c r="ER23" s="682"/>
      <c r="ES23" s="682">
        <v>146.5</v>
      </c>
      <c r="ET23" s="682"/>
      <c r="EU23" s="682">
        <v>153.48320436763524</v>
      </c>
      <c r="EV23" s="682"/>
      <c r="EW23" s="683">
        <v>119.65910675347145</v>
      </c>
      <c r="EX23" s="939"/>
      <c r="EY23" s="682">
        <v>108.18</v>
      </c>
      <c r="EZ23" s="682"/>
      <c r="FA23" s="682">
        <v>127.39</v>
      </c>
      <c r="FB23" s="682"/>
      <c r="FC23" s="682">
        <v>125.2</v>
      </c>
      <c r="FD23" s="682"/>
      <c r="FE23" s="682">
        <v>146.5</v>
      </c>
      <c r="FF23" s="682"/>
      <c r="FG23" s="682">
        <v>153.48320436763524</v>
      </c>
      <c r="FH23" s="682"/>
      <c r="FI23" s="683">
        <v>119.65910675347145</v>
      </c>
      <c r="FJ23" s="939"/>
      <c r="FK23" s="682">
        <v>108.18</v>
      </c>
      <c r="FL23" s="682"/>
      <c r="FM23" s="682">
        <v>127.39</v>
      </c>
      <c r="FN23" s="682"/>
      <c r="FO23" s="682">
        <v>125.2</v>
      </c>
      <c r="FP23" s="682"/>
      <c r="FQ23" s="682">
        <v>146.5</v>
      </c>
      <c r="FR23" s="682"/>
      <c r="FS23" s="682">
        <v>153.48320436763524</v>
      </c>
      <c r="FT23" s="682"/>
      <c r="FU23" s="683">
        <v>119.65910675347145</v>
      </c>
      <c r="FV23" s="939"/>
      <c r="FW23" s="682">
        <v>108.18</v>
      </c>
      <c r="FX23" s="682"/>
      <c r="FY23" s="682">
        <v>127.39</v>
      </c>
      <c r="FZ23" s="682"/>
      <c r="GA23" s="682">
        <v>125.2</v>
      </c>
      <c r="GB23" s="682"/>
      <c r="GC23" s="682">
        <v>146.5</v>
      </c>
      <c r="GD23" s="682"/>
      <c r="GE23" s="682">
        <v>153.48320436763524</v>
      </c>
      <c r="GF23" s="682"/>
      <c r="GG23" s="683">
        <v>119.65910675347145</v>
      </c>
      <c r="GH23" s="939"/>
      <c r="GI23" s="682">
        <v>108.18</v>
      </c>
      <c r="GJ23" s="682"/>
      <c r="GK23" s="682">
        <v>127.39</v>
      </c>
      <c r="GL23" s="682"/>
      <c r="GM23" s="682">
        <v>125.2</v>
      </c>
      <c r="GN23" s="682"/>
      <c r="GO23" s="682">
        <v>146.5</v>
      </c>
      <c r="GP23" s="682"/>
      <c r="GQ23" s="682">
        <v>153.48320436763524</v>
      </c>
      <c r="GR23" s="682"/>
      <c r="GS23" s="683">
        <v>119.65910675347145</v>
      </c>
      <c r="GT23" s="675"/>
    </row>
    <row r="24" spans="1:202">
      <c r="A24" s="19"/>
      <c r="B24" s="350" t="s">
        <v>16</v>
      </c>
      <c r="C24" s="328">
        <f t="shared" si="384"/>
        <v>0</v>
      </c>
      <c r="D24" s="330">
        <f t="shared" si="385"/>
        <v>3652</v>
      </c>
      <c r="E24" s="328">
        <f>SUM(AT24:BE24)</f>
        <v>1980</v>
      </c>
      <c r="F24" s="330">
        <f t="shared" si="386"/>
        <v>220</v>
      </c>
      <c r="G24" s="328">
        <f t="shared" si="270"/>
        <v>442</v>
      </c>
      <c r="H24" s="330">
        <f t="shared" si="271"/>
        <v>1030</v>
      </c>
      <c r="I24" s="1029">
        <f t="shared" si="387"/>
        <v>1466</v>
      </c>
      <c r="J24" s="328"/>
      <c r="K24" s="341">
        <f t="shared" si="388"/>
        <v>0</v>
      </c>
      <c r="L24" s="341">
        <f t="shared" si="389"/>
        <v>304.33333333333331</v>
      </c>
      <c r="M24" s="330">
        <f>E24/12</f>
        <v>165</v>
      </c>
      <c r="N24" s="342">
        <f t="shared" si="391"/>
        <v>18.333333333333332</v>
      </c>
      <c r="O24" s="342">
        <f t="shared" si="392"/>
        <v>36.833333333333336</v>
      </c>
      <c r="P24" s="342">
        <f t="shared" si="392"/>
        <v>85.833333333333329</v>
      </c>
      <c r="Q24" s="342">
        <f>IFERROR(AVERAGEIF(CP24:DA24,"&gt;0"),0)</f>
        <v>209.42857142857142</v>
      </c>
      <c r="R24" s="328"/>
      <c r="S24" s="341"/>
      <c r="T24" s="328"/>
      <c r="U24" s="342"/>
      <c r="V24" s="341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42"/>
      <c r="AH24" s="341"/>
      <c r="AI24" s="328"/>
      <c r="AJ24" s="328">
        <f>500+550+500+550</f>
        <v>2100</v>
      </c>
      <c r="AK24" s="328">
        <v>70</v>
      </c>
      <c r="AL24" s="328"/>
      <c r="AM24" s="328">
        <f>100+70</f>
        <v>170</v>
      </c>
      <c r="AN24" s="328">
        <f>50+50+150+100</f>
        <v>350</v>
      </c>
      <c r="AO24" s="328">
        <f>150+100+100</f>
        <v>350</v>
      </c>
      <c r="AP24" s="328">
        <f>250</f>
        <v>250</v>
      </c>
      <c r="AQ24" s="328">
        <f>100+2</f>
        <v>102</v>
      </c>
      <c r="AR24" s="328"/>
      <c r="AS24" s="342">
        <f>50+60+50+100</f>
        <v>260</v>
      </c>
      <c r="AT24" s="341"/>
      <c r="AU24" s="328">
        <f>100+70+60+50</f>
        <v>280</v>
      </c>
      <c r="AV24" s="328">
        <f>40+40+40</f>
        <v>120</v>
      </c>
      <c r="AW24" s="328">
        <f>60+70+70+70+40+40</f>
        <v>350</v>
      </c>
      <c r="AX24" s="328">
        <f>60+60</f>
        <v>120</v>
      </c>
      <c r="AY24" s="328">
        <f>70+60</f>
        <v>130</v>
      </c>
      <c r="AZ24" s="328"/>
      <c r="BA24" s="328">
        <f>60+120</f>
        <v>180</v>
      </c>
      <c r="BB24" s="328">
        <f>250+60</f>
        <v>310</v>
      </c>
      <c r="BC24" s="328"/>
      <c r="BD24" s="328"/>
      <c r="BE24" s="342">
        <f>100+60+60+70+60+80+60</f>
        <v>490</v>
      </c>
      <c r="BF24" s="341">
        <f>60+40</f>
        <v>100</v>
      </c>
      <c r="BG24" s="328"/>
      <c r="BH24" s="328"/>
      <c r="BI24" s="328"/>
      <c r="BJ24" s="328"/>
      <c r="BK24" s="328"/>
      <c r="BL24" s="328"/>
      <c r="BM24" s="328"/>
      <c r="BN24" s="328">
        <v>50</v>
      </c>
      <c r="BO24" s="328"/>
      <c r="BP24" s="328"/>
      <c r="BQ24" s="342">
        <v>70</v>
      </c>
      <c r="BR24" s="341"/>
      <c r="BS24" s="328"/>
      <c r="BT24" s="328">
        <f>90+2</f>
        <v>92</v>
      </c>
      <c r="BU24" s="328"/>
      <c r="BV24" s="328"/>
      <c r="BW24" s="328">
        <v>70</v>
      </c>
      <c r="BX24" s="328"/>
      <c r="BY24" s="328"/>
      <c r="BZ24" s="328">
        <v>70</v>
      </c>
      <c r="CA24" s="328">
        <f>40</f>
        <v>40</v>
      </c>
      <c r="CB24" s="328"/>
      <c r="CC24" s="342">
        <f>100+70</f>
        <v>170</v>
      </c>
      <c r="CD24" s="341">
        <f>70+70+70</f>
        <v>210</v>
      </c>
      <c r="CE24" s="328"/>
      <c r="CF24" s="328">
        <v>90</v>
      </c>
      <c r="CG24" s="328"/>
      <c r="CH24" s="328">
        <v>70</v>
      </c>
      <c r="CI24" s="328"/>
      <c r="CJ24" s="328">
        <v>70</v>
      </c>
      <c r="CK24" s="328">
        <f>70+40</f>
        <v>110</v>
      </c>
      <c r="CL24" s="328"/>
      <c r="CM24" s="328">
        <f>100+40</f>
        <v>140</v>
      </c>
      <c r="CN24" s="328"/>
      <c r="CO24" s="342">
        <f>150+70+50+70</f>
        <v>340</v>
      </c>
      <c r="CP24" s="341"/>
      <c r="CQ24" s="328"/>
      <c r="CR24" s="328">
        <f>70+2</f>
        <v>72</v>
      </c>
      <c r="CS24" s="328">
        <v>80</v>
      </c>
      <c r="CT24" s="328">
        <f>100+150+100</f>
        <v>350</v>
      </c>
      <c r="CU24" s="328">
        <f>200+80</f>
        <v>280</v>
      </c>
      <c r="CV24" s="328">
        <v>70</v>
      </c>
      <c r="CW24" s="328">
        <f>80+70+40</f>
        <v>190</v>
      </c>
      <c r="CX24" s="328">
        <f>150+70+2+200+2</f>
        <v>424</v>
      </c>
      <c r="CY24" s="328"/>
      <c r="CZ24" s="328"/>
      <c r="DA24" s="342"/>
      <c r="DB24" s="341"/>
      <c r="DC24" s="328"/>
      <c r="DD24" s="328"/>
      <c r="DE24" s="328"/>
      <c r="DF24" s="328"/>
      <c r="DG24" s="328"/>
      <c r="DH24" s="328"/>
      <c r="DI24" s="328"/>
      <c r="DJ24" s="328"/>
      <c r="DK24" s="328"/>
      <c r="DL24" s="328"/>
      <c r="DM24" s="342"/>
      <c r="DN24" s="341"/>
      <c r="DO24" s="328"/>
      <c r="DP24" s="328"/>
      <c r="DQ24" s="328"/>
      <c r="DR24" s="328"/>
      <c r="DS24" s="328"/>
      <c r="DT24" s="328"/>
      <c r="DU24" s="328"/>
      <c r="DV24" s="328"/>
      <c r="DW24" s="328"/>
      <c r="DX24" s="328"/>
      <c r="DY24" s="342"/>
      <c r="DZ24" s="341"/>
      <c r="EA24" s="328"/>
      <c r="EB24" s="328"/>
      <c r="EC24" s="328"/>
      <c r="ED24" s="328"/>
      <c r="EE24" s="328"/>
      <c r="EF24" s="328"/>
      <c r="EG24" s="328"/>
      <c r="EH24" s="328"/>
      <c r="EI24" s="328"/>
      <c r="EJ24" s="328"/>
      <c r="EK24" s="342"/>
      <c r="EL24" s="341"/>
      <c r="EM24" s="328"/>
      <c r="EN24" s="328"/>
      <c r="EO24" s="328"/>
      <c r="EP24" s="328"/>
      <c r="EQ24" s="328"/>
      <c r="ER24" s="328"/>
      <c r="ES24" s="328"/>
      <c r="ET24" s="328"/>
      <c r="EU24" s="328"/>
      <c r="EV24" s="328"/>
      <c r="EW24" s="342"/>
      <c r="EX24" s="328"/>
      <c r="EY24" s="328"/>
      <c r="EZ24" s="328"/>
      <c r="FA24" s="328"/>
      <c r="FB24" s="328"/>
      <c r="FC24" s="328"/>
      <c r="FD24" s="328"/>
      <c r="FE24" s="328"/>
      <c r="FF24" s="328"/>
      <c r="FG24" s="328"/>
      <c r="FH24" s="328"/>
      <c r="FI24" s="342"/>
      <c r="FJ24" s="328"/>
      <c r="FK24" s="328"/>
      <c r="FL24" s="328"/>
      <c r="FM24" s="328"/>
      <c r="FN24" s="328"/>
      <c r="FO24" s="328"/>
      <c r="FP24" s="328"/>
      <c r="FQ24" s="328"/>
      <c r="FR24" s="328"/>
      <c r="FS24" s="328"/>
      <c r="FT24" s="328"/>
      <c r="FU24" s="342"/>
      <c r="FV24" s="328"/>
      <c r="FW24" s="328"/>
      <c r="FX24" s="328"/>
      <c r="FY24" s="328"/>
      <c r="FZ24" s="328"/>
      <c r="GA24" s="328"/>
      <c r="GB24" s="328"/>
      <c r="GC24" s="328"/>
      <c r="GD24" s="328"/>
      <c r="GE24" s="328"/>
      <c r="GF24" s="328"/>
      <c r="GG24" s="342"/>
      <c r="GH24" s="328"/>
      <c r="GI24" s="328"/>
      <c r="GJ24" s="328"/>
      <c r="GK24" s="328"/>
      <c r="GL24" s="328"/>
      <c r="GM24" s="328"/>
      <c r="GN24" s="328"/>
      <c r="GO24" s="328"/>
      <c r="GP24" s="328"/>
      <c r="GQ24" s="328"/>
      <c r="GR24" s="328"/>
      <c r="GS24" s="342"/>
      <c r="GT24" s="328"/>
    </row>
    <row r="25" spans="1:202">
      <c r="A25" s="19"/>
      <c r="B25" s="253" t="s">
        <v>17</v>
      </c>
      <c r="C25" s="23">
        <f t="shared" si="384"/>
        <v>0</v>
      </c>
      <c r="D25" s="246">
        <f t="shared" si="385"/>
        <v>638.40000000000009</v>
      </c>
      <c r="E25" s="23">
        <f t="shared" si="269"/>
        <v>91.2</v>
      </c>
      <c r="F25" s="246">
        <f t="shared" si="386"/>
        <v>0</v>
      </c>
      <c r="G25" s="23">
        <f t="shared" si="270"/>
        <v>588.87</v>
      </c>
      <c r="H25" s="246">
        <f t="shared" si="271"/>
        <v>528.53</v>
      </c>
      <c r="I25" s="694">
        <f t="shared" si="387"/>
        <v>2021.2399999999998</v>
      </c>
      <c r="J25" s="328"/>
      <c r="K25" s="274">
        <f t="shared" si="388"/>
        <v>0</v>
      </c>
      <c r="L25" s="274">
        <f t="shared" si="389"/>
        <v>53.20000000000001</v>
      </c>
      <c r="M25" s="246">
        <f t="shared" si="390"/>
        <v>7.6000000000000005</v>
      </c>
      <c r="N25" s="251">
        <f t="shared" si="391"/>
        <v>0</v>
      </c>
      <c r="O25" s="251">
        <f t="shared" si="392"/>
        <v>49.072499999999998</v>
      </c>
      <c r="P25" s="251">
        <f t="shared" si="392"/>
        <v>44.044166666666662</v>
      </c>
      <c r="Q25" s="251">
        <f t="shared" si="392"/>
        <v>168.43666666666664</v>
      </c>
      <c r="R25" s="328"/>
      <c r="S25" s="274"/>
      <c r="T25" s="23"/>
      <c r="U25" s="251"/>
      <c r="V25" s="274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1"/>
      <c r="AH25" s="274"/>
      <c r="AI25" s="23"/>
      <c r="AJ25" s="23"/>
      <c r="AK25" s="23"/>
      <c r="AL25" s="23"/>
      <c r="AM25" s="23">
        <v>91.2</v>
      </c>
      <c r="AN25" s="23">
        <v>91.2</v>
      </c>
      <c r="AO25" s="23">
        <v>91.2</v>
      </c>
      <c r="AP25" s="23">
        <v>91.2</v>
      </c>
      <c r="AQ25" s="23">
        <v>91.2</v>
      </c>
      <c r="AR25" s="23">
        <v>91.2</v>
      </c>
      <c r="AS25" s="251">
        <v>91.2</v>
      </c>
      <c r="AT25" s="274">
        <v>91.2</v>
      </c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51"/>
      <c r="BF25" s="274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51"/>
      <c r="BR25" s="274">
        <f t="shared" ref="BR25:BV25" si="429">63.45+2.5</f>
        <v>65.95</v>
      </c>
      <c r="BS25" s="23">
        <f t="shared" si="429"/>
        <v>65.95</v>
      </c>
      <c r="BT25" s="23">
        <f t="shared" si="429"/>
        <v>65.95</v>
      </c>
      <c r="BU25" s="23">
        <f t="shared" si="429"/>
        <v>65.95</v>
      </c>
      <c r="BV25" s="23">
        <f t="shared" si="429"/>
        <v>65.95</v>
      </c>
      <c r="BW25" s="23">
        <f>63.44+2.5</f>
        <v>65.94</v>
      </c>
      <c r="BX25" s="23"/>
      <c r="BY25" s="23"/>
      <c r="BZ25" s="23"/>
      <c r="CA25" s="23"/>
      <c r="CB25" s="23">
        <f>95.34</f>
        <v>95.34</v>
      </c>
      <c r="CC25" s="23">
        <f>(95.34+2.5)</f>
        <v>97.84</v>
      </c>
      <c r="CD25" s="274">
        <f>214.61+2.5</f>
        <v>217.11</v>
      </c>
      <c r="CE25" s="23">
        <f>(119.26+2.5)</f>
        <v>121.76</v>
      </c>
      <c r="CF25" s="23">
        <v>121.77</v>
      </c>
      <c r="CG25" s="23"/>
      <c r="CH25" s="23"/>
      <c r="CI25" s="23"/>
      <c r="CJ25" s="23"/>
      <c r="CK25" s="23"/>
      <c r="CL25" s="23"/>
      <c r="CM25" s="23"/>
      <c r="CN25" s="23"/>
      <c r="CO25" s="251">
        <f>65.39+2.5</f>
        <v>67.89</v>
      </c>
      <c r="CP25" s="274">
        <f>65.4+120.76+2.5</f>
        <v>188.66000000000003</v>
      </c>
      <c r="CQ25" s="23">
        <f>65.4+120.77+2.5</f>
        <v>188.67000000000002</v>
      </c>
      <c r="CR25" s="23">
        <f>120.77+2.5</f>
        <v>123.27</v>
      </c>
      <c r="CS25" s="23">
        <f>120.77+2.5+249.23</f>
        <v>372.5</v>
      </c>
      <c r="CT25" s="23">
        <f>120.77+2.5+249.23</f>
        <v>372.5</v>
      </c>
      <c r="CU25" s="23">
        <f>370.04+2.5</f>
        <v>372.54</v>
      </c>
      <c r="CV25" s="23"/>
      <c r="CW25" s="23">
        <f>37.6+2.5</f>
        <v>40.1</v>
      </c>
      <c r="CX25" s="23">
        <f>37.6+2.5+50.65</f>
        <v>90.75</v>
      </c>
      <c r="CY25" s="23">
        <f>37.6+2.5+50.65</f>
        <v>90.75</v>
      </c>
      <c r="CZ25" s="23">
        <f>37.6+2.5+50.65</f>
        <v>90.75</v>
      </c>
      <c r="DA25" s="23">
        <f>37.6+2.5+50.65</f>
        <v>90.75</v>
      </c>
      <c r="DB25" s="274">
        <f>2.5+50.65</f>
        <v>53.15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51"/>
      <c r="DN25" s="274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51"/>
      <c r="DZ25" s="274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51"/>
      <c r="EL25" s="274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51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51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51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51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51"/>
      <c r="GT25" s="23"/>
    </row>
    <row r="26" spans="1:202">
      <c r="A26" s="19"/>
      <c r="B26" s="351" t="s">
        <v>18</v>
      </c>
      <c r="C26" s="331">
        <f t="shared" si="384"/>
        <v>9181.8100000000013</v>
      </c>
      <c r="D26" s="332">
        <f>SUM(AH26:AS26)</f>
        <v>7707.8099999999995</v>
      </c>
      <c r="E26" s="331">
        <f t="shared" si="269"/>
        <v>2988.7700000000004</v>
      </c>
      <c r="F26" s="332">
        <f>SUM(BF26:BQ26)</f>
        <v>1673.0800000000002</v>
      </c>
      <c r="G26" s="331">
        <f t="shared" si="270"/>
        <v>2606.8500000000004</v>
      </c>
      <c r="H26" s="332">
        <f t="shared" si="271"/>
        <v>2155.2600000000002</v>
      </c>
      <c r="I26" s="1031">
        <f t="shared" si="387"/>
        <v>6120.4900000000007</v>
      </c>
      <c r="J26" s="328"/>
      <c r="K26" s="347">
        <f t="shared" si="388"/>
        <v>765.15083333333348</v>
      </c>
      <c r="L26" s="347">
        <f t="shared" si="389"/>
        <v>642.3175</v>
      </c>
      <c r="M26" s="332">
        <f t="shared" si="390"/>
        <v>249.06416666666669</v>
      </c>
      <c r="N26" s="348">
        <f t="shared" si="391"/>
        <v>139.42333333333335</v>
      </c>
      <c r="O26" s="348">
        <f t="shared" si="392"/>
        <v>217.23750000000004</v>
      </c>
      <c r="P26" s="348">
        <f t="shared" si="392"/>
        <v>179.60500000000002</v>
      </c>
      <c r="Q26" s="348">
        <f>IFERROR(AVERAGEIF(CP26:DA26,"&gt;0"),0)</f>
        <v>765.06125000000009</v>
      </c>
      <c r="R26" s="328"/>
      <c r="S26" s="347">
        <f>'Riepilogo Mensile BANCOMAT'!K2</f>
        <v>0</v>
      </c>
      <c r="T26" s="331">
        <f>'Riepilogo Mensile BANCOMAT'!L2</f>
        <v>25</v>
      </c>
      <c r="U26" s="348">
        <f>'Riepilogo Mensile BANCOMAT'!M2</f>
        <v>687.75</v>
      </c>
      <c r="V26" s="347">
        <f>'Riepilogo Mensile BANCOMAT'!B3</f>
        <v>261.89</v>
      </c>
      <c r="W26" s="331">
        <f>'Riepilogo Mensile BANCOMAT'!C3</f>
        <v>512</v>
      </c>
      <c r="X26" s="331">
        <f>'Riepilogo Mensile BANCOMAT'!D3</f>
        <v>148.80000000000001</v>
      </c>
      <c r="Y26" s="331">
        <f>'Riepilogo Mensile BANCOMAT'!E3</f>
        <v>40</v>
      </c>
      <c r="Z26" s="331">
        <f>'Riepilogo Mensile BANCOMAT'!F3</f>
        <v>142</v>
      </c>
      <c r="AA26" s="331">
        <f>'Riepilogo Mensile BANCOMAT'!G3</f>
        <v>352.5</v>
      </c>
      <c r="AB26" s="331">
        <f>'Riepilogo Mensile BANCOMAT'!H3</f>
        <v>190</v>
      </c>
      <c r="AC26" s="331">
        <f>'Riepilogo Mensile BANCOMAT'!I3</f>
        <v>528.4</v>
      </c>
      <c r="AD26" s="331">
        <f>'Riepilogo Mensile BANCOMAT'!J3</f>
        <v>210</v>
      </c>
      <c r="AE26" s="331">
        <f>'Riepilogo Mensile BANCOMAT'!K3</f>
        <v>698.58</v>
      </c>
      <c r="AF26" s="331">
        <f>'Riepilogo Mensile BANCOMAT'!L3</f>
        <v>672.66000000000008</v>
      </c>
      <c r="AG26" s="348">
        <f>'Riepilogo Mensile BANCOMAT'!M3</f>
        <v>5424.9800000000005</v>
      </c>
      <c r="AH26" s="347">
        <f>'Riepilogo Mensile BANCOMAT'!B4</f>
        <v>40</v>
      </c>
      <c r="AI26" s="331">
        <f>'Riepilogo Mensile BANCOMAT'!C4</f>
        <v>3076.7299999999996</v>
      </c>
      <c r="AJ26" s="331">
        <f>'Riepilogo Mensile BANCOMAT'!D4</f>
        <v>1265.5</v>
      </c>
      <c r="AK26" s="331">
        <f>'Riepilogo Mensile BANCOMAT'!E4</f>
        <v>92.3</v>
      </c>
      <c r="AL26" s="331">
        <f>'Riepilogo Mensile BANCOMAT'!F4</f>
        <v>65.039999999999992</v>
      </c>
      <c r="AM26" s="331">
        <f>'Riepilogo Mensile BANCOMAT'!G4</f>
        <v>0</v>
      </c>
      <c r="AN26" s="331">
        <f>'Riepilogo Mensile BANCOMAT'!H4</f>
        <v>549.81000000000006</v>
      </c>
      <c r="AO26" s="331">
        <f>'Riepilogo Mensile BANCOMAT'!I4</f>
        <v>1249.0999999999999</v>
      </c>
      <c r="AP26" s="331">
        <f>'Riepilogo Mensile BANCOMAT'!J4</f>
        <v>130</v>
      </c>
      <c r="AQ26" s="331">
        <f>'Riepilogo Mensile BANCOMAT'!K4</f>
        <v>232.9</v>
      </c>
      <c r="AR26" s="331">
        <f>'Riepilogo Mensile BANCOMAT'!L4</f>
        <v>179.1</v>
      </c>
      <c r="AS26" s="348">
        <f>'Riepilogo Mensile BANCOMAT'!M4</f>
        <v>827.33</v>
      </c>
      <c r="AT26" s="347">
        <f>'Riepilogo Mensile BANCOMAT'!B5</f>
        <v>1421.01</v>
      </c>
      <c r="AU26" s="331">
        <f>'Riepilogo Mensile BANCOMAT'!C5</f>
        <v>90.41</v>
      </c>
      <c r="AV26" s="331">
        <f>'Riepilogo Mensile BANCOMAT'!D5</f>
        <v>0</v>
      </c>
      <c r="AW26" s="331">
        <f>'Riepilogo Mensile BANCOMAT'!E5</f>
        <v>497.34</v>
      </c>
      <c r="AX26" s="331">
        <f>'Riepilogo Mensile BANCOMAT'!F5</f>
        <v>104.83</v>
      </c>
      <c r="AY26" s="331">
        <f>'Riepilogo Mensile BANCOMAT'!G5</f>
        <v>2</v>
      </c>
      <c r="AZ26" s="331">
        <f>'Riepilogo Mensile BANCOMAT'!H5</f>
        <v>120.5</v>
      </c>
      <c r="BA26" s="331">
        <f>'Riepilogo Mensile BANCOMAT'!I5</f>
        <v>363.4</v>
      </c>
      <c r="BB26" s="331">
        <f>'Riepilogo Mensile BANCOMAT'!J5</f>
        <v>43.48</v>
      </c>
      <c r="BC26" s="331">
        <f>'Riepilogo Mensile BANCOMAT'!K5</f>
        <v>0</v>
      </c>
      <c r="BD26" s="331">
        <f>'Riepilogo Mensile BANCOMAT'!L5</f>
        <v>89.15</v>
      </c>
      <c r="BE26" s="348">
        <f>'Riepilogo Mensile BANCOMAT'!M5</f>
        <v>256.64999999999998</v>
      </c>
      <c r="BF26" s="347">
        <f>'Riepilogo Mensile BANCOMAT'!B6</f>
        <v>356.29</v>
      </c>
      <c r="BG26" s="514">
        <f>'Riepilogo Mensile BANCOMAT'!C6</f>
        <v>0</v>
      </c>
      <c r="BH26" s="331">
        <f>'Riepilogo Mensile BANCOMAT'!D6</f>
        <v>150.5</v>
      </c>
      <c r="BI26" s="331">
        <f>'Riepilogo Mensile BANCOMAT'!E6</f>
        <v>16.8</v>
      </c>
      <c r="BJ26" s="331">
        <f>'Riepilogo Mensile BANCOMAT'!F6</f>
        <v>250</v>
      </c>
      <c r="BK26" s="331">
        <f>'Riepilogo Mensile BANCOMAT'!G6</f>
        <v>0</v>
      </c>
      <c r="BL26" s="331">
        <f>'Riepilogo Mensile BANCOMAT'!H6</f>
        <v>0</v>
      </c>
      <c r="BM26" s="331">
        <f>'Riepilogo Mensile BANCOMAT'!I6</f>
        <v>620.5</v>
      </c>
      <c r="BN26" s="331">
        <f>'Riepilogo Mensile BANCOMAT'!J6</f>
        <v>0</v>
      </c>
      <c r="BO26" s="331">
        <f>'Riepilogo Mensile BANCOMAT'!K6</f>
        <v>75.5</v>
      </c>
      <c r="BP26" s="331">
        <f>'Riepilogo Mensile BANCOMAT'!L6</f>
        <v>78</v>
      </c>
      <c r="BQ26" s="348">
        <f>'Riepilogo Mensile BANCOMAT'!M6</f>
        <v>125.49000000000001</v>
      </c>
      <c r="BR26" s="347">
        <f>'Riepilogo Mensile BANCOMAT'!B7</f>
        <v>373.71999999999997</v>
      </c>
      <c r="BS26" s="331">
        <f>'Riepilogo Mensile BANCOMAT'!C7</f>
        <v>150.5</v>
      </c>
      <c r="BT26" s="331">
        <f>'Riepilogo Mensile BANCOMAT'!D7</f>
        <v>207.78</v>
      </c>
      <c r="BU26" s="331">
        <f>'Riepilogo Mensile BANCOMAT'!E7</f>
        <v>-68</v>
      </c>
      <c r="BV26" s="331">
        <f>'Riepilogo Mensile BANCOMAT'!F7</f>
        <v>79</v>
      </c>
      <c r="BW26" s="331">
        <f>'Riepilogo Mensile BANCOMAT'!G7</f>
        <v>10.199999999999999</v>
      </c>
      <c r="BX26" s="331">
        <f>'Riepilogo Mensile BANCOMAT'!H7</f>
        <v>15.04</v>
      </c>
      <c r="BY26" s="331">
        <f>'Riepilogo Mensile BANCOMAT'!I7</f>
        <v>917.6</v>
      </c>
      <c r="BZ26" s="331">
        <f>'Riepilogo Mensile BANCOMAT'!J7</f>
        <v>0</v>
      </c>
      <c r="CA26" s="331">
        <f>'Riepilogo Mensile BANCOMAT'!K7</f>
        <v>-1516.01</v>
      </c>
      <c r="CB26" s="331">
        <f>'Riepilogo Mensile BANCOMAT'!L7</f>
        <v>1832.38</v>
      </c>
      <c r="CC26" s="348">
        <f>'Riepilogo Mensile BANCOMAT'!M7</f>
        <v>604.64</v>
      </c>
      <c r="CD26" s="347">
        <f>'Riepilogo Mensile BANCOMAT'!B8</f>
        <v>364.40999999999991</v>
      </c>
      <c r="CE26" s="331">
        <f>'Riepilogo Mensile BANCOMAT'!C8</f>
        <v>26.34</v>
      </c>
      <c r="CF26" s="331">
        <f>'Riepilogo Mensile BANCOMAT'!D8</f>
        <v>637.25</v>
      </c>
      <c r="CG26" s="331">
        <f>'Riepilogo Mensile BANCOMAT'!E8</f>
        <v>532.48</v>
      </c>
      <c r="CH26" s="331">
        <f>'Riepilogo Mensile BANCOMAT'!F8</f>
        <v>4.75</v>
      </c>
      <c r="CI26" s="331">
        <f>'Riepilogo Mensile BANCOMAT'!G8</f>
        <v>0</v>
      </c>
      <c r="CJ26" s="331">
        <f>'Riepilogo Mensile BANCOMAT'!H8</f>
        <v>0</v>
      </c>
      <c r="CK26" s="331">
        <f>'Riepilogo Mensile BANCOMAT'!I8</f>
        <v>48.65</v>
      </c>
      <c r="CL26" s="331">
        <f>'Riepilogo Mensile BANCOMAT'!J8</f>
        <v>80</v>
      </c>
      <c r="CM26" s="331">
        <f>'Riepilogo Mensile BANCOMAT'!K8</f>
        <v>40</v>
      </c>
      <c r="CN26" s="331">
        <f>'Riepilogo Mensile BANCOMAT'!L8</f>
        <v>16.98</v>
      </c>
      <c r="CO26" s="348">
        <f>'Riepilogo Mensile BANCOMAT'!M8</f>
        <v>404.40000000000003</v>
      </c>
      <c r="CP26" s="347">
        <f>'Riepilogo Mensile BANCOMAT'!B9</f>
        <v>291.83999999999997</v>
      </c>
      <c r="CQ26" s="331">
        <f>'Riepilogo Mensile BANCOMAT'!C9</f>
        <v>0</v>
      </c>
      <c r="CR26" s="331">
        <f>'Riepilogo Mensile BANCOMAT'!D9</f>
        <v>72.599999999999994</v>
      </c>
      <c r="CS26" s="331">
        <f>'Riepilogo Mensile BANCOMAT'!E9</f>
        <v>1434.7800000000002</v>
      </c>
      <c r="CT26" s="331">
        <f>'Riepilogo Mensile BANCOMAT'!F9</f>
        <v>201.23000000000002</v>
      </c>
      <c r="CU26" s="331">
        <f>'Riepilogo Mensile BANCOMAT'!G9</f>
        <v>662.62000000000012</v>
      </c>
      <c r="CV26" s="331">
        <f>'Riepilogo Mensile BANCOMAT'!H9</f>
        <v>230.94</v>
      </c>
      <c r="CW26" s="331">
        <f>'Riepilogo Mensile BANCOMAT'!I9</f>
        <v>2423.64</v>
      </c>
      <c r="CX26" s="331">
        <f>'Riepilogo Mensile BANCOMAT'!J9</f>
        <v>802.83999999999992</v>
      </c>
      <c r="CY26" s="331">
        <f>'Riepilogo Mensile BANCOMAT'!K9</f>
        <v>0</v>
      </c>
      <c r="CZ26" s="331">
        <f>'Riepilogo Mensile BANCOMAT'!L9</f>
        <v>0</v>
      </c>
      <c r="DA26" s="348">
        <f>'Riepilogo Mensile BANCOMAT'!M9</f>
        <v>0</v>
      </c>
      <c r="DB26" s="347">
        <f>'Riepilogo Mensile BANCOMAT'!B10</f>
        <v>0</v>
      </c>
      <c r="DC26" s="331">
        <f>'Riepilogo Mensile BANCOMAT'!C10</f>
        <v>0</v>
      </c>
      <c r="DD26" s="331">
        <f>'Riepilogo Mensile BANCOMAT'!D10</f>
        <v>0</v>
      </c>
      <c r="DE26" s="331">
        <f>'Riepilogo Mensile BANCOMAT'!E10</f>
        <v>0</v>
      </c>
      <c r="DF26" s="331">
        <f>'Riepilogo Mensile BANCOMAT'!F10</f>
        <v>0</v>
      </c>
      <c r="DG26" s="331">
        <f>'Riepilogo Mensile BANCOMAT'!G10</f>
        <v>0</v>
      </c>
      <c r="DH26" s="331">
        <f>'Riepilogo Mensile BANCOMAT'!H10</f>
        <v>0</v>
      </c>
      <c r="DI26" s="331">
        <f>'Riepilogo Mensile BANCOMAT'!I10</f>
        <v>0</v>
      </c>
      <c r="DJ26" s="331">
        <f>'Riepilogo Mensile BANCOMAT'!J10</f>
        <v>0</v>
      </c>
      <c r="DK26" s="331">
        <f>'Riepilogo Mensile BANCOMAT'!K10</f>
        <v>0</v>
      </c>
      <c r="DL26" s="331">
        <f>'Riepilogo Mensile BANCOMAT'!L10</f>
        <v>0</v>
      </c>
      <c r="DM26" s="348">
        <f>'Riepilogo Mensile BANCOMAT'!M10</f>
        <v>0</v>
      </c>
      <c r="DN26" s="347">
        <f>'Riepilogo Mensile BANCOMAT'!B11</f>
        <v>0</v>
      </c>
      <c r="DO26" s="331">
        <f>'Riepilogo Mensile BANCOMAT'!C11</f>
        <v>0</v>
      </c>
      <c r="DP26" s="331">
        <f>'Riepilogo Mensile BANCOMAT'!D11</f>
        <v>0</v>
      </c>
      <c r="DQ26" s="331">
        <f>'Riepilogo Mensile BANCOMAT'!E11</f>
        <v>0</v>
      </c>
      <c r="DR26" s="331">
        <f>'Riepilogo Mensile BANCOMAT'!F11</f>
        <v>0</v>
      </c>
      <c r="DS26" s="331">
        <f>'Riepilogo Mensile BANCOMAT'!G11</f>
        <v>0</v>
      </c>
      <c r="DT26" s="331">
        <f>'Riepilogo Mensile BANCOMAT'!H11</f>
        <v>0</v>
      </c>
      <c r="DU26" s="331">
        <f>'Riepilogo Mensile BANCOMAT'!I11</f>
        <v>0</v>
      </c>
      <c r="DV26" s="331">
        <f>'Riepilogo Mensile BANCOMAT'!J11</f>
        <v>0</v>
      </c>
      <c r="DW26" s="331">
        <f>'Riepilogo Mensile BANCOMAT'!K11</f>
        <v>0</v>
      </c>
      <c r="DX26" s="331">
        <f>'Riepilogo Mensile BANCOMAT'!L11</f>
        <v>0</v>
      </c>
      <c r="DY26" s="348">
        <f>'Riepilogo Mensile BANCOMAT'!M11</f>
        <v>0</v>
      </c>
      <c r="DZ26" s="347">
        <f>'Riepilogo Mensile BANCOMAT'!B12</f>
        <v>0</v>
      </c>
      <c r="EA26" s="331">
        <f>'Riepilogo Mensile BANCOMAT'!C12</f>
        <v>0</v>
      </c>
      <c r="EB26" s="331">
        <f>'Riepilogo Mensile BANCOMAT'!D12</f>
        <v>0</v>
      </c>
      <c r="EC26" s="331">
        <f>'Riepilogo Mensile BANCOMAT'!E12</f>
        <v>0</v>
      </c>
      <c r="ED26" s="331">
        <f>'Riepilogo Mensile BANCOMAT'!F12</f>
        <v>0</v>
      </c>
      <c r="EE26" s="331">
        <f>'Riepilogo Mensile BANCOMAT'!G12</f>
        <v>0</v>
      </c>
      <c r="EF26" s="331">
        <f>'Riepilogo Mensile BANCOMAT'!H12</f>
        <v>0</v>
      </c>
      <c r="EG26" s="331">
        <f>'Riepilogo Mensile BANCOMAT'!I12</f>
        <v>0</v>
      </c>
      <c r="EH26" s="331">
        <f>'Riepilogo Mensile BANCOMAT'!J12</f>
        <v>0</v>
      </c>
      <c r="EI26" s="331">
        <f>'Riepilogo Mensile BANCOMAT'!K12</f>
        <v>0</v>
      </c>
      <c r="EJ26" s="331">
        <f>'Riepilogo Mensile BANCOMAT'!L12</f>
        <v>0</v>
      </c>
      <c r="EK26" s="348">
        <f>'Riepilogo Mensile BANCOMAT'!M12</f>
        <v>0</v>
      </c>
      <c r="EL26" s="347">
        <f>'Riepilogo Mensile BANCOMAT'!B13</f>
        <v>0</v>
      </c>
      <c r="EM26" s="331">
        <f>'Riepilogo Mensile BANCOMAT'!C13</f>
        <v>0</v>
      </c>
      <c r="EN26" s="331">
        <f>'Riepilogo Mensile BANCOMAT'!D13</f>
        <v>0</v>
      </c>
      <c r="EO26" s="331">
        <f>'Riepilogo Mensile BANCOMAT'!E13</f>
        <v>0</v>
      </c>
      <c r="EP26" s="331">
        <f>'Riepilogo Mensile BANCOMAT'!F13</f>
        <v>0</v>
      </c>
      <c r="EQ26" s="331">
        <f>'Riepilogo Mensile BANCOMAT'!G13</f>
        <v>0</v>
      </c>
      <c r="ER26" s="331">
        <f>'Riepilogo Mensile BANCOMAT'!H13</f>
        <v>0</v>
      </c>
      <c r="ES26" s="331">
        <f>'Riepilogo Mensile BANCOMAT'!I13</f>
        <v>0</v>
      </c>
      <c r="ET26" s="331">
        <f>'Riepilogo Mensile BANCOMAT'!J13</f>
        <v>0</v>
      </c>
      <c r="EU26" s="331">
        <f>'Riepilogo Mensile BANCOMAT'!K13</f>
        <v>0</v>
      </c>
      <c r="EV26" s="331">
        <f>'Riepilogo Mensile BANCOMAT'!L13</f>
        <v>0</v>
      </c>
      <c r="EW26" s="348">
        <f>'Riepilogo Mensile BANCOMAT'!M13</f>
        <v>0</v>
      </c>
      <c r="EX26" s="331">
        <f>'Riepilogo Mensile BANCOMAT'!B14</f>
        <v>0</v>
      </c>
      <c r="EY26" s="331">
        <f>'Riepilogo Mensile BANCOMAT'!C14</f>
        <v>0</v>
      </c>
      <c r="EZ26" s="331">
        <f>'Riepilogo Mensile BANCOMAT'!D14</f>
        <v>0</v>
      </c>
      <c r="FA26" s="331">
        <f>'Riepilogo Mensile BANCOMAT'!E14</f>
        <v>0</v>
      </c>
      <c r="FB26" s="331">
        <f>'Riepilogo Mensile BANCOMAT'!F14</f>
        <v>0</v>
      </c>
      <c r="FC26" s="331">
        <f>'Riepilogo Mensile BANCOMAT'!G14</f>
        <v>0</v>
      </c>
      <c r="FD26" s="331">
        <f>'Riepilogo Mensile BANCOMAT'!H14</f>
        <v>0</v>
      </c>
      <c r="FE26" s="331">
        <f>'Riepilogo Mensile BANCOMAT'!I14</f>
        <v>0</v>
      </c>
      <c r="FF26" s="331">
        <f>'Riepilogo Mensile BANCOMAT'!J14</f>
        <v>0</v>
      </c>
      <c r="FG26" s="331">
        <f>'Riepilogo Mensile BANCOMAT'!K14</f>
        <v>0</v>
      </c>
      <c r="FH26" s="331">
        <f>'Riepilogo Mensile BANCOMAT'!L14</f>
        <v>0</v>
      </c>
      <c r="FI26" s="348">
        <f>'Riepilogo Mensile BANCOMAT'!M14</f>
        <v>0</v>
      </c>
      <c r="FJ26" s="331">
        <f>'Riepilogo Mensile BANCOMAT'!B15</f>
        <v>0</v>
      </c>
      <c r="FK26" s="331">
        <f>'Riepilogo Mensile BANCOMAT'!C15</f>
        <v>0</v>
      </c>
      <c r="FL26" s="331">
        <f>'Riepilogo Mensile BANCOMAT'!D15</f>
        <v>0</v>
      </c>
      <c r="FM26" s="331">
        <f>'Riepilogo Mensile BANCOMAT'!E15</f>
        <v>0</v>
      </c>
      <c r="FN26" s="331">
        <f>'Riepilogo Mensile BANCOMAT'!F15</f>
        <v>0</v>
      </c>
      <c r="FO26" s="331">
        <f>'Riepilogo Mensile BANCOMAT'!G15</f>
        <v>0</v>
      </c>
      <c r="FP26" s="331">
        <f>'Riepilogo Mensile BANCOMAT'!H15</f>
        <v>0</v>
      </c>
      <c r="FQ26" s="331">
        <f>'Riepilogo Mensile BANCOMAT'!I15</f>
        <v>0</v>
      </c>
      <c r="FR26" s="331">
        <f>'Riepilogo Mensile BANCOMAT'!J15</f>
        <v>0</v>
      </c>
      <c r="FS26" s="331">
        <f>'Riepilogo Mensile BANCOMAT'!K15</f>
        <v>0</v>
      </c>
      <c r="FT26" s="331">
        <f>'Riepilogo Mensile BANCOMAT'!L15</f>
        <v>0</v>
      </c>
      <c r="FU26" s="348">
        <f>'Riepilogo Mensile BANCOMAT'!M15</f>
        <v>0</v>
      </c>
      <c r="FV26" s="331">
        <f>'Riepilogo Mensile BANCOMAT'!B16</f>
        <v>0</v>
      </c>
      <c r="FW26" s="331">
        <f>'Riepilogo Mensile BANCOMAT'!C16</f>
        <v>0</v>
      </c>
      <c r="FX26" s="331">
        <f>'Riepilogo Mensile BANCOMAT'!D16</f>
        <v>0</v>
      </c>
      <c r="FY26" s="331">
        <f>'Riepilogo Mensile BANCOMAT'!E16</f>
        <v>0</v>
      </c>
      <c r="FZ26" s="331">
        <f>'Riepilogo Mensile BANCOMAT'!F16</f>
        <v>0</v>
      </c>
      <c r="GA26" s="331">
        <f>'Riepilogo Mensile BANCOMAT'!G16</f>
        <v>0</v>
      </c>
      <c r="GB26" s="331">
        <f>'Riepilogo Mensile BANCOMAT'!H16</f>
        <v>0</v>
      </c>
      <c r="GC26" s="331">
        <f>'Riepilogo Mensile BANCOMAT'!I16</f>
        <v>0</v>
      </c>
      <c r="GD26" s="331">
        <f>'Riepilogo Mensile BANCOMAT'!J16</f>
        <v>0</v>
      </c>
      <c r="GE26" s="331">
        <f>'Riepilogo Mensile BANCOMAT'!K16</f>
        <v>0</v>
      </c>
      <c r="GF26" s="331">
        <f>'Riepilogo Mensile BANCOMAT'!L16</f>
        <v>0</v>
      </c>
      <c r="GG26" s="348">
        <f>'Riepilogo Mensile BANCOMAT'!M16</f>
        <v>0</v>
      </c>
      <c r="GH26" s="331">
        <f>'Riepilogo Mensile BANCOMAT'!B17</f>
        <v>0</v>
      </c>
      <c r="GI26" s="331">
        <f>'Riepilogo Mensile BANCOMAT'!C17</f>
        <v>0</v>
      </c>
      <c r="GJ26" s="331">
        <f>'Riepilogo Mensile BANCOMAT'!D17</f>
        <v>0</v>
      </c>
      <c r="GK26" s="331">
        <f>'Riepilogo Mensile BANCOMAT'!E17</f>
        <v>0</v>
      </c>
      <c r="GL26" s="331">
        <f>'Riepilogo Mensile BANCOMAT'!F17</f>
        <v>0</v>
      </c>
      <c r="GM26" s="331">
        <f>'Riepilogo Mensile BANCOMAT'!G17</f>
        <v>0</v>
      </c>
      <c r="GN26" s="331">
        <f>'Riepilogo Mensile BANCOMAT'!H17</f>
        <v>0</v>
      </c>
      <c r="GO26" s="331">
        <f>'Riepilogo Mensile BANCOMAT'!I17</f>
        <v>0</v>
      </c>
      <c r="GP26" s="331">
        <f>'Riepilogo Mensile BANCOMAT'!J17</f>
        <v>0</v>
      </c>
      <c r="GQ26" s="331">
        <f>'Riepilogo Mensile BANCOMAT'!K17</f>
        <v>0</v>
      </c>
      <c r="GR26" s="331">
        <f>'Riepilogo Mensile BANCOMAT'!L17</f>
        <v>0</v>
      </c>
      <c r="GS26" s="348">
        <f>'Riepilogo Mensile BANCOMAT'!M17</f>
        <v>0</v>
      </c>
      <c r="GT26" s="331">
        <f>'Riepilogo Mensile BANCOMAT'!B18</f>
        <v>0</v>
      </c>
    </row>
    <row r="27" spans="1:202">
      <c r="A27" s="19"/>
      <c r="B27" s="352" t="s">
        <v>19</v>
      </c>
      <c r="C27" s="23">
        <f t="shared" ref="C27:H27" si="430">SUM(C15:C26)</f>
        <v>30664.82</v>
      </c>
      <c r="D27" s="246">
        <f t="shared" si="430"/>
        <v>25975.440000000002</v>
      </c>
      <c r="E27" s="23">
        <f t="shared" si="430"/>
        <v>53374.239999999991</v>
      </c>
      <c r="F27" s="246">
        <f t="shared" si="430"/>
        <v>17390.070000000003</v>
      </c>
      <c r="G27" s="23">
        <f t="shared" si="430"/>
        <v>18840.650000000001</v>
      </c>
      <c r="H27" s="246">
        <f t="shared" si="430"/>
        <v>17417.75</v>
      </c>
      <c r="I27" s="694">
        <f t="shared" si="387"/>
        <v>24640.746109240066</v>
      </c>
      <c r="J27" s="342"/>
      <c r="K27" s="23">
        <f t="shared" si="388"/>
        <v>2555.4016666666666</v>
      </c>
      <c r="L27" s="274">
        <f t="shared" si="389"/>
        <v>2164.6200000000003</v>
      </c>
      <c r="M27" s="246">
        <f t="shared" si="390"/>
        <v>4447.8533333333326</v>
      </c>
      <c r="N27" s="251">
        <f t="shared" si="391"/>
        <v>1449.1725000000004</v>
      </c>
      <c r="O27" s="245">
        <f t="shared" si="392"/>
        <v>1570.0541666666668</v>
      </c>
      <c r="P27" s="245">
        <f t="shared" si="392"/>
        <v>1451.4791666666667</v>
      </c>
      <c r="Q27" s="245">
        <f>IFERROR(AVERAGEIF(CP27:DA27,"&gt;0"),0)</f>
        <v>2053.395509103339</v>
      </c>
      <c r="R27" s="328"/>
      <c r="S27" s="307">
        <f t="shared" ref="S27:AX27" si="431">SUM(S15:S26)</f>
        <v>776.93</v>
      </c>
      <c r="T27" s="28">
        <f t="shared" si="431"/>
        <v>801.93</v>
      </c>
      <c r="U27" s="310">
        <f t="shared" si="431"/>
        <v>1519.81</v>
      </c>
      <c r="V27" s="307">
        <f t="shared" si="431"/>
        <v>1038.82</v>
      </c>
      <c r="W27" s="28">
        <f t="shared" si="431"/>
        <v>1468.9299999999998</v>
      </c>
      <c r="X27" s="28">
        <f t="shared" si="431"/>
        <v>1019.1599999999999</v>
      </c>
      <c r="Y27" s="28">
        <f t="shared" si="431"/>
        <v>816.93</v>
      </c>
      <c r="Z27" s="28">
        <f t="shared" si="431"/>
        <v>1099.02</v>
      </c>
      <c r="AA27" s="28">
        <f t="shared" si="431"/>
        <v>1088.03</v>
      </c>
      <c r="AB27" s="28">
        <f t="shared" si="431"/>
        <v>913</v>
      </c>
      <c r="AC27" s="28">
        <f t="shared" si="431"/>
        <v>1485.4299999999998</v>
      </c>
      <c r="AD27" s="28">
        <f t="shared" si="431"/>
        <v>1062.96</v>
      </c>
      <c r="AE27" s="28">
        <f t="shared" si="431"/>
        <v>1475.6100000000001</v>
      </c>
      <c r="AF27" s="28">
        <f t="shared" si="431"/>
        <v>12512.69</v>
      </c>
      <c r="AG27" s="310">
        <f t="shared" si="431"/>
        <v>6684.2400000000007</v>
      </c>
      <c r="AH27" s="307">
        <f t="shared" si="431"/>
        <v>911.23</v>
      </c>
      <c r="AI27" s="28">
        <f>SUM(AI15:AI26)-AI22-AI23</f>
        <v>3879.73</v>
      </c>
      <c r="AJ27" s="28">
        <f t="shared" si="431"/>
        <v>4162.3899999999994</v>
      </c>
      <c r="AK27" s="28">
        <f>SUM(AK15:AK26)-AK22-AK23</f>
        <v>1021.6800000000001</v>
      </c>
      <c r="AL27" s="28">
        <f t="shared" si="431"/>
        <v>924.51</v>
      </c>
      <c r="AM27" s="28">
        <f>SUM(AM15:AM26)-AM22-AM23</f>
        <v>1200.8799999999999</v>
      </c>
      <c r="AN27" s="28">
        <f t="shared" si="431"/>
        <v>1845.8600000000001</v>
      </c>
      <c r="AO27" s="28">
        <f>SUM(AO15:AO26)-AO22-AO23</f>
        <v>2947.28</v>
      </c>
      <c r="AP27" s="28">
        <f t="shared" si="431"/>
        <v>1800.71</v>
      </c>
      <c r="AQ27" s="28">
        <f>SUM(AQ15:AQ26)-AQ22-AQ23</f>
        <v>1783.0800000000002</v>
      </c>
      <c r="AR27" s="28">
        <f t="shared" si="431"/>
        <v>1577.28</v>
      </c>
      <c r="AS27" s="310">
        <f t="shared" si="431"/>
        <v>2817.48</v>
      </c>
      <c r="AT27" s="307">
        <f t="shared" si="431"/>
        <v>2768.29</v>
      </c>
      <c r="AU27" s="28">
        <f t="shared" si="431"/>
        <v>15847.789999999997</v>
      </c>
      <c r="AV27" s="28">
        <f t="shared" si="431"/>
        <v>967.73</v>
      </c>
      <c r="AW27" s="28">
        <f t="shared" si="431"/>
        <v>1910.1499999999999</v>
      </c>
      <c r="AX27" s="28">
        <f t="shared" si="431"/>
        <v>1472.3799999999999</v>
      </c>
      <c r="AY27" s="28">
        <f t="shared" ref="AY27:CD27" si="432">SUM(AY15:AY26)</f>
        <v>1248.8699999999999</v>
      </c>
      <c r="AZ27" s="28">
        <f t="shared" si="432"/>
        <v>1795.6</v>
      </c>
      <c r="BA27" s="28">
        <f t="shared" si="432"/>
        <v>1896.5499999999997</v>
      </c>
      <c r="BB27" s="28">
        <f t="shared" si="432"/>
        <v>20610.89</v>
      </c>
      <c r="BC27" s="28">
        <f t="shared" si="432"/>
        <v>1166.4299999999998</v>
      </c>
      <c r="BD27" s="28">
        <f t="shared" si="432"/>
        <v>1334.99</v>
      </c>
      <c r="BE27" s="310">
        <f t="shared" si="432"/>
        <v>2354.5700000000002</v>
      </c>
      <c r="BF27" s="307">
        <f t="shared" si="432"/>
        <v>1554.8899999999999</v>
      </c>
      <c r="BG27" s="28">
        <f t="shared" si="432"/>
        <v>1277.82</v>
      </c>
      <c r="BH27" s="28">
        <f t="shared" si="432"/>
        <v>1460.72</v>
      </c>
      <c r="BI27" s="28">
        <f t="shared" si="432"/>
        <v>1238.05</v>
      </c>
      <c r="BJ27" s="28">
        <f t="shared" si="432"/>
        <v>1485.51</v>
      </c>
      <c r="BK27" s="28">
        <f t="shared" si="432"/>
        <v>1258.6200000000001</v>
      </c>
      <c r="BL27" s="28">
        <f t="shared" si="432"/>
        <v>1528.6</v>
      </c>
      <c r="BM27" s="28">
        <f t="shared" si="432"/>
        <v>2011.1299999999999</v>
      </c>
      <c r="BN27" s="28">
        <f t="shared" si="432"/>
        <v>1323.84</v>
      </c>
      <c r="BO27" s="28">
        <f t="shared" si="432"/>
        <v>1259.0999999999999</v>
      </c>
      <c r="BP27" s="28">
        <f t="shared" si="432"/>
        <v>1379.54</v>
      </c>
      <c r="BQ27" s="310">
        <f t="shared" si="432"/>
        <v>1612.25</v>
      </c>
      <c r="BR27" s="307">
        <f t="shared" si="432"/>
        <v>1587.77</v>
      </c>
      <c r="BS27" s="28">
        <f t="shared" si="432"/>
        <v>1671.2300000000002</v>
      </c>
      <c r="BT27" s="28">
        <f t="shared" si="432"/>
        <v>1623.4299999999998</v>
      </c>
      <c r="BU27" s="28">
        <f t="shared" si="432"/>
        <v>1334.45</v>
      </c>
      <c r="BV27" s="28">
        <f t="shared" si="432"/>
        <v>1410.76</v>
      </c>
      <c r="BW27" s="28">
        <f t="shared" si="432"/>
        <v>1479.24</v>
      </c>
      <c r="BX27" s="28">
        <f t="shared" si="432"/>
        <v>1153.1399999999999</v>
      </c>
      <c r="BY27" s="28">
        <f t="shared" si="432"/>
        <v>2243.08</v>
      </c>
      <c r="BZ27" s="28">
        <f t="shared" si="432"/>
        <v>1208.0999999999999</v>
      </c>
      <c r="CA27" s="28">
        <f t="shared" si="432"/>
        <v>-144.72000000000003</v>
      </c>
      <c r="CB27" s="28">
        <f t="shared" si="432"/>
        <v>3065.8199999999997</v>
      </c>
      <c r="CC27" s="310">
        <f t="shared" si="432"/>
        <v>2208.35</v>
      </c>
      <c r="CD27" s="307">
        <f t="shared" si="432"/>
        <v>1919.62</v>
      </c>
      <c r="CE27" s="28">
        <f t="shared" ref="CE27:DJ27" si="433">SUM(CE15:CE26)</f>
        <v>1604.9099999999999</v>
      </c>
      <c r="CF27" s="28">
        <f t="shared" si="433"/>
        <v>1867.12</v>
      </c>
      <c r="CG27" s="28">
        <f t="shared" si="433"/>
        <v>1850.3100000000002</v>
      </c>
      <c r="CH27" s="28">
        <f t="shared" si="433"/>
        <v>1092.8499999999999</v>
      </c>
      <c r="CI27" s="28">
        <f t="shared" si="433"/>
        <v>1179.7900000000002</v>
      </c>
      <c r="CJ27" s="28">
        <f t="shared" si="433"/>
        <v>988.1</v>
      </c>
      <c r="CK27" s="28">
        <f t="shared" si="433"/>
        <v>1373.0300000000002</v>
      </c>
      <c r="CL27" s="28">
        <f t="shared" si="433"/>
        <v>998.1</v>
      </c>
      <c r="CM27" s="28">
        <f t="shared" si="433"/>
        <v>1445.6699999999998</v>
      </c>
      <c r="CN27" s="28">
        <f t="shared" si="433"/>
        <v>995.08</v>
      </c>
      <c r="CO27" s="310">
        <f t="shared" si="433"/>
        <v>2103.17</v>
      </c>
      <c r="CP27" s="307">
        <f t="shared" si="433"/>
        <v>1538.6</v>
      </c>
      <c r="CQ27" s="28">
        <f t="shared" si="433"/>
        <v>1370.8100000000002</v>
      </c>
      <c r="CR27" s="28">
        <f t="shared" si="433"/>
        <v>1395.9699999999998</v>
      </c>
      <c r="CS27" s="28">
        <f t="shared" si="433"/>
        <v>3327.82</v>
      </c>
      <c r="CT27" s="28">
        <f t="shared" si="433"/>
        <v>1901.83</v>
      </c>
      <c r="CU27" s="28">
        <f t="shared" si="433"/>
        <v>2548.9700000000003</v>
      </c>
      <c r="CV27" s="28">
        <f t="shared" si="433"/>
        <v>1398.49</v>
      </c>
      <c r="CW27" s="28">
        <f t="shared" si="433"/>
        <v>3792.3599999999997</v>
      </c>
      <c r="CX27" s="28">
        <f t="shared" si="433"/>
        <v>3735.0599999999995</v>
      </c>
      <c r="CY27" s="28">
        <f t="shared" si="433"/>
        <v>1226.8600000000001</v>
      </c>
      <c r="CZ27" s="28">
        <f t="shared" si="433"/>
        <v>1108.8499999999999</v>
      </c>
      <c r="DA27" s="310">
        <f t="shared" si="433"/>
        <v>1295.1261092400696</v>
      </c>
      <c r="DB27" s="307">
        <f t="shared" si="433"/>
        <v>1071.25</v>
      </c>
      <c r="DC27" s="28">
        <f t="shared" si="433"/>
        <v>1396.8100000000002</v>
      </c>
      <c r="DD27" s="28">
        <f t="shared" si="433"/>
        <v>1018.1</v>
      </c>
      <c r="DE27" s="28">
        <f t="shared" si="433"/>
        <v>1373.8300000000002</v>
      </c>
      <c r="DF27" s="28">
        <f t="shared" si="433"/>
        <v>1018.1</v>
      </c>
      <c r="DG27" s="28">
        <f t="shared" si="433"/>
        <v>1239.7900000000002</v>
      </c>
      <c r="DH27" s="28">
        <f t="shared" si="433"/>
        <v>1018.1</v>
      </c>
      <c r="DI27" s="28">
        <f t="shared" si="433"/>
        <v>1214.3800000000001</v>
      </c>
      <c r="DJ27" s="28">
        <f t="shared" si="433"/>
        <v>1018.1</v>
      </c>
      <c r="DK27" s="28">
        <f t="shared" ref="DK27:EP27" si="434">SUM(DK15:DK26)</f>
        <v>1218.101038553767</v>
      </c>
      <c r="DL27" s="28">
        <f t="shared" si="434"/>
        <v>1018.1</v>
      </c>
      <c r="DM27" s="310">
        <f t="shared" si="434"/>
        <v>1184.9470113954067</v>
      </c>
      <c r="DN27" s="307">
        <f t="shared" si="434"/>
        <v>1018.1</v>
      </c>
      <c r="DO27" s="28">
        <f t="shared" si="434"/>
        <v>1396.8100000000002</v>
      </c>
      <c r="DP27" s="28">
        <f t="shared" si="434"/>
        <v>1018.1</v>
      </c>
      <c r="DQ27" s="28">
        <f t="shared" si="434"/>
        <v>1373.8300000000002</v>
      </c>
      <c r="DR27" s="28">
        <f t="shared" si="434"/>
        <v>1018.1</v>
      </c>
      <c r="DS27" s="28">
        <f t="shared" si="434"/>
        <v>1239.7900000000002</v>
      </c>
      <c r="DT27" s="28">
        <f t="shared" si="434"/>
        <v>1018.1</v>
      </c>
      <c r="DU27" s="28">
        <f t="shared" si="434"/>
        <v>1131.3800000000001</v>
      </c>
      <c r="DV27" s="28">
        <f t="shared" si="434"/>
        <v>935.1</v>
      </c>
      <c r="DW27" s="28">
        <f t="shared" si="434"/>
        <v>1135.101038553767</v>
      </c>
      <c r="DX27" s="28">
        <f t="shared" si="434"/>
        <v>935.1</v>
      </c>
      <c r="DY27" s="310">
        <f t="shared" si="434"/>
        <v>1101.9470113954069</v>
      </c>
      <c r="DZ27" s="307">
        <f t="shared" si="434"/>
        <v>935.1</v>
      </c>
      <c r="EA27" s="28">
        <f t="shared" si="434"/>
        <v>1313.8100000000002</v>
      </c>
      <c r="EB27" s="28">
        <f t="shared" si="434"/>
        <v>935.1</v>
      </c>
      <c r="EC27" s="28">
        <f t="shared" si="434"/>
        <v>1290.8300000000002</v>
      </c>
      <c r="ED27" s="28">
        <f t="shared" si="434"/>
        <v>935.1</v>
      </c>
      <c r="EE27" s="28">
        <f t="shared" si="434"/>
        <v>1156.7900000000002</v>
      </c>
      <c r="EF27" s="28">
        <f t="shared" si="434"/>
        <v>935.1</v>
      </c>
      <c r="EG27" s="28">
        <f t="shared" si="434"/>
        <v>1131.3800000000001</v>
      </c>
      <c r="EH27" s="28">
        <f t="shared" si="434"/>
        <v>935.1</v>
      </c>
      <c r="EI27" s="28">
        <f t="shared" si="434"/>
        <v>1135.101038553767</v>
      </c>
      <c r="EJ27" s="28">
        <f t="shared" si="434"/>
        <v>935.1</v>
      </c>
      <c r="EK27" s="310">
        <f t="shared" si="434"/>
        <v>1101.9470113954069</v>
      </c>
      <c r="EL27" s="307">
        <f t="shared" si="434"/>
        <v>935.1</v>
      </c>
      <c r="EM27" s="28">
        <f t="shared" si="434"/>
        <v>1313.8100000000002</v>
      </c>
      <c r="EN27" s="28">
        <f t="shared" si="434"/>
        <v>935.1</v>
      </c>
      <c r="EO27" s="28">
        <f t="shared" si="434"/>
        <v>1290.8300000000002</v>
      </c>
      <c r="EP27" s="28">
        <f t="shared" si="434"/>
        <v>935.1</v>
      </c>
      <c r="EQ27" s="28">
        <f t="shared" ref="EQ27:FV27" si="435">SUM(EQ15:EQ26)</f>
        <v>1156.7900000000002</v>
      </c>
      <c r="ER27" s="28">
        <f t="shared" si="435"/>
        <v>935.1</v>
      </c>
      <c r="ES27" s="28">
        <f t="shared" si="435"/>
        <v>1131.3800000000001</v>
      </c>
      <c r="ET27" s="28">
        <f t="shared" si="435"/>
        <v>935.1</v>
      </c>
      <c r="EU27" s="28">
        <f t="shared" si="435"/>
        <v>1135.101038553767</v>
      </c>
      <c r="EV27" s="28">
        <f t="shared" si="435"/>
        <v>935.1</v>
      </c>
      <c r="EW27" s="310">
        <f t="shared" si="435"/>
        <v>1101.9470113954069</v>
      </c>
      <c r="EX27" s="28">
        <f t="shared" si="435"/>
        <v>935.1</v>
      </c>
      <c r="EY27" s="28">
        <f t="shared" si="435"/>
        <v>1313.8100000000002</v>
      </c>
      <c r="EZ27" s="28">
        <f t="shared" si="435"/>
        <v>935.1</v>
      </c>
      <c r="FA27" s="28">
        <f t="shared" si="435"/>
        <v>1290.8300000000002</v>
      </c>
      <c r="FB27" s="28">
        <f t="shared" si="435"/>
        <v>935.1</v>
      </c>
      <c r="FC27" s="28">
        <f t="shared" si="435"/>
        <v>1156.7900000000002</v>
      </c>
      <c r="FD27" s="28">
        <f t="shared" si="435"/>
        <v>935.1</v>
      </c>
      <c r="FE27" s="28">
        <f t="shared" si="435"/>
        <v>1131.3800000000001</v>
      </c>
      <c r="FF27" s="28">
        <f t="shared" si="435"/>
        <v>935.1</v>
      </c>
      <c r="FG27" s="28">
        <f t="shared" si="435"/>
        <v>1135.101038553767</v>
      </c>
      <c r="FH27" s="28">
        <f t="shared" si="435"/>
        <v>935.1</v>
      </c>
      <c r="FI27" s="310">
        <f t="shared" si="435"/>
        <v>1101.9470113954069</v>
      </c>
      <c r="FJ27" s="28">
        <f t="shared" si="435"/>
        <v>935.1</v>
      </c>
      <c r="FK27" s="28">
        <f t="shared" si="435"/>
        <v>1313.8100000000002</v>
      </c>
      <c r="FL27" s="28">
        <f t="shared" si="435"/>
        <v>935.1</v>
      </c>
      <c r="FM27" s="28">
        <f t="shared" si="435"/>
        <v>1290.8300000000002</v>
      </c>
      <c r="FN27" s="28">
        <f t="shared" si="435"/>
        <v>935.1</v>
      </c>
      <c r="FO27" s="28">
        <f t="shared" si="435"/>
        <v>1156.7900000000002</v>
      </c>
      <c r="FP27" s="28">
        <f t="shared" si="435"/>
        <v>935.1</v>
      </c>
      <c r="FQ27" s="28">
        <f t="shared" si="435"/>
        <v>1131.3800000000001</v>
      </c>
      <c r="FR27" s="28">
        <f t="shared" si="435"/>
        <v>935.1</v>
      </c>
      <c r="FS27" s="28">
        <f t="shared" si="435"/>
        <v>1135.101038553767</v>
      </c>
      <c r="FT27" s="28">
        <f t="shared" si="435"/>
        <v>935.1</v>
      </c>
      <c r="FU27" s="310">
        <f t="shared" si="435"/>
        <v>913.69701139540678</v>
      </c>
      <c r="FV27" s="28">
        <f t="shared" si="435"/>
        <v>746.85</v>
      </c>
      <c r="FW27" s="28">
        <f t="shared" ref="FW27:GT27" si="436">SUM(FW15:FW26)</f>
        <v>1125.56</v>
      </c>
      <c r="FX27" s="28">
        <f t="shared" si="436"/>
        <v>746.85</v>
      </c>
      <c r="FY27" s="28">
        <f t="shared" si="436"/>
        <v>1102.5800000000002</v>
      </c>
      <c r="FZ27" s="28">
        <f t="shared" si="436"/>
        <v>746.85</v>
      </c>
      <c r="GA27" s="28">
        <f t="shared" si="436"/>
        <v>968.54000000000008</v>
      </c>
      <c r="GB27" s="28">
        <f t="shared" si="436"/>
        <v>746.85</v>
      </c>
      <c r="GC27" s="28">
        <f t="shared" si="436"/>
        <v>943.13</v>
      </c>
      <c r="GD27" s="28">
        <f t="shared" si="436"/>
        <v>746.85</v>
      </c>
      <c r="GE27" s="28">
        <f t="shared" si="436"/>
        <v>946.85103855376713</v>
      </c>
      <c r="GF27" s="28">
        <f t="shared" si="436"/>
        <v>746.85</v>
      </c>
      <c r="GG27" s="310">
        <f t="shared" si="436"/>
        <v>913.69701139540678</v>
      </c>
      <c r="GH27" s="28">
        <f t="shared" si="436"/>
        <v>746.85</v>
      </c>
      <c r="GI27" s="28">
        <f t="shared" si="436"/>
        <v>1125.56</v>
      </c>
      <c r="GJ27" s="28">
        <f t="shared" si="436"/>
        <v>746.85</v>
      </c>
      <c r="GK27" s="28">
        <f t="shared" si="436"/>
        <v>1102.5800000000002</v>
      </c>
      <c r="GL27" s="28">
        <f t="shared" si="436"/>
        <v>746.85</v>
      </c>
      <c r="GM27" s="28">
        <f t="shared" si="436"/>
        <v>968.54000000000008</v>
      </c>
      <c r="GN27" s="28">
        <f t="shared" si="436"/>
        <v>746.85</v>
      </c>
      <c r="GO27" s="28">
        <f t="shared" si="436"/>
        <v>943.13</v>
      </c>
      <c r="GP27" s="28">
        <f t="shared" si="436"/>
        <v>746.85</v>
      </c>
      <c r="GQ27" s="28">
        <f t="shared" si="436"/>
        <v>946.85103855376713</v>
      </c>
      <c r="GR27" s="28">
        <f t="shared" si="436"/>
        <v>746.85</v>
      </c>
      <c r="GS27" s="310">
        <f t="shared" si="436"/>
        <v>913.69701139540678</v>
      </c>
      <c r="GT27" s="28">
        <f t="shared" si="436"/>
        <v>746.85</v>
      </c>
    </row>
    <row r="28" spans="1:202" s="444" customFormat="1">
      <c r="A28" s="438"/>
      <c r="B28" s="437" t="s">
        <v>20</v>
      </c>
      <c r="C28" s="362">
        <f>SUM(V28:AG28)</f>
        <v>1801.12</v>
      </c>
      <c r="D28" s="439">
        <f>SUM(AH28:AS28)</f>
        <v>11202</v>
      </c>
      <c r="E28" s="362">
        <f>SUM(AT28:BE28)</f>
        <v>33045.29</v>
      </c>
      <c r="F28" s="439">
        <f>SUM(BF28:BQ28)</f>
        <v>1061.75</v>
      </c>
      <c r="G28" s="362">
        <f>SUM(BR28:CC28)</f>
        <v>2770.49</v>
      </c>
      <c r="H28" s="439">
        <f>SUM(CD28:CO28)</f>
        <v>1874.34</v>
      </c>
      <c r="I28" s="1032">
        <f t="shared" si="387"/>
        <v>4205.83</v>
      </c>
      <c r="J28" s="441"/>
      <c r="K28" s="362">
        <f t="shared" si="388"/>
        <v>150.09333333333333</v>
      </c>
      <c r="L28" s="440">
        <f t="shared" si="389"/>
        <v>933.5</v>
      </c>
      <c r="M28" s="439">
        <f t="shared" si="390"/>
        <v>2753.7741666666666</v>
      </c>
      <c r="N28" s="441">
        <f t="shared" si="391"/>
        <v>88.479166666666671</v>
      </c>
      <c r="O28" s="439">
        <f t="shared" si="392"/>
        <v>230.87416666666664</v>
      </c>
      <c r="P28" s="439">
        <f t="shared" si="392"/>
        <v>156.19499999999999</v>
      </c>
      <c r="Q28" s="439">
        <f>IFERROR(SUM(CP28:DA28)/12,0)</f>
        <v>350.48583333333335</v>
      </c>
      <c r="R28" s="362"/>
      <c r="S28" s="440"/>
      <c r="T28" s="362"/>
      <c r="U28" s="441">
        <f>200+0.87</f>
        <v>200.87</v>
      </c>
      <c r="V28" s="440"/>
      <c r="W28" s="362">
        <f>180</f>
        <v>180</v>
      </c>
      <c r="X28" s="362"/>
      <c r="Y28" s="362"/>
      <c r="Z28" s="362">
        <v>180</v>
      </c>
      <c r="AA28" s="362"/>
      <c r="AB28" s="362">
        <v>220</v>
      </c>
      <c r="AC28" s="362">
        <v>180</v>
      </c>
      <c r="AD28" s="362">
        <v>420</v>
      </c>
      <c r="AE28" s="362">
        <v>210</v>
      </c>
      <c r="AF28" s="362">
        <f>290+60</f>
        <v>350</v>
      </c>
      <c r="AG28" s="441">
        <f>60+1.12</f>
        <v>61.12</v>
      </c>
      <c r="AH28" s="440">
        <v>60</v>
      </c>
      <c r="AI28" s="362">
        <f>2000+2650</f>
        <v>4650</v>
      </c>
      <c r="AJ28" s="362">
        <f>630</f>
        <v>630</v>
      </c>
      <c r="AK28" s="362"/>
      <c r="AL28" s="362"/>
      <c r="AM28" s="362">
        <f>250</f>
        <v>250</v>
      </c>
      <c r="AN28" s="362">
        <f>200+70+5000+200</f>
        <v>5470</v>
      </c>
      <c r="AO28" s="362"/>
      <c r="AP28" s="362"/>
      <c r="AQ28" s="362"/>
      <c r="AR28" s="362">
        <f>42+100</f>
        <v>142</v>
      </c>
      <c r="AS28" s="441"/>
      <c r="AT28" s="440">
        <f>0.08+13800</f>
        <v>13800.08</v>
      </c>
      <c r="AU28" s="362"/>
      <c r="AV28" s="362">
        <v>475.2</v>
      </c>
      <c r="AW28" s="362">
        <v>18400</v>
      </c>
      <c r="AX28" s="362"/>
      <c r="AY28" s="362"/>
      <c r="AZ28" s="362">
        <f>200</f>
        <v>200</v>
      </c>
      <c r="BA28" s="362">
        <f>70</f>
        <v>70</v>
      </c>
      <c r="BB28" s="362">
        <f>100+0.01</f>
        <v>100.01</v>
      </c>
      <c r="BC28" s="362"/>
      <c r="BD28" s="362"/>
      <c r="BE28" s="441"/>
      <c r="BF28" s="440">
        <v>0.12</v>
      </c>
      <c r="BG28" s="362"/>
      <c r="BH28" s="362">
        <v>150</v>
      </c>
      <c r="BI28" s="362"/>
      <c r="BJ28" s="362">
        <f>250</f>
        <v>250</v>
      </c>
      <c r="BK28" s="362"/>
      <c r="BL28" s="362">
        <v>380</v>
      </c>
      <c r="BM28" s="362">
        <v>281.63</v>
      </c>
      <c r="BN28" s="362"/>
      <c r="BO28" s="362"/>
      <c r="BP28" s="362"/>
      <c r="BQ28" s="441"/>
      <c r="BR28" s="440">
        <v>0.03</v>
      </c>
      <c r="BS28" s="362"/>
      <c r="BT28" s="362"/>
      <c r="BU28" s="362"/>
      <c r="BV28" s="362">
        <v>125</v>
      </c>
      <c r="BW28" s="362"/>
      <c r="BX28" s="362"/>
      <c r="BY28" s="362">
        <f>255.46</f>
        <v>255.46</v>
      </c>
      <c r="BZ28" s="362">
        <f>100</f>
        <v>100</v>
      </c>
      <c r="CA28" s="362">
        <f>700+200+69+700</f>
        <v>1669</v>
      </c>
      <c r="CB28" s="362">
        <f>77+300</f>
        <v>377</v>
      </c>
      <c r="CC28" s="441">
        <f>(120+62+62)</f>
        <v>244</v>
      </c>
      <c r="CD28" s="440">
        <f>0.06+65</f>
        <v>65.06</v>
      </c>
      <c r="CE28" s="362"/>
      <c r="CF28" s="362">
        <f>165+85</f>
        <v>250</v>
      </c>
      <c r="CG28" s="362">
        <f>30+30+40+137+77</f>
        <v>314</v>
      </c>
      <c r="CH28" s="362"/>
      <c r="CI28" s="362"/>
      <c r="CJ28" s="362"/>
      <c r="CK28" s="362">
        <f>480.28</f>
        <v>480.28</v>
      </c>
      <c r="CL28" s="362">
        <f>87+76+62</f>
        <v>225</v>
      </c>
      <c r="CM28" s="362">
        <f>230+100</f>
        <v>330</v>
      </c>
      <c r="CN28" s="362">
        <v>210</v>
      </c>
      <c r="CO28" s="441"/>
      <c r="CP28" s="440">
        <f>0.11+150</f>
        <v>150.11000000000001</v>
      </c>
      <c r="CQ28" s="362">
        <f>136</f>
        <v>136</v>
      </c>
      <c r="CR28" s="1366"/>
      <c r="CS28" s="362">
        <f>130+440</f>
        <v>570</v>
      </c>
      <c r="CT28" s="1310"/>
      <c r="CU28" s="362">
        <f>230+150</f>
        <v>380</v>
      </c>
      <c r="CV28" s="362">
        <v>69.45</v>
      </c>
      <c r="CW28" s="362">
        <f>90.27+1266+418.09+650+30.25</f>
        <v>2454.6099999999997</v>
      </c>
      <c r="CX28" s="362">
        <f>21.23+92.14+150+162</f>
        <v>425.37</v>
      </c>
      <c r="CY28" s="362">
        <f>20.29</f>
        <v>20.29</v>
      </c>
      <c r="CZ28" s="362"/>
      <c r="DA28" s="441"/>
      <c r="DB28" s="440"/>
      <c r="DC28" s="362"/>
      <c r="DD28" s="362"/>
      <c r="DE28" s="362"/>
      <c r="DF28" s="362"/>
      <c r="DG28" s="362"/>
      <c r="DH28" s="362"/>
      <c r="DI28" s="362"/>
      <c r="DJ28" s="362"/>
      <c r="DK28" s="362"/>
      <c r="DL28" s="362"/>
      <c r="DM28" s="441"/>
      <c r="DN28" s="440"/>
      <c r="DO28" s="362"/>
      <c r="DP28" s="362"/>
      <c r="DQ28" s="362"/>
      <c r="DR28" s="362"/>
      <c r="DS28" s="362"/>
      <c r="DT28" s="362"/>
      <c r="DU28" s="362"/>
      <c r="DV28" s="362"/>
      <c r="DW28" s="362"/>
      <c r="DX28" s="362"/>
      <c r="DY28" s="441"/>
      <c r="DZ28" s="440"/>
      <c r="EA28" s="362"/>
      <c r="EB28" s="362"/>
      <c r="EC28" s="362"/>
      <c r="ED28" s="362"/>
      <c r="EE28" s="362"/>
      <c r="EF28" s="362"/>
      <c r="EG28" s="362"/>
      <c r="EH28" s="362"/>
      <c r="EI28" s="362"/>
      <c r="EJ28" s="362"/>
      <c r="EK28" s="441"/>
      <c r="EL28" s="440"/>
      <c r="EM28" s="362"/>
      <c r="EN28" s="362"/>
      <c r="EO28" s="362"/>
      <c r="EP28" s="362"/>
      <c r="EQ28" s="362"/>
      <c r="ER28" s="362"/>
      <c r="ES28" s="362"/>
      <c r="ET28" s="362"/>
      <c r="EU28" s="362"/>
      <c r="EV28" s="362"/>
      <c r="EW28" s="441"/>
      <c r="EX28" s="362"/>
      <c r="EY28" s="362"/>
      <c r="EZ28" s="362"/>
      <c r="FA28" s="362"/>
      <c r="FB28" s="362"/>
      <c r="FC28" s="362"/>
      <c r="FD28" s="362"/>
      <c r="FE28" s="362"/>
      <c r="FF28" s="362"/>
      <c r="FG28" s="362"/>
      <c r="FH28" s="362"/>
      <c r="FI28" s="441"/>
      <c r="FJ28" s="362"/>
      <c r="FK28" s="362"/>
      <c r="FL28" s="362"/>
      <c r="FM28" s="362"/>
      <c r="FN28" s="362"/>
      <c r="FO28" s="362"/>
      <c r="FP28" s="362"/>
      <c r="FQ28" s="362"/>
      <c r="FR28" s="362"/>
      <c r="FS28" s="362"/>
      <c r="FT28" s="362"/>
      <c r="FU28" s="441"/>
      <c r="FV28" s="362"/>
      <c r="FW28" s="362"/>
      <c r="FX28" s="362"/>
      <c r="FY28" s="362"/>
      <c r="FZ28" s="362"/>
      <c r="GA28" s="362"/>
      <c r="GB28" s="362"/>
      <c r="GC28" s="362"/>
      <c r="GD28" s="362"/>
      <c r="GE28" s="362"/>
      <c r="GF28" s="362"/>
      <c r="GG28" s="441"/>
      <c r="GH28" s="362"/>
      <c r="GI28" s="362"/>
      <c r="GJ28" s="362"/>
      <c r="GK28" s="362"/>
      <c r="GL28" s="362"/>
      <c r="GM28" s="362"/>
      <c r="GN28" s="362"/>
      <c r="GO28" s="362"/>
      <c r="GP28" s="362"/>
      <c r="GQ28" s="362"/>
      <c r="GR28" s="362"/>
      <c r="GS28" s="441"/>
      <c r="GT28" s="362"/>
    </row>
    <row r="29" spans="1:202" s="1098" customFormat="1">
      <c r="A29" s="1091"/>
      <c r="B29" s="1092" t="s">
        <v>21</v>
      </c>
      <c r="C29" s="1093">
        <f>SUM(V29:AG29)</f>
        <v>0</v>
      </c>
      <c r="D29" s="1094">
        <f>SUM(AH29:AS29)</f>
        <v>0</v>
      </c>
      <c r="E29" s="1093">
        <f>SUM(AT29:BE29)</f>
        <v>804</v>
      </c>
      <c r="F29" s="1094">
        <f>SUM(BF29:BQ29)</f>
        <v>854</v>
      </c>
      <c r="G29" s="1093">
        <f>SUM(BR29:CC29)</f>
        <v>763</v>
      </c>
      <c r="H29" s="1094">
        <f>SUM(CD29:CO29)</f>
        <v>590</v>
      </c>
      <c r="I29" s="1095">
        <f t="shared" si="387"/>
        <v>0</v>
      </c>
      <c r="J29" s="1070"/>
      <c r="K29" s="1093">
        <f t="shared" ref="K29:K30" si="437">C29/12</f>
        <v>0</v>
      </c>
      <c r="L29" s="1096">
        <f t="shared" ref="L29:L30" si="438">D29/12</f>
        <v>0</v>
      </c>
      <c r="M29" s="1094">
        <f t="shared" ref="M29:M30" si="439">E29/12</f>
        <v>67</v>
      </c>
      <c r="N29" s="1097">
        <f t="shared" ref="N29:N30" si="440">F29/12</f>
        <v>71.166666666666671</v>
      </c>
      <c r="O29" s="1094">
        <f t="shared" ref="O29:P30" si="441">G29/12</f>
        <v>63.583333333333336</v>
      </c>
      <c r="P29" s="1094">
        <f t="shared" si="441"/>
        <v>49.166666666666664</v>
      </c>
      <c r="Q29" s="1094">
        <f>IFERROR(SUM(CP29:DA29)/12,0)</f>
        <v>0</v>
      </c>
      <c r="R29" s="1067"/>
      <c r="S29" s="1096"/>
      <c r="T29" s="1093"/>
      <c r="U29" s="1097"/>
      <c r="V29" s="1096"/>
      <c r="W29" s="1093"/>
      <c r="X29" s="1093"/>
      <c r="Y29" s="1093"/>
      <c r="Z29" s="1093"/>
      <c r="AA29" s="1093"/>
      <c r="AB29" s="1093"/>
      <c r="AC29" s="1093"/>
      <c r="AD29" s="1093"/>
      <c r="AE29" s="1093"/>
      <c r="AF29" s="1093"/>
      <c r="AG29" s="1097"/>
      <c r="AH29" s="1096"/>
      <c r="AI29" s="1093"/>
      <c r="AJ29" s="1093"/>
      <c r="AK29" s="1093"/>
      <c r="AL29" s="1093"/>
      <c r="AM29" s="1093"/>
      <c r="AN29" s="1093"/>
      <c r="AO29" s="1093"/>
      <c r="AP29" s="1093"/>
      <c r="AQ29" s="1093"/>
      <c r="AR29" s="1093"/>
      <c r="AS29" s="1097"/>
      <c r="AT29" s="1096"/>
      <c r="AU29" s="1093"/>
      <c r="AV29" s="1093"/>
      <c r="AW29" s="1093"/>
      <c r="AX29" s="1093"/>
      <c r="AY29" s="1093"/>
      <c r="AZ29" s="1093"/>
      <c r="BA29" s="1093">
        <v>804</v>
      </c>
      <c r="BB29" s="1093"/>
      <c r="BC29" s="1093"/>
      <c r="BD29" s="1093"/>
      <c r="BE29" s="1097"/>
      <c r="BF29" s="1096"/>
      <c r="BG29" s="1093"/>
      <c r="BH29" s="1093"/>
      <c r="BI29" s="1093"/>
      <c r="BJ29" s="1093"/>
      <c r="BK29" s="1093"/>
      <c r="BL29" s="1093"/>
      <c r="BM29" s="1093"/>
      <c r="BN29" s="1093">
        <v>854</v>
      </c>
      <c r="BO29" s="1093"/>
      <c r="BP29" s="1093"/>
      <c r="BQ29" s="1097"/>
      <c r="BR29" s="1096"/>
      <c r="BS29" s="1093"/>
      <c r="BT29" s="1093"/>
      <c r="BU29" s="1093"/>
      <c r="BV29" s="1093"/>
      <c r="BW29" s="1093"/>
      <c r="BX29" s="1093"/>
      <c r="BY29" s="1093">
        <v>763</v>
      </c>
      <c r="BZ29" s="1093"/>
      <c r="CA29" s="1093"/>
      <c r="CB29" s="1093"/>
      <c r="CC29" s="1097"/>
      <c r="CD29" s="1096"/>
      <c r="CE29" s="1093"/>
      <c r="CF29" s="1093"/>
      <c r="CG29" s="1093"/>
      <c r="CH29" s="1093"/>
      <c r="CI29" s="1093"/>
      <c r="CJ29" s="1093"/>
      <c r="CK29" s="1093">
        <v>590</v>
      </c>
      <c r="CL29" s="1093"/>
      <c r="CM29" s="1093"/>
      <c r="CN29" s="1093"/>
      <c r="CO29" s="1097"/>
      <c r="CP29" s="1096"/>
      <c r="CQ29" s="1093"/>
      <c r="CR29" s="1093"/>
      <c r="CS29" s="1093"/>
      <c r="CT29" s="1093"/>
      <c r="CU29" s="1093"/>
      <c r="CV29" s="1093"/>
      <c r="CW29" s="1304"/>
      <c r="CX29" s="1093"/>
      <c r="CY29" s="1093"/>
      <c r="CZ29" s="1093"/>
      <c r="DA29" s="1097"/>
      <c r="DB29" s="1096"/>
      <c r="DC29" s="1093"/>
      <c r="DD29" s="1093"/>
      <c r="DE29" s="1093"/>
      <c r="DF29" s="1093"/>
      <c r="DG29" s="1093"/>
      <c r="DH29" s="1093"/>
      <c r="DI29" s="1093"/>
      <c r="DJ29" s="1093"/>
      <c r="DK29" s="1093"/>
      <c r="DL29" s="1093"/>
      <c r="DM29" s="1097"/>
      <c r="DN29" s="1096"/>
      <c r="DO29" s="1093"/>
      <c r="DP29" s="1093"/>
      <c r="DQ29" s="1093"/>
      <c r="DR29" s="1093"/>
      <c r="DS29" s="1093"/>
      <c r="DT29" s="1093"/>
      <c r="DU29" s="1093"/>
      <c r="DV29" s="1093"/>
      <c r="DW29" s="1093"/>
      <c r="DX29" s="1093"/>
      <c r="DY29" s="1097"/>
      <c r="DZ29" s="1096"/>
      <c r="EA29" s="1093"/>
      <c r="EB29" s="1093"/>
      <c r="EC29" s="1093"/>
      <c r="ED29" s="1093"/>
      <c r="EE29" s="1093"/>
      <c r="EF29" s="1093"/>
      <c r="EG29" s="1093"/>
      <c r="EH29" s="1093"/>
      <c r="EI29" s="1093"/>
      <c r="EJ29" s="1093"/>
      <c r="EK29" s="1097"/>
      <c r="EL29" s="1096"/>
      <c r="EM29" s="1093"/>
      <c r="EN29" s="1093"/>
      <c r="EO29" s="1093"/>
      <c r="EP29" s="1093"/>
      <c r="EQ29" s="1093"/>
      <c r="ER29" s="1093"/>
      <c r="ES29" s="1093"/>
      <c r="ET29" s="1093"/>
      <c r="EU29" s="1093"/>
      <c r="EV29" s="1093"/>
      <c r="EW29" s="1097"/>
      <c r="EX29" s="1093"/>
      <c r="EY29" s="1093"/>
      <c r="EZ29" s="1093"/>
      <c r="FA29" s="1093"/>
      <c r="FB29" s="1093"/>
      <c r="FC29" s="1093"/>
      <c r="FD29" s="1093"/>
      <c r="FE29" s="1093"/>
      <c r="FF29" s="1093"/>
      <c r="FG29" s="1093"/>
      <c r="FH29" s="1093"/>
      <c r="FI29" s="1097"/>
      <c r="FJ29" s="1093"/>
      <c r="FK29" s="1093"/>
      <c r="FL29" s="1093"/>
      <c r="FM29" s="1093"/>
      <c r="FN29" s="1093"/>
      <c r="FO29" s="1093"/>
      <c r="FP29" s="1093"/>
      <c r="FQ29" s="1093"/>
      <c r="FR29" s="1093"/>
      <c r="FS29" s="1093"/>
      <c r="FT29" s="1093"/>
      <c r="FU29" s="1097"/>
      <c r="FV29" s="1093"/>
      <c r="FW29" s="1093"/>
      <c r="FX29" s="1093"/>
      <c r="FY29" s="1093"/>
      <c r="FZ29" s="1093"/>
      <c r="GA29" s="1093"/>
      <c r="GB29" s="1093"/>
      <c r="GC29" s="1093"/>
      <c r="GD29" s="1093"/>
      <c r="GE29" s="1093"/>
      <c r="GF29" s="1093"/>
      <c r="GG29" s="1097"/>
      <c r="GH29" s="1093"/>
      <c r="GI29" s="1093"/>
      <c r="GJ29" s="1093"/>
      <c r="GK29" s="1093"/>
      <c r="GL29" s="1093"/>
      <c r="GM29" s="1093"/>
      <c r="GN29" s="1093"/>
      <c r="GO29" s="1093"/>
      <c r="GP29" s="1093"/>
      <c r="GQ29" s="1093"/>
      <c r="GR29" s="1093"/>
      <c r="GS29" s="1097"/>
      <c r="GT29" s="1093"/>
    </row>
    <row r="30" spans="1:202" s="444" customFormat="1">
      <c r="A30" s="438"/>
      <c r="B30" s="437" t="s">
        <v>22</v>
      </c>
      <c r="C30" s="362">
        <f>SUM(V30:AG30)</f>
        <v>7592.12</v>
      </c>
      <c r="D30" s="439">
        <f>SUM(AH30:AS30)</f>
        <v>14492</v>
      </c>
      <c r="E30" s="362">
        <f>SUM(AT30:BE30)</f>
        <v>37720.29</v>
      </c>
      <c r="F30" s="439">
        <f>SUM(BF30:BQ30)</f>
        <v>4247.75</v>
      </c>
      <c r="G30" s="362">
        <f>SUM(BR30:CC30)</f>
        <v>9773.49</v>
      </c>
      <c r="H30" s="439">
        <f>SUM(CD30:CO30)</f>
        <v>8401.34</v>
      </c>
      <c r="I30" s="1032">
        <f t="shared" si="387"/>
        <v>54325.880000000005</v>
      </c>
      <c r="J30" s="441"/>
      <c r="K30" s="362">
        <f t="shared" si="437"/>
        <v>632.67666666666662</v>
      </c>
      <c r="L30" s="440">
        <f t="shared" si="438"/>
        <v>1207.6666666666667</v>
      </c>
      <c r="M30" s="439">
        <f t="shared" si="439"/>
        <v>3143.3575000000001</v>
      </c>
      <c r="N30" s="441">
        <f t="shared" si="440"/>
        <v>353.97916666666669</v>
      </c>
      <c r="O30" s="439">
        <f t="shared" si="441"/>
        <v>814.45749999999998</v>
      </c>
      <c r="P30" s="439">
        <f t="shared" si="441"/>
        <v>700.11166666666668</v>
      </c>
      <c r="Q30" s="439">
        <f>IFERROR(SUM(CP30:DA30)/12,0)</f>
        <v>4527.1566666666668</v>
      </c>
      <c r="R30" s="362"/>
      <c r="S30" s="440">
        <f t="shared" ref="S30:AX30" si="442">S28+S29+S12</f>
        <v>0</v>
      </c>
      <c r="T30" s="362">
        <f t="shared" si="442"/>
        <v>0</v>
      </c>
      <c r="U30" s="441">
        <f t="shared" si="442"/>
        <v>3725.87</v>
      </c>
      <c r="V30" s="440">
        <f t="shared" si="442"/>
        <v>0</v>
      </c>
      <c r="W30" s="362">
        <f t="shared" si="442"/>
        <v>180</v>
      </c>
      <c r="X30" s="362">
        <f t="shared" si="442"/>
        <v>0</v>
      </c>
      <c r="Y30" s="362">
        <f t="shared" si="442"/>
        <v>0</v>
      </c>
      <c r="Z30" s="362">
        <f t="shared" si="442"/>
        <v>180</v>
      </c>
      <c r="AA30" s="362">
        <f t="shared" si="442"/>
        <v>0</v>
      </c>
      <c r="AB30" s="362">
        <f t="shared" si="442"/>
        <v>220</v>
      </c>
      <c r="AC30" s="362">
        <f t="shared" si="442"/>
        <v>180</v>
      </c>
      <c r="AD30" s="362">
        <f t="shared" si="442"/>
        <v>420</v>
      </c>
      <c r="AE30" s="362">
        <f t="shared" si="442"/>
        <v>210</v>
      </c>
      <c r="AF30" s="362">
        <f t="shared" si="442"/>
        <v>350</v>
      </c>
      <c r="AG30" s="441">
        <f t="shared" si="442"/>
        <v>5852.12</v>
      </c>
      <c r="AH30" s="440">
        <f t="shared" si="442"/>
        <v>60</v>
      </c>
      <c r="AI30" s="362">
        <f t="shared" si="442"/>
        <v>4650</v>
      </c>
      <c r="AJ30" s="362">
        <f t="shared" si="442"/>
        <v>630</v>
      </c>
      <c r="AK30" s="362">
        <f t="shared" si="442"/>
        <v>0</v>
      </c>
      <c r="AL30" s="362">
        <f t="shared" si="442"/>
        <v>0</v>
      </c>
      <c r="AM30" s="362">
        <f t="shared" si="442"/>
        <v>250</v>
      </c>
      <c r="AN30" s="362">
        <f t="shared" si="442"/>
        <v>5470</v>
      </c>
      <c r="AO30" s="362">
        <f t="shared" si="442"/>
        <v>0</v>
      </c>
      <c r="AP30" s="362">
        <f t="shared" si="442"/>
        <v>0</v>
      </c>
      <c r="AQ30" s="362">
        <f t="shared" si="442"/>
        <v>0</v>
      </c>
      <c r="AR30" s="362">
        <f t="shared" si="442"/>
        <v>142</v>
      </c>
      <c r="AS30" s="441">
        <f t="shared" si="442"/>
        <v>3290</v>
      </c>
      <c r="AT30" s="440">
        <f t="shared" si="442"/>
        <v>13800.08</v>
      </c>
      <c r="AU30" s="362">
        <f t="shared" si="442"/>
        <v>0</v>
      </c>
      <c r="AV30" s="362">
        <f t="shared" si="442"/>
        <v>475.2</v>
      </c>
      <c r="AW30" s="362">
        <f t="shared" si="442"/>
        <v>18400</v>
      </c>
      <c r="AX30" s="362">
        <f t="shared" si="442"/>
        <v>0</v>
      </c>
      <c r="AY30" s="362">
        <f t="shared" ref="AY30:CD30" si="443">AY28+AY29+AY12</f>
        <v>0</v>
      </c>
      <c r="AZ30" s="362">
        <f t="shared" si="443"/>
        <v>200</v>
      </c>
      <c r="BA30" s="362">
        <f t="shared" si="443"/>
        <v>874</v>
      </c>
      <c r="BB30" s="362">
        <f t="shared" si="443"/>
        <v>100.01</v>
      </c>
      <c r="BC30" s="362">
        <f t="shared" si="443"/>
        <v>0</v>
      </c>
      <c r="BD30" s="362">
        <f t="shared" si="443"/>
        <v>0</v>
      </c>
      <c r="BE30" s="441">
        <f t="shared" si="443"/>
        <v>3871</v>
      </c>
      <c r="BF30" s="440">
        <f t="shared" si="443"/>
        <v>0.12</v>
      </c>
      <c r="BG30" s="362">
        <f t="shared" si="443"/>
        <v>0</v>
      </c>
      <c r="BH30" s="362">
        <f t="shared" si="443"/>
        <v>150</v>
      </c>
      <c r="BI30" s="362">
        <f t="shared" si="443"/>
        <v>0</v>
      </c>
      <c r="BJ30" s="362">
        <f t="shared" si="443"/>
        <v>250</v>
      </c>
      <c r="BK30" s="362">
        <f t="shared" si="443"/>
        <v>0</v>
      </c>
      <c r="BL30" s="362">
        <f t="shared" si="443"/>
        <v>380</v>
      </c>
      <c r="BM30" s="362">
        <f t="shared" si="443"/>
        <v>281.63</v>
      </c>
      <c r="BN30" s="362">
        <f t="shared" si="443"/>
        <v>854</v>
      </c>
      <c r="BO30" s="362">
        <f t="shared" si="443"/>
        <v>0</v>
      </c>
      <c r="BP30" s="362">
        <f t="shared" si="443"/>
        <v>0</v>
      </c>
      <c r="BQ30" s="441">
        <f t="shared" si="443"/>
        <v>2332</v>
      </c>
      <c r="BR30" s="440">
        <f t="shared" si="443"/>
        <v>0.03</v>
      </c>
      <c r="BS30" s="362">
        <f t="shared" si="443"/>
        <v>0</v>
      </c>
      <c r="BT30" s="362">
        <f t="shared" si="443"/>
        <v>3613</v>
      </c>
      <c r="BU30" s="362">
        <f t="shared" si="443"/>
        <v>0</v>
      </c>
      <c r="BV30" s="362">
        <f t="shared" si="443"/>
        <v>125</v>
      </c>
      <c r="BW30" s="362">
        <f t="shared" si="443"/>
        <v>0</v>
      </c>
      <c r="BX30" s="362">
        <f t="shared" si="443"/>
        <v>0</v>
      </c>
      <c r="BY30" s="362">
        <f t="shared" si="443"/>
        <v>1018.46</v>
      </c>
      <c r="BZ30" s="362">
        <f t="shared" si="443"/>
        <v>100</v>
      </c>
      <c r="CA30" s="362">
        <f t="shared" si="443"/>
        <v>1669</v>
      </c>
      <c r="CB30" s="362">
        <f t="shared" si="443"/>
        <v>377</v>
      </c>
      <c r="CC30" s="441">
        <f t="shared" si="443"/>
        <v>2871</v>
      </c>
      <c r="CD30" s="440">
        <f t="shared" si="443"/>
        <v>65.06</v>
      </c>
      <c r="CE30" s="362">
        <f t="shared" ref="CE30:DJ30" si="444">CE28+CE29+CE12</f>
        <v>0</v>
      </c>
      <c r="CF30" s="362">
        <f t="shared" si="444"/>
        <v>3563</v>
      </c>
      <c r="CG30" s="362">
        <f t="shared" si="444"/>
        <v>314</v>
      </c>
      <c r="CH30" s="362">
        <f t="shared" si="444"/>
        <v>0</v>
      </c>
      <c r="CI30" s="362">
        <f t="shared" si="444"/>
        <v>0</v>
      </c>
      <c r="CJ30" s="362">
        <f t="shared" si="444"/>
        <v>0</v>
      </c>
      <c r="CK30" s="362">
        <f t="shared" si="444"/>
        <v>1070.28</v>
      </c>
      <c r="CL30" s="362">
        <f t="shared" si="444"/>
        <v>225</v>
      </c>
      <c r="CM30" s="362">
        <f t="shared" si="444"/>
        <v>330</v>
      </c>
      <c r="CN30" s="362">
        <f t="shared" si="444"/>
        <v>210</v>
      </c>
      <c r="CO30" s="441">
        <f t="shared" si="444"/>
        <v>2624</v>
      </c>
      <c r="CP30" s="440">
        <f t="shared" si="444"/>
        <v>150.11000000000001</v>
      </c>
      <c r="CQ30" s="362">
        <f t="shared" si="444"/>
        <v>136</v>
      </c>
      <c r="CR30" s="362">
        <f>CR28+CR29+CR12</f>
        <v>0</v>
      </c>
      <c r="CS30" s="362">
        <f>CS28+CS29+CS12</f>
        <v>3998</v>
      </c>
      <c r="CT30" s="362">
        <f t="shared" si="444"/>
        <v>8581.07</v>
      </c>
      <c r="CU30" s="362">
        <f t="shared" si="444"/>
        <v>36060.980000000003</v>
      </c>
      <c r="CV30" s="362">
        <f t="shared" si="444"/>
        <v>69.45</v>
      </c>
      <c r="CW30" s="362">
        <f t="shared" si="444"/>
        <v>2454.6099999999997</v>
      </c>
      <c r="CX30" s="362">
        <f t="shared" si="444"/>
        <v>425.37</v>
      </c>
      <c r="CY30" s="362">
        <f>CY28+CY29+CY12</f>
        <v>20.29</v>
      </c>
      <c r="CZ30" s="362">
        <f t="shared" si="444"/>
        <v>0</v>
      </c>
      <c r="DA30" s="1307">
        <f t="shared" si="444"/>
        <v>2430</v>
      </c>
      <c r="DB30" s="440">
        <f t="shared" si="444"/>
        <v>0</v>
      </c>
      <c r="DC30" s="362">
        <f t="shared" si="444"/>
        <v>0</v>
      </c>
      <c r="DD30" s="362">
        <f t="shared" si="444"/>
        <v>0</v>
      </c>
      <c r="DE30" s="362">
        <f t="shared" si="444"/>
        <v>0</v>
      </c>
      <c r="DF30" s="362">
        <f t="shared" si="444"/>
        <v>0</v>
      </c>
      <c r="DG30" s="362">
        <f t="shared" si="444"/>
        <v>0</v>
      </c>
      <c r="DH30" s="362">
        <f t="shared" si="444"/>
        <v>0</v>
      </c>
      <c r="DI30" s="362">
        <f t="shared" si="444"/>
        <v>0</v>
      </c>
      <c r="DJ30" s="362">
        <f t="shared" si="444"/>
        <v>0</v>
      </c>
      <c r="DK30" s="362">
        <f t="shared" ref="DK30:EP30" si="445">DK28+DK29+DK12</f>
        <v>0</v>
      </c>
      <c r="DL30" s="362">
        <f t="shared" si="445"/>
        <v>0</v>
      </c>
      <c r="DM30" s="441">
        <f t="shared" si="445"/>
        <v>2430</v>
      </c>
      <c r="DN30" s="440">
        <f t="shared" si="445"/>
        <v>0</v>
      </c>
      <c r="DO30" s="362">
        <f t="shared" si="445"/>
        <v>0</v>
      </c>
      <c r="DP30" s="362">
        <f t="shared" si="445"/>
        <v>0</v>
      </c>
      <c r="DQ30" s="362">
        <f t="shared" si="445"/>
        <v>0</v>
      </c>
      <c r="DR30" s="362">
        <f t="shared" si="445"/>
        <v>0</v>
      </c>
      <c r="DS30" s="362">
        <f t="shared" si="445"/>
        <v>0</v>
      </c>
      <c r="DT30" s="362">
        <f t="shared" si="445"/>
        <v>0</v>
      </c>
      <c r="DU30" s="362">
        <f t="shared" si="445"/>
        <v>0</v>
      </c>
      <c r="DV30" s="362">
        <f t="shared" si="445"/>
        <v>0</v>
      </c>
      <c r="DW30" s="362">
        <f t="shared" si="445"/>
        <v>0</v>
      </c>
      <c r="DX30" s="362">
        <f t="shared" si="445"/>
        <v>0</v>
      </c>
      <c r="DY30" s="441">
        <f t="shared" si="445"/>
        <v>2430</v>
      </c>
      <c r="DZ30" s="440">
        <f t="shared" si="445"/>
        <v>0</v>
      </c>
      <c r="EA30" s="362">
        <f t="shared" si="445"/>
        <v>0</v>
      </c>
      <c r="EB30" s="362">
        <f t="shared" si="445"/>
        <v>0</v>
      </c>
      <c r="EC30" s="362">
        <f t="shared" si="445"/>
        <v>0</v>
      </c>
      <c r="ED30" s="362">
        <f t="shared" si="445"/>
        <v>0</v>
      </c>
      <c r="EE30" s="362">
        <f t="shared" si="445"/>
        <v>0</v>
      </c>
      <c r="EF30" s="362">
        <f t="shared" si="445"/>
        <v>0</v>
      </c>
      <c r="EG30" s="362">
        <f t="shared" si="445"/>
        <v>0</v>
      </c>
      <c r="EH30" s="362">
        <f t="shared" si="445"/>
        <v>0</v>
      </c>
      <c r="EI30" s="362">
        <f t="shared" si="445"/>
        <v>0</v>
      </c>
      <c r="EJ30" s="362">
        <f t="shared" si="445"/>
        <v>0</v>
      </c>
      <c r="EK30" s="441">
        <f t="shared" si="445"/>
        <v>2430</v>
      </c>
      <c r="EL30" s="440">
        <f t="shared" si="445"/>
        <v>0</v>
      </c>
      <c r="EM30" s="362">
        <f t="shared" si="445"/>
        <v>0</v>
      </c>
      <c r="EN30" s="362">
        <f t="shared" si="445"/>
        <v>0</v>
      </c>
      <c r="EO30" s="362">
        <f t="shared" si="445"/>
        <v>0</v>
      </c>
      <c r="EP30" s="362">
        <f t="shared" si="445"/>
        <v>0</v>
      </c>
      <c r="EQ30" s="362">
        <f t="shared" ref="EQ30:FV30" si="446">EQ28+EQ29+EQ12</f>
        <v>0</v>
      </c>
      <c r="ER30" s="362">
        <f t="shared" si="446"/>
        <v>0</v>
      </c>
      <c r="ES30" s="362">
        <f t="shared" si="446"/>
        <v>0</v>
      </c>
      <c r="ET30" s="362">
        <f t="shared" si="446"/>
        <v>0</v>
      </c>
      <c r="EU30" s="362">
        <f t="shared" si="446"/>
        <v>0</v>
      </c>
      <c r="EV30" s="362">
        <f t="shared" si="446"/>
        <v>0</v>
      </c>
      <c r="EW30" s="441">
        <f t="shared" si="446"/>
        <v>2430</v>
      </c>
      <c r="EX30" s="362">
        <f t="shared" si="446"/>
        <v>0</v>
      </c>
      <c r="EY30" s="362">
        <f t="shared" si="446"/>
        <v>0</v>
      </c>
      <c r="EZ30" s="362">
        <f t="shared" si="446"/>
        <v>0</v>
      </c>
      <c r="FA30" s="362">
        <f t="shared" si="446"/>
        <v>0</v>
      </c>
      <c r="FB30" s="362">
        <f t="shared" si="446"/>
        <v>0</v>
      </c>
      <c r="FC30" s="362">
        <f t="shared" si="446"/>
        <v>0</v>
      </c>
      <c r="FD30" s="362">
        <f t="shared" si="446"/>
        <v>0</v>
      </c>
      <c r="FE30" s="362">
        <f t="shared" si="446"/>
        <v>0</v>
      </c>
      <c r="FF30" s="362">
        <f t="shared" si="446"/>
        <v>0</v>
      </c>
      <c r="FG30" s="362">
        <f t="shared" si="446"/>
        <v>0</v>
      </c>
      <c r="FH30" s="362">
        <f t="shared" si="446"/>
        <v>0</v>
      </c>
      <c r="FI30" s="441">
        <f t="shared" si="446"/>
        <v>2430</v>
      </c>
      <c r="FJ30" s="362">
        <f t="shared" si="446"/>
        <v>0</v>
      </c>
      <c r="FK30" s="362">
        <f t="shared" si="446"/>
        <v>0</v>
      </c>
      <c r="FL30" s="362">
        <f t="shared" si="446"/>
        <v>0</v>
      </c>
      <c r="FM30" s="362">
        <f t="shared" si="446"/>
        <v>0</v>
      </c>
      <c r="FN30" s="362">
        <f t="shared" si="446"/>
        <v>0</v>
      </c>
      <c r="FO30" s="362">
        <f t="shared" si="446"/>
        <v>0</v>
      </c>
      <c r="FP30" s="362">
        <f t="shared" si="446"/>
        <v>0</v>
      </c>
      <c r="FQ30" s="362">
        <f t="shared" si="446"/>
        <v>0</v>
      </c>
      <c r="FR30" s="362">
        <f t="shared" si="446"/>
        <v>0</v>
      </c>
      <c r="FS30" s="362">
        <f t="shared" si="446"/>
        <v>0</v>
      </c>
      <c r="FT30" s="362">
        <f t="shared" si="446"/>
        <v>0</v>
      </c>
      <c r="FU30" s="441">
        <f t="shared" si="446"/>
        <v>2430</v>
      </c>
      <c r="FV30" s="362">
        <f t="shared" si="446"/>
        <v>0</v>
      </c>
      <c r="FW30" s="362">
        <f t="shared" ref="FW30:GT30" si="447">FW28+FW29+FW12</f>
        <v>0</v>
      </c>
      <c r="FX30" s="362">
        <f t="shared" si="447"/>
        <v>0</v>
      </c>
      <c r="FY30" s="362">
        <f t="shared" si="447"/>
        <v>0</v>
      </c>
      <c r="FZ30" s="362">
        <f t="shared" si="447"/>
        <v>0</v>
      </c>
      <c r="GA30" s="362">
        <f t="shared" si="447"/>
        <v>0</v>
      </c>
      <c r="GB30" s="362">
        <f t="shared" si="447"/>
        <v>0</v>
      </c>
      <c r="GC30" s="362">
        <f t="shared" si="447"/>
        <v>0</v>
      </c>
      <c r="GD30" s="362">
        <f t="shared" si="447"/>
        <v>0</v>
      </c>
      <c r="GE30" s="362">
        <f t="shared" si="447"/>
        <v>0</v>
      </c>
      <c r="GF30" s="362">
        <f t="shared" si="447"/>
        <v>0</v>
      </c>
      <c r="GG30" s="441">
        <f t="shared" si="447"/>
        <v>2430</v>
      </c>
      <c r="GH30" s="362">
        <f t="shared" si="447"/>
        <v>0</v>
      </c>
      <c r="GI30" s="362">
        <f t="shared" si="447"/>
        <v>0</v>
      </c>
      <c r="GJ30" s="362">
        <f t="shared" si="447"/>
        <v>0</v>
      </c>
      <c r="GK30" s="362">
        <f t="shared" si="447"/>
        <v>0</v>
      </c>
      <c r="GL30" s="362">
        <f t="shared" si="447"/>
        <v>0</v>
      </c>
      <c r="GM30" s="362">
        <f t="shared" si="447"/>
        <v>0</v>
      </c>
      <c r="GN30" s="362">
        <f t="shared" si="447"/>
        <v>0</v>
      </c>
      <c r="GO30" s="362">
        <f t="shared" si="447"/>
        <v>0</v>
      </c>
      <c r="GP30" s="362">
        <f t="shared" si="447"/>
        <v>0</v>
      </c>
      <c r="GQ30" s="362">
        <f t="shared" si="447"/>
        <v>0</v>
      </c>
      <c r="GR30" s="362">
        <f t="shared" si="447"/>
        <v>0</v>
      </c>
      <c r="GS30" s="441">
        <f t="shared" si="447"/>
        <v>2430</v>
      </c>
      <c r="GT30" s="362">
        <f t="shared" si="447"/>
        <v>0</v>
      </c>
    </row>
    <row r="31" spans="1:202">
      <c r="A31" s="673"/>
      <c r="B31" s="674" t="s">
        <v>23</v>
      </c>
      <c r="C31" s="675">
        <f>SUM(V31:AG31)</f>
        <v>12941.27</v>
      </c>
      <c r="D31" s="676">
        <f>SUM(AH31:AS31)</f>
        <v>13633.79</v>
      </c>
      <c r="E31" s="675">
        <f>SUM(AT31:BE31)</f>
        <v>12785.230000000001</v>
      </c>
      <c r="F31" s="676">
        <f>SUM(BF31:BQ31)</f>
        <v>15000.66</v>
      </c>
      <c r="G31" s="675">
        <f>SUM(BR31:CC31)</f>
        <v>15763.130000000001</v>
      </c>
      <c r="H31" s="675">
        <f>SUM(CD31:CO31)</f>
        <v>18091.008000000002</v>
      </c>
      <c r="I31" s="1030">
        <f>SUM(CP31:DA31)</f>
        <v>20013.164000000001</v>
      </c>
      <c r="J31" s="441"/>
      <c r="K31" s="677">
        <f t="shared" si="388"/>
        <v>1078.4391666666668</v>
      </c>
      <c r="L31" s="677">
        <f>D31/12</f>
        <v>1136.1491666666668</v>
      </c>
      <c r="M31" s="676">
        <f t="shared" si="390"/>
        <v>1065.4358333333334</v>
      </c>
      <c r="N31" s="678">
        <f t="shared" si="391"/>
        <v>1250.0550000000001</v>
      </c>
      <c r="O31" s="678">
        <f t="shared" si="392"/>
        <v>1313.5941666666668</v>
      </c>
      <c r="P31" s="678">
        <f t="shared" si="392"/>
        <v>1507.5840000000001</v>
      </c>
      <c r="Q31" s="678">
        <f>IFERROR(AVERAGEIF(CE31:CP31,"&gt;0"),0)</f>
        <v>1565.6740000000002</v>
      </c>
      <c r="R31" s="362"/>
      <c r="S31" s="677">
        <f t="shared" ref="S31" si="448">IF(S64="",$C$64,S64)</f>
        <v>925</v>
      </c>
      <c r="T31" s="675">
        <f>IF(T8=0,Valutazioni!$C$3,T64)</f>
        <v>1075.5</v>
      </c>
      <c r="U31" s="678">
        <f>IF(U8=0,Valutazioni!$C$3,U64)</f>
        <v>1120.3800000000001</v>
      </c>
      <c r="V31" s="677">
        <f>IF(V8=0,Valutazioni!$C$3,V64)</f>
        <v>1713.29</v>
      </c>
      <c r="W31" s="675">
        <f>IF(W8=0,Valutazioni!$C$3,W64)</f>
        <v>874.8599999999999</v>
      </c>
      <c r="X31" s="675">
        <f>IF(X8=0,Valutazioni!$C$3,X64)</f>
        <v>1181.77</v>
      </c>
      <c r="Y31" s="675">
        <f>IF(Y8=0,Valutazioni!$C$3,Y64)</f>
        <v>984.20000000000016</v>
      </c>
      <c r="Z31" s="675">
        <f>IF(Z8=0,Valutazioni!$C$3,Z64)</f>
        <v>694.98</v>
      </c>
      <c r="AA31" s="675">
        <f>IF(AA8=0,Valutazioni!$C$3,AA64)</f>
        <v>850.93</v>
      </c>
      <c r="AB31" s="675">
        <f>IF(AB8=0,Valutazioni!$C$3,AB64)</f>
        <v>875.03</v>
      </c>
      <c r="AC31" s="675">
        <f>IF(AC8=0,Valutazioni!$C$3,AC64)</f>
        <v>859.71</v>
      </c>
      <c r="AD31" s="675">
        <f>IF(AD8=0,Valutazioni!$C$3,AD64)</f>
        <v>1975.79</v>
      </c>
      <c r="AE31" s="675">
        <f>IF(AE8=0,Valutazioni!$C$3,AE64)</f>
        <v>979.2600000000001</v>
      </c>
      <c r="AF31" s="675">
        <f>IF(AF8=0,Valutazioni!$C$3,AF64)</f>
        <v>1075.6300000000001</v>
      </c>
      <c r="AG31" s="678">
        <f>IF(AG8=0,Valutazioni!$C$3,AG64)</f>
        <v>875.82</v>
      </c>
      <c r="AH31" s="677">
        <f>IF(AH8=0,Valutazioni!$C$3,AH64)</f>
        <v>1356.41</v>
      </c>
      <c r="AI31" s="675">
        <f>IF(AI8=0,Valutazioni!$C$3,AI64)</f>
        <v>1106.6200000000001</v>
      </c>
      <c r="AJ31" s="675">
        <f>IF(AJ8=0,Valutazioni!$C$3,AJ64)</f>
        <v>1434.6499999999999</v>
      </c>
      <c r="AK31" s="675">
        <f>IF(AK8=0,Valutazioni!$C$3,AK64)</f>
        <v>827.02999999999975</v>
      </c>
      <c r="AL31" s="675">
        <f>IF(AL8=0,Valutazioni!$C$3,AL64)</f>
        <v>1111.8400000000001</v>
      </c>
      <c r="AM31" s="675">
        <f>IF(AM8=0,Valutazioni!$C$3,AM64)</f>
        <v>1245</v>
      </c>
      <c r="AN31" s="675">
        <f>IF(AN8=0,Valutazioni!$C$3,AN64)</f>
        <v>1216.5000000000002</v>
      </c>
      <c r="AO31" s="675">
        <f>IF(AO8=0,Valutazioni!$C$3,AO64)</f>
        <v>1574.23</v>
      </c>
      <c r="AP31" s="675">
        <f>IF(AP8=0,Valutazioni!$C$3,AP64)</f>
        <v>1201.1499999999999</v>
      </c>
      <c r="AQ31" s="675">
        <f>IF(AQ8=0,Valutazioni!$C$3,AQ64)</f>
        <v>728.3900000000001</v>
      </c>
      <c r="AR31" s="675">
        <f>IF(AR8=0,Valutazioni!$C$3,AR64)</f>
        <v>835.53</v>
      </c>
      <c r="AS31" s="678">
        <f>IF(AS8=0,Valutazioni!$C$3,AS64)</f>
        <v>996.43999999999994</v>
      </c>
      <c r="AT31" s="677">
        <f>IF(AT8=0,Valutazioni!$C$3,AT64)</f>
        <v>1011.2500000000001</v>
      </c>
      <c r="AU31" s="675">
        <f>IF(AU8=0,Valutazioni!$C$3,AU64)</f>
        <v>1033.95</v>
      </c>
      <c r="AV31" s="675">
        <f>IF(AV8=0,Valutazioni!$C$3,AV64)</f>
        <v>1158.2099999999998</v>
      </c>
      <c r="AW31" s="675">
        <f>IF(AW8=0,Valutazioni!$C$3,AW64)</f>
        <v>978.69</v>
      </c>
      <c r="AX31" s="675">
        <f>IF(AX8=0,Valutazioni!$C$3,AX64)</f>
        <v>1048.9100000000001</v>
      </c>
      <c r="AY31" s="675">
        <f>IF(AY8=0,Valutazioni!$C$3,AY64)</f>
        <v>1035.0999999999999</v>
      </c>
      <c r="AZ31" s="675">
        <f>IF(AZ8=0,Valutazioni!$C$3,AZ64)</f>
        <v>1215.6500000000001</v>
      </c>
      <c r="BA31" s="675">
        <f>IF(BA8=0,Valutazioni!$C$3,BA64)</f>
        <v>1073.5</v>
      </c>
      <c r="BB31" s="675">
        <f>IF(BB8=0,Valutazioni!$C$3,BB64)</f>
        <v>1093.32</v>
      </c>
      <c r="BC31" s="675">
        <f>IF(BC8=0,Valutazioni!$C$3,BC64)</f>
        <v>1105.3700000000001</v>
      </c>
      <c r="BD31" s="675">
        <f>IF(BD8=0,Valutazioni!$C$3,BD64)</f>
        <v>845.95</v>
      </c>
      <c r="BE31" s="678">
        <f>IF(BE8=0,Valutazioni!$C$3,BE64)</f>
        <v>1185.33</v>
      </c>
      <c r="BF31" s="677">
        <f>IF(BF8=0,Valutazioni!$C$3,BF64)</f>
        <v>1180.26</v>
      </c>
      <c r="BG31" s="675">
        <f>IF(BG8=0,Valutazioni!$C$3,BG64)</f>
        <v>970.94999999999993</v>
      </c>
      <c r="BH31" s="675">
        <f>IF(BH8=0,Valutazioni!$C$3,BH64)</f>
        <v>1087.9800000000002</v>
      </c>
      <c r="BI31" s="675">
        <f>IF(BI8=0,Valutazioni!$C$3,BI64)</f>
        <v>1059.08</v>
      </c>
      <c r="BJ31" s="675">
        <f>IF(BJ8=0,Valutazioni!$C$3,BJ64)</f>
        <v>1212.3899999999999</v>
      </c>
      <c r="BK31" s="675">
        <f>IF(BK8=0,Valutazioni!$C$3,BK64)</f>
        <v>1294.3499999999999</v>
      </c>
      <c r="BL31" s="675">
        <f>IF(BL8=0,Valutazioni!$C$3,BL64)</f>
        <v>997.95999999999992</v>
      </c>
      <c r="BM31" s="675">
        <f>IF(BM8=0,Valutazioni!$C$3,BM64)</f>
        <v>1154.55</v>
      </c>
      <c r="BN31" s="675">
        <f>IF(BN8=0,Valutazioni!$C$3,BN64)</f>
        <v>2349.1999999999998</v>
      </c>
      <c r="BO31" s="680">
        <f>IF(BO8=0,Valutazioni!$C$3,BO64)</f>
        <v>1112.06</v>
      </c>
      <c r="BP31" s="675">
        <f>IF(BP8=0,Valutazioni!$C$3,BP64)</f>
        <v>1112.51</v>
      </c>
      <c r="BQ31" s="678">
        <f>IF(BQ8=0,Valutazioni!$C$3,BQ64)</f>
        <v>1469.3699999999994</v>
      </c>
      <c r="BR31" s="681">
        <f>IF(BR8=0,Valutazioni!$C$3,BR64)</f>
        <v>1888.2900000000002</v>
      </c>
      <c r="BS31" s="675">
        <f>IF(BS8=0,Valutazioni!$C$3,BS64)</f>
        <v>848.2399999999999</v>
      </c>
      <c r="BT31" s="675">
        <f>IF(BT8=0,Valutazioni!$C$3,BT64)</f>
        <v>1211.3699999999999</v>
      </c>
      <c r="BU31" s="680">
        <f>IF(BU8=0,Valutazioni!$C$3,BU64)</f>
        <v>974.55</v>
      </c>
      <c r="BV31" s="675">
        <f>IF(BV8=0,Valutazioni!$C$3,BV64)</f>
        <v>1148.4899999999996</v>
      </c>
      <c r="BW31" s="680">
        <f>IF(BW8=0,Valutazioni!$C$3,BW64)</f>
        <v>1294.1000000000001</v>
      </c>
      <c r="BX31" s="680">
        <f>IF(BX8=0,Valutazioni!$C$3,BX64)</f>
        <v>1318.0499999999997</v>
      </c>
      <c r="BY31" s="675">
        <f>IF(BY8=0,Valutazioni!$C$3,BY64)</f>
        <v>1356.54</v>
      </c>
      <c r="BZ31" s="675">
        <f>IF(BZ8=0,Valutazioni!$C$3,BZ64)</f>
        <v>1679.7599999999998</v>
      </c>
      <c r="CA31" s="675">
        <f>IF(CA8=0,Valutazioni!$C$3,CA64)</f>
        <v>1293.52</v>
      </c>
      <c r="CB31" s="675">
        <f>IF(CB8=0,Valutazioni!$C$3,CB64)</f>
        <v>1164.4000000000003</v>
      </c>
      <c r="CC31" s="678">
        <f>IF(CC8=0,Valutazioni!$C$3,CC64)</f>
        <v>1585.8200000000006</v>
      </c>
      <c r="CD31" s="677">
        <f>IF(CD8=0,Valutazioni!$C$3,CD64)</f>
        <v>1202.5500000000002</v>
      </c>
      <c r="CE31" s="239">
        <f>IF(CE8=0,Valutazioni!$C$3,CE64)</f>
        <v>806.81999999999994</v>
      </c>
      <c r="CF31" s="675">
        <f>IF(CF8=0,Valutazioni!$C$3,CF64)</f>
        <v>1459.5200000000002</v>
      </c>
      <c r="CG31" s="239">
        <f>IF(CG8=0,Valutazioni!$C$3,CG64)</f>
        <v>1036.1999999999998</v>
      </c>
      <c r="CH31" s="675">
        <f>IF(CH8=0,Valutazioni!$C$3,CH64)</f>
        <v>1525.91</v>
      </c>
      <c r="CI31" s="239">
        <f>IF(CI8=0,Valutazioni!$C$3,CI64)</f>
        <v>1184.57</v>
      </c>
      <c r="CJ31" s="675">
        <f>IF(CJ8=0,Valutazioni!$C$3,CJ64)</f>
        <v>1531.8600000000008</v>
      </c>
      <c r="CK31" s="239">
        <f>IF(CK8=0,Valutazioni!$C$3,CK64)</f>
        <v>2275.2380000000003</v>
      </c>
      <c r="CL31" s="675">
        <f>IF(CL8=0,Valutazioni!$C$3,CL64)</f>
        <v>2335.7000000000007</v>
      </c>
      <c r="CM31" s="239">
        <f>IF(CM8=0,Valutazioni!$C$3,CM64)</f>
        <v>1310.6199999999999</v>
      </c>
      <c r="CN31" s="675">
        <f>IF(CN8=0,Valutazioni!$C$3,CN64)</f>
        <v>1675.19</v>
      </c>
      <c r="CO31" s="675">
        <f>IF(CO8=0,Valutazioni!$C$3,CO64)</f>
        <v>1746.8299999999997</v>
      </c>
      <c r="CP31" s="677">
        <f>IF(CP8=0,Valutazioni!$C$3,CP64)</f>
        <v>1899.6300000000008</v>
      </c>
      <c r="CQ31" s="675">
        <f>IF(CQ8=0,Valutazioni!$C$3,CQ64)</f>
        <v>1171.6199999999999</v>
      </c>
      <c r="CR31" s="675">
        <f>IF(CR8=0,Valutazioni!$C$3,CR64)</f>
        <v>1484.4979999999996</v>
      </c>
      <c r="CS31" s="675">
        <f>IF(CS8=0,Valutazioni!$C$3,CS64)</f>
        <v>1344.8199999999995</v>
      </c>
      <c r="CT31" s="675">
        <f>IF(CT8=0,Valutazioni!$C$3,CT64)</f>
        <v>1728.0680000000002</v>
      </c>
      <c r="CU31" s="675">
        <f>IF(CU8=0,Valutazioni!$C$3,CU64)</f>
        <v>1793.038</v>
      </c>
      <c r="CV31" s="675">
        <f>IF(CV8=0,Valutazioni!$C$3,CV64)</f>
        <v>1712.7099999999998</v>
      </c>
      <c r="CW31" s="675">
        <f>IF(CW8=0,Valutazioni!$C$3,CW64)</f>
        <v>2053.6899999999996</v>
      </c>
      <c r="CX31" s="675">
        <f>IF(CX8=0,Valutazioni!$C$3,CX64)</f>
        <v>2394.16</v>
      </c>
      <c r="CY31" s="675">
        <f>IF(CY8=0,Valutazioni!$C$3,CY64)</f>
        <v>2230.9299999999998</v>
      </c>
      <c r="CZ31" s="682">
        <f>IF(CZ8=0,$B$67*(1+$B$68),CZ64+Valutazioni!$I$3)</f>
        <v>1100</v>
      </c>
      <c r="DA31" s="683">
        <f>IF(DA8=0,$B$67*(1+$B$68),DA64+Valutazioni!$I$3)</f>
        <v>1100</v>
      </c>
      <c r="DB31" s="939">
        <f>IF(DB8=0,$B$67*(1+$B$68),DB64+Valutazioni!$I$3)</f>
        <v>1100</v>
      </c>
      <c r="DC31" s="682">
        <f>IF(DC8=0,$B$67*(1+$B$68),DC64+Valutazioni!$I$3)</f>
        <v>1100</v>
      </c>
      <c r="DD31" s="682">
        <f>IF(DD8=0,$B$67*(1+$B$68),DD64+Valutazioni!$I$3)</f>
        <v>1100</v>
      </c>
      <c r="DE31" s="682">
        <f>IF(DE8=0,$B$67*(1+$B$68),DE64+Valutazioni!$I$3)</f>
        <v>1100</v>
      </c>
      <c r="DF31" s="682">
        <f>IF(DF8=0,$B$67*(1+$B$68),DF64+Valutazioni!$I$3)</f>
        <v>1100</v>
      </c>
      <c r="DG31" s="682">
        <f>IF(DG8=0,$B$67*(1+$B$68),DG64+Valutazioni!$I$3)</f>
        <v>1100</v>
      </c>
      <c r="DH31" s="682">
        <f>IF(DH8=0,$B$67*(1+$B$68),DH64+Valutazioni!$I$3)</f>
        <v>1100</v>
      </c>
      <c r="DI31" s="682">
        <f>IF(DI8=0,$B$67*(1+$B$68),DI64+Valutazioni!$I$3)</f>
        <v>1100</v>
      </c>
      <c r="DJ31" s="682">
        <f>IF(DJ8=0,$B$67*(1+$B$68),DJ64+Valutazioni!$I$3)</f>
        <v>1100</v>
      </c>
      <c r="DK31" s="682">
        <f>IF(DK8=0,$B$67*(1+$B$68),DK64+Valutazioni!$I$3)</f>
        <v>1100</v>
      </c>
      <c r="DL31" s="682">
        <f>IF(DL8=0,$B$67*(1+$B$68),DL64+Valutazioni!$I$3)</f>
        <v>1100</v>
      </c>
      <c r="DM31" s="683">
        <f>IF(DM8=0,$B$67*(1+$B$68),DM64+Valutazioni!$I$3)</f>
        <v>1100</v>
      </c>
      <c r="DN31" s="939">
        <f>IF(DN8=0,$B$67*(1+$B$68),DN64+Valutazioni!$I$3)</f>
        <v>1100</v>
      </c>
      <c r="DO31" s="682">
        <f>IF(DO8=0,$B$67*(1+$B$68),DO64+Valutazioni!$I$3)</f>
        <v>1100</v>
      </c>
      <c r="DP31" s="682">
        <f>IF(DP8=0,$B$67*(1+$B$68),DP64+Valutazioni!$I$3)</f>
        <v>1100</v>
      </c>
      <c r="DQ31" s="682">
        <f>IF(DQ8=0,$B$67*(1+$B$68),DQ64+Valutazioni!$I$3)</f>
        <v>1100</v>
      </c>
      <c r="DR31" s="682">
        <f>IF(DR8=0,$B$67*(1+$B$68),DR64+Valutazioni!$I$3)</f>
        <v>1100</v>
      </c>
      <c r="DS31" s="682">
        <f>IF(DS8=0,$B$67*(1+$B$68),DS64+Valutazioni!$I$3)</f>
        <v>1100</v>
      </c>
      <c r="DT31" s="682">
        <f>IF(DT8=0,$B$67*(1+$B$68),DT64+Valutazioni!$I$3)</f>
        <v>1100</v>
      </c>
      <c r="DU31" s="682">
        <f>IF(DU8=0,$B$67*(1+$B$68),DU64+Valutazioni!$I$3)</f>
        <v>1100</v>
      </c>
      <c r="DV31" s="682">
        <f>IF(DV8=0,$B$67*(1+$B$68),DV64+Valutazioni!$I$3)</f>
        <v>1100</v>
      </c>
      <c r="DW31" s="682">
        <f>IF(DW8=0,$B$67*(1+$B$68),DW64+Valutazioni!$I$3)</f>
        <v>1100</v>
      </c>
      <c r="DX31" s="682">
        <f>IF(DX8=0,$B$67*(1+$B$68),DX64+Valutazioni!$I$3)</f>
        <v>1100</v>
      </c>
      <c r="DY31" s="683">
        <f>IF(DY8=0,$B$67*(1+$B$68),DY64+Valutazioni!$I$3)</f>
        <v>1100</v>
      </c>
      <c r="DZ31" s="939">
        <f>IF(DZ8=0,$B$67*(1+$B$68),DZ64+Valutazioni!$I$3)</f>
        <v>1100</v>
      </c>
      <c r="EA31" s="682">
        <f>IF(EA8=0,$B$67*(1+$B$68),EA64+Valutazioni!$I$3)</f>
        <v>1100</v>
      </c>
      <c r="EB31" s="682">
        <f>IF(EB8=0,$B$67*(1+$B$68),EB64+Valutazioni!$I$3)</f>
        <v>1100</v>
      </c>
      <c r="EC31" s="682">
        <f>IF(EC8=0,$B$67*(1+$B$68),EC64+Valutazioni!$I$3)</f>
        <v>1100</v>
      </c>
      <c r="ED31" s="682">
        <f>IF(ED8=0,$B$67*(1+$B$68),ED64+Valutazioni!$I$3)</f>
        <v>1100</v>
      </c>
      <c r="EE31" s="682">
        <f>IF(EE8=0,$B$67*(1+$B$68),EE64+Valutazioni!$I$3)</f>
        <v>1100</v>
      </c>
      <c r="EF31" s="682">
        <f>IF(EF8=0,$B$67*(1+$B$68),EF64+Valutazioni!$I$3)</f>
        <v>1100</v>
      </c>
      <c r="EG31" s="682">
        <f>IF(EG8=0,$B$67*(1+$B$68),EG64+Valutazioni!$I$3)</f>
        <v>1100</v>
      </c>
      <c r="EH31" s="682">
        <f>IF(EH8=0,$B$67*(1+$B$68),EH64+Valutazioni!$I$3)</f>
        <v>1100</v>
      </c>
      <c r="EI31" s="682">
        <f>IF(EI8=0,$B$67*(1+$B$68),EI64+Valutazioni!$I$3)</f>
        <v>1100</v>
      </c>
      <c r="EJ31" s="682">
        <f>IF(EJ8=0,$B$67*(1+$B$68),EJ64+Valutazioni!$I$3)</f>
        <v>1100</v>
      </c>
      <c r="EK31" s="683">
        <f>IF(EK8=0,$B$67*(1+$B$68),EK64+Valutazioni!$I$3)</f>
        <v>1100</v>
      </c>
      <c r="EL31" s="939">
        <f>IF(EL8=0,$B$67*(1+$B$68),EL64+Valutazioni!$I$3)</f>
        <v>1100</v>
      </c>
      <c r="EM31" s="682">
        <f>IF(EM8=0,$B$67*(1+$B$68),EM64+Valutazioni!$I$3)</f>
        <v>1100</v>
      </c>
      <c r="EN31" s="682">
        <f>IF(EN8=0,$B$67*(1+$B$68),EN64+Valutazioni!$I$3)</f>
        <v>1100</v>
      </c>
      <c r="EO31" s="682">
        <f>IF(EO8=0,$B$67*(1+$B$68),EO64+Valutazioni!$I$3)</f>
        <v>1100</v>
      </c>
      <c r="EP31" s="682">
        <f>IF(EP8=0,$B$67*(1+$B$68),EP64+Valutazioni!$I$3)</f>
        <v>1100</v>
      </c>
      <c r="EQ31" s="682">
        <f>IF(EQ8=0,$B$67*(1+$B$68),EQ64+Valutazioni!$I$3)</f>
        <v>1100</v>
      </c>
      <c r="ER31" s="682">
        <f>IF(ER8=0,$B$67*(1+$B$68),ER64+Valutazioni!$I$3)</f>
        <v>1100</v>
      </c>
      <c r="ES31" s="682">
        <f>IF(ES8=0,$B$67*(1+$B$68),ES64+Valutazioni!$I$3)</f>
        <v>1100</v>
      </c>
      <c r="ET31" s="682">
        <f>IF(ET8=0,$B$67*(1+$B$68),ET64+Valutazioni!$I$3)</f>
        <v>1100</v>
      </c>
      <c r="EU31" s="682">
        <f>IF(EU8=0,$B$67*(1+$B$68),EU64+Valutazioni!$I$3)</f>
        <v>1100</v>
      </c>
      <c r="EV31" s="682">
        <f>IF(EV8=0,$B$67*(1+$B$68),EV64+Valutazioni!$I$3)</f>
        <v>1100</v>
      </c>
      <c r="EW31" s="683">
        <f>IF(EW8=0,$B$67*(1+$B$68),EW64+Valutazioni!$I$3)</f>
        <v>1100</v>
      </c>
      <c r="EX31" s="939">
        <f>IF(EX8=0,$B$67*(1+$B$68),EX64+Valutazioni!$I$3)</f>
        <v>1100</v>
      </c>
      <c r="EY31" s="682">
        <f>IF(EY8=0,$B$67*(1+$B$68),EY64+Valutazioni!$I$3)</f>
        <v>1100</v>
      </c>
      <c r="EZ31" s="682">
        <f>IF(EZ8=0,$B$67*(1+$B$68),EZ64+Valutazioni!$I$3)</f>
        <v>1100</v>
      </c>
      <c r="FA31" s="682">
        <f>IF(FA8=0,$B$67*(1+$B$68),FA64+Valutazioni!$I$3)</f>
        <v>1100</v>
      </c>
      <c r="FB31" s="682">
        <f>IF(FB8=0,$B$67*(1+$B$68),FB64+Valutazioni!$I$3)</f>
        <v>1100</v>
      </c>
      <c r="FC31" s="682">
        <f>IF(FC8=0,$B$67*(1+$B$68),FC64+Valutazioni!$I$3)</f>
        <v>1100</v>
      </c>
      <c r="FD31" s="682">
        <f>IF(FD8=0,$B$67*(1+$B$68),FD64+Valutazioni!$I$3)</f>
        <v>1100</v>
      </c>
      <c r="FE31" s="682">
        <f>IF(FE8=0,$B$67*(1+$B$68),FE64+Valutazioni!$I$3)</f>
        <v>1100</v>
      </c>
      <c r="FF31" s="682">
        <f>IF(FF8=0,$B$67*(1+$B$68),FF64+Valutazioni!$I$3)</f>
        <v>1100</v>
      </c>
      <c r="FG31" s="682">
        <f>IF(FG8=0,$B$67*(1+$B$68),FG64+Valutazioni!$I$3)</f>
        <v>1100</v>
      </c>
      <c r="FH31" s="682">
        <f>IF(FH8=0,$B$67*(1+$B$68),FH64+Valutazioni!$I$3)</f>
        <v>1100</v>
      </c>
      <c r="FI31" s="683">
        <f>IF(FI8=0,$B$67*(1+$B$68),FI64+Valutazioni!$I$3)</f>
        <v>1100</v>
      </c>
      <c r="FJ31" s="939">
        <f>IF(FJ8=0,$B$67*(1+$B$68),FJ64+Valutazioni!$I$3)</f>
        <v>1100</v>
      </c>
      <c r="FK31" s="682">
        <f>IF(FK8=0,$B$67*(1+$B$68),FK64+Valutazioni!$I$3)</f>
        <v>1100</v>
      </c>
      <c r="FL31" s="682">
        <f>IF(FL8=0,$B$67*(1+$B$68),FL64+Valutazioni!$I$3)</f>
        <v>1100</v>
      </c>
      <c r="FM31" s="682">
        <f>IF(FM8=0,$B$67*(1+$B$68),FM64+Valutazioni!$I$3)</f>
        <v>1100</v>
      </c>
      <c r="FN31" s="682">
        <f>IF(FN8=0,$B$67*(1+$B$68),FN64+Valutazioni!$I$3)</f>
        <v>1100</v>
      </c>
      <c r="FO31" s="682">
        <f>IF(FO8=0,$B$67*(1+$B$68),FO64+Valutazioni!$I$3)</f>
        <v>1100</v>
      </c>
      <c r="FP31" s="682">
        <f>IF(FP8=0,$B$67*(1+$B$68),FP64+Valutazioni!$I$3)</f>
        <v>1100</v>
      </c>
      <c r="FQ31" s="682">
        <f>IF(FQ8=0,$B$67*(1+$B$68),FQ64+Valutazioni!$I$3)</f>
        <v>1100</v>
      </c>
      <c r="FR31" s="682">
        <f>IF(FR8=0,$B$67*(1+$B$68),FR64+Valutazioni!$I$3)</f>
        <v>1100</v>
      </c>
      <c r="FS31" s="682">
        <f>IF(FS8=0,$B$67*(1+$B$68),FS64+Valutazioni!$I$3)</f>
        <v>1100</v>
      </c>
      <c r="FT31" s="682">
        <f>IF(FT8=0,$B$67*(1+$B$68),FT64+Valutazioni!$I$3)</f>
        <v>1100</v>
      </c>
      <c r="FU31" s="683">
        <f>IF(FU8=0,$B$67*(1+$B$68),FU64+Valutazioni!$I$3)</f>
        <v>1100</v>
      </c>
      <c r="FV31" s="939">
        <f>IF(FV8=0,$B$67*(1+$B$68),FV64+Valutazioni!$I$3)</f>
        <v>1100</v>
      </c>
      <c r="FW31" s="682">
        <f>IF(FW8=0,$B$67*(1+$B$68),FW64+Valutazioni!$I$3)</f>
        <v>1100</v>
      </c>
      <c r="FX31" s="682">
        <f>IF(FX8=0,$B$67*(1+$B$68),FX64+Valutazioni!$I$3)</f>
        <v>1100</v>
      </c>
      <c r="FY31" s="682">
        <f>IF(FY8=0,$B$67*(1+$B$68),FY64+Valutazioni!$I$3)</f>
        <v>1100</v>
      </c>
      <c r="FZ31" s="682">
        <f>IF(FZ8=0,$B$67*(1+$B$68),FZ64+Valutazioni!$I$3)</f>
        <v>1100</v>
      </c>
      <c r="GA31" s="682">
        <f>IF(GA8=0,$B$67*(1+$B$68),GA64+Valutazioni!$I$3)</f>
        <v>1100</v>
      </c>
      <c r="GB31" s="682">
        <f>IF(GB8=0,$B$67*(1+$B$68),GB64+Valutazioni!$I$3)</f>
        <v>1100</v>
      </c>
      <c r="GC31" s="682">
        <f>IF(GC8=0,$B$67*(1+$B$68),GC64+Valutazioni!$I$3)</f>
        <v>1100</v>
      </c>
      <c r="GD31" s="682">
        <f>IF(GD8=0,$B$67*(1+$B$68),GD64+Valutazioni!$I$3)</f>
        <v>1100</v>
      </c>
      <c r="GE31" s="682">
        <f>IF(GE8=0,$B$67*(1+$B$68),GE64+Valutazioni!$I$3)</f>
        <v>1100</v>
      </c>
      <c r="GF31" s="682">
        <f>IF(GF8=0,$B$67*(1+$B$68),GF64+Valutazioni!$I$3)</f>
        <v>1100</v>
      </c>
      <c r="GG31" s="683">
        <f>IF(GG8=0,$B$67*(1+$B$68),GG64+Valutazioni!$I$3)</f>
        <v>1100</v>
      </c>
      <c r="GH31" s="939">
        <f>IF(GH8=0,$B$67*(1+$B$68),GH64+Valutazioni!$I$3)</f>
        <v>1100</v>
      </c>
      <c r="GI31" s="682">
        <f>IF(GI8=0,$B$67*(1+$B$68),GI64+Valutazioni!$I$3)</f>
        <v>1100</v>
      </c>
      <c r="GJ31" s="682">
        <f>IF(GJ8=0,$B$67*(1+$B$68),GJ64+Valutazioni!$I$3)</f>
        <v>1100</v>
      </c>
      <c r="GK31" s="682">
        <f>IF(GK8=0,$B$67*(1+$B$68),GK64+Valutazioni!$I$3)</f>
        <v>1100</v>
      </c>
      <c r="GL31" s="682">
        <f>IF(GL8=0,$B$67*(1+$B$68),GL64+Valutazioni!$I$3)</f>
        <v>1100</v>
      </c>
      <c r="GM31" s="682">
        <f>IF(GM8=0,$B$67*(1+$B$68),GM64+Valutazioni!$I$3)</f>
        <v>1100</v>
      </c>
      <c r="GN31" s="682">
        <f>IF(GN8=0,$B$67*(1+$B$68),GN64+Valutazioni!$I$3)</f>
        <v>1100</v>
      </c>
      <c r="GO31" s="682">
        <f>IF(GO8=0,$B$67*(1+$B$68),GO64+Valutazioni!$I$3)</f>
        <v>1100</v>
      </c>
      <c r="GP31" s="682">
        <f>IF(GP8=0,$B$67*(1+$B$68),GP64+Valutazioni!$I$3)</f>
        <v>1100</v>
      </c>
      <c r="GQ31" s="682">
        <f>IF(GQ8=0,$B$67*(1+$B$68),GQ64+Valutazioni!$I$3)</f>
        <v>1100</v>
      </c>
      <c r="GR31" s="682">
        <f>IF(GR8=0,$B$67*(1+$B$68),GR64+Valutazioni!$I$3)</f>
        <v>1100</v>
      </c>
      <c r="GS31" s="683">
        <f>IF(GS8=0,$B$67*(1+$B$68),GS64+Valutazioni!$I$3)</f>
        <v>1100</v>
      </c>
      <c r="GT31" s="1132">
        <f>IF(GT8=0,$B$67*(1+$B$68),GT64+Valutazioni!$I$3)</f>
        <v>1100</v>
      </c>
    </row>
    <row r="32" spans="1:202" s="637" customFormat="1" ht="20.25" customHeight="1">
      <c r="B32" s="137" t="s">
        <v>24</v>
      </c>
      <c r="C32" s="271">
        <f>C11-C27+C30-C31</f>
        <v>-9327.9700000000012</v>
      </c>
      <c r="D32" s="243">
        <f t="shared" ref="D32:I32" si="449">D11-D27+D30-D31</f>
        <v>1510.7699999999968</v>
      </c>
      <c r="E32" s="244">
        <f t="shared" si="449"/>
        <v>-955.1799999999912</v>
      </c>
      <c r="F32" s="243">
        <f t="shared" si="449"/>
        <v>-668.9800000000032</v>
      </c>
      <c r="G32" s="244">
        <f t="shared" si="449"/>
        <v>5272.7099999999955</v>
      </c>
      <c r="H32" s="271">
        <f t="shared" si="449"/>
        <v>3127.5819999999985</v>
      </c>
      <c r="I32" s="1033">
        <f t="shared" si="449"/>
        <v>42543.969890759938</v>
      </c>
      <c r="J32" s="441"/>
      <c r="K32" s="271">
        <f>C32/12</f>
        <v>-777.33083333333343</v>
      </c>
      <c r="L32" s="271">
        <f t="shared" si="389"/>
        <v>125.89749999999974</v>
      </c>
      <c r="M32" s="243">
        <f t="shared" si="390"/>
        <v>-79.598333333332604</v>
      </c>
      <c r="N32" s="272">
        <f t="shared" si="391"/>
        <v>-55.748333333333598</v>
      </c>
      <c r="O32" s="272">
        <f t="shared" si="392"/>
        <v>439.39249999999964</v>
      </c>
      <c r="P32" s="272">
        <f t="shared" si="392"/>
        <v>260.63183333333319</v>
      </c>
      <c r="Q32" s="272">
        <f>I32/12</f>
        <v>3545.330824229995</v>
      </c>
      <c r="R32" s="362"/>
      <c r="S32" s="1109">
        <f>S14-(S27+IF(S31&gt;0,S31,Valutazioni!$C$3)-S28)</f>
        <v>7851.23</v>
      </c>
      <c r="T32" s="1110">
        <f>T14-(T27+IF(T31&gt;0,T31,Valutazioni!$C$3)-T28)</f>
        <v>8195.7999999999993</v>
      </c>
      <c r="U32" s="1111">
        <f>U14-(U27+IF(U31&gt;0,U31,Valutazioni!$C$3)-U30)</f>
        <v>11552.48</v>
      </c>
      <c r="V32" s="1109">
        <f>V14-(V27+IF(V31&gt;0,V31,Valutazioni!$C$3)-V30)</f>
        <v>11541.369999999999</v>
      </c>
      <c r="W32" s="1110">
        <f>W14-(W27+IF(W31&gt;0,W31,Valutazioni!$C$3)-W30)</f>
        <v>11543.579999999998</v>
      </c>
      <c r="X32" s="1110">
        <f>X14-(X27+IF(X31&gt;0,X31,Valutazioni!$C$3)-X30)</f>
        <v>11517.649999999998</v>
      </c>
      <c r="Y32" s="1110">
        <f>Y14-(Y27+IF(Y31&gt;0,Y31,Valutazioni!$C$3)-Y30)</f>
        <v>11874.519999999997</v>
      </c>
      <c r="Z32" s="1110">
        <f>Z14-(Z27+IF(Z31&gt;0,Z31,Valutazioni!$C$3)-Z30)</f>
        <v>12417.519999999997</v>
      </c>
      <c r="AA32" s="1110">
        <f>AA14-(AA27+IF(AA31&gt;0,AA31,Valutazioni!$C$3)-AA30)</f>
        <v>12636.559999999998</v>
      </c>
      <c r="AB32" s="1110">
        <f>AB14-(AB27+IF(AB31&gt;0,AB31,Valutazioni!$C$3)-AB30)</f>
        <v>13224.529999999997</v>
      </c>
      <c r="AC32" s="1110">
        <f>AC14-(AC27+IF(AC31&gt;0,AC31,Valutazioni!$C$3)-AC30)</f>
        <v>13228.389999999998</v>
      </c>
      <c r="AD32" s="1110">
        <f>AD14-(AD27+IF(AD31&gt;0,AD31,Valutazioni!$C$3)-AD30)</f>
        <v>12707.639999999998</v>
      </c>
      <c r="AE32" s="1110">
        <f>AE14-(AE27+IF(AE31&gt;0,AE31,Valutazioni!$C$3)-AE30)</f>
        <v>12629.769999999997</v>
      </c>
      <c r="AF32" s="1110">
        <f>AF14-(AF27+IF(AF31&gt;0,AF31,Valutazioni!$C$3)-AF30)</f>
        <v>1559.4499999999971</v>
      </c>
      <c r="AG32" s="1111">
        <f>AG14-(AG27+IF(AG31&gt;0,AG31,Valutazioni!$C$3)-AG30)</f>
        <v>2224.5099999999966</v>
      </c>
      <c r="AH32" s="1109">
        <f>AH14-(AH27+IF(AH31&gt;0,AH31,Valutazioni!$C$3)-AH30)</f>
        <v>1843.8699999999963</v>
      </c>
      <c r="AI32" s="1110">
        <f>AI14-(AI27+IF(AI31&gt;0,AI31,Valutazioni!$C$3)-AI30)</f>
        <v>3684.5199999999959</v>
      </c>
      <c r="AJ32" s="1110">
        <f>AJ14-(AJ27+IF(AJ31&gt;0,AJ31,Valutazioni!$C$3)-AJ30)</f>
        <v>882.47999999999683</v>
      </c>
      <c r="AK32" s="1110">
        <f>AK14-(AK27+IF(AK31&gt;0,AK31,Valutazioni!$C$3)-AK30)</f>
        <v>1203.769999999997</v>
      </c>
      <c r="AL32" s="1110">
        <f>AL14-(AL27+IF(AL31&gt;0,AL31,Valutazioni!$C$3)-AL30)</f>
        <v>1394.4199999999967</v>
      </c>
      <c r="AM32" s="1110">
        <f>AM14-(AM27+IF(AM31&gt;0,AM31,Valutazioni!$C$3)-AM30)</f>
        <v>1366.5399999999963</v>
      </c>
      <c r="AN32" s="1110">
        <f>AN14-(AN27+IF(AN31&gt;0,AN31,Valutazioni!$C$3)-AN30)</f>
        <v>5941.1799999999957</v>
      </c>
      <c r="AO32" s="1110">
        <f>AO14-(AO27+IF(AO31&gt;0,AO31,Valutazioni!$C$3)-AO30)</f>
        <v>4125.6699999999964</v>
      </c>
      <c r="AP32" s="1110">
        <f>AP14-(AP27+IF(AP31&gt;0,AP31,Valutazioni!$C$3)-AP30)</f>
        <v>3502.8099999999968</v>
      </c>
      <c r="AQ32" s="1110">
        <f>AQ14-(AQ27+IF(AQ31&gt;0,AQ31,Valutazioni!$C$3)-AQ30)</f>
        <v>3155.3399999999965</v>
      </c>
      <c r="AR32" s="1110">
        <f>AR14-(AR27+IF(AR31&gt;0,AR31,Valutazioni!$C$3)-AR30)</f>
        <v>3050.5299999999966</v>
      </c>
      <c r="AS32" s="1111">
        <f>AS14-(AS27+IF(AS31&gt;0,AS31,Valutazioni!$C$3)-AS30)</f>
        <v>4838.6099999999969</v>
      </c>
      <c r="AT32" s="1109">
        <f>AT14-(AT27+IF(AT31&gt;0,AT31,Valutazioni!$C$3)-AT30)</f>
        <v>17167.149999999998</v>
      </c>
      <c r="AU32" s="1110">
        <f>AU14-(AU27+IF(AU31&gt;0,AU31,Valutazioni!$C$3)-AU30)</f>
        <v>2534.41</v>
      </c>
      <c r="AV32" s="1110">
        <f>AV14-(AV27+IF(AV31&gt;0,AV31,Valutazioni!$C$3)-AV30)</f>
        <v>3121.67</v>
      </c>
      <c r="AW32" s="1110">
        <f>AW14-(AW27+IF(AW31&gt;0,AW31,Valutazioni!$C$3)-AW30)</f>
        <v>20882.830000000002</v>
      </c>
      <c r="AX32" s="1110">
        <f>AX14-(AX27+IF(AX31&gt;0,AX31,Valutazioni!$C$3)-AX30)</f>
        <v>20604.54</v>
      </c>
      <c r="AY32" s="1110">
        <f>AY14-(AY27+IF(AY31&gt;0,AY31,Valutazioni!$C$3)-AY30)</f>
        <v>20634.57</v>
      </c>
      <c r="AZ32" s="1110">
        <f>AZ14-(AZ27+IF(AZ31&gt;0,AZ31,Valutazioni!$C$3)-AZ30)</f>
        <v>20065.32</v>
      </c>
      <c r="BA32" s="1110">
        <f>BA14-(BA27+IF(BA31&gt;0,BA31,Valutazioni!$C$3)-BA30)</f>
        <v>20213.27</v>
      </c>
      <c r="BB32" s="1110">
        <f>BB14-(BB27+IF(BB31&gt;0,BB31,Valutazioni!$C$3)-BB30)</f>
        <v>1128.0699999999997</v>
      </c>
      <c r="BC32" s="1110">
        <f>BC14-(BC27+IF(BC31&gt;0,BC31,Valutazioni!$C$3)-BC30)</f>
        <v>1094.2699999999995</v>
      </c>
      <c r="BD32" s="1110">
        <f>BD14-(BD27+IF(BD31&gt;0,BD31,Valutazioni!$C$3)-BD30)</f>
        <v>1161.3299999999995</v>
      </c>
      <c r="BE32" s="1111">
        <f>BE14-(BE27+IF(BE31&gt;0,BE31,Valutazioni!$C$3)-BE30)</f>
        <v>3883.4299999999994</v>
      </c>
      <c r="BF32" s="1109">
        <f>BF14-(BF27+IF(BF31&gt;0,BF31,Valutazioni!$C$3)-BF30)</f>
        <v>3226.3999999999996</v>
      </c>
      <c r="BG32" s="1110">
        <f>BG14-(BG27+IF(BG31&gt;0,BG31,Valutazioni!$C$3)-BG30)</f>
        <v>3271.6299999999997</v>
      </c>
      <c r="BH32" s="1110">
        <f>BH14-(BH27+IF(BH31&gt;0,BH31,Valutazioni!$C$3)-BH30)</f>
        <v>3117.9299999999989</v>
      </c>
      <c r="BI32" s="1110">
        <f>BI14-(BI27+IF(BI31&gt;0,BI31,Valutazioni!$C$3)-BI30)</f>
        <v>3071.7999999999984</v>
      </c>
      <c r="BJ32" s="1110">
        <f>BJ14-(BJ27+IF(BJ31&gt;0,BJ31,Valutazioni!$C$3)-BJ30)</f>
        <v>2873.8999999999987</v>
      </c>
      <c r="BK32" s="1110">
        <f>BK14-(BK27+IF(BK31&gt;0,BK31,Valutazioni!$C$3)-BK30)</f>
        <v>2571.9299999999985</v>
      </c>
      <c r="BL32" s="1110">
        <f>BL14-(BL27+IF(BL31&gt;0,BL31,Valutazioni!$C$3)-BL30)</f>
        <v>2751.3699999999985</v>
      </c>
      <c r="BM32" s="1110">
        <f>BM14-(BM27+IF(BM31&gt;0,BM31,Valutazioni!$C$3)-BM30)</f>
        <v>2194.3199999999993</v>
      </c>
      <c r="BN32" s="1110">
        <f>BN14-(BN27+IF(BN31&gt;0,BN31,Valutazioni!$C$3)-BN30)</f>
        <v>1700.2799999999997</v>
      </c>
      <c r="BO32" s="1110">
        <f>BO14-(BO27+IF(BO31&gt;0,BO31,Valutazioni!$C$3)-BO30)</f>
        <v>1654.12</v>
      </c>
      <c r="BP32" s="1110">
        <f>BP14-(BP27+IF(BP31&gt;0,BP31,Valutazioni!$C$3)-BP30)</f>
        <v>1489.0699999999997</v>
      </c>
      <c r="BQ32" s="1111">
        <f>BQ14-(BQ27+IF(BQ31&gt;0,BQ31,Valutazioni!$C$3)-BQ30)</f>
        <v>3214.4500000000003</v>
      </c>
      <c r="BR32" s="1109">
        <f>BR14-(BR27+IF(BR31&gt;0,BR31,Valutazioni!$C$3)-BR30)</f>
        <v>2849.4200000000005</v>
      </c>
      <c r="BS32" s="1110">
        <f>BS14-(BS27+IF(BS31&gt;0,BS31,Valutazioni!$C$3)-BS30)</f>
        <v>2754.95</v>
      </c>
      <c r="BT32" s="1110">
        <f>BT14-(BT27+IF(BT31&gt;0,BT31,Valutazioni!$C$3)-BT30)</f>
        <v>5906.15</v>
      </c>
      <c r="BU32" s="1110">
        <f>BU14-(BU27+IF(BU31&gt;0,BU31,Valutazioni!$C$3)-BU30)</f>
        <v>5970.15</v>
      </c>
      <c r="BV32" s="1110">
        <f>BV14-(BV27+IF(BV31&gt;0,BV31,Valutazioni!$C$3)-BV30)</f>
        <v>5908.9</v>
      </c>
      <c r="BW32" s="1110">
        <f>BW14-(BW27+IF(BW31&gt;0,BW31,Valutazioni!$C$3)-BW30)</f>
        <v>5520.5599999999995</v>
      </c>
      <c r="BX32" s="1110">
        <f>BX14-(BX27+IF(BX31&gt;0,BX31,Valutazioni!$C$3)-BX30)</f>
        <v>5590.37</v>
      </c>
      <c r="BY32" s="1110">
        <f>BY14-(BY27+IF(BY31&gt;0,BY31,Valutazioni!$C$3)-BY30)</f>
        <v>5403.21</v>
      </c>
      <c r="BZ32" s="1110">
        <f>BZ14-(BZ27+IF(BZ31&gt;0,BZ31,Valutazioni!$C$3)-BZ30)</f>
        <v>5004.3500000000004</v>
      </c>
      <c r="CA32" s="1110">
        <f>CA14-(CA27+IF(CA31&gt;0,CA31,Valutazioni!$C$3)-CA30)</f>
        <v>8062.55</v>
      </c>
      <c r="CB32" s="1110">
        <f>CB14-(CB27+IF(CB31&gt;0,CB31,Valutazioni!$C$3)-CB30)</f>
        <v>6638.329999999999</v>
      </c>
      <c r="CC32" s="1111">
        <f>CC14-(CC27+IF(CC31&gt;0,CC31,Valutazioni!$C$3)-CC30)</f>
        <v>8487.159999999998</v>
      </c>
      <c r="CD32" s="1109">
        <f>CD14-(CD27+IF(CD31&gt;0,CD31,Valutazioni!$C$3)-CD30)</f>
        <v>8547.0499999999975</v>
      </c>
      <c r="CE32" s="1110">
        <f>CE14-(CE27+IF(CE31&gt;0,CE31,Valutazioni!$C$3)-CE30)</f>
        <v>8673.3199999999979</v>
      </c>
      <c r="CF32" s="1110">
        <f>CF14-(CF27+IF(CF31&gt;0,CF31,Valutazioni!$C$3)-CF30)</f>
        <v>11338.679999999997</v>
      </c>
      <c r="CG32" s="1110">
        <f>CG14-(CG27+IF(CG31&gt;0,CG31,Valutazioni!$C$3)-CG30)</f>
        <v>11272.169999999996</v>
      </c>
      <c r="CH32" s="1110">
        <f>CH14-(CH27+IF(CH31&gt;0,CH31,Valutazioni!$C$3)-CH30)</f>
        <v>11159.409999999996</v>
      </c>
      <c r="CI32" s="1110">
        <f>CI14-(CI27+IF(CI31&gt;0,CI31,Valutazioni!$C$3)-CI30)</f>
        <v>11206.049999999996</v>
      </c>
      <c r="CJ32" s="1110">
        <f>CJ14-(CJ27+IF(CJ31&gt;0,CJ31,Valutazioni!$C$3)-CJ30)</f>
        <v>11116.089999999995</v>
      </c>
      <c r="CK32" s="1110">
        <f>CK14-(CK27+IF(CK31&gt;0,CK31,Valutazioni!$C$3)-CK30)</f>
        <v>10905.101999999995</v>
      </c>
      <c r="CL32" s="1110">
        <f>CL14-(CL27+IF(CL31&gt;0,CL31,Valutazioni!$C$3)-CL30)</f>
        <v>10226.301999999994</v>
      </c>
      <c r="CM32" s="1110">
        <f>CM14-(CM27+IF(CM31&gt;0,CM31,Valutazioni!$C$3)-CM30)</f>
        <v>10230.011999999995</v>
      </c>
      <c r="CN32" s="1110">
        <f>CN14-(CN27+IF(CN31&gt;0,CN31,Valutazioni!$C$3)-CN30)</f>
        <v>10230.741999999995</v>
      </c>
      <c r="CO32" s="1111">
        <f>CO14-(CO27+IF(CO31&gt;0,CO31,Valutazioni!$C$3)-CO30)</f>
        <v>11614.741999999995</v>
      </c>
      <c r="CP32" s="1109">
        <f>CP14-(CP27+IF(CP31&gt;0,CP31,Valutazioni!$C$3)-CP30)</f>
        <v>11338.621999999994</v>
      </c>
      <c r="CQ32" s="1110">
        <f>CQ14-(CQ27+IF(CQ31&gt;0,CQ31,Valutazioni!$C$3)-CQ30)</f>
        <v>11429.191999999994</v>
      </c>
      <c r="CR32" s="1110">
        <f>CR14-(CR27+IF(CR31&gt;0,CR31,Valutazioni!$C$3)-CR30)</f>
        <v>11034.723999999995</v>
      </c>
      <c r="CS32" s="1110">
        <f>CS14-(CS27+IF(CS31&gt;0,CS31,Valutazioni!$C$3)-CS30)</f>
        <v>12846.083999999995</v>
      </c>
      <c r="CT32" s="1110">
        <f>CT14-(CT27+IF(CT31&gt;0,CT31,Valutazioni!$C$3)-CT30)</f>
        <v>20283.255999999994</v>
      </c>
      <c r="CU32" s="1110">
        <f>CU14-(CU27+IF(CU31&gt;0,CU31,Valutazioni!$C$3)-CU30)</f>
        <v>54638.227999999996</v>
      </c>
      <c r="CV32" s="1110">
        <f>CV14-(CV27+IF(CV31&gt;0,CV31,Valutazioni!$C$3)-CV30)</f>
        <v>54234.477999999996</v>
      </c>
      <c r="CW32" s="1110">
        <f>CW14-(CW27+IF(CW31&gt;0,CW31,Valutazioni!$C$3)-CW30)</f>
        <v>54331.037999999993</v>
      </c>
      <c r="CX32" s="1110">
        <f>CX14-(CX27+IF(CX31&gt;0,CX31,Valutazioni!$C$3)-CX30)</f>
        <v>51856.187999999995</v>
      </c>
      <c r="CY32" s="1110">
        <f>CY14-(CY27+IF(CY31&gt;0,CY31,Valutazioni!$C$3)-CY30)</f>
        <v>51056.687999999995</v>
      </c>
      <c r="CZ32" s="1110">
        <f>CZ14-(CZ27+IF(CZ31&gt;0,CZ31,Valutazioni!$C$3)-CZ30)</f>
        <v>51485.837999999996</v>
      </c>
      <c r="DA32" s="1111">
        <f>DA14-(DA27+IF(DA31&gt;0,DA31,Valutazioni!$C$3)-DA30)</f>
        <v>54158.711890759929</v>
      </c>
      <c r="DB32" s="1109">
        <f>DB14-(DB27+IF(DB31&gt;0,DB31,Valutazioni!$C$3)-DB30)</f>
        <v>54625.461890759929</v>
      </c>
      <c r="DC32" s="1110">
        <f>DC14-(DC27+IF(DC31&gt;0,DC31,Valutazioni!$C$3)-DC30)</f>
        <v>54766.651890759931</v>
      </c>
      <c r="DD32" s="1110">
        <f>DD14-(DD27+IF(DD31&gt;0,DD31,Valutazioni!$C$3)-DD30)</f>
        <v>55286.551890759933</v>
      </c>
      <c r="DE32" s="1110">
        <f>DE14-(DE27+IF(DE31&gt;0,DE31,Valutazioni!$C$3)-DE30)</f>
        <v>55450.721890759931</v>
      </c>
      <c r="DF32" s="1110">
        <f>DF14-(DF27+IF(DF31&gt;0,DF31,Valutazioni!$C$3)-DF30)</f>
        <v>55970.621890759932</v>
      </c>
      <c r="DG32" s="1110">
        <f>DG14-(DG27+IF(DG31&gt;0,DG31,Valutazioni!$C$3)-DG30)</f>
        <v>56268.831890759931</v>
      </c>
      <c r="DH32" s="1110">
        <f>DH14-(DH27+IF(DH31&gt;0,DH31,Valutazioni!$C$3)-DH30)</f>
        <v>56788.731890759933</v>
      </c>
      <c r="DI32" s="1110">
        <f>DI14-(DI27+IF(DI31&gt;0,DI31,Valutazioni!$C$3)-DI30)</f>
        <v>57112.351890759935</v>
      </c>
      <c r="DJ32" s="1110">
        <f>DJ14-(DJ27+IF(DJ31&gt;0,DJ31,Valutazioni!$C$3)-DJ30)</f>
        <v>57632.251890759937</v>
      </c>
      <c r="DK32" s="1110">
        <f>DK14-(DK27+IF(DK31&gt;0,DK31,Valutazioni!$C$3)-DK30)</f>
        <v>57952.15085220617</v>
      </c>
      <c r="DL32" s="1110">
        <f>DL14-(DL27+IF(DL31&gt;0,DL31,Valutazioni!$C$3)-DL30)</f>
        <v>58472.050852206172</v>
      </c>
      <c r="DM32" s="1111">
        <f>DM14-(DM27+IF(DM31&gt;0,DM31,Valutazioni!$C$3)-DM30)</f>
        <v>61255.103840810763</v>
      </c>
      <c r="DN32" s="1109">
        <f>DN14-(DN27+IF(DN31&gt;0,DN31,Valutazioni!$C$3)-DN30)</f>
        <v>61775.003840810765</v>
      </c>
      <c r="DO32" s="1110">
        <f>DO14-(DO27+IF(DO31&gt;0,DO31,Valutazioni!$C$3)-DO30)</f>
        <v>61916.193840810767</v>
      </c>
      <c r="DP32" s="1110">
        <f>DP14-(DP27+IF(DP31&gt;0,DP31,Valutazioni!$C$3)-DP30)</f>
        <v>62436.093840810769</v>
      </c>
      <c r="DQ32" s="1110">
        <f>DQ14-(DQ27+IF(DQ31&gt;0,DQ31,Valutazioni!$C$3)-DQ30)</f>
        <v>62600.263840810767</v>
      </c>
      <c r="DR32" s="1110">
        <f>DR14-(DR27+IF(DR31&gt;0,DR31,Valutazioni!$C$3)-DR30)</f>
        <v>63120.163840810768</v>
      </c>
      <c r="DS32" s="1110">
        <f>DS14-(DS27+IF(DS31&gt;0,DS31,Valutazioni!$C$3)-DS30)</f>
        <v>63418.373840810767</v>
      </c>
      <c r="DT32" s="1110">
        <f>DT14-(DT27+IF(DT31&gt;0,DT31,Valutazioni!$C$3)-DT30)</f>
        <v>63938.273840810762</v>
      </c>
      <c r="DU32" s="1110">
        <f>DU14-(DU27+IF(DU31&gt;0,DU31,Valutazioni!$C$3)-DU30)</f>
        <v>64344.893840810757</v>
      </c>
      <c r="DV32" s="1110">
        <f>DV14-(DV27+IF(DV31&gt;0,DV31,Valutazioni!$C$3)-DV30)</f>
        <v>64947.793840810751</v>
      </c>
      <c r="DW32" s="1110">
        <f>DW14-(DW27+IF(DW31&gt;0,DW31,Valutazioni!$C$3)-DW30)</f>
        <v>65350.692802256977</v>
      </c>
      <c r="DX32" s="1110">
        <f>DX14-(DX27+IF(DX31&gt;0,DX31,Valutazioni!$C$3)-DX30)</f>
        <v>65953.592802256971</v>
      </c>
      <c r="DY32" s="1111">
        <f>DY14-(DY27+IF(DY31&gt;0,DY31,Valutazioni!$C$3)-DY30)</f>
        <v>68819.64579086157</v>
      </c>
      <c r="DZ32" s="1109">
        <f>DZ14-(DZ27+IF(DZ31&gt;0,DZ31,Valutazioni!$C$3)-DZ30)</f>
        <v>69422.545790861564</v>
      </c>
      <c r="EA32" s="1110">
        <f>EA14-(EA27+IF(EA31&gt;0,EA31,Valutazioni!$C$3)-EA30)</f>
        <v>69646.735790861567</v>
      </c>
      <c r="EB32" s="1110">
        <f>EB14-(EB27+IF(EB31&gt;0,EB31,Valutazioni!$C$3)-EB30)</f>
        <v>70249.635790861561</v>
      </c>
      <c r="EC32" s="1110">
        <f>EC14-(EC27+IF(EC31&gt;0,EC31,Valutazioni!$C$3)-EC30)</f>
        <v>70496.805790861559</v>
      </c>
      <c r="ED32" s="1110">
        <f>ED14-(ED27+IF(ED31&gt;0,ED31,Valutazioni!$C$3)-ED30)</f>
        <v>71099.705790861553</v>
      </c>
      <c r="EE32" s="1110">
        <f>EE14-(EE27+IF(EE31&gt;0,EE31,Valutazioni!$C$3)-EE30)</f>
        <v>71480.91579086156</v>
      </c>
      <c r="EF32" s="1110">
        <f>EF14-(EF27+IF(EF31&gt;0,EF31,Valutazioni!$C$3)-EF30)</f>
        <v>72083.815790861554</v>
      </c>
      <c r="EG32" s="1110">
        <f>EG14-(EG27+IF(EG31&gt;0,EG31,Valutazioni!$C$3)-EG30)</f>
        <v>72490.435790861549</v>
      </c>
      <c r="EH32" s="1110">
        <f>EH14-(EH27+IF(EH31&gt;0,EH31,Valutazioni!$C$3)-EH30)</f>
        <v>73093.335790861544</v>
      </c>
      <c r="EI32" s="1110">
        <f>EI14-(EI27+IF(EI31&gt;0,EI31,Valutazioni!$C$3)-EI30)</f>
        <v>73496.234752307777</v>
      </c>
      <c r="EJ32" s="1110">
        <f>EJ14-(EJ27+IF(EJ31&gt;0,EJ31,Valutazioni!$C$3)-EJ30)</f>
        <v>74099.134752307771</v>
      </c>
      <c r="EK32" s="1111">
        <f>EK14-(EK27+IF(EK31&gt;0,EK31,Valutazioni!$C$3)-EK30)</f>
        <v>76965.18774091237</v>
      </c>
      <c r="EL32" s="1109">
        <f>EL14-(EL27+IF(EL31&gt;0,EL31,Valutazioni!$C$3)-EL30)</f>
        <v>77568.087740912364</v>
      </c>
      <c r="EM32" s="1110">
        <f>EM14-(EM27+IF(EM31&gt;0,EM31,Valutazioni!$C$3)-EM30)</f>
        <v>77792.277740912366</v>
      </c>
      <c r="EN32" s="1110">
        <f>EN14-(EN27+IF(EN31&gt;0,EN31,Valutazioni!$C$3)-EN30)</f>
        <v>78395.177740912361</v>
      </c>
      <c r="EO32" s="1110">
        <f>EO14-(EO27+IF(EO31&gt;0,EO31,Valutazioni!$C$3)-EO30)</f>
        <v>78642.347740912359</v>
      </c>
      <c r="EP32" s="1110">
        <f>EP14-(EP27+IF(EP31&gt;0,EP31,Valutazioni!$C$3)-EP30)</f>
        <v>79245.247740912353</v>
      </c>
      <c r="EQ32" s="1110">
        <f>EQ14-(EQ27+IF(EQ31&gt;0,EQ31,Valutazioni!$C$3)-EQ30)</f>
        <v>79626.457740912359</v>
      </c>
      <c r="ER32" s="1110">
        <f>ER14-(ER27+IF(ER31&gt;0,ER31,Valutazioni!$C$3)-ER30)</f>
        <v>80229.357740912354</v>
      </c>
      <c r="ES32" s="1110">
        <f>ES14-(ES27+IF(ES31&gt;0,ES31,Valutazioni!$C$3)-ES30)</f>
        <v>80635.977740912349</v>
      </c>
      <c r="ET32" s="1110">
        <f>ET14-(ET27+IF(ET31&gt;0,ET31,Valutazioni!$C$3)-ET30)</f>
        <v>81238.877740912343</v>
      </c>
      <c r="EU32" s="1110">
        <f>EU14-(EU27+IF(EU31&gt;0,EU31,Valutazioni!$C$3)-EU30)</f>
        <v>81641.776702358577</v>
      </c>
      <c r="EV32" s="1110">
        <f>EV14-(EV27+IF(EV31&gt;0,EV31,Valutazioni!$C$3)-EV30)</f>
        <v>82244.676702358571</v>
      </c>
      <c r="EW32" s="1111">
        <f>EW14-(EW27+IF(EW31&gt;0,EW31,Valutazioni!$C$3)-EW30)</f>
        <v>85110.72969096317</v>
      </c>
      <c r="EX32" s="1110">
        <f>EX14-(EX27+IF(EX31&gt;0,EX31,Valutazioni!$C$3)-EX30)</f>
        <v>85713.629690963164</v>
      </c>
      <c r="EY32" s="1110">
        <f>EY14-(EY27+IF(EY31&gt;0,EY31,Valutazioni!$C$3)-EY30)</f>
        <v>85937.819690963166</v>
      </c>
      <c r="EZ32" s="1110">
        <f>EZ14-(EZ27+IF(EZ31&gt;0,EZ31,Valutazioni!$C$3)-EZ30)</f>
        <v>86540.71969096316</v>
      </c>
      <c r="FA32" s="1110">
        <f>FA14-(FA27+IF(FA31&gt;0,FA31,Valutazioni!$C$3)-FA30)</f>
        <v>86787.889690963159</v>
      </c>
      <c r="FB32" s="1110">
        <f>FB14-(FB27+IF(FB31&gt;0,FB31,Valutazioni!$C$3)-FB30)</f>
        <v>87390.789690963153</v>
      </c>
      <c r="FC32" s="1110">
        <f>FC14-(FC27+IF(FC31&gt;0,FC31,Valutazioni!$C$3)-FC30)</f>
        <v>87771.999690963159</v>
      </c>
      <c r="FD32" s="1110">
        <f>FD14-(FD27+IF(FD31&gt;0,FD31,Valutazioni!$C$3)-FD30)</f>
        <v>88374.899690963153</v>
      </c>
      <c r="FE32" s="1110">
        <f>FE14-(FE27+IF(FE31&gt;0,FE31,Valutazioni!$C$3)-FE30)</f>
        <v>88781.519690963149</v>
      </c>
      <c r="FF32" s="1110">
        <f>FF14-(FF27+IF(FF31&gt;0,FF31,Valutazioni!$C$3)-FF30)</f>
        <v>89384.419690963143</v>
      </c>
      <c r="FG32" s="1110">
        <f>FG14-(FG27+IF(FG31&gt;0,FG31,Valutazioni!$C$3)-FG30)</f>
        <v>89787.318652409376</v>
      </c>
      <c r="FH32" s="1110">
        <f>FH14-(FH27+IF(FH31&gt;0,FH31,Valutazioni!$C$3)-FH30)</f>
        <v>90390.21865240937</v>
      </c>
      <c r="FI32" s="1111">
        <f>FI14-(FI27+IF(FI31&gt;0,FI31,Valutazioni!$C$3)-FI30)</f>
        <v>93256.271641013969</v>
      </c>
      <c r="FJ32" s="1110">
        <f>FJ14-(FJ27+IF(FJ31&gt;0,FJ31,Valutazioni!$C$3)-FJ30)</f>
        <v>93859.171641013963</v>
      </c>
      <c r="FK32" s="1110">
        <f>FK14-(FK27+IF(FK31&gt;0,FK31,Valutazioni!$C$3)-FK30)</f>
        <v>94083.361641013966</v>
      </c>
      <c r="FL32" s="1110">
        <f>FL14-(FL27+IF(FL31&gt;0,FL31,Valutazioni!$C$3)-FL30)</f>
        <v>94686.26164101396</v>
      </c>
      <c r="FM32" s="1110">
        <f>FM14-(FM27+IF(FM31&gt;0,FM31,Valutazioni!$C$3)-FM30)</f>
        <v>94933.431641013958</v>
      </c>
      <c r="FN32" s="1110">
        <f>FN14-(FN27+IF(FN31&gt;0,FN31,Valutazioni!$C$3)-FN30)</f>
        <v>95536.331641013952</v>
      </c>
      <c r="FO32" s="1110">
        <f>FO14-(FO27+IF(FO31&gt;0,FO31,Valutazioni!$C$3)-FO30)</f>
        <v>95917.541641013959</v>
      </c>
      <c r="FP32" s="1110">
        <f>FP14-(FP27+IF(FP31&gt;0,FP31,Valutazioni!$C$3)-FP30)</f>
        <v>96520.441641013953</v>
      </c>
      <c r="FQ32" s="1110">
        <f>FQ14-(FQ27+IF(FQ31&gt;0,FQ31,Valutazioni!$C$3)-FQ30)</f>
        <v>96927.061641013948</v>
      </c>
      <c r="FR32" s="1110">
        <f>FR14-(FR27+IF(FR31&gt;0,FR31,Valutazioni!$C$3)-FR30)</f>
        <v>97529.961641013942</v>
      </c>
      <c r="FS32" s="1110">
        <f>FS14-(FS27+IF(FS31&gt;0,FS31,Valutazioni!$C$3)-FS30)</f>
        <v>97932.860602460176</v>
      </c>
      <c r="FT32" s="1110">
        <f>FT14-(FT27+IF(FT31&gt;0,FT31,Valutazioni!$C$3)-FT30)</f>
        <v>98535.76060246017</v>
      </c>
      <c r="FU32" s="1111">
        <f>FU14-(FU27+IF(FU31&gt;0,FU31,Valutazioni!$C$3)-FU30)</f>
        <v>101590.06359106477</v>
      </c>
      <c r="FV32" s="1110">
        <f>FV14-(FV27+IF(FV31&gt;0,FV31,Valutazioni!$C$3)-FV30)</f>
        <v>102381.21359106476</v>
      </c>
      <c r="FW32" s="1110">
        <f>FW14-(FW27+IF(FW31&gt;0,FW31,Valutazioni!$C$3)-FW30)</f>
        <v>102793.65359106477</v>
      </c>
      <c r="FX32" s="1110">
        <f>FX14-(FX27+IF(FX31&gt;0,FX31,Valutazioni!$C$3)-FX30)</f>
        <v>103584.80359106476</v>
      </c>
      <c r="FY32" s="1110">
        <f>FY14-(FY27+IF(FY31&gt;0,FY31,Valutazioni!$C$3)-FY30)</f>
        <v>104020.22359106476</v>
      </c>
      <c r="FZ32" s="1110">
        <f>FZ14-(FZ27+IF(FZ31&gt;0,FZ31,Valutazioni!$C$3)-FZ30)</f>
        <v>104811.37359106475</v>
      </c>
      <c r="GA32" s="1110">
        <f>GA14-(GA27+IF(GA31&gt;0,GA31,Valutazioni!$C$3)-GA30)</f>
        <v>105380.83359106476</v>
      </c>
      <c r="GB32" s="1110">
        <f>GB14-(GB27+IF(GB31&gt;0,GB31,Valutazioni!$C$3)-GB30)</f>
        <v>106171.98359106475</v>
      </c>
      <c r="GC32" s="1110">
        <f>GC14-(GC27+IF(GC31&gt;0,GC31,Valutazioni!$C$3)-GC30)</f>
        <v>106766.85359106475</v>
      </c>
      <c r="GD32" s="1110">
        <f>GD14-(GD27+IF(GD31&gt;0,GD31,Valutazioni!$C$3)-GD30)</f>
        <v>107558.00359106474</v>
      </c>
      <c r="GE32" s="1110">
        <f>GE14-(GE27+IF(GE31&gt;0,GE31,Valutazioni!$C$3)-GE30)</f>
        <v>108149.15255251098</v>
      </c>
      <c r="GF32" s="1110">
        <f>GF14-(GF27+IF(GF31&gt;0,GF31,Valutazioni!$C$3)-GF30)</f>
        <v>108940.30255251097</v>
      </c>
      <c r="GG32" s="1111">
        <f>GG14-(GG27+IF(GG31&gt;0,GG31,Valutazioni!$C$3)-GG30)</f>
        <v>111994.60554111557</v>
      </c>
      <c r="GH32" s="1110">
        <f>GH14-(GH27+IF(GH31&gt;0,GH31,Valutazioni!$C$3)-GH30)</f>
        <v>112785.75554111556</v>
      </c>
      <c r="GI32" s="1110">
        <f>GI14-(GI27+IF(GI31&gt;0,GI31,Valutazioni!$C$3)-GI30)</f>
        <v>113198.19554111556</v>
      </c>
      <c r="GJ32" s="1110">
        <f>GJ14-(GJ27+IF(GJ31&gt;0,GJ31,Valutazioni!$C$3)-GJ30)</f>
        <v>113989.34554111556</v>
      </c>
      <c r="GK32" s="1110">
        <f>GK14-(GK27+IF(GK31&gt;0,GK31,Valutazioni!$C$3)-GK30)</f>
        <v>114424.76554111556</v>
      </c>
      <c r="GL32" s="1110">
        <f>GL14-(GL27+IF(GL31&gt;0,GL31,Valutazioni!$C$3)-GL30)</f>
        <v>115215.91554111555</v>
      </c>
      <c r="GM32" s="1110">
        <f>GM14-(GM27+IF(GM31&gt;0,GM31,Valutazioni!$C$3)-GM30)</f>
        <v>115785.37554111556</v>
      </c>
      <c r="GN32" s="1110">
        <f>GN14-(GN27+IF(GN31&gt;0,GN31,Valutazioni!$C$3)-GN30)</f>
        <v>116576.52554111555</v>
      </c>
      <c r="GO32" s="1110">
        <f>GO14-(GO27+IF(GO31&gt;0,GO31,Valutazioni!$C$3)-GO30)</f>
        <v>117171.39554111555</v>
      </c>
      <c r="GP32" s="1110">
        <f>GP14-(GP27+IF(GP31&gt;0,GP31,Valutazioni!$C$3)-GP30)</f>
        <v>117962.54554111554</v>
      </c>
      <c r="GQ32" s="1110">
        <f>GQ14-(GQ27+IF(GQ31&gt;0,GQ31,Valutazioni!$C$3)-GQ30)</f>
        <v>118553.69450256178</v>
      </c>
      <c r="GR32" s="1110">
        <f>GR14-(GR27+IF(GR31&gt;0,GR31,Valutazioni!$C$3)-GR30)</f>
        <v>119344.84450256177</v>
      </c>
      <c r="GS32" s="1111">
        <f>GS14-(GS27+IF(GS31&gt;0,GS31,Valutazioni!$C$3)-GS30)</f>
        <v>122399.14749116637</v>
      </c>
      <c r="GT32" s="1110">
        <f>GT14-(GT27+IF(GT31&gt;0,GT31,Valutazioni!$C$3)-GT30)</f>
        <v>123190.29749116636</v>
      </c>
    </row>
    <row r="33" spans="2:202" s="46" customFormat="1">
      <c r="B33" s="424" t="s">
        <v>25</v>
      </c>
      <c r="C33" s="1288">
        <f t="shared" ref="C33:I33" si="450">C32/(C11+C28)</f>
        <v>-0.32744517522304822</v>
      </c>
      <c r="D33" s="1288">
        <f t="shared" si="450"/>
        <v>3.9935765265662088E-2</v>
      </c>
      <c r="E33" s="1288">
        <f t="shared" si="450"/>
        <v>-1.5780459344558496E-2</v>
      </c>
      <c r="F33" s="1288">
        <f t="shared" si="450"/>
        <v>-2.3443575164486766E-2</v>
      </c>
      <c r="G33" s="1289">
        <f t="shared" si="450"/>
        <v>0.16039398311526995</v>
      </c>
      <c r="H33" s="1290">
        <f t="shared" si="450"/>
        <v>9.7404119798164601E-2</v>
      </c>
      <c r="I33" s="425">
        <f t="shared" si="450"/>
        <v>1.1474234034397357</v>
      </c>
      <c r="J33" s="1291"/>
      <c r="K33" s="1286">
        <f t="shared" ref="K33:Q33" si="451">K32/(K11+K28)</f>
        <v>-0.32744517522304822</v>
      </c>
      <c r="L33" s="1286">
        <f t="shared" si="451"/>
        <v>3.9935765265662088E-2</v>
      </c>
      <c r="M33" s="1286">
        <f t="shared" si="451"/>
        <v>-1.5780459344558496E-2</v>
      </c>
      <c r="N33" s="1286">
        <f t="shared" si="451"/>
        <v>-2.3443575164486766E-2</v>
      </c>
      <c r="O33" s="1287">
        <f t="shared" si="451"/>
        <v>0.16039398311526995</v>
      </c>
      <c r="P33" s="1287">
        <f t="shared" si="451"/>
        <v>9.7404119798164587E-2</v>
      </c>
      <c r="Q33" s="1287">
        <f t="shared" si="451"/>
        <v>1.1474234034397357</v>
      </c>
      <c r="R33" s="1292"/>
      <c r="T33" s="426">
        <f t="shared" ref="T33:BD33" si="452">(T32-S32)/S32</f>
        <v>4.3887390892891905E-2</v>
      </c>
      <c r="U33" s="427">
        <f t="shared" si="452"/>
        <v>0.40956099465579937</v>
      </c>
      <c r="V33" s="428">
        <f t="shared" si="452"/>
        <v>-9.616982673850621E-4</v>
      </c>
      <c r="W33" s="429">
        <f t="shared" si="452"/>
        <v>1.9148506633087122E-4</v>
      </c>
      <c r="X33" s="429">
        <f t="shared" si="452"/>
        <v>-2.2462702211965696E-3</v>
      </c>
      <c r="Y33" s="429">
        <f t="shared" si="452"/>
        <v>3.0984619258268748E-2</v>
      </c>
      <c r="Z33" s="429">
        <f t="shared" si="452"/>
        <v>4.572816417000436E-2</v>
      </c>
      <c r="AA33" s="429">
        <f t="shared" si="452"/>
        <v>1.7639593091052071E-2</v>
      </c>
      <c r="AB33" s="429">
        <f t="shared" si="452"/>
        <v>4.6529276955120658E-2</v>
      </c>
      <c r="AC33" s="429">
        <f t="shared" si="452"/>
        <v>2.9188182869263276E-4</v>
      </c>
      <c r="AD33" s="429">
        <f t="shared" si="452"/>
        <v>-3.9366090658046832E-2</v>
      </c>
      <c r="AE33" s="429">
        <f t="shared" si="452"/>
        <v>-6.1278097270618948E-3</v>
      </c>
      <c r="AF33" s="429">
        <f t="shared" si="452"/>
        <v>-0.87652585914074466</v>
      </c>
      <c r="AG33" s="427">
        <f t="shared" si="452"/>
        <v>0.42647087114046667</v>
      </c>
      <c r="AH33" s="430">
        <f t="shared" si="452"/>
        <v>-0.17111184036034943</v>
      </c>
      <c r="AI33" s="426">
        <f t="shared" si="452"/>
        <v>0.99825367298128576</v>
      </c>
      <c r="AJ33" s="426">
        <f t="shared" si="452"/>
        <v>-0.76048983313973118</v>
      </c>
      <c r="AK33" s="426">
        <f t="shared" si="452"/>
        <v>0.36407623968815311</v>
      </c>
      <c r="AL33" s="426">
        <f t="shared" si="452"/>
        <v>0.15837743090457487</v>
      </c>
      <c r="AM33" s="426">
        <f t="shared" si="452"/>
        <v>-1.9993975990017645E-2</v>
      </c>
      <c r="AN33" s="426">
        <f t="shared" si="452"/>
        <v>3.3476078270669074</v>
      </c>
      <c r="AO33" s="426">
        <f t="shared" si="452"/>
        <v>-0.30558070955601424</v>
      </c>
      <c r="AP33" s="426">
        <f t="shared" si="452"/>
        <v>-0.1509718421492752</v>
      </c>
      <c r="AQ33" s="426">
        <f t="shared" si="452"/>
        <v>-9.9197501434562699E-2</v>
      </c>
      <c r="AR33" s="426">
        <f t="shared" si="452"/>
        <v>-3.3216705648202748E-2</v>
      </c>
      <c r="AS33" s="431">
        <f t="shared" si="452"/>
        <v>0.58615388145666569</v>
      </c>
      <c r="AT33" s="430">
        <f t="shared" si="452"/>
        <v>2.5479507544522102</v>
      </c>
      <c r="AU33" s="426">
        <f t="shared" si="452"/>
        <v>-0.85236862263101332</v>
      </c>
      <c r="AV33" s="426">
        <f t="shared" si="452"/>
        <v>0.23171467915609559</v>
      </c>
      <c r="AW33" s="426">
        <f t="shared" si="452"/>
        <v>5.6896340740693292</v>
      </c>
      <c r="AX33" s="426">
        <f t="shared" si="452"/>
        <v>-1.3326258940957755E-2</v>
      </c>
      <c r="AY33" s="426">
        <f t="shared" si="452"/>
        <v>1.4574457862198736E-3</v>
      </c>
      <c r="AZ33" s="426">
        <f t="shared" si="452"/>
        <v>-2.7587199539413711E-2</v>
      </c>
      <c r="BA33" s="426">
        <f t="shared" si="452"/>
        <v>7.3734184154551604E-3</v>
      </c>
      <c r="BB33" s="426">
        <f t="shared" si="452"/>
        <v>-0.94419161273757291</v>
      </c>
      <c r="BC33" s="426">
        <f t="shared" si="452"/>
        <v>-2.9962679620945679E-2</v>
      </c>
      <c r="BD33" s="426">
        <f t="shared" si="452"/>
        <v>6.1282864375336962E-2</v>
      </c>
      <c r="BE33" s="426">
        <f t="shared" ref="BE33" si="453">(BE32-BD32)/BD32</f>
        <v>2.3439504705811451</v>
      </c>
      <c r="BF33" s="430">
        <f t="shared" ref="BF33" si="454">(BF32-BE32)/BE32</f>
        <v>-0.16918806312975895</v>
      </c>
      <c r="BG33" s="426">
        <f t="shared" ref="BG33" si="455">(BG32-BF32)/BF32</f>
        <v>1.4018720555417811E-2</v>
      </c>
      <c r="BH33" s="426">
        <f t="shared" ref="BH33" si="456">(BH32-BG32)/BG32</f>
        <v>-4.6979640118228756E-2</v>
      </c>
      <c r="BI33" s="426">
        <f t="shared" ref="BI33" si="457">(BI32-BH32)/BH32</f>
        <v>-1.4795072371733997E-2</v>
      </c>
      <c r="BJ33" s="426">
        <f>(BJ32-BI32)/BI32</f>
        <v>-6.4424767237450276E-2</v>
      </c>
      <c r="BK33" s="426">
        <f t="shared" ref="BK33" si="458">(BK32-BJ32)/BJ32</f>
        <v>-0.10507324541563742</v>
      </c>
      <c r="BL33" s="426">
        <f t="shared" ref="BL33" si="459">(BL32-BK32)/BK32</f>
        <v>6.976861734184063E-2</v>
      </c>
      <c r="BM33" s="426">
        <f t="shared" ref="BM33" si="460">(BM32-BL32)/BL32</f>
        <v>-0.20246277309122349</v>
      </c>
      <c r="BN33" s="426">
        <f>(BN32-BM32)/BM32</f>
        <v>-0.22514491961063093</v>
      </c>
      <c r="BO33" s="426">
        <f t="shared" ref="BO33" si="461">(BO32-BN32)/BN32</f>
        <v>-2.7148469663819993E-2</v>
      </c>
      <c r="BP33" s="426">
        <f t="shared" ref="BP33" si="462">(BP32-BO32)/BO32</f>
        <v>-9.9781152516141627E-2</v>
      </c>
      <c r="BQ33" s="426">
        <f t="shared" ref="BQ33" si="463">(BQ32-BP32)/BP32</f>
        <v>1.1586963675314128</v>
      </c>
      <c r="BR33" s="450">
        <f t="shared" ref="BR33" si="464">(BR32-BQ32)/BQ32</f>
        <v>-0.11355908475789006</v>
      </c>
      <c r="BS33" s="426">
        <f>(BS32-BR32)/BR32</f>
        <v>-3.315411557439784E-2</v>
      </c>
      <c r="BT33" s="426">
        <f t="shared" ref="BT33" si="465">(BT32-BS32)/BS32</f>
        <v>1.1438320114702627</v>
      </c>
      <c r="BU33" s="426">
        <f t="shared" ref="BU33" si="466">(BU32-BT32)/BT32</f>
        <v>1.0836162305393532E-2</v>
      </c>
      <c r="BV33" s="426">
        <f t="shared" ref="BV33" si="467">(BV32-BU32)/BU32</f>
        <v>-1.0259373717578285E-2</v>
      </c>
      <c r="BW33" s="426">
        <f t="shared" ref="BW33" si="468">(BW32-BV32)/BV32</f>
        <v>-6.5721200223391868E-2</v>
      </c>
      <c r="BX33" s="426">
        <f t="shared" ref="BX33" si="469">(BX32-BW32)/BW32</f>
        <v>1.264545625806085E-2</v>
      </c>
      <c r="BY33" s="426">
        <f t="shared" ref="BY33" si="470">(BY32-BX32)/BX32</f>
        <v>-3.3479000495494904E-2</v>
      </c>
      <c r="BZ33" s="426">
        <f t="shared" ref="BZ33" si="471">(BZ32-BY32)/BY32</f>
        <v>-7.3819081619999907E-2</v>
      </c>
      <c r="CA33" s="426">
        <f t="shared" ref="CA33" si="472">(CA32-BZ32)/BZ32</f>
        <v>0.61110833574789925</v>
      </c>
      <c r="CB33" s="426">
        <f t="shared" ref="CB33" si="473">(CB32-CA32)/CA32</f>
        <v>-0.17664634637924739</v>
      </c>
      <c r="CC33" s="426">
        <f t="shared" ref="CC33" si="474">(CC32-CB32)/CB32</f>
        <v>0.27850829952714001</v>
      </c>
      <c r="CD33" s="434">
        <f t="shared" ref="CD33" si="475">(CD32-CC32)/CC32</f>
        <v>7.056541882090055E-3</v>
      </c>
      <c r="CE33" s="426">
        <f t="shared" ref="CE33" si="476">(CE32-CD32)/CD32</f>
        <v>1.4773518348436066E-2</v>
      </c>
      <c r="CF33" s="426">
        <f t="shared" ref="CF33" si="477">(CF32-CE32)/CE32</f>
        <v>0.30730562229918873</v>
      </c>
      <c r="CG33" s="426">
        <f t="shared" ref="CG33" si="478">(CG32-CF32)/CF32</f>
        <v>-5.8657621522082148E-3</v>
      </c>
      <c r="CH33" s="426">
        <f t="shared" ref="CH33" si="479">(CH32-CG32)/CG32</f>
        <v>-1.000339774861453E-2</v>
      </c>
      <c r="CI33" s="426">
        <f t="shared" ref="CI33" si="480">(CI32-CH32)/CH32</f>
        <v>4.1794324251908871E-3</v>
      </c>
      <c r="CJ33" s="426">
        <f t="shared" ref="CJ33" si="481">(CJ32-CI32)/CI32</f>
        <v>-8.0278064081456876E-3</v>
      </c>
      <c r="CK33" s="426">
        <f t="shared" ref="CK33" si="482">(CK32-CJ32)/CJ32</f>
        <v>-1.8980414876093976E-2</v>
      </c>
      <c r="CL33" s="426">
        <f t="shared" ref="CL33" si="483">(CL32-CK32)/CK32</f>
        <v>-6.2246093617464686E-2</v>
      </c>
      <c r="CM33" s="426">
        <f t="shared" ref="CM33" si="484">(CM32-CL32)/CL32</f>
        <v>3.6278998996909615E-4</v>
      </c>
      <c r="CN33" s="426">
        <f t="shared" ref="CN33" si="485">(CN32-CM32)/CM32</f>
        <v>7.1358665072882011E-5</v>
      </c>
      <c r="CO33" s="426">
        <f t="shared" ref="CO33" si="486">(CO32-CN32)/CN32</f>
        <v>0.1352785555534487</v>
      </c>
      <c r="CP33" s="434">
        <f t="shared" ref="CP33" si="487">(CP32-CO32)/CO32</f>
        <v>-2.3773235772262605E-2</v>
      </c>
      <c r="CQ33" s="426">
        <f t="shared" ref="CQ33" si="488">(CQ32-CP32)/CP32</f>
        <v>7.987743131396368E-3</v>
      </c>
      <c r="CR33" s="426">
        <f t="shared" ref="CR33" si="489">(CR32-CQ32)/CQ32</f>
        <v>-3.4514075885679334E-2</v>
      </c>
      <c r="CS33" s="426">
        <f t="shared" ref="CS33" si="490">(CS32-CR32)/CR32</f>
        <v>0.16415091125070291</v>
      </c>
      <c r="CT33" s="426">
        <f t="shared" ref="CT33" si="491">(CT32-CS32)/CS32</f>
        <v>0.57894468072916239</v>
      </c>
      <c r="CU33" s="426">
        <f t="shared" ref="CU33" si="492">(CU32-CT32)/CT32</f>
        <v>1.6937602128573446</v>
      </c>
      <c r="CV33" s="426">
        <f t="shared" ref="CV33" si="493">(CV32-CU32)/CU32</f>
        <v>-7.3895149015447579E-3</v>
      </c>
      <c r="CW33" s="426">
        <f t="shared" ref="CW33" si="494">(CW32-CV32)/CV32</f>
        <v>1.780417246755794E-3</v>
      </c>
      <c r="CX33" s="426">
        <f t="shared" ref="CX33" si="495">(CX32-CW32)/CW32</f>
        <v>-4.5551310836358376E-2</v>
      </c>
      <c r="CY33" s="426">
        <f t="shared" ref="CY33" si="496">(CY32-CX32)/CX32</f>
        <v>-1.5417639260332829E-2</v>
      </c>
      <c r="CZ33" s="426">
        <f t="shared" ref="CZ33" si="497">(CZ32-CY32)/CY32</f>
        <v>8.4053630740795696E-3</v>
      </c>
      <c r="DA33" s="426">
        <f t="shared" ref="DA33" si="498">(DA32-CZ32)/CZ32</f>
        <v>5.1914739947710141E-2</v>
      </c>
      <c r="DB33" s="434">
        <f t="shared" ref="DB33" si="499">(DB32-DA32)/DA32</f>
        <v>8.6181887217231367E-3</v>
      </c>
      <c r="DC33" s="426">
        <f t="shared" ref="DC33" si="500">(DC32-DB32)/DB32</f>
        <v>2.5846921035167498E-3</v>
      </c>
      <c r="DD33" s="426">
        <f t="shared" ref="DD33" si="501">(DD32-DC32)/DC32</f>
        <v>9.4930031698307535E-3</v>
      </c>
      <c r="DE33" s="426">
        <f t="shared" ref="DE33" si="502">(DE32-DD32)/DD32</f>
        <v>2.9694382157234166E-3</v>
      </c>
      <c r="DF33" s="426">
        <f t="shared" ref="DF33" si="503">(DF32-DE32)/DE32</f>
        <v>9.3758923648320502E-3</v>
      </c>
      <c r="DG33" s="426">
        <f t="shared" ref="DG33" si="504">(DG32-DF32)/DF32</f>
        <v>5.3279736748687075E-3</v>
      </c>
      <c r="DH33" s="426">
        <f t="shared" ref="DH33" si="505">(DH32-DG32)/DG32</f>
        <v>9.2395733575797896E-3</v>
      </c>
      <c r="DI33" s="426">
        <f t="shared" ref="DI33" si="506">(DI32-DH32)/DH32</f>
        <v>5.6986657251393682E-3</v>
      </c>
      <c r="DJ33" s="426">
        <f t="shared" ref="DJ33" si="507">(DJ32-DI32)/DI32</f>
        <v>9.1031096214427617E-3</v>
      </c>
      <c r="DK33" s="426">
        <f t="shared" ref="DK33" si="508">(DK32-DJ32)/DJ32</f>
        <v>5.5506934216728431E-3</v>
      </c>
      <c r="DL33" s="426">
        <f t="shared" ref="DL33" si="509">(DL32-DK32)/DK32</f>
        <v>8.9711942068533158E-3</v>
      </c>
      <c r="DM33" s="426">
        <f t="shared" ref="DM33" si="510">(DM32-DL32)/DL32</f>
        <v>4.7596295119509836E-2</v>
      </c>
      <c r="DN33" s="430">
        <f t="shared" ref="DN33" si="511">(DN32-DM32)/DM32</f>
        <v>8.487456022458359E-3</v>
      </c>
      <c r="DO33" s="426">
        <f t="shared" ref="DO33" si="512">(DO32-DN32)/DN32</f>
        <v>2.2855522658296818E-3</v>
      </c>
      <c r="DP33" s="426">
        <f t="shared" ref="DP33" si="513">(DP32-DO32)/DO32</f>
        <v>8.3968339742699141E-3</v>
      </c>
      <c r="DQ33" s="426">
        <f t="shared" ref="DQ33" si="514">(DQ32-DP32)/DP32</f>
        <v>2.6294085664386978E-3</v>
      </c>
      <c r="DR33" s="426">
        <f t="shared" ref="DR33" si="515">(DR32-DQ32)/DQ32</f>
        <v>8.305076817600645E-3</v>
      </c>
      <c r="DS33" s="426">
        <f t="shared" ref="DS33" si="516">(DS32-DR32)/DR32</f>
        <v>4.724480765799113E-3</v>
      </c>
      <c r="DT33" s="426">
        <f t="shared" ref="DT33" si="517">(DT32-DS32)/DS32</f>
        <v>8.1979396271657477E-3</v>
      </c>
      <c r="DU33" s="426">
        <f t="shared" ref="DU33" si="518">(DU32-DT32)/DT32</f>
        <v>6.3595711234302422E-3</v>
      </c>
      <c r="DV33" s="426">
        <f t="shared" ref="DV33" si="519">(DV32-DU32)/DU32</f>
        <v>9.3698188622638578E-3</v>
      </c>
      <c r="DW33" s="426">
        <f t="shared" ref="DW33" si="520">(DW32-DV32)/DV32</f>
        <v>6.2034279783813014E-3</v>
      </c>
      <c r="DX33" s="426">
        <f t="shared" ref="DX33" si="521">(DX32-DW32)/DW32</f>
        <v>9.2256099231311003E-3</v>
      </c>
      <c r="DY33" s="426">
        <f t="shared" ref="DY33" si="522">(DY32-DX32)/DX32</f>
        <v>4.3455600625088624E-2</v>
      </c>
      <c r="DZ33" s="430">
        <f t="shared" ref="DZ33" si="523">(DZ32-DY32)/DY32</f>
        <v>8.7605798180387055E-3</v>
      </c>
      <c r="EA33" s="426">
        <f t="shared" ref="EA33" si="524">(EA32-DZ32)/DZ32</f>
        <v>3.2293543465747344E-3</v>
      </c>
      <c r="EB33" s="426">
        <f t="shared" ref="EB33" si="525">(EB32-EA32)/EA32</f>
        <v>8.6565435286215017E-3</v>
      </c>
      <c r="EC33" s="426">
        <f t="shared" ref="EC33" si="526">(EC32-EB32)/EB32</f>
        <v>3.5184524050180404E-3</v>
      </c>
      <c r="ED33" s="426">
        <f t="shared" ref="ED33" si="527">(ED32-EC32)/EC32</f>
        <v>8.5521605303448735E-3</v>
      </c>
      <c r="EE33" s="426">
        <f t="shared" ref="EE33" si="528">(EE32-ED32)/ED32</f>
        <v>5.3616255617333838E-3</v>
      </c>
      <c r="EF33" s="426">
        <f t="shared" ref="EF33" si="529">(EF32-EE32)/EE32</f>
        <v>8.4344190799675173E-3</v>
      </c>
      <c r="EG33" s="426">
        <f t="shared" ref="EG33" si="530">(EG32-EF32)/EF32</f>
        <v>5.6409333432032981E-3</v>
      </c>
      <c r="EH33" s="426">
        <f t="shared" ref="EH33" si="531">(EH32-EG32)/EG32</f>
        <v>8.316959243277142E-3</v>
      </c>
      <c r="EI33" s="426">
        <f t="shared" ref="EI33" si="532">(EI32-EH32)/EH32</f>
        <v>5.5121162153418321E-3</v>
      </c>
      <c r="EJ33" s="426">
        <f t="shared" ref="EJ33" si="533">(EJ32-EI32)/EI32</f>
        <v>8.2031413178082994E-3</v>
      </c>
      <c r="EK33" s="426">
        <f t="shared" ref="EK33" si="534">(EK32-EJ32)/EJ32</f>
        <v>3.8678629624826183E-2</v>
      </c>
      <c r="EL33" s="430">
        <f t="shared" ref="EL33" si="535">(EL32-EK32)/EK32</f>
        <v>7.8334116721644892E-3</v>
      </c>
      <c r="EM33" s="426">
        <f t="shared" ref="EM33" si="536">(EM32-EL32)/EL32</f>
        <v>2.8902349732898725E-3</v>
      </c>
      <c r="EN33" s="426">
        <f t="shared" ref="EN33" si="537">(EN32-EM32)/EM32</f>
        <v>7.7501265872167435E-3</v>
      </c>
      <c r="EO33" s="426">
        <f t="shared" ref="EO33" si="538">(EO32-EN32)/EN32</f>
        <v>3.1528724995926222E-3</v>
      </c>
      <c r="EP33" s="426">
        <f t="shared" ref="EP33" si="539">(EP32-EO32)/EO32</f>
        <v>7.6663530186846848E-3</v>
      </c>
      <c r="EQ33" s="426">
        <f t="shared" ref="EQ33" si="540">(EQ32-EP32)/EP32</f>
        <v>4.8105092843718517E-3</v>
      </c>
      <c r="ER33" s="426">
        <f t="shared" ref="ER33" si="541">(ER32-EQ32)/EQ32</f>
        <v>7.5716039254402501E-3</v>
      </c>
      <c r="ES33" s="426">
        <f t="shared" ref="ES33" si="542">(ES32-ER32)/ER32</f>
        <v>5.0682195576475684E-3</v>
      </c>
      <c r="ET33" s="426">
        <f t="shared" ref="ET33" si="543">(ET32-ES32)/ES32</f>
        <v>7.4768114294731279E-3</v>
      </c>
      <c r="EU33" s="426">
        <f t="shared" ref="EU33" si="544">(EU32-ET32)/ET32</f>
        <v>4.9594353424128029E-3</v>
      </c>
      <c r="EV33" s="426">
        <f t="shared" ref="EV33" si="545">(EV32-EU32)/EU32</f>
        <v>7.3846996519684608E-3</v>
      </c>
      <c r="EW33" s="426">
        <f t="shared" ref="EW33" si="546">(EW32-EV32)/EV32</f>
        <v>3.4847884428760939E-2</v>
      </c>
      <c r="EX33" s="426">
        <f t="shared" ref="EX33" si="547">(EX32-EW32)/EW32</f>
        <v>7.0837132073608396E-3</v>
      </c>
      <c r="EY33" s="426">
        <f t="shared" ref="EY33" si="548">(EY32-EX32)/EX32</f>
        <v>2.6155700185409229E-3</v>
      </c>
      <c r="EZ33" s="426">
        <f t="shared" ref="EZ33" si="549">(EZ32-EY32)/EY32</f>
        <v>7.0155375382812092E-3</v>
      </c>
      <c r="FA33" s="426">
        <f t="shared" ref="FA33" si="550">(FA32-EZ32)/EZ32</f>
        <v>2.8561121386861828E-3</v>
      </c>
      <c r="FB33" s="426">
        <f t="shared" ref="FB33" si="551">(FB32-FA32)/FA32</f>
        <v>6.9468217529751906E-3</v>
      </c>
      <c r="FC33" s="426">
        <f t="shared" ref="FC33" si="552">(FC32-FB32)/FB32</f>
        <v>4.3621301666693412E-3</v>
      </c>
      <c r="FD33" s="426">
        <f t="shared" ref="FD33" si="553">(FD32-FC32)/FC32</f>
        <v>6.8689331691512961E-3</v>
      </c>
      <c r="FE33" s="426">
        <f t="shared" ref="FE33" si="554">(FE32-FD32)/FD32</f>
        <v>4.601080187042912E-3</v>
      </c>
      <c r="FF33" s="426">
        <f t="shared" ref="FF33" si="555">(FF32-FE32)/FE32</f>
        <v>6.7908276643451268E-3</v>
      </c>
      <c r="FG33" s="426">
        <f t="shared" ref="FG33" si="556">(FG32-FF32)/FF32</f>
        <v>4.5074853407250674E-3</v>
      </c>
      <c r="FH33" s="426">
        <f t="shared" ref="FH33" si="557">(FH32-FG32)/FG32</f>
        <v>6.7147567056098497E-3</v>
      </c>
      <c r="FI33" s="426">
        <f t="shared" ref="FI33" si="558">(FI32-FH32)/FH32</f>
        <v>3.170755676148819E-2</v>
      </c>
      <c r="FJ33" s="426">
        <f t="shared" ref="FJ33" si="559">(FJ32-FI32)/FI32</f>
        <v>6.4649807395349449E-3</v>
      </c>
      <c r="FK33" s="426">
        <f t="shared" ref="FK33" si="560">(FK32-FJ32)/FJ32</f>
        <v>2.388578506290985E-3</v>
      </c>
      <c r="FL33" s="426">
        <f t="shared" ref="FL33" si="561">(FL32-FK32)/FK32</f>
        <v>6.4081468761759321E-3</v>
      </c>
      <c r="FM33" s="426">
        <f t="shared" ref="FM33" si="562">(FM32-FL32)/FL32</f>
        <v>2.6104103775593038E-3</v>
      </c>
      <c r="FN33" s="426">
        <f t="shared" ref="FN33" si="563">(FN32-FM32)/FM32</f>
        <v>6.3507658954100651E-3</v>
      </c>
      <c r="FO33" s="426">
        <f t="shared" ref="FO33" si="564">(FO32-FN32)/FN32</f>
        <v>3.990209729136723E-3</v>
      </c>
      <c r="FP33" s="426">
        <f t="shared" ref="FP33" si="565">(FP32-FO32)/FO32</f>
        <v>6.2856073006587205E-3</v>
      </c>
      <c r="FQ33" s="426">
        <f t="shared" ref="FQ33" si="566">(FQ32-FP32)/FP32</f>
        <v>4.2127863599332347E-3</v>
      </c>
      <c r="FR33" s="426">
        <f t="shared" ref="FR33" si="567">(FR32-FQ32)/FQ32</f>
        <v>6.2201411019033887E-3</v>
      </c>
      <c r="FS33" s="426">
        <f t="shared" ref="FS33" si="568">(FS32-FR32)/FR32</f>
        <v>4.131027580316444E-3</v>
      </c>
      <c r="FT33" s="426">
        <f t="shared" ref="FT33" si="569">(FT32-FS32)/FS32</f>
        <v>6.1562584437041216E-3</v>
      </c>
      <c r="FU33" s="426">
        <f t="shared" ref="FU33" si="570">(FU32-FT32)/FT32</f>
        <v>3.0996898688660866E-2</v>
      </c>
      <c r="FV33" s="426">
        <f t="shared" ref="FV33" si="571">(FV32-FU32)/FU32</f>
        <v>7.7876710776030936E-3</v>
      </c>
      <c r="FW33" s="426">
        <f t="shared" ref="FW33" si="572">(FW32-FV32)/FV32</f>
        <v>4.0284734428660618E-3</v>
      </c>
      <c r="FX33" s="426">
        <f t="shared" ref="FX33" si="573">(FX32-FW32)/FW32</f>
        <v>7.6964868195789479E-3</v>
      </c>
      <c r="FY33" s="426">
        <f t="shared" ref="FY33" si="574">(FY32-FX32)/FX32</f>
        <v>4.2035123387303272E-3</v>
      </c>
      <c r="FZ33" s="426">
        <f t="shared" ref="FZ33" si="575">(FZ32-FY32)/FY32</f>
        <v>7.6057325459157471E-3</v>
      </c>
      <c r="GA33" s="426">
        <f t="shared" ref="GA33" si="576">(GA32-FZ32)/FZ32</f>
        <v>5.433188980251598E-3</v>
      </c>
      <c r="GB33" s="426">
        <f t="shared" ref="GB33" si="577">(GB32-GA32)/GA32</f>
        <v>7.5075321862615799E-3</v>
      </c>
      <c r="GC33" s="426">
        <f t="shared" ref="GC33" si="578">(GC32-GB32)/GB32</f>
        <v>5.6028905166848417E-3</v>
      </c>
      <c r="GD33" s="426">
        <f t="shared" ref="GD33" si="579">(GD32-GC32)/GC32</f>
        <v>7.4100713226057362E-3</v>
      </c>
      <c r="GE33" s="426">
        <f t="shared" ref="GE33" si="580">(GE32-GD32)/GD32</f>
        <v>5.4960945881236348E-3</v>
      </c>
      <c r="GF33" s="426">
        <f t="shared" ref="GF33" si="581">(GF32-GE32)/GE32</f>
        <v>7.3153601422429777E-3</v>
      </c>
      <c r="GG33" s="426">
        <f t="shared" ref="GG33" si="582">(GG32-GF32)/GF32</f>
        <v>2.803648344130838E-2</v>
      </c>
      <c r="GH33" s="426">
        <f t="shared" ref="GH33" si="583">(GH32-GG32)/GG32</f>
        <v>7.0641795305895014E-3</v>
      </c>
      <c r="GI33" s="426">
        <f t="shared" ref="GI33" si="584">(GI32-GH32)/GH32</f>
        <v>3.6568447675083323E-3</v>
      </c>
      <c r="GJ33" s="426">
        <f t="shared" ref="GJ33" si="585">(GJ32-GI32)/GI32</f>
        <v>6.9890690060747003E-3</v>
      </c>
      <c r="GK33" s="426">
        <f t="shared" ref="GK33" si="586">(GK32-GJ32)/GJ32</f>
        <v>3.8198306862192114E-3</v>
      </c>
      <c r="GL33" s="426">
        <f t="shared" ref="GL33" si="587">(GL32-GK32)/GK32</f>
        <v>6.9141500640935551E-3</v>
      </c>
      <c r="GM33" s="426">
        <f t="shared" ref="GM33" si="588">(GM32-GL32)/GL32</f>
        <v>4.9425463255273177E-3</v>
      </c>
      <c r="GN33" s="426">
        <f t="shared" ref="GN33" si="589">(GN32-GM32)/GM32</f>
        <v>6.8329009281405803E-3</v>
      </c>
      <c r="GO33" s="426">
        <f t="shared" ref="GO33" si="590">(GO32-GN32)/GN32</f>
        <v>5.1028283544974047E-3</v>
      </c>
      <c r="GP33" s="426">
        <f t="shared" ref="GP33" si="591">(GP32-GO32)/GO32</f>
        <v>6.7520745685953612E-3</v>
      </c>
      <c r="GQ33" s="426">
        <f t="shared" ref="GQ33" si="592">(GQ32-GP32)/GP32</f>
        <v>5.011327610255664E-3</v>
      </c>
      <c r="GR33" s="426">
        <f t="shared" ref="GR33" si="593">(GR32-GQ32)/GQ32</f>
        <v>6.6733474930458503E-3</v>
      </c>
      <c r="GS33" s="426">
        <f t="shared" ref="GS33" si="594">(GS32-GR32)/GR32</f>
        <v>2.5592249094086653E-2</v>
      </c>
      <c r="GT33" s="426">
        <f t="shared" ref="GT33" si="595">(GT32-GS32)/GS32</f>
        <v>6.4636888100637465E-3</v>
      </c>
    </row>
    <row r="34" spans="2:202" s="451" customFormat="1" ht="8.25" customHeight="1">
      <c r="B34" s="452"/>
      <c r="C34" s="453"/>
      <c r="D34" s="453"/>
      <c r="E34" s="453"/>
      <c r="F34" s="453"/>
      <c r="G34" s="454"/>
      <c r="H34" s="1277"/>
      <c r="I34" s="454"/>
      <c r="J34" s="1123"/>
      <c r="K34" s="1125"/>
      <c r="L34" s="1125"/>
      <c r="M34" s="1125"/>
      <c r="N34" s="1125"/>
      <c r="O34" s="1125"/>
      <c r="P34" s="1125"/>
      <c r="Q34" s="1125"/>
      <c r="R34" s="1124"/>
      <c r="S34" s="455">
        <f t="shared" ref="S34:AX34" si="596">S9</f>
        <v>43739</v>
      </c>
      <c r="T34" s="455">
        <f t="shared" si="596"/>
        <v>43770</v>
      </c>
      <c r="U34" s="455">
        <f t="shared" si="596"/>
        <v>43800</v>
      </c>
      <c r="V34" s="455">
        <f t="shared" si="596"/>
        <v>43831</v>
      </c>
      <c r="W34" s="455">
        <f t="shared" si="596"/>
        <v>43862</v>
      </c>
      <c r="X34" s="455">
        <f t="shared" si="596"/>
        <v>43891</v>
      </c>
      <c r="Y34" s="455">
        <f t="shared" si="596"/>
        <v>43922</v>
      </c>
      <c r="Z34" s="455">
        <f t="shared" si="596"/>
        <v>43952</v>
      </c>
      <c r="AA34" s="455">
        <f t="shared" si="596"/>
        <v>43983</v>
      </c>
      <c r="AB34" s="455">
        <f t="shared" si="596"/>
        <v>44013</v>
      </c>
      <c r="AC34" s="455">
        <f t="shared" si="596"/>
        <v>44044</v>
      </c>
      <c r="AD34" s="455">
        <f t="shared" si="596"/>
        <v>44075</v>
      </c>
      <c r="AE34" s="455">
        <f t="shared" si="596"/>
        <v>44105</v>
      </c>
      <c r="AF34" s="455">
        <f t="shared" si="596"/>
        <v>44136</v>
      </c>
      <c r="AG34" s="455">
        <f t="shared" si="596"/>
        <v>44166</v>
      </c>
      <c r="AH34" s="455">
        <f t="shared" si="596"/>
        <v>44197</v>
      </c>
      <c r="AI34" s="455">
        <f t="shared" si="596"/>
        <v>44228</v>
      </c>
      <c r="AJ34" s="455">
        <f t="shared" si="596"/>
        <v>44256</v>
      </c>
      <c r="AK34" s="455">
        <f t="shared" si="596"/>
        <v>44287</v>
      </c>
      <c r="AL34" s="455">
        <f t="shared" si="596"/>
        <v>44317</v>
      </c>
      <c r="AM34" s="455">
        <f t="shared" si="596"/>
        <v>44348</v>
      </c>
      <c r="AN34" s="455">
        <f t="shared" si="596"/>
        <v>44378</v>
      </c>
      <c r="AO34" s="455">
        <f t="shared" si="596"/>
        <v>44409</v>
      </c>
      <c r="AP34" s="455">
        <f t="shared" si="596"/>
        <v>44440</v>
      </c>
      <c r="AQ34" s="455">
        <f t="shared" si="596"/>
        <v>44470</v>
      </c>
      <c r="AR34" s="455">
        <f t="shared" si="596"/>
        <v>44501</v>
      </c>
      <c r="AS34" s="455">
        <f t="shared" si="596"/>
        <v>44531</v>
      </c>
      <c r="AT34" s="455">
        <f t="shared" si="596"/>
        <v>44562</v>
      </c>
      <c r="AU34" s="455">
        <f t="shared" si="596"/>
        <v>44593</v>
      </c>
      <c r="AV34" s="455">
        <f t="shared" si="596"/>
        <v>44621</v>
      </c>
      <c r="AW34" s="455">
        <f t="shared" si="596"/>
        <v>44652</v>
      </c>
      <c r="AX34" s="455">
        <f t="shared" si="596"/>
        <v>44682</v>
      </c>
      <c r="AY34" s="455">
        <f t="shared" ref="AY34:CD34" si="597">AY9</f>
        <v>44713</v>
      </c>
      <c r="AZ34" s="455">
        <f t="shared" si="597"/>
        <v>44743</v>
      </c>
      <c r="BA34" s="455">
        <f t="shared" si="597"/>
        <v>44774</v>
      </c>
      <c r="BB34" s="455">
        <f t="shared" si="597"/>
        <v>44805</v>
      </c>
      <c r="BC34" s="455">
        <f t="shared" si="597"/>
        <v>44835</v>
      </c>
      <c r="BD34" s="455">
        <f t="shared" si="597"/>
        <v>44866</v>
      </c>
      <c r="BE34" s="455">
        <f t="shared" si="597"/>
        <v>44896</v>
      </c>
      <c r="BF34" s="455">
        <f t="shared" si="597"/>
        <v>44927</v>
      </c>
      <c r="BG34" s="455">
        <f t="shared" si="597"/>
        <v>44958</v>
      </c>
      <c r="BH34" s="455">
        <f t="shared" si="597"/>
        <v>44986</v>
      </c>
      <c r="BI34" s="455">
        <f t="shared" si="597"/>
        <v>45017</v>
      </c>
      <c r="BJ34" s="455">
        <f t="shared" si="597"/>
        <v>45047</v>
      </c>
      <c r="BK34" s="455">
        <f t="shared" si="597"/>
        <v>45078</v>
      </c>
      <c r="BL34" s="455">
        <f t="shared" si="597"/>
        <v>45108</v>
      </c>
      <c r="BM34" s="455">
        <f t="shared" si="597"/>
        <v>45139</v>
      </c>
      <c r="BN34" s="455">
        <f t="shared" si="597"/>
        <v>45170</v>
      </c>
      <c r="BO34" s="455">
        <f t="shared" si="597"/>
        <v>45200</v>
      </c>
      <c r="BP34" s="455">
        <f t="shared" si="597"/>
        <v>45231</v>
      </c>
      <c r="BQ34" s="455">
        <f t="shared" si="597"/>
        <v>45261</v>
      </c>
      <c r="BR34" s="455">
        <f t="shared" si="597"/>
        <v>45292</v>
      </c>
      <c r="BS34" s="455">
        <f t="shared" si="597"/>
        <v>45323</v>
      </c>
      <c r="BT34" s="455">
        <f t="shared" si="597"/>
        <v>45352</v>
      </c>
      <c r="BU34" s="455">
        <f t="shared" si="597"/>
        <v>45383</v>
      </c>
      <c r="BV34" s="455">
        <f t="shared" si="597"/>
        <v>45413</v>
      </c>
      <c r="BW34" s="455">
        <f t="shared" si="597"/>
        <v>45444</v>
      </c>
      <c r="BX34" s="455">
        <f t="shared" si="597"/>
        <v>45474</v>
      </c>
      <c r="BY34" s="455">
        <f t="shared" si="597"/>
        <v>45505</v>
      </c>
      <c r="BZ34" s="455">
        <f t="shared" si="597"/>
        <v>45536</v>
      </c>
      <c r="CA34" s="455">
        <f t="shared" si="597"/>
        <v>45566</v>
      </c>
      <c r="CB34" s="455">
        <f t="shared" si="597"/>
        <v>45597</v>
      </c>
      <c r="CC34" s="455">
        <f t="shared" si="597"/>
        <v>45627</v>
      </c>
      <c r="CD34" s="455">
        <f t="shared" si="597"/>
        <v>45658</v>
      </c>
      <c r="CE34" s="455">
        <f t="shared" ref="CE34:DJ34" si="598">CE9</f>
        <v>45689</v>
      </c>
      <c r="CF34" s="455">
        <f t="shared" si="598"/>
        <v>45717</v>
      </c>
      <c r="CG34" s="455">
        <f t="shared" si="598"/>
        <v>45748</v>
      </c>
      <c r="CH34" s="455">
        <f t="shared" si="598"/>
        <v>45778</v>
      </c>
      <c r="CI34" s="455">
        <f t="shared" si="598"/>
        <v>45809</v>
      </c>
      <c r="CJ34" s="455">
        <f t="shared" si="598"/>
        <v>45839</v>
      </c>
      <c r="CK34" s="455">
        <f t="shared" si="598"/>
        <v>45870</v>
      </c>
      <c r="CL34" s="455">
        <f t="shared" si="598"/>
        <v>45901</v>
      </c>
      <c r="CM34" s="455">
        <f t="shared" si="598"/>
        <v>45931</v>
      </c>
      <c r="CN34" s="455">
        <f t="shared" si="598"/>
        <v>45962</v>
      </c>
      <c r="CO34" s="455">
        <f t="shared" si="598"/>
        <v>45992</v>
      </c>
      <c r="CP34" s="455">
        <f t="shared" si="598"/>
        <v>46023</v>
      </c>
      <c r="CQ34" s="455">
        <f t="shared" si="598"/>
        <v>46054</v>
      </c>
      <c r="CR34" s="455">
        <f t="shared" si="598"/>
        <v>46082</v>
      </c>
      <c r="CS34" s="455">
        <f t="shared" si="598"/>
        <v>46113</v>
      </c>
      <c r="CT34" s="455">
        <f t="shared" si="598"/>
        <v>46143</v>
      </c>
      <c r="CU34" s="455">
        <f t="shared" si="598"/>
        <v>46174</v>
      </c>
      <c r="CV34" s="455">
        <f t="shared" si="598"/>
        <v>46204</v>
      </c>
      <c r="CW34" s="455">
        <f t="shared" si="598"/>
        <v>46235</v>
      </c>
      <c r="CX34" s="455">
        <f t="shared" si="598"/>
        <v>46266</v>
      </c>
      <c r="CY34" s="455">
        <f t="shared" si="598"/>
        <v>46296</v>
      </c>
      <c r="CZ34" s="455">
        <f t="shared" si="598"/>
        <v>46327</v>
      </c>
      <c r="DA34" s="455">
        <f t="shared" si="598"/>
        <v>46357</v>
      </c>
      <c r="DB34" s="455">
        <f t="shared" si="598"/>
        <v>46388</v>
      </c>
      <c r="DC34" s="455">
        <f t="shared" si="598"/>
        <v>46419</v>
      </c>
      <c r="DD34" s="455">
        <f t="shared" si="598"/>
        <v>46447</v>
      </c>
      <c r="DE34" s="455">
        <f t="shared" si="598"/>
        <v>46478</v>
      </c>
      <c r="DF34" s="455">
        <f t="shared" si="598"/>
        <v>46508</v>
      </c>
      <c r="DG34" s="455">
        <f t="shared" si="598"/>
        <v>46539</v>
      </c>
      <c r="DH34" s="455">
        <f t="shared" si="598"/>
        <v>46569</v>
      </c>
      <c r="DI34" s="455">
        <f t="shared" si="598"/>
        <v>46600</v>
      </c>
      <c r="DJ34" s="455">
        <f t="shared" si="598"/>
        <v>46631</v>
      </c>
      <c r="DK34" s="455">
        <f t="shared" ref="DK34:EQ34" si="599">DK9</f>
        <v>46661</v>
      </c>
      <c r="DL34" s="455">
        <f t="shared" si="599"/>
        <v>46692</v>
      </c>
      <c r="DM34" s="455">
        <f t="shared" si="599"/>
        <v>46722</v>
      </c>
      <c r="DN34" s="455">
        <f t="shared" si="599"/>
        <v>46753</v>
      </c>
      <c r="DO34" s="455">
        <f t="shared" si="599"/>
        <v>46784</v>
      </c>
      <c r="DP34" s="455">
        <f t="shared" si="599"/>
        <v>46813</v>
      </c>
      <c r="DQ34" s="455">
        <f t="shared" si="599"/>
        <v>46844</v>
      </c>
      <c r="DR34" s="455">
        <f t="shared" si="599"/>
        <v>46874</v>
      </c>
      <c r="DS34" s="455">
        <f t="shared" si="599"/>
        <v>46905</v>
      </c>
      <c r="DT34" s="455">
        <f t="shared" si="599"/>
        <v>46935</v>
      </c>
      <c r="DU34" s="455">
        <f t="shared" si="599"/>
        <v>46966</v>
      </c>
      <c r="DV34" s="455">
        <f t="shared" si="599"/>
        <v>46997</v>
      </c>
      <c r="DW34" s="455">
        <f t="shared" si="599"/>
        <v>47027</v>
      </c>
      <c r="DX34" s="455">
        <f t="shared" si="599"/>
        <v>47058</v>
      </c>
      <c r="DY34" s="455">
        <f t="shared" si="599"/>
        <v>47088</v>
      </c>
      <c r="DZ34" s="455">
        <f t="shared" si="599"/>
        <v>47119</v>
      </c>
      <c r="EA34" s="455">
        <f t="shared" si="599"/>
        <v>47150</v>
      </c>
      <c r="EB34" s="455">
        <f t="shared" si="599"/>
        <v>47178</v>
      </c>
      <c r="EC34" s="455">
        <f t="shared" si="599"/>
        <v>47209</v>
      </c>
      <c r="ED34" s="455">
        <f t="shared" si="599"/>
        <v>47239</v>
      </c>
      <c r="EE34" s="455">
        <f t="shared" si="599"/>
        <v>47270</v>
      </c>
      <c r="EF34" s="455">
        <f t="shared" si="599"/>
        <v>47300</v>
      </c>
      <c r="EG34" s="455">
        <f t="shared" si="599"/>
        <v>47331</v>
      </c>
      <c r="EH34" s="455">
        <f t="shared" si="599"/>
        <v>47362</v>
      </c>
      <c r="EI34" s="455">
        <f t="shared" si="599"/>
        <v>47392</v>
      </c>
      <c r="EJ34" s="455">
        <f t="shared" si="599"/>
        <v>47423</v>
      </c>
      <c r="EK34" s="455">
        <f t="shared" si="599"/>
        <v>47453</v>
      </c>
      <c r="EL34" s="455">
        <f t="shared" si="599"/>
        <v>47484</v>
      </c>
      <c r="EM34" s="455">
        <f t="shared" si="599"/>
        <v>47515</v>
      </c>
      <c r="EN34" s="455">
        <f t="shared" si="599"/>
        <v>47543</v>
      </c>
      <c r="EO34" s="455">
        <f t="shared" si="599"/>
        <v>47574</v>
      </c>
      <c r="EP34" s="455">
        <f t="shared" si="599"/>
        <v>47604</v>
      </c>
      <c r="EQ34" s="455">
        <f t="shared" si="599"/>
        <v>47635</v>
      </c>
    </row>
    <row r="35" spans="2:202" ht="29.25" customHeight="1">
      <c r="B35" s="29" t="s">
        <v>26</v>
      </c>
      <c r="C35" s="1099">
        <f>AG32</f>
        <v>2224.5099999999966</v>
      </c>
      <c r="D35" s="1100">
        <f>AS32</f>
        <v>4838.6099999999969</v>
      </c>
      <c r="E35" s="1099">
        <f>BE32</f>
        <v>3883.4299999999994</v>
      </c>
      <c r="F35" s="1101">
        <f>BQ32</f>
        <v>3214.4500000000003</v>
      </c>
      <c r="G35" s="1099">
        <f>CC32</f>
        <v>8487.159999999998</v>
      </c>
      <c r="H35" s="1099">
        <f>CO32</f>
        <v>11614.741999999995</v>
      </c>
      <c r="I35" s="243">
        <f>DA32</f>
        <v>54158.711890759929</v>
      </c>
      <c r="J35" s="1123"/>
      <c r="K35" s="1126">
        <f>AVERAGE(V32:AG32)</f>
        <v>10592.124166666663</v>
      </c>
      <c r="L35" s="1126">
        <f>AVERAGE(AH32:AS32)</f>
        <v>2915.8116666666633</v>
      </c>
      <c r="M35" s="1127">
        <f>AVERAGE(AT32:BE32)</f>
        <v>11040.904999999999</v>
      </c>
      <c r="N35" s="1128">
        <f>AVERAGE(BF32:BQ32)</f>
        <v>2594.7666666666655</v>
      </c>
      <c r="O35" s="1128">
        <f>AVERAGE(BR32:CC32)</f>
        <v>5674.6750000000002</v>
      </c>
      <c r="P35" s="1128">
        <f>AVERAGE(CD32:CO32)</f>
        <v>10543.30583333333</v>
      </c>
      <c r="Q35" s="1128">
        <f>AVERAGE(CP32:DA32)</f>
        <v>36557.75399089665</v>
      </c>
      <c r="R35" s="1124"/>
      <c r="T35" s="32"/>
      <c r="U35" s="33"/>
      <c r="V35" s="35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3"/>
      <c r="AH35" s="36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6"/>
      <c r="AT35" s="36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6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6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6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6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6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6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6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6"/>
      <c r="EM35" s="32"/>
      <c r="EN35" s="32"/>
      <c r="EO35" s="32"/>
      <c r="EP35" s="32"/>
      <c r="EQ35" s="32"/>
    </row>
    <row r="36" spans="2:202" ht="13.5" customHeight="1">
      <c r="F36" s="37"/>
      <c r="G36" s="37"/>
      <c r="H36" s="37"/>
      <c r="I36" s="37"/>
      <c r="J36" s="1123"/>
      <c r="K36" s="1076"/>
      <c r="L36" s="1076"/>
      <c r="M36" s="1076"/>
      <c r="N36" s="1076"/>
      <c r="O36" s="1076"/>
      <c r="P36" s="1076"/>
      <c r="Q36" s="1076"/>
    </row>
    <row r="37" spans="2:202" ht="18.75" customHeight="1">
      <c r="J37" s="1123"/>
      <c r="K37" s="1076"/>
      <c r="L37" s="1076"/>
      <c r="M37" s="1076"/>
      <c r="N37" s="1076"/>
      <c r="O37" s="1076"/>
      <c r="P37" s="1076"/>
      <c r="Q37" s="1076"/>
    </row>
    <row r="38" spans="2:202" hidden="1">
      <c r="J38" s="441"/>
      <c r="R38" s="343"/>
      <c r="S38" s="9" t="b">
        <f>IF($B$2=S39,TRUE,FALSE)</f>
        <v>0</v>
      </c>
      <c r="T38" s="9" t="b">
        <f t="shared" ref="T38:CD38" si="600">IF($B$2=T39,TRUE,FALSE)</f>
        <v>0</v>
      </c>
      <c r="U38" s="9" t="b">
        <f t="shared" si="600"/>
        <v>0</v>
      </c>
      <c r="V38" s="9" t="b">
        <f t="shared" si="600"/>
        <v>0</v>
      </c>
      <c r="W38" s="9" t="b">
        <f t="shared" si="600"/>
        <v>0</v>
      </c>
      <c r="X38" s="9" t="b">
        <f t="shared" si="600"/>
        <v>0</v>
      </c>
      <c r="Y38" s="9" t="b">
        <f t="shared" si="600"/>
        <v>0</v>
      </c>
      <c r="Z38" s="9" t="b">
        <f t="shared" si="600"/>
        <v>0</v>
      </c>
      <c r="AA38" s="9" t="b">
        <f t="shared" si="600"/>
        <v>0</v>
      </c>
      <c r="AB38" s="9" t="b">
        <f t="shared" si="600"/>
        <v>0</v>
      </c>
      <c r="AC38" s="9" t="b">
        <f t="shared" si="600"/>
        <v>0</v>
      </c>
      <c r="AD38" s="9" t="b">
        <f t="shared" si="600"/>
        <v>0</v>
      </c>
      <c r="AE38" s="9" t="b">
        <f t="shared" si="600"/>
        <v>0</v>
      </c>
      <c r="AF38" s="9" t="b">
        <f t="shared" si="600"/>
        <v>0</v>
      </c>
      <c r="AG38" s="9" t="b">
        <f t="shared" si="600"/>
        <v>0</v>
      </c>
      <c r="AH38" s="9" t="b">
        <f t="shared" si="600"/>
        <v>0</v>
      </c>
      <c r="AI38" s="9" t="b">
        <f t="shared" si="600"/>
        <v>0</v>
      </c>
      <c r="AJ38" s="9" t="b">
        <f t="shared" si="600"/>
        <v>0</v>
      </c>
      <c r="AK38" s="9" t="b">
        <f t="shared" si="600"/>
        <v>0</v>
      </c>
      <c r="AL38" s="9" t="b">
        <f t="shared" si="600"/>
        <v>0</v>
      </c>
      <c r="AM38" s="9" t="b">
        <f t="shared" si="600"/>
        <v>0</v>
      </c>
      <c r="AN38" s="9" t="b">
        <f t="shared" si="600"/>
        <v>0</v>
      </c>
      <c r="AO38" s="9" t="b">
        <f t="shared" si="600"/>
        <v>0</v>
      </c>
      <c r="AP38" s="9" t="b">
        <f t="shared" si="600"/>
        <v>0</v>
      </c>
      <c r="AQ38" s="9" t="b">
        <f t="shared" si="600"/>
        <v>0</v>
      </c>
      <c r="AR38" s="9" t="b">
        <f t="shared" si="600"/>
        <v>0</v>
      </c>
      <c r="AS38" s="9" t="b">
        <f t="shared" si="600"/>
        <v>0</v>
      </c>
      <c r="AT38" s="9" t="b">
        <f t="shared" si="600"/>
        <v>0</v>
      </c>
      <c r="AU38" s="9" t="b">
        <f t="shared" si="600"/>
        <v>0</v>
      </c>
      <c r="AV38" s="9" t="b">
        <f t="shared" si="600"/>
        <v>0</v>
      </c>
      <c r="AW38" s="9" t="b">
        <f t="shared" si="600"/>
        <v>0</v>
      </c>
      <c r="AX38" s="9" t="b">
        <f t="shared" si="600"/>
        <v>0</v>
      </c>
      <c r="AY38" s="9" t="b">
        <f t="shared" si="600"/>
        <v>0</v>
      </c>
      <c r="AZ38" s="9" t="b">
        <f t="shared" si="600"/>
        <v>0</v>
      </c>
      <c r="BA38" s="9" t="b">
        <f t="shared" si="600"/>
        <v>0</v>
      </c>
      <c r="BB38" s="9" t="b">
        <f t="shared" si="600"/>
        <v>0</v>
      </c>
      <c r="BC38" s="9" t="b">
        <f t="shared" si="600"/>
        <v>0</v>
      </c>
      <c r="BD38" s="9" t="b">
        <f t="shared" si="600"/>
        <v>0</v>
      </c>
      <c r="BE38" s="9" t="b">
        <f t="shared" si="600"/>
        <v>0</v>
      </c>
      <c r="BF38" s="9" t="b">
        <f t="shared" si="600"/>
        <v>0</v>
      </c>
      <c r="BG38" s="9" t="b">
        <f t="shared" si="600"/>
        <v>0</v>
      </c>
      <c r="BH38" s="9" t="b">
        <f t="shared" si="600"/>
        <v>0</v>
      </c>
      <c r="BI38" s="9" t="b">
        <f t="shared" si="600"/>
        <v>0</v>
      </c>
      <c r="BJ38" s="9" t="b">
        <f t="shared" si="600"/>
        <v>0</v>
      </c>
      <c r="BK38" s="9" t="b">
        <f t="shared" si="600"/>
        <v>0</v>
      </c>
      <c r="BL38" s="9" t="b">
        <f t="shared" si="600"/>
        <v>0</v>
      </c>
      <c r="BM38" s="9" t="b">
        <f t="shared" si="600"/>
        <v>0</v>
      </c>
      <c r="BN38" s="9" t="b">
        <f t="shared" si="600"/>
        <v>0</v>
      </c>
      <c r="BO38" s="9" t="b">
        <f t="shared" si="600"/>
        <v>0</v>
      </c>
      <c r="BP38" s="9" t="b">
        <f t="shared" si="600"/>
        <v>0</v>
      </c>
      <c r="BQ38" s="9" t="b">
        <f t="shared" si="600"/>
        <v>0</v>
      </c>
      <c r="BR38" s="9" t="b">
        <f t="shared" si="600"/>
        <v>0</v>
      </c>
      <c r="BS38" s="9" t="b">
        <f t="shared" si="600"/>
        <v>0</v>
      </c>
      <c r="BT38" s="9" t="b">
        <f t="shared" si="600"/>
        <v>0</v>
      </c>
      <c r="BU38" s="9" t="b">
        <f t="shared" si="600"/>
        <v>0</v>
      </c>
      <c r="BV38" s="9" t="b">
        <f t="shared" si="600"/>
        <v>0</v>
      </c>
      <c r="BW38" s="9" t="b">
        <f t="shared" si="600"/>
        <v>0</v>
      </c>
      <c r="BX38" s="9" t="b">
        <f t="shared" si="600"/>
        <v>0</v>
      </c>
      <c r="BY38" s="9" t="b">
        <f t="shared" si="600"/>
        <v>0</v>
      </c>
      <c r="BZ38" s="9" t="b">
        <f t="shared" si="600"/>
        <v>0</v>
      </c>
      <c r="CA38" s="9" t="b">
        <f t="shared" si="600"/>
        <v>0</v>
      </c>
      <c r="CB38" s="9" t="b">
        <f t="shared" si="600"/>
        <v>0</v>
      </c>
      <c r="CC38" s="9" t="b">
        <f t="shared" si="600"/>
        <v>0</v>
      </c>
      <c r="CD38" s="9" t="b">
        <f t="shared" si="600"/>
        <v>0</v>
      </c>
      <c r="CE38" s="9" t="b">
        <f>IF($B$2=CE39,TRUE,FALSE)</f>
        <v>0</v>
      </c>
      <c r="CF38" s="9" t="b">
        <f t="shared" ref="CF38:EQ38" si="601">IF($B$2=CF39,TRUE,FALSE)</f>
        <v>0</v>
      </c>
      <c r="CG38" s="9" t="b">
        <f t="shared" si="601"/>
        <v>0</v>
      </c>
      <c r="CH38" s="9" t="b">
        <f t="shared" si="601"/>
        <v>0</v>
      </c>
      <c r="CI38" s="9" t="b">
        <f t="shared" si="601"/>
        <v>0</v>
      </c>
      <c r="CJ38" s="9" t="b">
        <f t="shared" si="601"/>
        <v>0</v>
      </c>
      <c r="CK38" s="9" t="b">
        <f t="shared" si="601"/>
        <v>0</v>
      </c>
      <c r="CL38" s="9" t="b">
        <f t="shared" si="601"/>
        <v>0</v>
      </c>
      <c r="CM38" s="9" t="b">
        <f t="shared" si="601"/>
        <v>0</v>
      </c>
      <c r="CN38" s="9" t="b">
        <f t="shared" si="601"/>
        <v>0</v>
      </c>
      <c r="CO38" s="9" t="b">
        <f t="shared" si="601"/>
        <v>0</v>
      </c>
      <c r="CP38" s="9" t="b">
        <f t="shared" si="601"/>
        <v>0</v>
      </c>
      <c r="CQ38" s="9" t="b">
        <f t="shared" si="601"/>
        <v>0</v>
      </c>
      <c r="CR38" s="9" t="b">
        <f t="shared" si="601"/>
        <v>0</v>
      </c>
      <c r="CS38" s="9" t="b">
        <f t="shared" si="601"/>
        <v>0</v>
      </c>
      <c r="CT38" s="9" t="b">
        <f t="shared" si="601"/>
        <v>0</v>
      </c>
      <c r="CU38" s="9" t="b">
        <f t="shared" si="601"/>
        <v>0</v>
      </c>
      <c r="CV38" s="9" t="b">
        <f t="shared" si="601"/>
        <v>0</v>
      </c>
      <c r="CW38" s="9" t="b">
        <f t="shared" si="601"/>
        <v>0</v>
      </c>
      <c r="CX38" s="9" t="b">
        <f t="shared" si="601"/>
        <v>0</v>
      </c>
      <c r="CY38" s="9" t="b">
        <f t="shared" si="601"/>
        <v>0</v>
      </c>
      <c r="CZ38" s="9" t="b">
        <f t="shared" si="601"/>
        <v>1</v>
      </c>
      <c r="DA38" s="9" t="b">
        <f t="shared" si="601"/>
        <v>0</v>
      </c>
      <c r="DB38" s="9" t="b">
        <f t="shared" si="601"/>
        <v>0</v>
      </c>
      <c r="DC38" s="9" t="b">
        <f t="shared" si="601"/>
        <v>0</v>
      </c>
      <c r="DD38" s="9" t="b">
        <f t="shared" si="601"/>
        <v>0</v>
      </c>
      <c r="DE38" s="9" t="b">
        <f t="shared" si="601"/>
        <v>0</v>
      </c>
      <c r="DF38" s="9" t="b">
        <f t="shared" si="601"/>
        <v>0</v>
      </c>
      <c r="DG38" s="9" t="b">
        <f t="shared" si="601"/>
        <v>0</v>
      </c>
      <c r="DH38" s="9" t="b">
        <f t="shared" si="601"/>
        <v>0</v>
      </c>
      <c r="DI38" s="9" t="b">
        <f t="shared" si="601"/>
        <v>0</v>
      </c>
      <c r="DJ38" s="9" t="b">
        <f t="shared" si="601"/>
        <v>0</v>
      </c>
      <c r="DK38" s="9" t="b">
        <f t="shared" si="601"/>
        <v>0</v>
      </c>
      <c r="DL38" s="9" t="b">
        <f t="shared" si="601"/>
        <v>0</v>
      </c>
      <c r="DM38" s="9" t="b">
        <f t="shared" si="601"/>
        <v>0</v>
      </c>
      <c r="DN38" s="9" t="b">
        <f t="shared" si="601"/>
        <v>0</v>
      </c>
      <c r="DO38" s="9" t="b">
        <f t="shared" si="601"/>
        <v>0</v>
      </c>
      <c r="DP38" s="9" t="b">
        <f t="shared" si="601"/>
        <v>0</v>
      </c>
      <c r="DQ38" s="9" t="b">
        <f t="shared" si="601"/>
        <v>0</v>
      </c>
      <c r="DR38" s="9" t="b">
        <f t="shared" si="601"/>
        <v>0</v>
      </c>
      <c r="DS38" s="9" t="b">
        <f t="shared" si="601"/>
        <v>0</v>
      </c>
      <c r="DT38" s="9" t="b">
        <f t="shared" si="601"/>
        <v>0</v>
      </c>
      <c r="DU38" s="9" t="b">
        <f t="shared" si="601"/>
        <v>0</v>
      </c>
      <c r="DV38" s="9" t="b">
        <f t="shared" si="601"/>
        <v>0</v>
      </c>
      <c r="DW38" s="9" t="b">
        <f t="shared" si="601"/>
        <v>0</v>
      </c>
      <c r="DX38" s="9" t="b">
        <f t="shared" si="601"/>
        <v>0</v>
      </c>
      <c r="DY38" s="9" t="b">
        <f t="shared" si="601"/>
        <v>0</v>
      </c>
      <c r="DZ38" s="9" t="b">
        <f t="shared" si="601"/>
        <v>0</v>
      </c>
      <c r="EA38" s="9" t="b">
        <f t="shared" si="601"/>
        <v>0</v>
      </c>
      <c r="EB38" s="9" t="b">
        <f t="shared" si="601"/>
        <v>0</v>
      </c>
      <c r="EC38" s="9" t="b">
        <f t="shared" si="601"/>
        <v>0</v>
      </c>
      <c r="ED38" s="9" t="b">
        <f t="shared" si="601"/>
        <v>0</v>
      </c>
      <c r="EE38" s="9" t="b">
        <f t="shared" si="601"/>
        <v>0</v>
      </c>
      <c r="EF38" s="9" t="b">
        <f t="shared" si="601"/>
        <v>0</v>
      </c>
      <c r="EG38" s="9" t="b">
        <f t="shared" si="601"/>
        <v>0</v>
      </c>
      <c r="EH38" s="9" t="b">
        <f t="shared" si="601"/>
        <v>0</v>
      </c>
      <c r="EI38" s="9" t="b">
        <f t="shared" si="601"/>
        <v>0</v>
      </c>
      <c r="EJ38" s="9" t="b">
        <f t="shared" si="601"/>
        <v>0</v>
      </c>
      <c r="EK38" s="9" t="b">
        <f t="shared" si="601"/>
        <v>0</v>
      </c>
      <c r="EL38" s="9" t="b">
        <f t="shared" si="601"/>
        <v>0</v>
      </c>
      <c r="EM38" s="9" t="b">
        <f t="shared" si="601"/>
        <v>0</v>
      </c>
      <c r="EN38" s="9" t="b">
        <f t="shared" si="601"/>
        <v>0</v>
      </c>
      <c r="EO38" s="9" t="b">
        <f t="shared" si="601"/>
        <v>0</v>
      </c>
      <c r="EP38" s="9" t="b">
        <f t="shared" si="601"/>
        <v>0</v>
      </c>
      <c r="EQ38" s="9" t="b">
        <f t="shared" si="601"/>
        <v>0</v>
      </c>
      <c r="ER38" s="9" t="b">
        <f t="shared" ref="ER38:GT38" si="602">IF($B$2=ER39,TRUE,FALSE)</f>
        <v>0</v>
      </c>
      <c r="ES38" s="9" t="b">
        <f t="shared" si="602"/>
        <v>0</v>
      </c>
      <c r="ET38" s="9" t="b">
        <f t="shared" si="602"/>
        <v>0</v>
      </c>
      <c r="EU38" s="9" t="b">
        <f t="shared" si="602"/>
        <v>0</v>
      </c>
      <c r="EV38" s="9" t="b">
        <f t="shared" si="602"/>
        <v>0</v>
      </c>
      <c r="EW38" s="9" t="b">
        <f t="shared" si="602"/>
        <v>0</v>
      </c>
      <c r="EX38" s="9" t="b">
        <f t="shared" si="602"/>
        <v>0</v>
      </c>
      <c r="EY38" s="9" t="b">
        <f t="shared" si="602"/>
        <v>0</v>
      </c>
      <c r="EZ38" s="9" t="b">
        <f t="shared" si="602"/>
        <v>0</v>
      </c>
      <c r="FA38" s="9" t="b">
        <f t="shared" si="602"/>
        <v>0</v>
      </c>
      <c r="FB38" s="9" t="b">
        <f t="shared" si="602"/>
        <v>0</v>
      </c>
      <c r="FC38" s="9" t="b">
        <f t="shared" si="602"/>
        <v>0</v>
      </c>
      <c r="FD38" s="9" t="b">
        <f t="shared" si="602"/>
        <v>0</v>
      </c>
      <c r="FE38" s="9" t="b">
        <f t="shared" si="602"/>
        <v>0</v>
      </c>
      <c r="FF38" s="9" t="b">
        <f t="shared" si="602"/>
        <v>0</v>
      </c>
      <c r="FG38" s="9" t="b">
        <f t="shared" si="602"/>
        <v>0</v>
      </c>
      <c r="FH38" s="9" t="b">
        <f t="shared" si="602"/>
        <v>0</v>
      </c>
      <c r="FI38" s="9" t="b">
        <f t="shared" si="602"/>
        <v>0</v>
      </c>
      <c r="FJ38" s="9" t="b">
        <f t="shared" si="602"/>
        <v>0</v>
      </c>
      <c r="FK38" s="9" t="b">
        <f t="shared" si="602"/>
        <v>0</v>
      </c>
      <c r="FL38" s="9" t="b">
        <f t="shared" si="602"/>
        <v>0</v>
      </c>
      <c r="FM38" s="9" t="b">
        <f t="shared" si="602"/>
        <v>0</v>
      </c>
      <c r="FN38" s="9" t="b">
        <f t="shared" si="602"/>
        <v>0</v>
      </c>
      <c r="FO38" s="9" t="b">
        <f t="shared" si="602"/>
        <v>0</v>
      </c>
      <c r="FP38" s="9" t="b">
        <f t="shared" si="602"/>
        <v>0</v>
      </c>
      <c r="FQ38" s="9" t="b">
        <f t="shared" si="602"/>
        <v>0</v>
      </c>
      <c r="FR38" s="9" t="b">
        <f t="shared" si="602"/>
        <v>0</v>
      </c>
      <c r="FS38" s="9" t="b">
        <f t="shared" si="602"/>
        <v>0</v>
      </c>
      <c r="FT38" s="9" t="b">
        <f t="shared" si="602"/>
        <v>0</v>
      </c>
      <c r="FU38" s="9" t="b">
        <f t="shared" si="602"/>
        <v>0</v>
      </c>
      <c r="FV38" s="9" t="b">
        <f t="shared" si="602"/>
        <v>0</v>
      </c>
      <c r="FW38" s="9" t="b">
        <f t="shared" si="602"/>
        <v>0</v>
      </c>
      <c r="FX38" s="9" t="b">
        <f t="shared" si="602"/>
        <v>0</v>
      </c>
      <c r="FY38" s="9" t="b">
        <f t="shared" si="602"/>
        <v>0</v>
      </c>
      <c r="FZ38" s="9" t="b">
        <f t="shared" si="602"/>
        <v>0</v>
      </c>
      <c r="GA38" s="9" t="b">
        <f t="shared" si="602"/>
        <v>0</v>
      </c>
      <c r="GB38" s="9" t="b">
        <f t="shared" si="602"/>
        <v>0</v>
      </c>
      <c r="GC38" s="9" t="b">
        <f t="shared" si="602"/>
        <v>0</v>
      </c>
      <c r="GD38" s="9" t="b">
        <f t="shared" si="602"/>
        <v>0</v>
      </c>
      <c r="GE38" s="9" t="b">
        <f t="shared" si="602"/>
        <v>0</v>
      </c>
      <c r="GF38" s="9" t="b">
        <f t="shared" si="602"/>
        <v>0</v>
      </c>
      <c r="GG38" s="9" t="b">
        <f t="shared" si="602"/>
        <v>0</v>
      </c>
      <c r="GH38" s="9" t="b">
        <f t="shared" si="602"/>
        <v>0</v>
      </c>
      <c r="GI38" s="9" t="b">
        <f t="shared" si="602"/>
        <v>0</v>
      </c>
      <c r="GJ38" s="9" t="b">
        <f t="shared" si="602"/>
        <v>0</v>
      </c>
      <c r="GK38" s="9" t="b">
        <f t="shared" si="602"/>
        <v>0</v>
      </c>
      <c r="GL38" s="9" t="b">
        <f t="shared" si="602"/>
        <v>0</v>
      </c>
      <c r="GM38" s="9" t="b">
        <f t="shared" si="602"/>
        <v>0</v>
      </c>
      <c r="GN38" s="9" t="b">
        <f t="shared" si="602"/>
        <v>0</v>
      </c>
      <c r="GO38" s="9" t="b">
        <f t="shared" si="602"/>
        <v>0</v>
      </c>
      <c r="GP38" s="9" t="b">
        <f t="shared" si="602"/>
        <v>0</v>
      </c>
      <c r="GQ38" s="9" t="b">
        <f t="shared" si="602"/>
        <v>0</v>
      </c>
      <c r="GR38" s="9" t="b">
        <f t="shared" si="602"/>
        <v>0</v>
      </c>
      <c r="GS38" s="9" t="b">
        <f t="shared" si="602"/>
        <v>0</v>
      </c>
      <c r="GT38" s="9" t="b">
        <f t="shared" si="602"/>
        <v>0</v>
      </c>
    </row>
    <row r="39" spans="2:202" s="18" customFormat="1">
      <c r="B39" s="417" t="s">
        <v>27</v>
      </c>
      <c r="C39" s="936">
        <v>2020</v>
      </c>
      <c r="D39" s="936">
        <v>2021</v>
      </c>
      <c r="E39" s="936">
        <v>2022</v>
      </c>
      <c r="F39" s="936">
        <v>2023</v>
      </c>
      <c r="G39" s="936">
        <v>2024</v>
      </c>
      <c r="H39" s="936">
        <v>2025</v>
      </c>
      <c r="I39" s="936">
        <v>2026</v>
      </c>
      <c r="J39" s="441"/>
      <c r="K39" s="1022">
        <v>2020</v>
      </c>
      <c r="L39" s="1022">
        <v>2021</v>
      </c>
      <c r="M39" s="1022">
        <v>2022</v>
      </c>
      <c r="N39" s="1022">
        <v>2023</v>
      </c>
      <c r="O39" s="1022">
        <v>2024</v>
      </c>
      <c r="P39" s="1022">
        <v>2025</v>
      </c>
      <c r="Q39" s="1022">
        <v>2026</v>
      </c>
      <c r="R39" s="671"/>
      <c r="S39" s="952">
        <v>43718</v>
      </c>
      <c r="T39" s="952">
        <v>43748</v>
      </c>
      <c r="U39" s="952">
        <v>43779</v>
      </c>
      <c r="V39" s="953">
        <v>43809</v>
      </c>
      <c r="W39" s="952">
        <v>43840</v>
      </c>
      <c r="X39" s="952">
        <v>43871</v>
      </c>
      <c r="Y39" s="952">
        <v>43900</v>
      </c>
      <c r="Z39" s="952">
        <v>43931</v>
      </c>
      <c r="AA39" s="952">
        <v>43961</v>
      </c>
      <c r="AB39" s="952">
        <v>43992</v>
      </c>
      <c r="AC39" s="952">
        <v>44022</v>
      </c>
      <c r="AD39" s="952">
        <v>44053</v>
      </c>
      <c r="AE39" s="952">
        <v>44084</v>
      </c>
      <c r="AF39" s="952">
        <v>44114</v>
      </c>
      <c r="AG39" s="952">
        <v>44145</v>
      </c>
      <c r="AH39" s="953">
        <v>44175</v>
      </c>
      <c r="AI39" s="952">
        <v>44206</v>
      </c>
      <c r="AJ39" s="952">
        <v>44237</v>
      </c>
      <c r="AK39" s="952">
        <v>44265</v>
      </c>
      <c r="AL39" s="952">
        <v>44296</v>
      </c>
      <c r="AM39" s="952">
        <v>44326</v>
      </c>
      <c r="AN39" s="952">
        <v>44357</v>
      </c>
      <c r="AO39" s="952">
        <v>44378</v>
      </c>
      <c r="AP39" s="952">
        <v>44409</v>
      </c>
      <c r="AQ39" s="952">
        <v>44440</v>
      </c>
      <c r="AR39" s="952">
        <v>44470</v>
      </c>
      <c r="AS39" s="952">
        <v>44501</v>
      </c>
      <c r="AT39" s="952">
        <v>44531</v>
      </c>
      <c r="AU39" s="952">
        <v>44562</v>
      </c>
      <c r="AV39" s="952">
        <v>44593</v>
      </c>
      <c r="AW39" s="952">
        <v>44621</v>
      </c>
      <c r="AX39" s="952">
        <v>44652</v>
      </c>
      <c r="AY39" s="952">
        <v>44682</v>
      </c>
      <c r="AZ39" s="952">
        <v>44713</v>
      </c>
      <c r="BA39" s="952">
        <v>44743</v>
      </c>
      <c r="BB39" s="952">
        <v>44774</v>
      </c>
      <c r="BC39" s="952">
        <v>44805</v>
      </c>
      <c r="BD39" s="952">
        <v>44835</v>
      </c>
      <c r="BE39" s="952">
        <v>44866</v>
      </c>
      <c r="BF39" s="952">
        <v>44896</v>
      </c>
      <c r="BG39" s="952">
        <v>44927</v>
      </c>
      <c r="BH39" s="952">
        <v>44958</v>
      </c>
      <c r="BI39" s="952">
        <v>44986</v>
      </c>
      <c r="BJ39" s="952">
        <v>45017</v>
      </c>
      <c r="BK39" s="952">
        <v>45047</v>
      </c>
      <c r="BL39" s="952">
        <v>45078</v>
      </c>
      <c r="BM39" s="952">
        <v>45108</v>
      </c>
      <c r="BN39" s="952">
        <v>45139</v>
      </c>
      <c r="BO39" s="952">
        <v>45170</v>
      </c>
      <c r="BP39" s="952">
        <v>45200</v>
      </c>
      <c r="BQ39" s="952">
        <v>45231</v>
      </c>
      <c r="BR39" s="954">
        <v>45261</v>
      </c>
      <c r="BS39" s="955">
        <v>45292</v>
      </c>
      <c r="BT39" s="955">
        <v>45323</v>
      </c>
      <c r="BU39" s="955">
        <v>45352</v>
      </c>
      <c r="BV39" s="955">
        <v>45383</v>
      </c>
      <c r="BW39" s="955">
        <v>45413</v>
      </c>
      <c r="BX39" s="955">
        <v>45444</v>
      </c>
      <c r="BY39" s="955">
        <v>45474</v>
      </c>
      <c r="BZ39" s="955">
        <v>45505</v>
      </c>
      <c r="CA39" s="955">
        <v>45536</v>
      </c>
      <c r="CB39" s="955">
        <v>45566</v>
      </c>
      <c r="CC39" s="955">
        <v>45597</v>
      </c>
      <c r="CD39" s="954">
        <v>45627</v>
      </c>
      <c r="CE39" s="955">
        <v>45658</v>
      </c>
      <c r="CF39" s="955">
        <v>45689</v>
      </c>
      <c r="CG39" s="955">
        <v>45717</v>
      </c>
      <c r="CH39" s="955">
        <v>45748</v>
      </c>
      <c r="CI39" s="955">
        <v>45778</v>
      </c>
      <c r="CJ39" s="955">
        <v>45809</v>
      </c>
      <c r="CK39" s="955">
        <v>45839</v>
      </c>
      <c r="CL39" s="955">
        <v>45870</v>
      </c>
      <c r="CM39" s="955">
        <v>45901</v>
      </c>
      <c r="CN39" s="955">
        <v>45931</v>
      </c>
      <c r="CO39" s="955">
        <v>45962</v>
      </c>
      <c r="CP39" s="954">
        <v>45992</v>
      </c>
      <c r="CQ39" s="955">
        <v>46023</v>
      </c>
      <c r="CR39" s="955">
        <v>46054</v>
      </c>
      <c r="CS39" s="955">
        <v>46082</v>
      </c>
      <c r="CT39" s="955">
        <v>46113</v>
      </c>
      <c r="CU39" s="955">
        <v>46143</v>
      </c>
      <c r="CV39" s="955">
        <v>46174</v>
      </c>
      <c r="CW39" s="955">
        <v>46204</v>
      </c>
      <c r="CX39" s="955">
        <v>46235</v>
      </c>
      <c r="CY39" s="955">
        <v>46266</v>
      </c>
      <c r="CZ39" s="955">
        <v>46296</v>
      </c>
      <c r="DA39" s="955">
        <v>46327</v>
      </c>
      <c r="DB39" s="955">
        <v>46357</v>
      </c>
      <c r="DC39" s="955">
        <v>46388</v>
      </c>
      <c r="DD39" s="955">
        <v>46419</v>
      </c>
      <c r="DE39" s="955">
        <v>46447</v>
      </c>
      <c r="DF39" s="955">
        <v>46478</v>
      </c>
      <c r="DG39" s="955">
        <v>46508</v>
      </c>
      <c r="DH39" s="955">
        <v>46539</v>
      </c>
      <c r="DI39" s="955">
        <v>46569</v>
      </c>
      <c r="DJ39" s="955">
        <v>46600</v>
      </c>
      <c r="DK39" s="955">
        <v>46631</v>
      </c>
      <c r="DL39" s="955">
        <v>46661</v>
      </c>
      <c r="DM39" s="955">
        <v>46692</v>
      </c>
      <c r="DN39" s="955">
        <v>46722</v>
      </c>
      <c r="DO39" s="955">
        <v>46753</v>
      </c>
      <c r="DP39" s="955">
        <v>46784</v>
      </c>
      <c r="DQ39" s="955">
        <v>46813</v>
      </c>
      <c r="DR39" s="955">
        <v>46844</v>
      </c>
      <c r="DS39" s="955">
        <v>46874</v>
      </c>
      <c r="DT39" s="955">
        <v>46905</v>
      </c>
      <c r="DU39" s="955">
        <v>46935</v>
      </c>
      <c r="DV39" s="955">
        <v>46966</v>
      </c>
      <c r="DW39" s="955">
        <v>46997</v>
      </c>
      <c r="DX39" s="955">
        <v>47027</v>
      </c>
      <c r="DY39" s="955">
        <v>47058</v>
      </c>
      <c r="DZ39" s="955">
        <v>47088</v>
      </c>
      <c r="EA39" s="955">
        <v>47119</v>
      </c>
      <c r="EB39" s="955">
        <v>47150</v>
      </c>
      <c r="EC39" s="955">
        <v>47178</v>
      </c>
      <c r="ED39" s="955">
        <v>47209</v>
      </c>
      <c r="EE39" s="955">
        <v>47239</v>
      </c>
      <c r="EF39" s="955">
        <v>47270</v>
      </c>
      <c r="EG39" s="955">
        <v>47300</v>
      </c>
      <c r="EH39" s="955">
        <v>47331</v>
      </c>
      <c r="EI39" s="955">
        <v>47362</v>
      </c>
      <c r="EJ39" s="955">
        <v>47392</v>
      </c>
      <c r="EK39" s="955">
        <v>47423</v>
      </c>
      <c r="EL39" s="955">
        <v>47453</v>
      </c>
      <c r="EM39" s="955">
        <v>47484</v>
      </c>
      <c r="EN39" s="955">
        <v>47515</v>
      </c>
      <c r="EO39" s="955">
        <v>47543</v>
      </c>
      <c r="EP39" s="955">
        <v>47574</v>
      </c>
      <c r="EQ39" s="955">
        <v>47604</v>
      </c>
      <c r="ER39" s="955">
        <v>47635</v>
      </c>
      <c r="ES39" s="955">
        <v>47665</v>
      </c>
      <c r="ET39" s="955">
        <v>47696</v>
      </c>
      <c r="EU39" s="955">
        <v>47727</v>
      </c>
      <c r="EV39" s="955">
        <v>47757</v>
      </c>
      <c r="EW39" s="955">
        <v>47788</v>
      </c>
      <c r="EX39" s="955">
        <v>47818</v>
      </c>
      <c r="EY39" s="955">
        <v>47849</v>
      </c>
      <c r="EZ39" s="955">
        <v>47880</v>
      </c>
      <c r="FA39" s="955">
        <v>47908</v>
      </c>
      <c r="FB39" s="955">
        <v>47939</v>
      </c>
      <c r="FC39" s="955">
        <v>47969</v>
      </c>
      <c r="FD39" s="955">
        <v>48000</v>
      </c>
      <c r="FE39" s="955">
        <v>48030</v>
      </c>
      <c r="FF39" s="955">
        <v>48061</v>
      </c>
      <c r="FG39" s="955">
        <v>48092</v>
      </c>
      <c r="FH39" s="955">
        <v>48122</v>
      </c>
      <c r="FI39" s="955">
        <v>48153</v>
      </c>
      <c r="FJ39" s="955">
        <v>48183</v>
      </c>
      <c r="FK39" s="955">
        <v>48214</v>
      </c>
      <c r="FL39" s="955">
        <v>48245</v>
      </c>
      <c r="FM39" s="955">
        <v>48274</v>
      </c>
      <c r="FN39" s="955">
        <v>48305</v>
      </c>
      <c r="FO39" s="955">
        <v>48335</v>
      </c>
      <c r="FP39" s="955">
        <v>48366</v>
      </c>
      <c r="FQ39" s="955">
        <v>48396</v>
      </c>
      <c r="FR39" s="955">
        <v>48427</v>
      </c>
      <c r="FS39" s="955">
        <v>48458</v>
      </c>
      <c r="FT39" s="955">
        <v>48488</v>
      </c>
      <c r="FU39" s="955">
        <v>48519</v>
      </c>
      <c r="FV39" s="955">
        <v>48549</v>
      </c>
      <c r="FW39" s="955">
        <v>48580</v>
      </c>
      <c r="FX39" s="955">
        <v>48611</v>
      </c>
      <c r="FY39" s="955">
        <v>48639</v>
      </c>
      <c r="FZ39" s="955">
        <v>48670</v>
      </c>
      <c r="GA39" s="955">
        <v>48700</v>
      </c>
      <c r="GB39" s="955">
        <v>48731</v>
      </c>
      <c r="GC39" s="955">
        <v>48761</v>
      </c>
      <c r="GD39" s="955">
        <v>48792</v>
      </c>
      <c r="GE39" s="955">
        <v>48823</v>
      </c>
      <c r="GF39" s="955">
        <v>48853</v>
      </c>
      <c r="GG39" s="955">
        <v>48884</v>
      </c>
      <c r="GH39" s="955">
        <v>48914</v>
      </c>
      <c r="GI39" s="955">
        <v>48945</v>
      </c>
      <c r="GJ39" s="955">
        <v>48976</v>
      </c>
      <c r="GK39" s="955">
        <v>49004</v>
      </c>
      <c r="GL39" s="955">
        <v>49035</v>
      </c>
      <c r="GM39" s="955">
        <v>49065</v>
      </c>
      <c r="GN39" s="955">
        <v>49096</v>
      </c>
      <c r="GO39" s="955">
        <v>49126</v>
      </c>
      <c r="GP39" s="955">
        <v>49157</v>
      </c>
      <c r="GQ39" s="955">
        <v>49188</v>
      </c>
      <c r="GR39" s="955">
        <v>49218</v>
      </c>
      <c r="GS39" s="955">
        <v>49249</v>
      </c>
      <c r="GT39" s="955">
        <v>49279</v>
      </c>
    </row>
    <row r="40" spans="2:202">
      <c r="B40" s="240" t="s">
        <v>28</v>
      </c>
      <c r="C40" s="1465"/>
      <c r="D40" s="1465"/>
      <c r="E40" s="1465"/>
      <c r="F40" s="1465"/>
      <c r="G40" s="1465"/>
      <c r="H40" s="326"/>
      <c r="I40" s="18"/>
      <c r="J40" s="441"/>
      <c r="K40" s="1468" t="s">
        <v>29</v>
      </c>
      <c r="L40" s="1469"/>
      <c r="M40" s="1469"/>
      <c r="N40" s="1469"/>
      <c r="O40" s="1469"/>
      <c r="P40" s="1469"/>
      <c r="Q40" s="1469"/>
      <c r="R40" s="671"/>
      <c r="S40" s="287"/>
      <c r="T40" s="278"/>
      <c r="U40" s="278"/>
      <c r="V40" s="287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87"/>
      <c r="AI40" s="278"/>
      <c r="AJ40" s="278"/>
      <c r="AK40" s="278"/>
      <c r="AL40" s="278"/>
      <c r="AM40" s="278"/>
      <c r="AN40" s="278"/>
      <c r="AO40" s="278"/>
      <c r="AP40" s="278"/>
      <c r="AQ40" s="278"/>
      <c r="AR40" s="278"/>
      <c r="AS40" s="278"/>
      <c r="AT40" s="287"/>
      <c r="AU40" s="278"/>
      <c r="AV40" s="278"/>
      <c r="AW40" s="278"/>
      <c r="AX40" s="278"/>
      <c r="AY40" s="278"/>
      <c r="AZ40" s="278"/>
      <c r="BA40" s="278"/>
      <c r="BB40" s="278"/>
      <c r="BC40" s="278"/>
      <c r="BD40" s="278"/>
      <c r="BE40" s="278"/>
      <c r="BF40" s="287"/>
      <c r="BG40" s="278"/>
      <c r="BH40" s="278"/>
      <c r="BI40" s="278"/>
      <c r="BJ40" s="278"/>
      <c r="BK40" s="278"/>
      <c r="BL40" s="278"/>
      <c r="BM40" s="278"/>
      <c r="BN40" s="278"/>
      <c r="BO40" s="278"/>
      <c r="BP40" s="278"/>
      <c r="BQ40" s="278"/>
      <c r="BR40" s="287"/>
      <c r="BS40" s="278"/>
      <c r="BT40" s="278"/>
      <c r="BU40" s="278"/>
      <c r="BV40" s="278"/>
      <c r="BW40" s="278"/>
      <c r="BX40" s="278"/>
      <c r="BY40" s="278"/>
      <c r="BZ40" s="278"/>
      <c r="CA40" s="278"/>
      <c r="CB40" s="278"/>
      <c r="CC40" s="278"/>
      <c r="CD40" s="287"/>
      <c r="CE40" s="278"/>
      <c r="CF40" s="278"/>
      <c r="CG40" s="278"/>
      <c r="CH40" s="278"/>
      <c r="CI40" s="278"/>
      <c r="CJ40" s="278"/>
      <c r="CK40" s="278"/>
      <c r="CL40" s="278"/>
      <c r="CM40" s="278"/>
      <c r="CN40" s="278"/>
      <c r="CO40" s="278"/>
      <c r="CP40" s="287"/>
      <c r="CQ40" s="278"/>
      <c r="CR40" s="278"/>
      <c r="CS40" s="278"/>
      <c r="CT40" s="278"/>
      <c r="CU40" s="278"/>
      <c r="CV40" s="278"/>
      <c r="CW40" s="278"/>
      <c r="CX40" s="278"/>
      <c r="CY40" s="278"/>
      <c r="CZ40" s="278"/>
      <c r="DA40" s="278"/>
      <c r="DB40" s="312"/>
      <c r="DO40" s="287"/>
      <c r="DP40" s="278"/>
      <c r="DQ40" s="278"/>
      <c r="DR40" s="278"/>
      <c r="DS40" s="278"/>
      <c r="DT40" s="278"/>
      <c r="DU40" s="278"/>
      <c r="DV40" s="278"/>
      <c r="DW40" s="278"/>
      <c r="DX40" s="278"/>
      <c r="DY40" s="278"/>
      <c r="DZ40" s="312"/>
      <c r="EA40" s="287"/>
      <c r="EB40" s="278"/>
      <c r="EC40" s="278"/>
      <c r="ED40" s="278"/>
      <c r="EE40" s="278"/>
      <c r="EF40" s="278"/>
      <c r="EG40" s="278"/>
      <c r="EH40" s="278"/>
      <c r="EI40" s="278"/>
      <c r="EJ40" s="278"/>
      <c r="EK40" s="278"/>
      <c r="EL40" s="312"/>
      <c r="EX40" s="312"/>
      <c r="FJ40" s="312"/>
      <c r="FV40" s="312"/>
      <c r="GH40" s="312"/>
      <c r="GT40" s="312"/>
    </row>
    <row r="41" spans="2:202">
      <c r="B41" s="353" t="s">
        <v>30</v>
      </c>
      <c r="C41" s="354">
        <f>SUM(V41:AG41)</f>
        <v>83</v>
      </c>
      <c r="D41" s="329">
        <f>SUM(AH41:AS41)</f>
        <v>69</v>
      </c>
      <c r="E41" s="329">
        <f>SUM(AT41:BE41)</f>
        <v>59</v>
      </c>
      <c r="F41" s="329">
        <f>SUM(BF41:BQ41)</f>
        <v>43.99</v>
      </c>
      <c r="G41" s="329">
        <f>SUM(BR41:CC41)</f>
        <v>47.99</v>
      </c>
      <c r="H41" s="329">
        <f>SUM(CD41:CO41)</f>
        <v>46.99</v>
      </c>
      <c r="I41" s="329">
        <f>SUM(CP41:DA41)</f>
        <v>73.099999999999994</v>
      </c>
      <c r="J41" s="441"/>
      <c r="K41" s="355">
        <f t="shared" ref="K41:K52" si="603">C41/12</f>
        <v>6.916666666666667</v>
      </c>
      <c r="L41" s="355">
        <f t="shared" ref="L41:L52" si="604">D41/12</f>
        <v>5.75</v>
      </c>
      <c r="M41" s="329">
        <f t="shared" ref="M41:M52" si="605">E41/12</f>
        <v>4.916666666666667</v>
      </c>
      <c r="N41" s="354">
        <f>F41/12</f>
        <v>3.6658333333333335</v>
      </c>
      <c r="O41" s="354">
        <f>G41/12</f>
        <v>3.999166666666667</v>
      </c>
      <c r="P41" s="354">
        <f>H41/12</f>
        <v>3.9158333333333335</v>
      </c>
      <c r="Q41" s="354">
        <f>I41/12</f>
        <v>6.0916666666666659</v>
      </c>
      <c r="R41" s="671"/>
      <c r="S41" s="1037">
        <v>7</v>
      </c>
      <c r="T41" s="1038">
        <v>7</v>
      </c>
      <c r="U41" s="1038">
        <v>7</v>
      </c>
      <c r="V41" s="1037">
        <v>7</v>
      </c>
      <c r="W41" s="1038">
        <v>7</v>
      </c>
      <c r="X41" s="1038">
        <v>69</v>
      </c>
      <c r="Y41" s="1038"/>
      <c r="Z41" s="1038"/>
      <c r="AA41" s="1038"/>
      <c r="AB41" s="1038"/>
      <c r="AC41" s="1038"/>
      <c r="AD41" s="1038"/>
      <c r="AE41" s="1038"/>
      <c r="AF41" s="1038"/>
      <c r="AG41" s="1038"/>
      <c r="AH41" s="1037"/>
      <c r="AI41" s="1038"/>
      <c r="AJ41" s="1038">
        <v>69</v>
      </c>
      <c r="AK41" s="1038"/>
      <c r="AL41" s="1038"/>
      <c r="AM41" s="1038"/>
      <c r="AN41" s="1038"/>
      <c r="AO41" s="1038"/>
      <c r="AP41" s="1038"/>
      <c r="AQ41" s="1038"/>
      <c r="AR41" s="1038"/>
      <c r="AS41" s="1038"/>
      <c r="AT41" s="1037"/>
      <c r="AU41" s="1038"/>
      <c r="AV41" s="1038">
        <v>19.670000000000002</v>
      </c>
      <c r="AW41" s="1038">
        <v>19.670000000000002</v>
      </c>
      <c r="AX41" s="1038">
        <v>19.66</v>
      </c>
      <c r="AY41" s="1038"/>
      <c r="AZ41" s="1038"/>
      <c r="BA41" s="1038"/>
      <c r="BB41" s="1038"/>
      <c r="BC41" s="1038"/>
      <c r="BD41" s="1038"/>
      <c r="BE41" s="1038"/>
      <c r="BF41" s="1037"/>
      <c r="BG41" s="1038"/>
      <c r="BH41" s="1038"/>
      <c r="BI41" s="1038"/>
      <c r="BJ41" s="1038">
        <v>43.99</v>
      </c>
      <c r="BK41" s="1038"/>
      <c r="BL41" s="1038"/>
      <c r="BM41" s="1038"/>
      <c r="BN41" s="1038"/>
      <c r="BO41" s="1038"/>
      <c r="BP41" s="1038"/>
      <c r="BQ41" s="1038"/>
      <c r="BR41" s="1037"/>
      <c r="BS41" s="1038"/>
      <c r="BT41" s="1038">
        <v>16</v>
      </c>
      <c r="BU41" s="1038">
        <v>16</v>
      </c>
      <c r="BV41" s="1038">
        <v>15.99</v>
      </c>
      <c r="BW41" s="1038"/>
      <c r="BX41" s="1038"/>
      <c r="BY41" s="1038"/>
      <c r="BZ41" s="1038"/>
      <c r="CA41" s="1038"/>
      <c r="CB41" s="1038"/>
      <c r="CC41" s="1038"/>
      <c r="CD41" s="1037"/>
      <c r="CE41" s="1038"/>
      <c r="CF41" s="1038"/>
      <c r="CG41" s="1038"/>
      <c r="CH41" s="1038">
        <v>46.99</v>
      </c>
      <c r="CI41" s="1038"/>
      <c r="CJ41" s="1038"/>
      <c r="CK41" s="1038"/>
      <c r="CL41" s="1038"/>
      <c r="CM41" s="1038"/>
      <c r="CN41" s="1038"/>
      <c r="CO41" s="1038"/>
      <c r="CP41" s="1037"/>
      <c r="CQ41" s="1038"/>
      <c r="CR41" s="1038"/>
      <c r="CS41" s="1038"/>
      <c r="CT41" s="1038">
        <v>24.37</v>
      </c>
      <c r="CU41" s="1038">
        <v>24.37</v>
      </c>
      <c r="CV41" s="1038">
        <f>24.36</f>
        <v>24.36</v>
      </c>
      <c r="CW41" s="1038"/>
      <c r="CX41" s="1038"/>
      <c r="CY41" s="1038"/>
      <c r="CZ41" s="1038"/>
      <c r="DA41" s="1038"/>
      <c r="DB41" s="1039"/>
      <c r="DC41" s="1038"/>
      <c r="DD41" s="1038"/>
      <c r="DE41" s="1038"/>
      <c r="DF41" s="1038"/>
      <c r="DG41" s="1038"/>
      <c r="DH41" s="1038"/>
      <c r="DI41" s="1038"/>
      <c r="DJ41" s="1038"/>
      <c r="DK41" s="1038"/>
      <c r="DL41" s="1038"/>
      <c r="DM41" s="1038"/>
      <c r="DN41" s="1038"/>
      <c r="DO41" s="1037"/>
      <c r="DP41" s="1038"/>
      <c r="DQ41" s="1038"/>
      <c r="DR41" s="1038"/>
      <c r="DS41" s="1038"/>
      <c r="DT41" s="1038"/>
      <c r="DU41" s="1038"/>
      <c r="DV41" s="1038"/>
      <c r="DW41" s="1038"/>
      <c r="DX41" s="1038"/>
      <c r="DY41" s="1038"/>
      <c r="DZ41" s="1039"/>
      <c r="EA41" s="1037"/>
      <c r="EB41" s="1038"/>
      <c r="EC41" s="1038"/>
      <c r="ED41" s="1038"/>
      <c r="EE41" s="1038"/>
      <c r="EF41" s="1038"/>
      <c r="EG41" s="1038"/>
      <c r="EH41" s="1038"/>
      <c r="EI41" s="1038"/>
      <c r="EJ41" s="1038"/>
      <c r="EK41" s="1038"/>
      <c r="EL41" s="1039"/>
      <c r="EM41" s="1038"/>
      <c r="EN41" s="1038"/>
      <c r="EO41" s="1038"/>
      <c r="EP41" s="1038"/>
      <c r="EQ41" s="1038"/>
      <c r="ER41" s="1038"/>
      <c r="ES41" s="1038"/>
      <c r="ET41" s="1038"/>
      <c r="EU41" s="1038"/>
      <c r="EV41" s="1038"/>
      <c r="EW41" s="1038"/>
      <c r="EX41" s="1039"/>
      <c r="EY41" s="1038"/>
      <c r="EZ41" s="1038"/>
      <c r="FA41" s="1038"/>
      <c r="FB41" s="1038"/>
      <c r="FC41" s="1038"/>
      <c r="FD41" s="1038"/>
      <c r="FE41" s="1038"/>
      <c r="FF41" s="1038"/>
      <c r="FG41" s="1038"/>
      <c r="FH41" s="1038"/>
      <c r="FI41" s="1038"/>
      <c r="FJ41" s="1039"/>
      <c r="FK41" s="1038"/>
      <c r="FL41" s="1038"/>
      <c r="FM41" s="1038"/>
      <c r="FN41" s="1038"/>
      <c r="FO41" s="1038"/>
      <c r="FP41" s="1038"/>
      <c r="FQ41" s="1038"/>
      <c r="FR41" s="1038"/>
      <c r="FS41" s="1038"/>
      <c r="FT41" s="1038"/>
      <c r="FU41" s="1038"/>
      <c r="FV41" s="1039"/>
      <c r="FW41" s="1038"/>
      <c r="FX41" s="1038"/>
      <c r="FY41" s="1038"/>
      <c r="FZ41" s="1038"/>
      <c r="GA41" s="1038"/>
      <c r="GB41" s="1038"/>
      <c r="GC41" s="1038"/>
      <c r="GD41" s="1038"/>
      <c r="GE41" s="1038"/>
      <c r="GF41" s="1038"/>
      <c r="GG41" s="1038"/>
      <c r="GH41" s="1039"/>
      <c r="GI41" s="1038"/>
      <c r="GJ41" s="1038"/>
      <c r="GK41" s="1038"/>
      <c r="GL41" s="1038"/>
      <c r="GM41" s="1038"/>
      <c r="GN41" s="1038"/>
      <c r="GO41" s="1038"/>
      <c r="GP41" s="1038"/>
      <c r="GQ41" s="1038"/>
      <c r="GR41" s="1038"/>
      <c r="GS41" s="1038"/>
      <c r="GT41" s="1039"/>
    </row>
    <row r="42" spans="2:202">
      <c r="B42" s="253" t="s">
        <v>31</v>
      </c>
      <c r="C42" s="251">
        <f t="shared" ref="C42:C52" si="606">SUM(V42:AG42)</f>
        <v>48.930000000000007</v>
      </c>
      <c r="D42" s="246">
        <f t="shared" ref="D42:D53" si="607">SUM(AH42:AS42)</f>
        <v>27.96</v>
      </c>
      <c r="E42" s="246">
        <f t="shared" ref="E42:E53" si="608">SUM(AT42:BE42)</f>
        <v>0</v>
      </c>
      <c r="F42" s="246">
        <f t="shared" ref="F42:F53" si="609">SUM(BF42:BQ42)</f>
        <v>0</v>
      </c>
      <c r="G42" s="246">
        <f t="shared" ref="G42:G53" si="610">SUM(BR42:CC42)</f>
        <v>0</v>
      </c>
      <c r="H42" s="246">
        <f t="shared" ref="H42:H53" si="611">SUM(CD42:CO42)</f>
        <v>8</v>
      </c>
      <c r="I42" s="246">
        <f t="shared" ref="I42:I53" si="612">SUM(CP42:DA42)</f>
        <v>56</v>
      </c>
      <c r="J42" s="671"/>
      <c r="K42" s="274">
        <f t="shared" si="603"/>
        <v>4.0775000000000006</v>
      </c>
      <c r="L42" s="274">
        <f t="shared" si="604"/>
        <v>2.33</v>
      </c>
      <c r="M42" s="246">
        <f t="shared" si="605"/>
        <v>0</v>
      </c>
      <c r="N42" s="251">
        <f t="shared" ref="N42:N52" si="613">F42/12</f>
        <v>0</v>
      </c>
      <c r="O42" s="251">
        <f t="shared" ref="O42:O52" si="614">G42/12</f>
        <v>0</v>
      </c>
      <c r="P42" s="251">
        <f t="shared" ref="P42:P52" si="615">H42/12</f>
        <v>0.66666666666666663</v>
      </c>
      <c r="Q42" s="251">
        <f t="shared" ref="Q42:Q52" si="616">I42/12</f>
        <v>4.666666666666667</v>
      </c>
      <c r="R42" s="671"/>
      <c r="S42" s="274"/>
      <c r="T42" s="23"/>
      <c r="U42" s="23"/>
      <c r="V42" s="274"/>
      <c r="W42" s="23"/>
      <c r="X42" s="23"/>
      <c r="Y42" s="23"/>
      <c r="Z42" s="23">
        <v>6.99</v>
      </c>
      <c r="AA42" s="23">
        <v>6.99</v>
      </c>
      <c r="AB42" s="23"/>
      <c r="AC42" s="23">
        <v>6.99</v>
      </c>
      <c r="AD42" s="23">
        <v>6.99</v>
      </c>
      <c r="AE42" s="23">
        <v>6.99</v>
      </c>
      <c r="AF42" s="23">
        <v>6.99</v>
      </c>
      <c r="AG42" s="23">
        <v>6.99</v>
      </c>
      <c r="AH42" s="274">
        <v>6.99</v>
      </c>
      <c r="AI42" s="23">
        <v>6.99</v>
      </c>
      <c r="AJ42" s="23">
        <v>6.99</v>
      </c>
      <c r="AK42" s="23">
        <v>6.99</v>
      </c>
      <c r="AL42" s="23"/>
      <c r="AM42" s="23"/>
      <c r="AN42" s="23"/>
      <c r="AO42" s="23"/>
      <c r="AP42" s="23"/>
      <c r="AQ42" s="23"/>
      <c r="AR42" s="23"/>
      <c r="AS42" s="23"/>
      <c r="AT42" s="274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74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74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74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>
        <v>8</v>
      </c>
      <c r="CP42" s="274">
        <v>8</v>
      </c>
      <c r="CQ42" s="23">
        <v>8</v>
      </c>
      <c r="CR42" s="23">
        <v>8</v>
      </c>
      <c r="CS42" s="23">
        <v>8</v>
      </c>
      <c r="CT42" s="23">
        <v>8</v>
      </c>
      <c r="CU42" s="23"/>
      <c r="CV42" s="23"/>
      <c r="CW42" s="23"/>
      <c r="CX42" s="23"/>
      <c r="CY42" s="23"/>
      <c r="CZ42" s="23">
        <v>8</v>
      </c>
      <c r="DA42" s="23">
        <v>8</v>
      </c>
      <c r="DB42" s="251">
        <v>8</v>
      </c>
      <c r="DC42" s="23">
        <v>8</v>
      </c>
      <c r="DD42" s="23">
        <v>8</v>
      </c>
      <c r="DE42" s="23">
        <v>8</v>
      </c>
      <c r="DF42" s="23">
        <v>8</v>
      </c>
      <c r="DG42" s="23">
        <v>8</v>
      </c>
      <c r="DH42" s="23">
        <v>8</v>
      </c>
      <c r="DI42" s="23">
        <v>8</v>
      </c>
      <c r="DJ42" s="23">
        <v>8</v>
      </c>
      <c r="DK42" s="23">
        <v>8</v>
      </c>
      <c r="DL42" s="23">
        <v>8</v>
      </c>
      <c r="DM42" s="23">
        <v>8</v>
      </c>
      <c r="DN42" s="23">
        <v>8</v>
      </c>
      <c r="DO42" s="274">
        <v>8</v>
      </c>
      <c r="DP42" s="23">
        <v>8</v>
      </c>
      <c r="DQ42" s="23">
        <v>8</v>
      </c>
      <c r="DR42" s="23">
        <v>8</v>
      </c>
      <c r="DS42" s="23">
        <v>8</v>
      </c>
      <c r="DT42" s="23">
        <v>8</v>
      </c>
      <c r="DU42" s="23">
        <v>8</v>
      </c>
      <c r="DV42" s="23">
        <v>8</v>
      </c>
      <c r="DW42" s="23">
        <v>8</v>
      </c>
      <c r="DX42" s="23">
        <v>8</v>
      </c>
      <c r="DY42" s="23">
        <v>8</v>
      </c>
      <c r="DZ42" s="251">
        <v>8</v>
      </c>
      <c r="EA42" s="274">
        <v>8</v>
      </c>
      <c r="EB42" s="23">
        <v>8</v>
      </c>
      <c r="EC42" s="23">
        <v>8</v>
      </c>
      <c r="ED42" s="23">
        <v>8</v>
      </c>
      <c r="EE42" s="23">
        <v>8</v>
      </c>
      <c r="EF42" s="23">
        <v>8</v>
      </c>
      <c r="EG42" s="23">
        <v>8</v>
      </c>
      <c r="EH42" s="23">
        <v>8</v>
      </c>
      <c r="EI42" s="23">
        <v>8</v>
      </c>
      <c r="EJ42" s="23">
        <v>8</v>
      </c>
      <c r="EK42" s="23">
        <v>8</v>
      </c>
      <c r="EL42" s="251">
        <v>8</v>
      </c>
      <c r="EM42" s="23">
        <v>8</v>
      </c>
      <c r="EN42" s="23">
        <v>8</v>
      </c>
      <c r="EO42" s="23">
        <v>8</v>
      </c>
      <c r="EP42" s="23">
        <v>8</v>
      </c>
      <c r="EQ42" s="23">
        <v>8</v>
      </c>
      <c r="ER42" s="23">
        <v>8</v>
      </c>
      <c r="ES42" s="23">
        <v>8</v>
      </c>
      <c r="ET42" s="23">
        <v>8</v>
      </c>
      <c r="EU42" s="23">
        <v>8</v>
      </c>
      <c r="EV42" s="23">
        <v>8</v>
      </c>
      <c r="EW42" s="23">
        <v>8</v>
      </c>
      <c r="EX42" s="251">
        <v>8</v>
      </c>
      <c r="EY42" s="23">
        <v>8</v>
      </c>
      <c r="EZ42" s="23">
        <v>8</v>
      </c>
      <c r="FA42" s="23">
        <v>8</v>
      </c>
      <c r="FB42" s="23">
        <v>8</v>
      </c>
      <c r="FC42" s="23">
        <v>8</v>
      </c>
      <c r="FD42" s="23">
        <v>8</v>
      </c>
      <c r="FE42" s="23">
        <v>8</v>
      </c>
      <c r="FF42" s="23">
        <v>8</v>
      </c>
      <c r="FG42" s="23">
        <v>8</v>
      </c>
      <c r="FH42" s="23">
        <v>8</v>
      </c>
      <c r="FI42" s="23">
        <v>8</v>
      </c>
      <c r="FJ42" s="251">
        <v>8</v>
      </c>
      <c r="FK42" s="23">
        <v>8</v>
      </c>
      <c r="FL42" s="23">
        <v>8</v>
      </c>
      <c r="FM42" s="23">
        <v>8</v>
      </c>
      <c r="FN42" s="23">
        <v>8</v>
      </c>
      <c r="FO42" s="23">
        <v>8</v>
      </c>
      <c r="FP42" s="23">
        <v>8</v>
      </c>
      <c r="FQ42" s="23">
        <v>8</v>
      </c>
      <c r="FR42" s="23">
        <v>8</v>
      </c>
      <c r="FS42" s="23">
        <v>8</v>
      </c>
      <c r="FT42" s="23">
        <v>8</v>
      </c>
      <c r="FU42" s="23">
        <v>8</v>
      </c>
      <c r="FV42" s="251">
        <v>8</v>
      </c>
      <c r="FW42" s="23">
        <v>8</v>
      </c>
      <c r="FX42" s="23">
        <v>8</v>
      </c>
      <c r="FY42" s="23">
        <v>8</v>
      </c>
      <c r="FZ42" s="23">
        <v>8</v>
      </c>
      <c r="GA42" s="23">
        <v>8</v>
      </c>
      <c r="GB42" s="23">
        <v>8</v>
      </c>
      <c r="GC42" s="23">
        <v>8</v>
      </c>
      <c r="GD42" s="23">
        <v>8</v>
      </c>
      <c r="GE42" s="23">
        <v>8</v>
      </c>
      <c r="GF42" s="23">
        <v>8</v>
      </c>
      <c r="GG42" s="23">
        <v>8</v>
      </c>
      <c r="GH42" s="251">
        <v>8</v>
      </c>
      <c r="GI42" s="23">
        <v>8</v>
      </c>
      <c r="GJ42" s="23">
        <v>8</v>
      </c>
      <c r="GK42" s="23">
        <v>8</v>
      </c>
      <c r="GL42" s="23">
        <v>8</v>
      </c>
      <c r="GM42" s="23">
        <v>8</v>
      </c>
      <c r="GN42" s="23">
        <v>8</v>
      </c>
      <c r="GO42" s="23">
        <v>8</v>
      </c>
      <c r="GP42" s="23">
        <v>8</v>
      </c>
      <c r="GQ42" s="23">
        <v>8</v>
      </c>
      <c r="GR42" s="23">
        <v>8</v>
      </c>
      <c r="GS42" s="23">
        <v>8</v>
      </c>
      <c r="GT42" s="251">
        <v>8</v>
      </c>
    </row>
    <row r="43" spans="2:202">
      <c r="B43" s="350" t="s">
        <v>32</v>
      </c>
      <c r="C43" s="342">
        <f t="shared" si="606"/>
        <v>191.88000000000002</v>
      </c>
      <c r="D43" s="330">
        <f t="shared" si="607"/>
        <v>175.88000000000002</v>
      </c>
      <c r="E43" s="330">
        <f t="shared" si="608"/>
        <v>87.89</v>
      </c>
      <c r="F43" s="330">
        <f t="shared" si="609"/>
        <v>95.88</v>
      </c>
      <c r="G43" s="330">
        <f t="shared" si="610"/>
        <v>95.88</v>
      </c>
      <c r="H43" s="330">
        <f t="shared" si="611"/>
        <v>86.88</v>
      </c>
      <c r="I43" s="330">
        <f t="shared" si="612"/>
        <v>83.88</v>
      </c>
      <c r="J43" s="671"/>
      <c r="K43" s="341">
        <f t="shared" si="603"/>
        <v>15.990000000000002</v>
      </c>
      <c r="L43" s="341">
        <f t="shared" si="604"/>
        <v>14.656666666666668</v>
      </c>
      <c r="M43" s="330">
        <f t="shared" si="605"/>
        <v>7.3241666666666667</v>
      </c>
      <c r="N43" s="342">
        <f t="shared" si="613"/>
        <v>7.9899999999999993</v>
      </c>
      <c r="O43" s="342">
        <f t="shared" si="614"/>
        <v>7.9899999999999993</v>
      </c>
      <c r="P43" s="342">
        <f t="shared" si="615"/>
        <v>7.2399999999999993</v>
      </c>
      <c r="Q43" s="342">
        <f t="shared" si="616"/>
        <v>6.9899999999999993</v>
      </c>
      <c r="R43" s="671"/>
      <c r="S43" s="341">
        <v>15.99</v>
      </c>
      <c r="T43" s="328">
        <v>15.99</v>
      </c>
      <c r="U43" s="328">
        <v>15.99</v>
      </c>
      <c r="V43" s="341">
        <v>15.99</v>
      </c>
      <c r="W43" s="328">
        <v>15.99</v>
      </c>
      <c r="X43" s="328">
        <v>15.99</v>
      </c>
      <c r="Y43" s="328">
        <v>15.99</v>
      </c>
      <c r="Z43" s="328">
        <v>15.99</v>
      </c>
      <c r="AA43" s="328">
        <v>15.99</v>
      </c>
      <c r="AB43" s="328">
        <v>15.99</v>
      </c>
      <c r="AC43" s="328">
        <v>15.99</v>
      </c>
      <c r="AD43" s="328">
        <v>15.99</v>
      </c>
      <c r="AE43" s="328">
        <v>15.99</v>
      </c>
      <c r="AF43" s="328">
        <v>15.99</v>
      </c>
      <c r="AG43" s="328">
        <v>15.99</v>
      </c>
      <c r="AH43" s="341">
        <v>15.99</v>
      </c>
      <c r="AI43" s="328">
        <v>15.99</v>
      </c>
      <c r="AJ43" s="328">
        <v>15.99</v>
      </c>
      <c r="AK43" s="328">
        <v>15.99</v>
      </c>
      <c r="AL43" s="328">
        <v>15.99</v>
      </c>
      <c r="AM43" s="328">
        <v>15.99</v>
      </c>
      <c r="AN43" s="328">
        <v>15.99</v>
      </c>
      <c r="AO43" s="328">
        <v>15.99</v>
      </c>
      <c r="AP43" s="328">
        <v>15.99</v>
      </c>
      <c r="AQ43" s="328">
        <v>11.99</v>
      </c>
      <c r="AR43" s="328">
        <v>11.99</v>
      </c>
      <c r="AS43" s="328">
        <v>7.99</v>
      </c>
      <c r="AT43" s="341"/>
      <c r="AU43" s="328">
        <v>7.99</v>
      </c>
      <c r="AV43" s="328">
        <v>7.99</v>
      </c>
      <c r="AW43" s="328">
        <v>7.99</v>
      </c>
      <c r="AX43" s="328">
        <v>7.99</v>
      </c>
      <c r="AY43" s="328">
        <v>7.99</v>
      </c>
      <c r="AZ43" s="328">
        <v>7.99</v>
      </c>
      <c r="BA43" s="328">
        <v>7.99</v>
      </c>
      <c r="BB43" s="328">
        <v>7.99</v>
      </c>
      <c r="BC43" s="328">
        <v>7.99</v>
      </c>
      <c r="BD43" s="328">
        <v>7.99</v>
      </c>
      <c r="BE43" s="328">
        <v>7.99</v>
      </c>
      <c r="BF43" s="341">
        <v>7.99</v>
      </c>
      <c r="BG43" s="328">
        <v>7.99</v>
      </c>
      <c r="BH43" s="328">
        <v>7.99</v>
      </c>
      <c r="BI43" s="328">
        <v>7.99</v>
      </c>
      <c r="BJ43" s="328">
        <v>7.99</v>
      </c>
      <c r="BK43" s="328">
        <v>7.99</v>
      </c>
      <c r="BL43" s="328">
        <v>7.99</v>
      </c>
      <c r="BM43" s="328">
        <v>7.99</v>
      </c>
      <c r="BN43" s="328">
        <v>7.99</v>
      </c>
      <c r="BO43" s="328">
        <v>7.99</v>
      </c>
      <c r="BP43" s="328">
        <v>7.99</v>
      </c>
      <c r="BQ43" s="328">
        <v>7.99</v>
      </c>
      <c r="BR43" s="341">
        <v>7.99</v>
      </c>
      <c r="BS43" s="328">
        <v>7.99</v>
      </c>
      <c r="BT43" s="328">
        <v>7.99</v>
      </c>
      <c r="BU43" s="328">
        <v>7.99</v>
      </c>
      <c r="BV43" s="328">
        <v>7.99</v>
      </c>
      <c r="BW43" s="328">
        <v>7.99</v>
      </c>
      <c r="BX43" s="328">
        <v>7.99</v>
      </c>
      <c r="BY43" s="328">
        <v>7.99</v>
      </c>
      <c r="BZ43" s="328">
        <v>7.99</v>
      </c>
      <c r="CA43" s="328">
        <v>7.99</v>
      </c>
      <c r="CB43" s="328">
        <v>7.99</v>
      </c>
      <c r="CC43" s="328">
        <v>7.99</v>
      </c>
      <c r="CD43" s="341">
        <v>9.99</v>
      </c>
      <c r="CE43" s="328">
        <v>6.99</v>
      </c>
      <c r="CF43" s="328">
        <v>6.99</v>
      </c>
      <c r="CG43" s="328">
        <v>6.99</v>
      </c>
      <c r="CH43" s="328">
        <v>6.99</v>
      </c>
      <c r="CI43" s="328">
        <v>6.99</v>
      </c>
      <c r="CJ43" s="328">
        <v>6.99</v>
      </c>
      <c r="CK43" s="328">
        <v>6.99</v>
      </c>
      <c r="CL43" s="328">
        <v>6.99</v>
      </c>
      <c r="CM43" s="328">
        <v>6.99</v>
      </c>
      <c r="CN43" s="328">
        <v>6.99</v>
      </c>
      <c r="CO43" s="328">
        <v>6.99</v>
      </c>
      <c r="CP43" s="341">
        <v>6.99</v>
      </c>
      <c r="CQ43" s="328">
        <v>6.99</v>
      </c>
      <c r="CR43" s="328">
        <v>6.99</v>
      </c>
      <c r="CS43" s="328">
        <v>6.99</v>
      </c>
      <c r="CT43" s="328">
        <v>6.99</v>
      </c>
      <c r="CU43" s="328">
        <v>6.99</v>
      </c>
      <c r="CV43" s="328">
        <v>6.99</v>
      </c>
      <c r="CW43" s="328">
        <v>6.99</v>
      </c>
      <c r="CX43" s="328">
        <v>6.99</v>
      </c>
      <c r="CY43" s="328">
        <v>6.99</v>
      </c>
      <c r="CZ43" s="328">
        <v>6.99</v>
      </c>
      <c r="DA43" s="328">
        <v>6.99</v>
      </c>
      <c r="DB43" s="342">
        <v>6.99</v>
      </c>
      <c r="DC43" s="328">
        <v>6.99</v>
      </c>
      <c r="DD43" s="328">
        <v>6.99</v>
      </c>
      <c r="DE43" s="328">
        <v>6.99</v>
      </c>
      <c r="DF43" s="328">
        <v>6.99</v>
      </c>
      <c r="DG43" s="328">
        <v>6.99</v>
      </c>
      <c r="DH43" s="328">
        <v>6.99</v>
      </c>
      <c r="DI43" s="328">
        <v>6.99</v>
      </c>
      <c r="DJ43" s="328">
        <v>6.99</v>
      </c>
      <c r="DK43" s="328">
        <v>6.99</v>
      </c>
      <c r="DL43" s="328">
        <v>6.99</v>
      </c>
      <c r="DM43" s="328">
        <v>6.99</v>
      </c>
      <c r="DN43" s="328">
        <v>6.99</v>
      </c>
      <c r="DO43" s="341">
        <v>6.99</v>
      </c>
      <c r="DP43" s="328">
        <v>6.99</v>
      </c>
      <c r="DQ43" s="328">
        <v>6.99</v>
      </c>
      <c r="DR43" s="328">
        <v>6.99</v>
      </c>
      <c r="DS43" s="328">
        <v>6.99</v>
      </c>
      <c r="DT43" s="328">
        <v>6.99</v>
      </c>
      <c r="DU43" s="328">
        <v>6.99</v>
      </c>
      <c r="DV43" s="328">
        <v>6.99</v>
      </c>
      <c r="DW43" s="328">
        <v>6.99</v>
      </c>
      <c r="DX43" s="328">
        <v>6.99</v>
      </c>
      <c r="DY43" s="328">
        <v>6.99</v>
      </c>
      <c r="DZ43" s="342">
        <v>6.99</v>
      </c>
      <c r="EA43" s="341">
        <v>6.99</v>
      </c>
      <c r="EB43" s="328">
        <v>6.99</v>
      </c>
      <c r="EC43" s="328">
        <v>6.99</v>
      </c>
      <c r="ED43" s="328">
        <v>6.99</v>
      </c>
      <c r="EE43" s="328">
        <v>6.99</v>
      </c>
      <c r="EF43" s="328">
        <v>6.99</v>
      </c>
      <c r="EG43" s="328">
        <v>6.99</v>
      </c>
      <c r="EH43" s="328">
        <v>6.99</v>
      </c>
      <c r="EI43" s="328">
        <v>6.99</v>
      </c>
      <c r="EJ43" s="328">
        <v>6.99</v>
      </c>
      <c r="EK43" s="328">
        <v>6.99</v>
      </c>
      <c r="EL43" s="342">
        <v>6.99</v>
      </c>
      <c r="EM43" s="328">
        <v>6.99</v>
      </c>
      <c r="EN43" s="328">
        <v>6.99</v>
      </c>
      <c r="EO43" s="328">
        <v>6.99</v>
      </c>
      <c r="EP43" s="328">
        <v>6.99</v>
      </c>
      <c r="EQ43" s="328">
        <v>6.99</v>
      </c>
      <c r="ER43" s="328">
        <v>6.99</v>
      </c>
      <c r="ES43" s="328">
        <v>6.99</v>
      </c>
      <c r="ET43" s="328">
        <v>6.99</v>
      </c>
      <c r="EU43" s="328">
        <v>6.99</v>
      </c>
      <c r="EV43" s="328">
        <v>6.99</v>
      </c>
      <c r="EW43" s="328">
        <v>6.99</v>
      </c>
      <c r="EX43" s="342">
        <v>6.99</v>
      </c>
      <c r="EY43" s="328">
        <v>6.99</v>
      </c>
      <c r="EZ43" s="328">
        <v>6.99</v>
      </c>
      <c r="FA43" s="328">
        <v>6.99</v>
      </c>
      <c r="FB43" s="328">
        <v>6.99</v>
      </c>
      <c r="FC43" s="328">
        <v>6.99</v>
      </c>
      <c r="FD43" s="328">
        <v>6.99</v>
      </c>
      <c r="FE43" s="328">
        <v>6.99</v>
      </c>
      <c r="FF43" s="328">
        <v>6.99</v>
      </c>
      <c r="FG43" s="328">
        <v>6.99</v>
      </c>
      <c r="FH43" s="328">
        <v>6.99</v>
      </c>
      <c r="FI43" s="328">
        <v>6.99</v>
      </c>
      <c r="FJ43" s="342">
        <v>6.99</v>
      </c>
      <c r="FK43" s="328">
        <v>6.99</v>
      </c>
      <c r="FL43" s="328">
        <v>6.99</v>
      </c>
      <c r="FM43" s="328">
        <v>6.99</v>
      </c>
      <c r="FN43" s="328">
        <v>6.99</v>
      </c>
      <c r="FO43" s="328">
        <v>6.99</v>
      </c>
      <c r="FP43" s="328">
        <v>6.99</v>
      </c>
      <c r="FQ43" s="328">
        <v>6.99</v>
      </c>
      <c r="FR43" s="328">
        <v>6.99</v>
      </c>
      <c r="FS43" s="328">
        <v>6.99</v>
      </c>
      <c r="FT43" s="328">
        <v>6.99</v>
      </c>
      <c r="FU43" s="328">
        <v>6.99</v>
      </c>
      <c r="FV43" s="342">
        <v>6.99</v>
      </c>
      <c r="FW43" s="328">
        <v>6.99</v>
      </c>
      <c r="FX43" s="328">
        <v>6.99</v>
      </c>
      <c r="FY43" s="328">
        <v>6.99</v>
      </c>
      <c r="FZ43" s="328">
        <v>6.99</v>
      </c>
      <c r="GA43" s="328">
        <v>6.99</v>
      </c>
      <c r="GB43" s="328">
        <v>6.99</v>
      </c>
      <c r="GC43" s="328">
        <v>6.99</v>
      </c>
      <c r="GD43" s="328">
        <v>6.99</v>
      </c>
      <c r="GE43" s="328">
        <v>6.99</v>
      </c>
      <c r="GF43" s="328">
        <v>6.99</v>
      </c>
      <c r="GG43" s="328">
        <v>6.99</v>
      </c>
      <c r="GH43" s="342">
        <v>6.99</v>
      </c>
      <c r="GI43" s="328">
        <v>6.99</v>
      </c>
      <c r="GJ43" s="328">
        <v>6.99</v>
      </c>
      <c r="GK43" s="328">
        <v>6.99</v>
      </c>
      <c r="GL43" s="328">
        <v>6.99</v>
      </c>
      <c r="GM43" s="328">
        <v>6.99</v>
      </c>
      <c r="GN43" s="328">
        <v>6.99</v>
      </c>
      <c r="GO43" s="328">
        <v>6.99</v>
      </c>
      <c r="GP43" s="328">
        <v>6.99</v>
      </c>
      <c r="GQ43" s="328">
        <v>6.99</v>
      </c>
      <c r="GR43" s="328">
        <v>6.99</v>
      </c>
      <c r="GS43" s="328">
        <v>6.99</v>
      </c>
      <c r="GT43" s="342">
        <v>6.99</v>
      </c>
    </row>
    <row r="44" spans="2:202">
      <c r="B44" s="253" t="s">
        <v>33</v>
      </c>
      <c r="C44" s="251">
        <f t="shared" si="606"/>
        <v>59.940000000000005</v>
      </c>
      <c r="D44" s="246">
        <f t="shared" si="607"/>
        <v>119.89999999999999</v>
      </c>
      <c r="E44" s="246">
        <f t="shared" si="608"/>
        <v>119.93999999999998</v>
      </c>
      <c r="F44" s="246">
        <f t="shared" si="609"/>
        <v>0</v>
      </c>
      <c r="G44" s="246">
        <f t="shared" si="610"/>
        <v>0</v>
      </c>
      <c r="H44" s="246">
        <f t="shared" si="611"/>
        <v>70.92</v>
      </c>
      <c r="I44" s="246">
        <f t="shared" si="612"/>
        <v>0</v>
      </c>
      <c r="J44" s="671"/>
      <c r="K44" s="274">
        <f t="shared" si="603"/>
        <v>4.9950000000000001</v>
      </c>
      <c r="L44" s="274">
        <f t="shared" si="604"/>
        <v>9.9916666666666654</v>
      </c>
      <c r="M44" s="246">
        <f t="shared" si="605"/>
        <v>9.9949999999999992</v>
      </c>
      <c r="N44" s="251">
        <f t="shared" si="613"/>
        <v>0</v>
      </c>
      <c r="O44" s="251">
        <f t="shared" si="614"/>
        <v>0</v>
      </c>
      <c r="P44" s="251">
        <f t="shared" si="615"/>
        <v>5.91</v>
      </c>
      <c r="Q44" s="251">
        <f t="shared" si="616"/>
        <v>0</v>
      </c>
      <c r="R44" s="671"/>
      <c r="S44" s="274">
        <v>9.99</v>
      </c>
      <c r="T44" s="23">
        <v>9.99</v>
      </c>
      <c r="U44" s="23">
        <v>9.99</v>
      </c>
      <c r="V44" s="274">
        <v>9.99</v>
      </c>
      <c r="W44" s="23">
        <v>9.99</v>
      </c>
      <c r="X44" s="23"/>
      <c r="Y44" s="23"/>
      <c r="Z44" s="23">
        <v>9.99</v>
      </c>
      <c r="AA44" s="23"/>
      <c r="AB44" s="23"/>
      <c r="AC44" s="23"/>
      <c r="AD44" s="23"/>
      <c r="AE44" s="23">
        <v>9.99</v>
      </c>
      <c r="AF44" s="23">
        <v>9.99</v>
      </c>
      <c r="AG44" s="23">
        <v>9.99</v>
      </c>
      <c r="AH44" s="274">
        <v>9.99</v>
      </c>
      <c r="AI44" s="23">
        <v>9.99</v>
      </c>
      <c r="AJ44" s="23">
        <v>9.99</v>
      </c>
      <c r="AK44" s="23">
        <v>9.99</v>
      </c>
      <c r="AL44" s="23">
        <v>9.99</v>
      </c>
      <c r="AM44" s="23">
        <v>9.99</v>
      </c>
      <c r="AN44" s="23"/>
      <c r="AO44" s="23"/>
      <c r="AP44" s="23">
        <v>9.99</v>
      </c>
      <c r="AQ44" s="23">
        <v>9.99</v>
      </c>
      <c r="AR44" s="23">
        <v>19.989999999999998</v>
      </c>
      <c r="AS44" s="23">
        <v>19.989999999999998</v>
      </c>
      <c r="AT44" s="274">
        <v>19.989999999999998</v>
      </c>
      <c r="AU44" s="23">
        <v>19.989999999999998</v>
      </c>
      <c r="AV44" s="23">
        <v>19.989999999999998</v>
      </c>
      <c r="AW44" s="23">
        <v>19.989999999999998</v>
      </c>
      <c r="AX44" s="23">
        <v>19.989999999999998</v>
      </c>
      <c r="AY44" s="23"/>
      <c r="AZ44" s="23">
        <v>19.989999999999998</v>
      </c>
      <c r="BA44" s="23"/>
      <c r="BB44" s="23"/>
      <c r="BC44" s="23"/>
      <c r="BD44" s="23"/>
      <c r="BE44" s="23"/>
      <c r="BF44" s="274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74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74">
        <v>5.99</v>
      </c>
      <c r="CE44" s="23">
        <f>5.99+9.99</f>
        <v>15.98</v>
      </c>
      <c r="CF44" s="23">
        <v>9.99</v>
      </c>
      <c r="CG44" s="23">
        <v>9.99</v>
      </c>
      <c r="CH44" s="23">
        <v>9.99</v>
      </c>
      <c r="CI44" s="23">
        <v>9.99</v>
      </c>
      <c r="CJ44" s="23">
        <v>8.99</v>
      </c>
      <c r="CK44" s="23"/>
      <c r="CL44" s="23"/>
      <c r="CM44" s="23"/>
      <c r="CN44" s="23"/>
      <c r="CO44" s="23"/>
      <c r="CP44" s="274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51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74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51"/>
      <c r="EA44" s="274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51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51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51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51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51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51"/>
    </row>
    <row r="45" spans="2:202">
      <c r="B45" s="350" t="s">
        <v>34</v>
      </c>
      <c r="C45" s="342">
        <f t="shared" si="606"/>
        <v>0</v>
      </c>
      <c r="D45" s="330">
        <f t="shared" si="607"/>
        <v>309.86</v>
      </c>
      <c r="E45" s="330">
        <f t="shared" si="608"/>
        <v>239.88000000000002</v>
      </c>
      <c r="F45" s="330">
        <f t="shared" si="609"/>
        <v>239.88000000000002</v>
      </c>
      <c r="G45" s="330">
        <f t="shared" si="610"/>
        <v>289.88</v>
      </c>
      <c r="H45" s="330">
        <f t="shared" si="611"/>
        <v>357.96000000000004</v>
      </c>
      <c r="I45" s="330">
        <f t="shared" si="612"/>
        <v>359.88000000000005</v>
      </c>
      <c r="J45" s="671"/>
      <c r="K45" s="341">
        <f t="shared" si="603"/>
        <v>0</v>
      </c>
      <c r="L45" s="341">
        <f t="shared" si="604"/>
        <v>25.821666666666669</v>
      </c>
      <c r="M45" s="330">
        <f t="shared" si="605"/>
        <v>19.990000000000002</v>
      </c>
      <c r="N45" s="342">
        <f t="shared" si="613"/>
        <v>19.990000000000002</v>
      </c>
      <c r="O45" s="342">
        <f t="shared" si="614"/>
        <v>24.156666666666666</v>
      </c>
      <c r="P45" s="342">
        <f t="shared" si="615"/>
        <v>29.830000000000002</v>
      </c>
      <c r="Q45" s="342">
        <f t="shared" si="616"/>
        <v>29.990000000000006</v>
      </c>
      <c r="R45" s="671"/>
      <c r="S45" s="341"/>
      <c r="T45" s="328"/>
      <c r="U45" s="328"/>
      <c r="V45" s="341"/>
      <c r="W45" s="328"/>
      <c r="X45" s="328"/>
      <c r="Y45" s="328"/>
      <c r="Z45" s="328"/>
      <c r="AA45" s="328"/>
      <c r="AB45" s="328"/>
      <c r="AC45" s="328"/>
      <c r="AD45" s="328"/>
      <c r="AE45" s="328"/>
      <c r="AF45" s="328"/>
      <c r="AG45" s="328"/>
      <c r="AH45" s="341">
        <f>29.99+29.99</f>
        <v>59.98</v>
      </c>
      <c r="AI45" s="328">
        <v>29.99</v>
      </c>
      <c r="AJ45" s="328"/>
      <c r="AK45" s="328">
        <f>29.99+9.99</f>
        <v>39.979999999999997</v>
      </c>
      <c r="AL45" s="328">
        <f>29.99+9.99</f>
        <v>39.979999999999997</v>
      </c>
      <c r="AM45" s="328">
        <v>19.989999999999998</v>
      </c>
      <c r="AN45" s="328">
        <v>19.989999999999998</v>
      </c>
      <c r="AO45" s="328">
        <v>19.989999999999998</v>
      </c>
      <c r="AP45" s="328">
        <v>19.989999999999998</v>
      </c>
      <c r="AQ45" s="328">
        <v>19.989999999999998</v>
      </c>
      <c r="AR45" s="328">
        <v>19.989999999999998</v>
      </c>
      <c r="AS45" s="328">
        <v>19.989999999999998</v>
      </c>
      <c r="AT45" s="341">
        <v>19.989999999999998</v>
      </c>
      <c r="AU45" s="328">
        <v>19.989999999999998</v>
      </c>
      <c r="AV45" s="328">
        <v>19.989999999999998</v>
      </c>
      <c r="AW45" s="328">
        <v>19.989999999999998</v>
      </c>
      <c r="AX45" s="328">
        <v>19.989999999999998</v>
      </c>
      <c r="AY45" s="328">
        <v>19.989999999999998</v>
      </c>
      <c r="AZ45" s="328">
        <v>19.989999999999998</v>
      </c>
      <c r="BA45" s="328">
        <v>19.989999999999998</v>
      </c>
      <c r="BB45" s="328">
        <v>19.989999999999998</v>
      </c>
      <c r="BC45" s="328">
        <v>19.989999999999998</v>
      </c>
      <c r="BD45" s="328">
        <v>19.989999999999998</v>
      </c>
      <c r="BE45" s="328">
        <v>19.989999999999998</v>
      </c>
      <c r="BF45" s="341">
        <v>19.989999999999998</v>
      </c>
      <c r="BG45" s="328">
        <v>19.989999999999998</v>
      </c>
      <c r="BH45" s="328">
        <v>19.989999999999998</v>
      </c>
      <c r="BI45" s="328">
        <v>19.989999999999998</v>
      </c>
      <c r="BJ45" s="328">
        <v>19.989999999999998</v>
      </c>
      <c r="BK45" s="328">
        <v>19.989999999999998</v>
      </c>
      <c r="BL45" s="328">
        <v>19.989999999999998</v>
      </c>
      <c r="BM45" s="328">
        <v>19.989999999999998</v>
      </c>
      <c r="BN45" s="328">
        <v>19.989999999999998</v>
      </c>
      <c r="BO45" s="328">
        <v>19.989999999999998</v>
      </c>
      <c r="BP45" s="328">
        <v>19.989999999999998</v>
      </c>
      <c r="BQ45" s="328">
        <v>19.989999999999998</v>
      </c>
      <c r="BR45" s="341">
        <v>19.989999999999998</v>
      </c>
      <c r="BS45" s="328">
        <v>19.989999999999998</v>
      </c>
      <c r="BT45" s="328">
        <v>19.989999999999998</v>
      </c>
      <c r="BU45" s="328">
        <v>19.989999999999998</v>
      </c>
      <c r="BV45" s="328">
        <v>19.989999999999998</v>
      </c>
      <c r="BW45" s="328">
        <v>19.989999999999998</v>
      </c>
      <c r="BX45" s="328">
        <v>19.989999999999998</v>
      </c>
      <c r="BY45" s="328">
        <v>29.99</v>
      </c>
      <c r="BZ45" s="328">
        <v>29.99</v>
      </c>
      <c r="CA45" s="328">
        <v>29.99</v>
      </c>
      <c r="CB45" s="328">
        <v>29.99</v>
      </c>
      <c r="CC45" s="328">
        <f>29.99</f>
        <v>29.99</v>
      </c>
      <c r="CD45" s="341">
        <f>4.99+5+20</f>
        <v>29.990000000000002</v>
      </c>
      <c r="CE45" s="328">
        <v>29.99</v>
      </c>
      <c r="CF45" s="328">
        <v>29.99</v>
      </c>
      <c r="CG45" s="328">
        <v>28.4</v>
      </c>
      <c r="CH45" s="328">
        <v>29.66</v>
      </c>
      <c r="CI45" s="328">
        <v>29.99</v>
      </c>
      <c r="CJ45" s="328">
        <v>29.99</v>
      </c>
      <c r="CK45" s="328">
        <v>29.99</v>
      </c>
      <c r="CL45" s="328">
        <v>29.99</v>
      </c>
      <c r="CM45" s="328">
        <v>29.99</v>
      </c>
      <c r="CN45" s="328">
        <v>29.99</v>
      </c>
      <c r="CO45" s="328">
        <v>29.99</v>
      </c>
      <c r="CP45" s="341">
        <v>29.99</v>
      </c>
      <c r="CQ45" s="328">
        <v>29.99</v>
      </c>
      <c r="CR45" s="328">
        <v>29.99</v>
      </c>
      <c r="CS45" s="328">
        <v>29.99</v>
      </c>
      <c r="CT45" s="328">
        <v>29.99</v>
      </c>
      <c r="CU45" s="328">
        <v>29.99</v>
      </c>
      <c r="CV45" s="328">
        <v>29.99</v>
      </c>
      <c r="CW45" s="328">
        <v>29.99</v>
      </c>
      <c r="CX45" s="328">
        <v>29.99</v>
      </c>
      <c r="CY45" s="328">
        <v>29.99</v>
      </c>
      <c r="CZ45" s="328">
        <v>29.99</v>
      </c>
      <c r="DA45" s="328">
        <v>29.99</v>
      </c>
      <c r="DB45" s="342">
        <v>29.99</v>
      </c>
      <c r="DC45" s="328">
        <v>29.99</v>
      </c>
      <c r="DD45" s="328">
        <v>29.99</v>
      </c>
      <c r="DE45" s="328">
        <v>29.99</v>
      </c>
      <c r="DF45" s="328">
        <v>29.99</v>
      </c>
      <c r="DG45" s="328">
        <v>29.99</v>
      </c>
      <c r="DH45" s="328">
        <v>29.99</v>
      </c>
      <c r="DI45" s="328">
        <v>29.99</v>
      </c>
      <c r="DJ45" s="328">
        <v>29.99</v>
      </c>
      <c r="DK45" s="328">
        <v>29.99</v>
      </c>
      <c r="DL45" s="328">
        <v>29.99</v>
      </c>
      <c r="DM45" s="328">
        <v>29.99</v>
      </c>
      <c r="DN45" s="328">
        <v>29.99</v>
      </c>
      <c r="DO45" s="341">
        <v>29.99</v>
      </c>
      <c r="DP45" s="328">
        <v>29.99</v>
      </c>
      <c r="DQ45" s="328">
        <v>29.99</v>
      </c>
      <c r="DR45" s="328">
        <v>29.99</v>
      </c>
      <c r="DS45" s="328">
        <v>29.99</v>
      </c>
      <c r="DT45" s="328">
        <v>29.99</v>
      </c>
      <c r="DU45" s="328">
        <v>29.99</v>
      </c>
      <c r="DV45" s="328">
        <v>29.99</v>
      </c>
      <c r="DW45" s="328">
        <v>29.99</v>
      </c>
      <c r="DX45" s="328">
        <v>29.99</v>
      </c>
      <c r="DY45" s="328">
        <v>29.99</v>
      </c>
      <c r="DZ45" s="342">
        <v>29.99</v>
      </c>
      <c r="EA45" s="341">
        <v>29.99</v>
      </c>
      <c r="EB45" s="328">
        <v>29.99</v>
      </c>
      <c r="EC45" s="328">
        <v>29.99</v>
      </c>
      <c r="ED45" s="328">
        <v>29.99</v>
      </c>
      <c r="EE45" s="328">
        <v>29.99</v>
      </c>
      <c r="EF45" s="328">
        <v>29.99</v>
      </c>
      <c r="EG45" s="328">
        <v>29.99</v>
      </c>
      <c r="EH45" s="328">
        <v>29.99</v>
      </c>
      <c r="EI45" s="328">
        <v>29.99</v>
      </c>
      <c r="EJ45" s="328">
        <v>29.99</v>
      </c>
      <c r="EK45" s="328">
        <v>29.99</v>
      </c>
      <c r="EL45" s="342">
        <v>29.99</v>
      </c>
      <c r="EM45" s="328">
        <v>29.99</v>
      </c>
      <c r="EN45" s="328">
        <v>29.99</v>
      </c>
      <c r="EO45" s="328">
        <v>29.99</v>
      </c>
      <c r="EP45" s="328">
        <v>29.99</v>
      </c>
      <c r="EQ45" s="328">
        <v>29.99</v>
      </c>
      <c r="ER45" s="328">
        <v>29.99</v>
      </c>
      <c r="ES45" s="328">
        <v>29.99</v>
      </c>
      <c r="ET45" s="328">
        <v>29.99</v>
      </c>
      <c r="EU45" s="328">
        <v>29.99</v>
      </c>
      <c r="EV45" s="328">
        <v>29.99</v>
      </c>
      <c r="EW45" s="328">
        <v>29.99</v>
      </c>
      <c r="EX45" s="342">
        <v>29.99</v>
      </c>
      <c r="EY45" s="328">
        <v>29.99</v>
      </c>
      <c r="EZ45" s="328">
        <v>29.99</v>
      </c>
      <c r="FA45" s="328">
        <v>29.99</v>
      </c>
      <c r="FB45" s="328">
        <v>29.99</v>
      </c>
      <c r="FC45" s="328">
        <v>29.99</v>
      </c>
      <c r="FD45" s="328">
        <v>29.99</v>
      </c>
      <c r="FE45" s="328">
        <v>29.99</v>
      </c>
      <c r="FF45" s="328">
        <v>29.99</v>
      </c>
      <c r="FG45" s="328">
        <v>29.99</v>
      </c>
      <c r="FH45" s="328">
        <v>29.99</v>
      </c>
      <c r="FI45" s="328">
        <v>29.99</v>
      </c>
      <c r="FJ45" s="342">
        <v>29.99</v>
      </c>
      <c r="FK45" s="328">
        <v>29.99</v>
      </c>
      <c r="FL45" s="328">
        <v>29.99</v>
      </c>
      <c r="FM45" s="328">
        <v>29.99</v>
      </c>
      <c r="FN45" s="328">
        <v>29.99</v>
      </c>
      <c r="FO45" s="328">
        <v>29.99</v>
      </c>
      <c r="FP45" s="328">
        <v>29.99</v>
      </c>
      <c r="FQ45" s="328">
        <v>29.99</v>
      </c>
      <c r="FR45" s="328">
        <v>29.99</v>
      </c>
      <c r="FS45" s="328">
        <v>29.99</v>
      </c>
      <c r="FT45" s="328">
        <v>29.99</v>
      </c>
      <c r="FU45" s="328">
        <v>29.99</v>
      </c>
      <c r="FV45" s="342">
        <v>29.99</v>
      </c>
      <c r="FW45" s="328">
        <v>29.99</v>
      </c>
      <c r="FX45" s="328">
        <v>29.99</v>
      </c>
      <c r="FY45" s="328">
        <v>29.99</v>
      </c>
      <c r="FZ45" s="328">
        <v>29.99</v>
      </c>
      <c r="GA45" s="328">
        <v>29.99</v>
      </c>
      <c r="GB45" s="328">
        <v>29.99</v>
      </c>
      <c r="GC45" s="328">
        <v>29.99</v>
      </c>
      <c r="GD45" s="328">
        <v>29.99</v>
      </c>
      <c r="GE45" s="328">
        <v>29.99</v>
      </c>
      <c r="GF45" s="328">
        <v>29.99</v>
      </c>
      <c r="GG45" s="328">
        <v>29.99</v>
      </c>
      <c r="GH45" s="342">
        <v>29.99</v>
      </c>
      <c r="GI45" s="328">
        <v>29.99</v>
      </c>
      <c r="GJ45" s="328">
        <v>29.99</v>
      </c>
      <c r="GK45" s="328">
        <v>29.99</v>
      </c>
      <c r="GL45" s="328">
        <v>29.99</v>
      </c>
      <c r="GM45" s="328">
        <v>29.99</v>
      </c>
      <c r="GN45" s="328">
        <v>29.99</v>
      </c>
      <c r="GO45" s="328">
        <v>29.99</v>
      </c>
      <c r="GP45" s="328">
        <v>29.99</v>
      </c>
      <c r="GQ45" s="328">
        <v>29.99</v>
      </c>
      <c r="GR45" s="328">
        <v>29.99</v>
      </c>
      <c r="GS45" s="328">
        <v>29.99</v>
      </c>
      <c r="GT45" s="342">
        <v>29.99</v>
      </c>
    </row>
    <row r="46" spans="2:202">
      <c r="B46" s="253" t="s">
        <v>35</v>
      </c>
      <c r="C46" s="251">
        <f t="shared" si="606"/>
        <v>77.97</v>
      </c>
      <c r="D46" s="246">
        <f t="shared" si="607"/>
        <v>59.99</v>
      </c>
      <c r="E46" s="246">
        <f t="shared" si="608"/>
        <v>0</v>
      </c>
      <c r="F46" s="246">
        <f t="shared" si="609"/>
        <v>0</v>
      </c>
      <c r="G46" s="246">
        <f t="shared" si="610"/>
        <v>158.9</v>
      </c>
      <c r="H46" s="246">
        <f t="shared" si="611"/>
        <v>179.9</v>
      </c>
      <c r="I46" s="246">
        <f t="shared" si="612"/>
        <v>0</v>
      </c>
      <c r="J46" s="671"/>
      <c r="K46" s="274">
        <f t="shared" si="603"/>
        <v>6.4974999999999996</v>
      </c>
      <c r="L46" s="274">
        <f t="shared" si="604"/>
        <v>4.9991666666666665</v>
      </c>
      <c r="M46" s="246">
        <f t="shared" si="605"/>
        <v>0</v>
      </c>
      <c r="N46" s="251">
        <f t="shared" si="613"/>
        <v>0</v>
      </c>
      <c r="O46" s="251">
        <f t="shared" si="614"/>
        <v>13.241666666666667</v>
      </c>
      <c r="P46" s="251">
        <f t="shared" si="615"/>
        <v>14.991666666666667</v>
      </c>
      <c r="Q46" s="251">
        <f t="shared" si="616"/>
        <v>0</v>
      </c>
      <c r="R46" s="671"/>
      <c r="S46" s="274">
        <v>8.99</v>
      </c>
      <c r="T46" s="23">
        <v>8.99</v>
      </c>
      <c r="U46" s="23">
        <v>8.99</v>
      </c>
      <c r="V46" s="274">
        <v>8.99</v>
      </c>
      <c r="W46" s="23">
        <f>8.99+59.99</f>
        <v>68.98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74"/>
      <c r="AI46" s="23"/>
      <c r="AJ46" s="23">
        <v>59.99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74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74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74"/>
      <c r="BS46" s="23"/>
      <c r="BT46" s="23">
        <v>14.99</v>
      </c>
      <c r="BU46" s="23">
        <v>14.99</v>
      </c>
      <c r="BV46" s="23">
        <v>14.99</v>
      </c>
      <c r="BW46" s="23">
        <v>14.99</v>
      </c>
      <c r="BX46" s="23">
        <v>14.99</v>
      </c>
      <c r="BY46" s="23">
        <v>14.99</v>
      </c>
      <c r="BZ46" s="23">
        <v>14.99</v>
      </c>
      <c r="CA46" s="23">
        <v>17.989999999999998</v>
      </c>
      <c r="CB46" s="23">
        <v>17.989999999999998</v>
      </c>
      <c r="CC46" s="23">
        <v>17.989999999999998</v>
      </c>
      <c r="CD46" s="274">
        <f>17.99</f>
        <v>17.989999999999998</v>
      </c>
      <c r="CE46" s="23">
        <v>17.989999999999998</v>
      </c>
      <c r="CF46" s="23">
        <v>17.989999999999998</v>
      </c>
      <c r="CG46" s="23">
        <v>17.989999999999998</v>
      </c>
      <c r="CH46" s="23">
        <v>17.989999999999998</v>
      </c>
      <c r="CI46" s="23">
        <v>17.989999999999998</v>
      </c>
      <c r="CJ46" s="23">
        <v>17.989999999999998</v>
      </c>
      <c r="CK46" s="23">
        <v>17.989999999999998</v>
      </c>
      <c r="CL46" s="23">
        <v>17.989999999999998</v>
      </c>
      <c r="CM46" s="23">
        <v>17.989999999999998</v>
      </c>
      <c r="CN46" s="23"/>
      <c r="CO46" s="23"/>
      <c r="CP46" s="274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51"/>
      <c r="DC46" s="23">
        <v>12.99</v>
      </c>
      <c r="DD46" s="23">
        <v>12.99</v>
      </c>
      <c r="DE46" s="23">
        <v>12.99</v>
      </c>
      <c r="DF46" s="23">
        <v>12.99</v>
      </c>
      <c r="DG46" s="23">
        <v>12.99</v>
      </c>
      <c r="DH46" s="23">
        <v>12.99</v>
      </c>
      <c r="DI46" s="23">
        <v>12.99</v>
      </c>
      <c r="DJ46" s="23">
        <v>12.99</v>
      </c>
      <c r="DK46" s="23">
        <v>12.99</v>
      </c>
      <c r="DL46" s="23">
        <v>12.99</v>
      </c>
      <c r="DM46" s="23">
        <v>12.99</v>
      </c>
      <c r="DN46" s="23">
        <v>12.99</v>
      </c>
      <c r="DO46" s="274">
        <v>12.99</v>
      </c>
      <c r="DP46" s="23">
        <v>12.99</v>
      </c>
      <c r="DQ46" s="23">
        <v>12.99</v>
      </c>
      <c r="DR46" s="23">
        <v>12.99</v>
      </c>
      <c r="DS46" s="23">
        <v>12.99</v>
      </c>
      <c r="DT46" s="23">
        <v>12.99</v>
      </c>
      <c r="DU46" s="23">
        <v>12.99</v>
      </c>
      <c r="DV46" s="23">
        <v>12.99</v>
      </c>
      <c r="DW46" s="23">
        <v>12.99</v>
      </c>
      <c r="DX46" s="23">
        <v>12.99</v>
      </c>
      <c r="DY46" s="23">
        <v>12.99</v>
      </c>
      <c r="DZ46" s="251">
        <v>12.99</v>
      </c>
      <c r="EA46" s="274">
        <v>12.99</v>
      </c>
      <c r="EB46" s="23">
        <v>12.99</v>
      </c>
      <c r="EC46" s="23">
        <v>12.99</v>
      </c>
      <c r="ED46" s="23">
        <v>12.99</v>
      </c>
      <c r="EE46" s="23">
        <v>12.99</v>
      </c>
      <c r="EF46" s="23">
        <v>12.99</v>
      </c>
      <c r="EG46" s="23">
        <v>12.99</v>
      </c>
      <c r="EH46" s="23">
        <v>12.99</v>
      </c>
      <c r="EI46" s="23">
        <v>12.99</v>
      </c>
      <c r="EJ46" s="23">
        <v>12.99</v>
      </c>
      <c r="EK46" s="23">
        <v>12.99</v>
      </c>
      <c r="EL46" s="251">
        <v>12.99</v>
      </c>
      <c r="EM46" s="23">
        <v>12.99</v>
      </c>
      <c r="EN46" s="23">
        <v>12.99</v>
      </c>
      <c r="EO46" s="23">
        <v>12.99</v>
      </c>
      <c r="EP46" s="23">
        <v>12.99</v>
      </c>
      <c r="EQ46" s="23">
        <v>12.99</v>
      </c>
      <c r="ER46" s="23">
        <v>12.99</v>
      </c>
      <c r="ES46" s="23">
        <v>12.99</v>
      </c>
      <c r="ET46" s="23">
        <v>12.99</v>
      </c>
      <c r="EU46" s="23"/>
      <c r="EV46" s="23"/>
      <c r="EW46" s="23"/>
      <c r="EX46" s="251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51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51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51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51"/>
    </row>
    <row r="47" spans="2:202">
      <c r="B47" s="350" t="s">
        <v>36</v>
      </c>
      <c r="C47" s="342">
        <f t="shared" si="606"/>
        <v>119.87999999999998</v>
      </c>
      <c r="D47" s="330">
        <f t="shared" si="607"/>
        <v>119.87999999999998</v>
      </c>
      <c r="E47" s="330">
        <f t="shared" si="608"/>
        <v>119.87999999999998</v>
      </c>
      <c r="F47" s="330">
        <f t="shared" si="609"/>
        <v>122.87999999999998</v>
      </c>
      <c r="G47" s="330">
        <f t="shared" si="610"/>
        <v>120.88999999999997</v>
      </c>
      <c r="H47" s="330">
        <f t="shared" si="611"/>
        <v>133.87999999999997</v>
      </c>
      <c r="I47" s="330">
        <f t="shared" si="612"/>
        <v>143.88</v>
      </c>
      <c r="J47" s="671"/>
      <c r="K47" s="341">
        <f t="shared" si="603"/>
        <v>9.9899999999999984</v>
      </c>
      <c r="L47" s="341">
        <f t="shared" si="604"/>
        <v>9.9899999999999984</v>
      </c>
      <c r="M47" s="330">
        <f t="shared" si="605"/>
        <v>9.9899999999999984</v>
      </c>
      <c r="N47" s="342">
        <f t="shared" si="613"/>
        <v>10.239999999999998</v>
      </c>
      <c r="O47" s="342">
        <f t="shared" si="614"/>
        <v>10.074166666666665</v>
      </c>
      <c r="P47" s="342">
        <f t="shared" si="615"/>
        <v>11.156666666666665</v>
      </c>
      <c r="Q47" s="342">
        <f t="shared" si="616"/>
        <v>11.99</v>
      </c>
      <c r="R47" s="671"/>
      <c r="S47" s="341">
        <v>9.99</v>
      </c>
      <c r="T47" s="328">
        <v>9.99</v>
      </c>
      <c r="U47" s="328">
        <v>9.99</v>
      </c>
      <c r="V47" s="341">
        <v>9.99</v>
      </c>
      <c r="W47" s="328">
        <v>9.99</v>
      </c>
      <c r="X47" s="328">
        <v>9.99</v>
      </c>
      <c r="Y47" s="328">
        <v>9.99</v>
      </c>
      <c r="Z47" s="328">
        <v>9.99</v>
      </c>
      <c r="AA47" s="328">
        <v>9.99</v>
      </c>
      <c r="AB47" s="328">
        <v>9.99</v>
      </c>
      <c r="AC47" s="328">
        <v>9.99</v>
      </c>
      <c r="AD47" s="328">
        <v>9.99</v>
      </c>
      <c r="AE47" s="328">
        <v>9.99</v>
      </c>
      <c r="AF47" s="328">
        <v>9.99</v>
      </c>
      <c r="AG47" s="328">
        <v>9.99</v>
      </c>
      <c r="AH47" s="341">
        <v>9.99</v>
      </c>
      <c r="AI47" s="328">
        <v>9.99</v>
      </c>
      <c r="AJ47" s="328">
        <v>9.99</v>
      </c>
      <c r="AK47" s="328">
        <v>9.99</v>
      </c>
      <c r="AL47" s="328">
        <v>9.99</v>
      </c>
      <c r="AM47" s="328">
        <v>9.99</v>
      </c>
      <c r="AN47" s="328">
        <v>9.99</v>
      </c>
      <c r="AO47" s="328">
        <v>9.99</v>
      </c>
      <c r="AP47" s="328">
        <v>9.99</v>
      </c>
      <c r="AQ47" s="328">
        <v>9.99</v>
      </c>
      <c r="AR47" s="328">
        <v>9.99</v>
      </c>
      <c r="AS47" s="328">
        <v>9.99</v>
      </c>
      <c r="AT47" s="341">
        <v>9.99</v>
      </c>
      <c r="AU47" s="328">
        <v>9.99</v>
      </c>
      <c r="AV47" s="328">
        <v>9.99</v>
      </c>
      <c r="AW47" s="328">
        <v>9.99</v>
      </c>
      <c r="AX47" s="328">
        <v>9.99</v>
      </c>
      <c r="AY47" s="328">
        <v>9.99</v>
      </c>
      <c r="AZ47" s="328">
        <v>9.99</v>
      </c>
      <c r="BA47" s="328">
        <v>9.99</v>
      </c>
      <c r="BB47" s="328">
        <v>9.99</v>
      </c>
      <c r="BC47" s="328">
        <v>9.99</v>
      </c>
      <c r="BD47" s="328">
        <v>9.99</v>
      </c>
      <c r="BE47" s="328">
        <v>9.99</v>
      </c>
      <c r="BF47" s="341">
        <v>9.99</v>
      </c>
      <c r="BG47" s="328">
        <v>9.99</v>
      </c>
      <c r="BH47" s="328">
        <v>9.99</v>
      </c>
      <c r="BI47" s="328">
        <v>9.99</v>
      </c>
      <c r="BJ47" s="328">
        <v>9.99</v>
      </c>
      <c r="BK47" s="328">
        <v>9.99</v>
      </c>
      <c r="BL47" s="328">
        <v>9.99</v>
      </c>
      <c r="BM47" s="328">
        <v>9.99</v>
      </c>
      <c r="BN47" s="328">
        <v>9.99</v>
      </c>
      <c r="BO47" s="328">
        <v>10.99</v>
      </c>
      <c r="BP47" s="328">
        <v>10.99</v>
      </c>
      <c r="BQ47" s="328">
        <v>10.99</v>
      </c>
      <c r="BR47" s="341">
        <v>10.99</v>
      </c>
      <c r="BS47" s="328">
        <v>10.99</v>
      </c>
      <c r="BT47" s="328">
        <v>10.99</v>
      </c>
      <c r="BU47" s="328">
        <v>10.99</v>
      </c>
      <c r="BV47" s="328">
        <v>10.99</v>
      </c>
      <c r="BW47" s="328">
        <v>10.99</v>
      </c>
      <c r="BX47" s="328">
        <v>10.99</v>
      </c>
      <c r="BY47" s="328">
        <v>10.99</v>
      </c>
      <c r="BZ47" s="328">
        <v>10.99</v>
      </c>
      <c r="CA47" s="328">
        <v>10.99</v>
      </c>
      <c r="CB47" s="328">
        <v>10.99</v>
      </c>
      <c r="CC47" s="328"/>
      <c r="CD47" s="341">
        <v>10.99</v>
      </c>
      <c r="CE47" s="328">
        <v>10.99</v>
      </c>
      <c r="CF47" s="328">
        <v>10.99</v>
      </c>
      <c r="CG47" s="328">
        <v>10.99</v>
      </c>
      <c r="CH47" s="328">
        <v>10.99</v>
      </c>
      <c r="CI47" s="328">
        <v>10.99</v>
      </c>
      <c r="CJ47" s="328">
        <v>10.99</v>
      </c>
      <c r="CK47" s="328">
        <v>10.99</v>
      </c>
      <c r="CL47" s="328">
        <v>10.99</v>
      </c>
      <c r="CM47" s="328">
        <v>10.99</v>
      </c>
      <c r="CN47" s="328">
        <v>11.99</v>
      </c>
      <c r="CO47" s="328">
        <v>11.99</v>
      </c>
      <c r="CP47" s="341">
        <v>11.99</v>
      </c>
      <c r="CQ47" s="328">
        <v>11.99</v>
      </c>
      <c r="CR47" s="328">
        <v>11.99</v>
      </c>
      <c r="CS47" s="328">
        <v>11.99</v>
      </c>
      <c r="CT47" s="328">
        <v>11.99</v>
      </c>
      <c r="CU47" s="328">
        <v>11.99</v>
      </c>
      <c r="CV47" s="328">
        <v>11.99</v>
      </c>
      <c r="CW47" s="328">
        <v>11.99</v>
      </c>
      <c r="CX47" s="328">
        <v>11.99</v>
      </c>
      <c r="CY47" s="328">
        <v>11.99</v>
      </c>
      <c r="CZ47" s="328">
        <v>11.99</v>
      </c>
      <c r="DA47" s="328">
        <v>11.99</v>
      </c>
      <c r="DB47" s="342">
        <v>11.99</v>
      </c>
      <c r="DC47" s="328">
        <v>11.99</v>
      </c>
      <c r="DD47" s="328">
        <v>11.99</v>
      </c>
      <c r="DE47" s="328">
        <v>11.99</v>
      </c>
      <c r="DF47" s="328">
        <v>11.99</v>
      </c>
      <c r="DG47" s="328">
        <v>11.99</v>
      </c>
      <c r="DH47" s="328">
        <v>11.99</v>
      </c>
      <c r="DI47" s="328">
        <v>11.99</v>
      </c>
      <c r="DJ47" s="328">
        <v>11.99</v>
      </c>
      <c r="DK47" s="328">
        <v>11.99</v>
      </c>
      <c r="DL47" s="328">
        <v>11.99</v>
      </c>
      <c r="DM47" s="328">
        <v>11.99</v>
      </c>
      <c r="DN47" s="328">
        <v>11.99</v>
      </c>
      <c r="DO47" s="341">
        <v>11.99</v>
      </c>
      <c r="DP47" s="328">
        <v>11.99</v>
      </c>
      <c r="DQ47" s="328">
        <v>11.99</v>
      </c>
      <c r="DR47" s="328">
        <v>11.99</v>
      </c>
      <c r="DS47" s="328">
        <v>11.99</v>
      </c>
      <c r="DT47" s="328">
        <v>11.99</v>
      </c>
      <c r="DU47" s="328">
        <v>11.99</v>
      </c>
      <c r="DV47" s="328">
        <v>11.99</v>
      </c>
      <c r="DW47" s="328">
        <v>11.99</v>
      </c>
      <c r="DX47" s="328">
        <v>11.99</v>
      </c>
      <c r="DY47" s="328">
        <v>11.99</v>
      </c>
      <c r="DZ47" s="342">
        <v>11.99</v>
      </c>
      <c r="EA47" s="341">
        <v>11.99</v>
      </c>
      <c r="EB47" s="328">
        <v>11.99</v>
      </c>
      <c r="EC47" s="328">
        <v>11.99</v>
      </c>
      <c r="ED47" s="328">
        <v>11.99</v>
      </c>
      <c r="EE47" s="328">
        <v>11.99</v>
      </c>
      <c r="EF47" s="328">
        <v>11.99</v>
      </c>
      <c r="EG47" s="328">
        <v>11.99</v>
      </c>
      <c r="EH47" s="328">
        <v>11.99</v>
      </c>
      <c r="EI47" s="328">
        <v>11.99</v>
      </c>
      <c r="EJ47" s="328">
        <v>11.99</v>
      </c>
      <c r="EK47" s="328">
        <v>11.99</v>
      </c>
      <c r="EL47" s="342">
        <v>11.99</v>
      </c>
      <c r="EM47" s="328">
        <v>11.99</v>
      </c>
      <c r="EN47" s="328">
        <v>11.99</v>
      </c>
      <c r="EO47" s="328">
        <v>11.99</v>
      </c>
      <c r="EP47" s="328">
        <v>11.99</v>
      </c>
      <c r="EQ47" s="328">
        <v>11.99</v>
      </c>
      <c r="ER47" s="328">
        <v>11.99</v>
      </c>
      <c r="ES47" s="328">
        <v>11.99</v>
      </c>
      <c r="ET47" s="328">
        <v>11.99</v>
      </c>
      <c r="EU47" s="328">
        <v>11.99</v>
      </c>
      <c r="EV47" s="328">
        <v>11.99</v>
      </c>
      <c r="EW47" s="328">
        <v>11.99</v>
      </c>
      <c r="EX47" s="342">
        <v>11.99</v>
      </c>
      <c r="EY47" s="328">
        <v>11.99</v>
      </c>
      <c r="EZ47" s="328">
        <v>11.99</v>
      </c>
      <c r="FA47" s="328">
        <v>11.99</v>
      </c>
      <c r="FB47" s="328">
        <v>11.99</v>
      </c>
      <c r="FC47" s="328">
        <v>11.99</v>
      </c>
      <c r="FD47" s="328">
        <v>11.99</v>
      </c>
      <c r="FE47" s="328">
        <v>11.99</v>
      </c>
      <c r="FF47" s="328">
        <v>11.99</v>
      </c>
      <c r="FG47" s="328">
        <v>11.99</v>
      </c>
      <c r="FH47" s="328">
        <v>11.99</v>
      </c>
      <c r="FI47" s="328">
        <v>11.99</v>
      </c>
      <c r="FJ47" s="342">
        <v>11.99</v>
      </c>
      <c r="FK47" s="328">
        <v>11.99</v>
      </c>
      <c r="FL47" s="328">
        <v>11.99</v>
      </c>
      <c r="FM47" s="328">
        <v>11.99</v>
      </c>
      <c r="FN47" s="328">
        <v>11.99</v>
      </c>
      <c r="FO47" s="328">
        <v>11.99</v>
      </c>
      <c r="FP47" s="328">
        <v>11.99</v>
      </c>
      <c r="FQ47" s="328">
        <v>11.99</v>
      </c>
      <c r="FR47" s="328">
        <v>11.99</v>
      </c>
      <c r="FS47" s="328">
        <v>11.99</v>
      </c>
      <c r="FT47" s="328">
        <v>11.99</v>
      </c>
      <c r="FU47" s="328">
        <v>11.99</v>
      </c>
      <c r="FV47" s="342">
        <v>11.99</v>
      </c>
      <c r="FW47" s="328">
        <v>11.99</v>
      </c>
      <c r="FX47" s="328">
        <v>11.99</v>
      </c>
      <c r="FY47" s="328">
        <v>11.99</v>
      </c>
      <c r="FZ47" s="328">
        <v>11.99</v>
      </c>
      <c r="GA47" s="328">
        <v>11.99</v>
      </c>
      <c r="GB47" s="328">
        <v>11.99</v>
      </c>
      <c r="GC47" s="328">
        <v>11.99</v>
      </c>
      <c r="GD47" s="328">
        <v>11.99</v>
      </c>
      <c r="GE47" s="328">
        <v>11.99</v>
      </c>
      <c r="GF47" s="328">
        <v>11.99</v>
      </c>
      <c r="GG47" s="328">
        <v>11.99</v>
      </c>
      <c r="GH47" s="342">
        <v>11.99</v>
      </c>
      <c r="GI47" s="328">
        <v>11.99</v>
      </c>
      <c r="GJ47" s="328">
        <v>11.99</v>
      </c>
      <c r="GK47" s="328">
        <v>11.99</v>
      </c>
      <c r="GL47" s="328">
        <v>11.99</v>
      </c>
      <c r="GM47" s="328">
        <v>11.99</v>
      </c>
      <c r="GN47" s="328">
        <v>11.99</v>
      </c>
      <c r="GO47" s="328">
        <v>11.99</v>
      </c>
      <c r="GP47" s="328">
        <v>11.99</v>
      </c>
      <c r="GQ47" s="328">
        <v>11.99</v>
      </c>
      <c r="GR47" s="328">
        <v>11.99</v>
      </c>
      <c r="GS47" s="328">
        <v>11.99</v>
      </c>
      <c r="GT47" s="342">
        <v>11.99</v>
      </c>
    </row>
    <row r="48" spans="2:202">
      <c r="B48" s="253" t="s">
        <v>37</v>
      </c>
      <c r="C48" s="251">
        <f t="shared" si="606"/>
        <v>457.58000000000004</v>
      </c>
      <c r="D48" s="246">
        <f t="shared" si="607"/>
        <v>277.69</v>
      </c>
      <c r="E48" s="246">
        <f t="shared" si="608"/>
        <v>191.85000000000002</v>
      </c>
      <c r="F48" s="246">
        <f t="shared" si="609"/>
        <v>168.89</v>
      </c>
      <c r="G48" s="246">
        <f t="shared" si="610"/>
        <v>173.88000000000002</v>
      </c>
      <c r="H48" s="246">
        <f t="shared" si="611"/>
        <v>179.88000000000002</v>
      </c>
      <c r="I48" s="246">
        <f t="shared" si="612"/>
        <v>169.87</v>
      </c>
      <c r="J48" s="671"/>
      <c r="K48" s="274">
        <f t="shared" si="603"/>
        <v>38.131666666666668</v>
      </c>
      <c r="L48" s="274">
        <f t="shared" si="604"/>
        <v>23.140833333333333</v>
      </c>
      <c r="M48" s="246">
        <f t="shared" si="605"/>
        <v>15.987500000000002</v>
      </c>
      <c r="N48" s="251">
        <f t="shared" si="613"/>
        <v>14.074166666666665</v>
      </c>
      <c r="O48" s="251">
        <f t="shared" si="614"/>
        <v>14.490000000000002</v>
      </c>
      <c r="P48" s="251">
        <f t="shared" si="615"/>
        <v>14.990000000000002</v>
      </c>
      <c r="Q48" s="251">
        <f t="shared" si="616"/>
        <v>14.155833333333334</v>
      </c>
      <c r="R48" s="671"/>
      <c r="S48" s="274"/>
      <c r="T48" s="23">
        <v>81.61</v>
      </c>
      <c r="U48" s="23"/>
      <c r="V48" s="274"/>
      <c r="W48" s="23">
        <v>87.59</v>
      </c>
      <c r="X48" s="23">
        <v>87.59</v>
      </c>
      <c r="Y48" s="23"/>
      <c r="Z48" s="23">
        <v>97.6</v>
      </c>
      <c r="AA48" s="23"/>
      <c r="AB48" s="23"/>
      <c r="AC48" s="23">
        <v>61.6</v>
      </c>
      <c r="AD48" s="23">
        <v>61.6</v>
      </c>
      <c r="AE48" s="23"/>
      <c r="AF48" s="23">
        <v>61.6</v>
      </c>
      <c r="AG48" s="23"/>
      <c r="AH48" s="274"/>
      <c r="AI48" s="23">
        <v>61.6</v>
      </c>
      <c r="AJ48" s="23">
        <v>61.6</v>
      </c>
      <c r="AK48" s="23"/>
      <c r="AL48" s="23"/>
      <c r="AM48" s="23"/>
      <c r="AN48" s="23">
        <v>124.52</v>
      </c>
      <c r="AO48" s="23"/>
      <c r="AP48" s="23"/>
      <c r="AQ48" s="23"/>
      <c r="AR48" s="23">
        <f>19.98+9.99</f>
        <v>29.97</v>
      </c>
      <c r="AS48" s="23"/>
      <c r="AT48" s="274">
        <f>9.99+9.99+9.99</f>
        <v>29.97</v>
      </c>
      <c r="AU48" s="23">
        <f>9.99+10</f>
        <v>19.990000000000002</v>
      </c>
      <c r="AV48" s="23">
        <v>9.99</v>
      </c>
      <c r="AW48" s="23">
        <v>9.99</v>
      </c>
      <c r="AX48" s="23">
        <v>23.98</v>
      </c>
      <c r="AY48" s="23">
        <v>13.99</v>
      </c>
      <c r="AZ48" s="23">
        <v>13.99</v>
      </c>
      <c r="BA48" s="23">
        <v>13.99</v>
      </c>
      <c r="BB48" s="23">
        <v>13.99</v>
      </c>
      <c r="BC48" s="23">
        <v>13.99</v>
      </c>
      <c r="BD48" s="23">
        <v>13.99</v>
      </c>
      <c r="BE48" s="23">
        <v>13.99</v>
      </c>
      <c r="BF48" s="274">
        <v>13.99</v>
      </c>
      <c r="BG48" s="23">
        <v>13.99</v>
      </c>
      <c r="BH48" s="23">
        <v>13.99</v>
      </c>
      <c r="BI48" s="23">
        <v>13.99</v>
      </c>
      <c r="BJ48" s="23">
        <v>13.99</v>
      </c>
      <c r="BK48" s="23">
        <v>13.99</v>
      </c>
      <c r="BL48" s="23">
        <v>13.99</v>
      </c>
      <c r="BM48" s="23">
        <v>13.99</v>
      </c>
      <c r="BN48" s="23">
        <v>13.99</v>
      </c>
      <c r="BO48" s="23">
        <v>13.99</v>
      </c>
      <c r="BP48" s="23">
        <v>13.99</v>
      </c>
      <c r="BQ48" s="23">
        <v>15</v>
      </c>
      <c r="BR48" s="274">
        <v>13.99</v>
      </c>
      <c r="BS48" s="23">
        <v>13.99</v>
      </c>
      <c r="BT48" s="23">
        <v>13.99</v>
      </c>
      <c r="BU48" s="23">
        <v>13.99</v>
      </c>
      <c r="BV48" s="23">
        <v>13.99</v>
      </c>
      <c r="BW48" s="23">
        <v>13.99</v>
      </c>
      <c r="BX48" s="23">
        <v>14.99</v>
      </c>
      <c r="BY48" s="23">
        <f>BX48</f>
        <v>14.99</v>
      </c>
      <c r="BZ48" s="23">
        <f t="shared" ref="BZ48:EK48" si="617">BY48</f>
        <v>14.99</v>
      </c>
      <c r="CA48" s="23">
        <f t="shared" si="617"/>
        <v>14.99</v>
      </c>
      <c r="CB48" s="23">
        <f t="shared" si="617"/>
        <v>14.99</v>
      </c>
      <c r="CC48" s="23">
        <f t="shared" si="617"/>
        <v>14.99</v>
      </c>
      <c r="CD48" s="274">
        <f t="shared" si="617"/>
        <v>14.99</v>
      </c>
      <c r="CE48" s="23">
        <f t="shared" si="617"/>
        <v>14.99</v>
      </c>
      <c r="CF48" s="23">
        <f t="shared" si="617"/>
        <v>14.99</v>
      </c>
      <c r="CG48" s="23">
        <f t="shared" si="617"/>
        <v>14.99</v>
      </c>
      <c r="CH48" s="23">
        <f t="shared" si="617"/>
        <v>14.99</v>
      </c>
      <c r="CI48" s="23">
        <f t="shared" si="617"/>
        <v>14.99</v>
      </c>
      <c r="CJ48" s="23">
        <f t="shared" si="617"/>
        <v>14.99</v>
      </c>
      <c r="CK48" s="23">
        <f t="shared" si="617"/>
        <v>14.99</v>
      </c>
      <c r="CL48" s="23">
        <f t="shared" si="617"/>
        <v>14.99</v>
      </c>
      <c r="CM48" s="23">
        <f t="shared" si="617"/>
        <v>14.99</v>
      </c>
      <c r="CN48" s="23">
        <f t="shared" si="617"/>
        <v>14.99</v>
      </c>
      <c r="CO48" s="23">
        <f t="shared" si="617"/>
        <v>14.99</v>
      </c>
      <c r="CP48" s="274">
        <f t="shared" si="617"/>
        <v>14.99</v>
      </c>
      <c r="CQ48" s="23">
        <f t="shared" si="617"/>
        <v>14.99</v>
      </c>
      <c r="CR48" s="23">
        <f>22.98</f>
        <v>22.98</v>
      </c>
      <c r="CS48" s="23">
        <f>12.99</f>
        <v>12.99</v>
      </c>
      <c r="CT48" s="23">
        <f t="shared" si="617"/>
        <v>12.99</v>
      </c>
      <c r="CU48" s="23">
        <f t="shared" si="617"/>
        <v>12.99</v>
      </c>
      <c r="CV48" s="23">
        <f t="shared" si="617"/>
        <v>12.99</v>
      </c>
      <c r="CW48" s="23">
        <f t="shared" si="617"/>
        <v>12.99</v>
      </c>
      <c r="CX48" s="23">
        <f t="shared" si="617"/>
        <v>12.99</v>
      </c>
      <c r="CY48" s="23">
        <f t="shared" si="617"/>
        <v>12.99</v>
      </c>
      <c r="CZ48" s="23">
        <f t="shared" si="617"/>
        <v>12.99</v>
      </c>
      <c r="DA48" s="23">
        <f t="shared" si="617"/>
        <v>12.99</v>
      </c>
      <c r="DB48" s="251">
        <f t="shared" si="617"/>
        <v>12.99</v>
      </c>
      <c r="DC48" s="23">
        <f t="shared" si="617"/>
        <v>12.99</v>
      </c>
      <c r="DD48" s="23">
        <f t="shared" si="617"/>
        <v>12.99</v>
      </c>
      <c r="DE48" s="23">
        <f t="shared" si="617"/>
        <v>12.99</v>
      </c>
      <c r="DF48" s="23">
        <f t="shared" si="617"/>
        <v>12.99</v>
      </c>
      <c r="DG48" s="23">
        <f t="shared" si="617"/>
        <v>12.99</v>
      </c>
      <c r="DH48" s="23">
        <f t="shared" si="617"/>
        <v>12.99</v>
      </c>
      <c r="DI48" s="23">
        <f t="shared" si="617"/>
        <v>12.99</v>
      </c>
      <c r="DJ48" s="23">
        <f t="shared" si="617"/>
        <v>12.99</v>
      </c>
      <c r="DK48" s="23">
        <f t="shared" si="617"/>
        <v>12.99</v>
      </c>
      <c r="DL48" s="23">
        <f t="shared" si="617"/>
        <v>12.99</v>
      </c>
      <c r="DM48" s="23">
        <f t="shared" si="617"/>
        <v>12.99</v>
      </c>
      <c r="DN48" s="23">
        <f t="shared" si="617"/>
        <v>12.99</v>
      </c>
      <c r="DO48" s="274">
        <f t="shared" si="617"/>
        <v>12.99</v>
      </c>
      <c r="DP48" s="23">
        <f t="shared" si="617"/>
        <v>12.99</v>
      </c>
      <c r="DQ48" s="23">
        <f t="shared" si="617"/>
        <v>12.99</v>
      </c>
      <c r="DR48" s="23">
        <f t="shared" si="617"/>
        <v>12.99</v>
      </c>
      <c r="DS48" s="23">
        <f t="shared" si="617"/>
        <v>12.99</v>
      </c>
      <c r="DT48" s="23">
        <f t="shared" si="617"/>
        <v>12.99</v>
      </c>
      <c r="DU48" s="23">
        <f t="shared" si="617"/>
        <v>12.99</v>
      </c>
      <c r="DV48" s="23">
        <f t="shared" si="617"/>
        <v>12.99</v>
      </c>
      <c r="DW48" s="23">
        <f t="shared" si="617"/>
        <v>12.99</v>
      </c>
      <c r="DX48" s="23">
        <f t="shared" si="617"/>
        <v>12.99</v>
      </c>
      <c r="DY48" s="23">
        <f t="shared" si="617"/>
        <v>12.99</v>
      </c>
      <c r="DZ48" s="251">
        <f t="shared" si="617"/>
        <v>12.99</v>
      </c>
      <c r="EA48" s="274">
        <f t="shared" si="617"/>
        <v>12.99</v>
      </c>
      <c r="EB48" s="23">
        <f t="shared" si="617"/>
        <v>12.99</v>
      </c>
      <c r="EC48" s="23">
        <f t="shared" si="617"/>
        <v>12.99</v>
      </c>
      <c r="ED48" s="23">
        <f t="shared" si="617"/>
        <v>12.99</v>
      </c>
      <c r="EE48" s="23">
        <f t="shared" si="617"/>
        <v>12.99</v>
      </c>
      <c r="EF48" s="23">
        <f t="shared" si="617"/>
        <v>12.99</v>
      </c>
      <c r="EG48" s="23">
        <f t="shared" si="617"/>
        <v>12.99</v>
      </c>
      <c r="EH48" s="23">
        <f t="shared" si="617"/>
        <v>12.99</v>
      </c>
      <c r="EI48" s="23">
        <f t="shared" si="617"/>
        <v>12.99</v>
      </c>
      <c r="EJ48" s="23">
        <f t="shared" si="617"/>
        <v>12.99</v>
      </c>
      <c r="EK48" s="23">
        <f t="shared" si="617"/>
        <v>12.99</v>
      </c>
      <c r="EL48" s="251">
        <f t="shared" ref="EL48:EQ48" si="618">EK48</f>
        <v>12.99</v>
      </c>
      <c r="EM48" s="23">
        <f t="shared" si="618"/>
        <v>12.99</v>
      </c>
      <c r="EN48" s="23">
        <f t="shared" si="618"/>
        <v>12.99</v>
      </c>
      <c r="EO48" s="23">
        <f t="shared" si="618"/>
        <v>12.99</v>
      </c>
      <c r="EP48" s="23">
        <f t="shared" si="618"/>
        <v>12.99</v>
      </c>
      <c r="EQ48" s="23">
        <f t="shared" si="618"/>
        <v>12.99</v>
      </c>
      <c r="ER48" s="23">
        <f t="shared" ref="ER48" si="619">EQ48</f>
        <v>12.99</v>
      </c>
      <c r="ES48" s="23">
        <f t="shared" ref="ES48" si="620">ER48</f>
        <v>12.99</v>
      </c>
      <c r="ET48" s="23">
        <f t="shared" ref="ET48" si="621">ES48</f>
        <v>12.99</v>
      </c>
      <c r="EU48" s="23">
        <f t="shared" ref="EU48" si="622">ET48</f>
        <v>12.99</v>
      </c>
      <c r="EV48" s="23">
        <f t="shared" ref="EV48" si="623">EU48</f>
        <v>12.99</v>
      </c>
      <c r="EW48" s="23">
        <f t="shared" ref="EW48" si="624">EV48</f>
        <v>12.99</v>
      </c>
      <c r="EX48" s="251">
        <f t="shared" ref="EX48" si="625">EW48</f>
        <v>12.99</v>
      </c>
      <c r="EY48" s="23">
        <f t="shared" ref="EY48" si="626">EX48</f>
        <v>12.99</v>
      </c>
      <c r="EZ48" s="23">
        <f t="shared" ref="EZ48" si="627">EY48</f>
        <v>12.99</v>
      </c>
      <c r="FA48" s="23">
        <f t="shared" ref="FA48" si="628">EZ48</f>
        <v>12.99</v>
      </c>
      <c r="FB48" s="23">
        <f t="shared" ref="FB48" si="629">FA48</f>
        <v>12.99</v>
      </c>
      <c r="FC48" s="23">
        <f t="shared" ref="FC48" si="630">FB48</f>
        <v>12.99</v>
      </c>
      <c r="FD48" s="23">
        <f t="shared" ref="FD48" si="631">FC48</f>
        <v>12.99</v>
      </c>
      <c r="FE48" s="23">
        <f t="shared" ref="FE48" si="632">FD48</f>
        <v>12.99</v>
      </c>
      <c r="FF48" s="23">
        <f t="shared" ref="FF48" si="633">FE48</f>
        <v>12.99</v>
      </c>
      <c r="FG48" s="23">
        <f t="shared" ref="FG48" si="634">FF48</f>
        <v>12.99</v>
      </c>
      <c r="FH48" s="23">
        <f t="shared" ref="FH48" si="635">FG48</f>
        <v>12.99</v>
      </c>
      <c r="FI48" s="23">
        <f t="shared" ref="FI48" si="636">FH48</f>
        <v>12.99</v>
      </c>
      <c r="FJ48" s="251">
        <f t="shared" ref="FJ48" si="637">FI48</f>
        <v>12.99</v>
      </c>
      <c r="FK48" s="23">
        <f t="shared" ref="FK48" si="638">FJ48</f>
        <v>12.99</v>
      </c>
      <c r="FL48" s="23">
        <f t="shared" ref="FL48" si="639">FK48</f>
        <v>12.99</v>
      </c>
      <c r="FM48" s="23">
        <f t="shared" ref="FM48" si="640">FL48</f>
        <v>12.99</v>
      </c>
      <c r="FN48" s="23">
        <f t="shared" ref="FN48" si="641">FM48</f>
        <v>12.99</v>
      </c>
      <c r="FO48" s="23">
        <f t="shared" ref="FO48" si="642">FN48</f>
        <v>12.99</v>
      </c>
      <c r="FP48" s="23">
        <f t="shared" ref="FP48" si="643">FO48</f>
        <v>12.99</v>
      </c>
      <c r="FQ48" s="23">
        <f t="shared" ref="FQ48" si="644">FP48</f>
        <v>12.99</v>
      </c>
      <c r="FR48" s="23">
        <f t="shared" ref="FR48" si="645">FQ48</f>
        <v>12.99</v>
      </c>
      <c r="FS48" s="23">
        <f t="shared" ref="FS48" si="646">FR48</f>
        <v>12.99</v>
      </c>
      <c r="FT48" s="23">
        <f t="shared" ref="FT48" si="647">FS48</f>
        <v>12.99</v>
      </c>
      <c r="FU48" s="23">
        <f t="shared" ref="FU48" si="648">FT48</f>
        <v>12.99</v>
      </c>
      <c r="FV48" s="251">
        <f t="shared" ref="FV48" si="649">FU48</f>
        <v>12.99</v>
      </c>
      <c r="FW48" s="23">
        <f t="shared" ref="FW48" si="650">FV48</f>
        <v>12.99</v>
      </c>
      <c r="FX48" s="23">
        <f t="shared" ref="FX48" si="651">FW48</f>
        <v>12.99</v>
      </c>
      <c r="FY48" s="23">
        <f t="shared" ref="FY48" si="652">FX48</f>
        <v>12.99</v>
      </c>
      <c r="FZ48" s="23">
        <f t="shared" ref="FZ48" si="653">FY48</f>
        <v>12.99</v>
      </c>
      <c r="GA48" s="23">
        <f t="shared" ref="GA48" si="654">FZ48</f>
        <v>12.99</v>
      </c>
      <c r="GB48" s="23">
        <f t="shared" ref="GB48" si="655">GA48</f>
        <v>12.99</v>
      </c>
      <c r="GC48" s="23">
        <f t="shared" ref="GC48" si="656">GB48</f>
        <v>12.99</v>
      </c>
      <c r="GD48" s="23">
        <f t="shared" ref="GD48" si="657">GC48</f>
        <v>12.99</v>
      </c>
      <c r="GE48" s="23">
        <f t="shared" ref="GE48" si="658">GD48</f>
        <v>12.99</v>
      </c>
      <c r="GF48" s="23">
        <f t="shared" ref="GF48" si="659">GE48</f>
        <v>12.99</v>
      </c>
      <c r="GG48" s="23">
        <f t="shared" ref="GG48" si="660">GF48</f>
        <v>12.99</v>
      </c>
      <c r="GH48" s="251">
        <f t="shared" ref="GH48" si="661">GG48</f>
        <v>12.99</v>
      </c>
      <c r="GI48" s="23">
        <f t="shared" ref="GI48" si="662">GH48</f>
        <v>12.99</v>
      </c>
      <c r="GJ48" s="23">
        <f t="shared" ref="GJ48" si="663">GI48</f>
        <v>12.99</v>
      </c>
      <c r="GK48" s="23">
        <f t="shared" ref="GK48" si="664">GJ48</f>
        <v>12.99</v>
      </c>
      <c r="GL48" s="23">
        <f t="shared" ref="GL48" si="665">GK48</f>
        <v>12.99</v>
      </c>
      <c r="GM48" s="23">
        <f t="shared" ref="GM48" si="666">GL48</f>
        <v>12.99</v>
      </c>
      <c r="GN48" s="23">
        <f t="shared" ref="GN48" si="667">GM48</f>
        <v>12.99</v>
      </c>
      <c r="GO48" s="23">
        <f t="shared" ref="GO48" si="668">GN48</f>
        <v>12.99</v>
      </c>
      <c r="GP48" s="23">
        <f t="shared" ref="GP48" si="669">GO48</f>
        <v>12.99</v>
      </c>
      <c r="GQ48" s="23">
        <f t="shared" ref="GQ48" si="670">GP48</f>
        <v>12.99</v>
      </c>
      <c r="GR48" s="23">
        <f t="shared" ref="GR48" si="671">GQ48</f>
        <v>12.99</v>
      </c>
      <c r="GS48" s="23">
        <f t="shared" ref="GS48:GT48" si="672">GR48</f>
        <v>12.99</v>
      </c>
      <c r="GT48" s="251">
        <f t="shared" si="672"/>
        <v>12.99</v>
      </c>
    </row>
    <row r="49" spans="1:202">
      <c r="B49" s="350" t="s">
        <v>38</v>
      </c>
      <c r="C49" s="342">
        <f t="shared" si="606"/>
        <v>0</v>
      </c>
      <c r="D49" s="330">
        <f t="shared" si="607"/>
        <v>89.91</v>
      </c>
      <c r="E49" s="330">
        <f t="shared" si="608"/>
        <v>119.87999999999998</v>
      </c>
      <c r="F49" s="330">
        <f t="shared" si="609"/>
        <v>119.87999999999998</v>
      </c>
      <c r="G49" s="330">
        <f t="shared" si="610"/>
        <v>119.87999999999998</v>
      </c>
      <c r="H49" s="330">
        <f t="shared" si="611"/>
        <v>119.87999999999998</v>
      </c>
      <c r="I49" s="330">
        <f t="shared" si="612"/>
        <v>119.87999999999998</v>
      </c>
      <c r="J49" s="671"/>
      <c r="K49" s="341">
        <f t="shared" si="603"/>
        <v>0</v>
      </c>
      <c r="L49" s="341">
        <f t="shared" si="604"/>
        <v>7.4924999999999997</v>
      </c>
      <c r="M49" s="330">
        <f t="shared" si="605"/>
        <v>9.9899999999999984</v>
      </c>
      <c r="N49" s="342">
        <f t="shared" si="613"/>
        <v>9.9899999999999984</v>
      </c>
      <c r="O49" s="342">
        <f t="shared" si="614"/>
        <v>9.9899999999999984</v>
      </c>
      <c r="P49" s="342">
        <f t="shared" si="615"/>
        <v>9.9899999999999984</v>
      </c>
      <c r="Q49" s="342">
        <f t="shared" si="616"/>
        <v>9.9899999999999984</v>
      </c>
      <c r="R49" s="671"/>
      <c r="S49" s="341"/>
      <c r="T49" s="328"/>
      <c r="U49" s="328"/>
      <c r="V49" s="341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41"/>
      <c r="AI49" s="328"/>
      <c r="AJ49" s="328"/>
      <c r="AK49" s="328">
        <v>9.99</v>
      </c>
      <c r="AL49" s="328">
        <v>9.99</v>
      </c>
      <c r="AM49" s="328">
        <v>9.99</v>
      </c>
      <c r="AN49" s="328">
        <v>9.99</v>
      </c>
      <c r="AO49" s="328">
        <v>9.99</v>
      </c>
      <c r="AP49" s="328">
        <v>9.99</v>
      </c>
      <c r="AQ49" s="328">
        <v>9.99</v>
      </c>
      <c r="AR49" s="328">
        <f>9.99</f>
        <v>9.99</v>
      </c>
      <c r="AS49" s="328">
        <v>9.99</v>
      </c>
      <c r="AT49" s="341">
        <v>9.99</v>
      </c>
      <c r="AU49" s="328">
        <v>9.99</v>
      </c>
      <c r="AV49" s="328">
        <v>9.99</v>
      </c>
      <c r="AW49" s="328">
        <v>9.99</v>
      </c>
      <c r="AX49" s="328">
        <v>9.99</v>
      </c>
      <c r="AY49" s="328">
        <v>9.99</v>
      </c>
      <c r="AZ49" s="328">
        <v>9.99</v>
      </c>
      <c r="BA49" s="328">
        <v>9.99</v>
      </c>
      <c r="BB49" s="328">
        <v>9.99</v>
      </c>
      <c r="BC49" s="328">
        <v>9.99</v>
      </c>
      <c r="BD49" s="328">
        <v>9.99</v>
      </c>
      <c r="BE49" s="328">
        <v>9.99</v>
      </c>
      <c r="BF49" s="341">
        <v>9.99</v>
      </c>
      <c r="BG49" s="328">
        <v>9.99</v>
      </c>
      <c r="BH49" s="328">
        <v>9.99</v>
      </c>
      <c r="BI49" s="328">
        <v>9.99</v>
      </c>
      <c r="BJ49" s="328">
        <v>9.99</v>
      </c>
      <c r="BK49" s="328">
        <v>9.99</v>
      </c>
      <c r="BL49" s="328">
        <v>9.99</v>
      </c>
      <c r="BM49" s="328">
        <v>9.99</v>
      </c>
      <c r="BN49" s="328">
        <v>9.99</v>
      </c>
      <c r="BO49" s="328">
        <v>9.99</v>
      </c>
      <c r="BP49" s="328">
        <v>9.99</v>
      </c>
      <c r="BQ49" s="328">
        <v>9.99</v>
      </c>
      <c r="BR49" s="341">
        <v>9.99</v>
      </c>
      <c r="BS49" s="328">
        <v>9.99</v>
      </c>
      <c r="BT49" s="328">
        <v>9.99</v>
      </c>
      <c r="BU49" s="328">
        <v>9.99</v>
      </c>
      <c r="BV49" s="328">
        <v>9.99</v>
      </c>
      <c r="BW49" s="328">
        <v>9.99</v>
      </c>
      <c r="BX49" s="328">
        <v>9.99</v>
      </c>
      <c r="BY49" s="328">
        <v>9.99</v>
      </c>
      <c r="BZ49" s="328">
        <v>9.99</v>
      </c>
      <c r="CA49" s="328">
        <v>9.99</v>
      </c>
      <c r="CB49" s="328">
        <v>9.99</v>
      </c>
      <c r="CC49" s="328">
        <v>9.99</v>
      </c>
      <c r="CD49" s="341">
        <v>9.99</v>
      </c>
      <c r="CE49" s="328">
        <v>9.99</v>
      </c>
      <c r="CF49" s="328">
        <v>9.99</v>
      </c>
      <c r="CG49" s="328">
        <v>9.99</v>
      </c>
      <c r="CH49" s="328">
        <v>9.99</v>
      </c>
      <c r="CI49" s="328">
        <f>9.99</f>
        <v>9.99</v>
      </c>
      <c r="CJ49" s="328">
        <v>9.99</v>
      </c>
      <c r="CK49" s="328">
        <v>9.99</v>
      </c>
      <c r="CL49" s="328">
        <v>9.99</v>
      </c>
      <c r="CM49" s="328">
        <v>9.99</v>
      </c>
      <c r="CN49" s="328">
        <v>9.99</v>
      </c>
      <c r="CO49" s="328">
        <v>9.99</v>
      </c>
      <c r="CP49" s="341">
        <v>9.99</v>
      </c>
      <c r="CQ49" s="328">
        <v>9.99</v>
      </c>
      <c r="CR49" s="328">
        <v>9.99</v>
      </c>
      <c r="CS49" s="328">
        <v>9.99</v>
      </c>
      <c r="CT49" s="328">
        <v>9.99</v>
      </c>
      <c r="CU49" s="328">
        <v>9.99</v>
      </c>
      <c r="CV49" s="328">
        <v>9.99</v>
      </c>
      <c r="CW49" s="328">
        <v>9.99</v>
      </c>
      <c r="CX49" s="328">
        <v>9.99</v>
      </c>
      <c r="CY49" s="328">
        <v>9.99</v>
      </c>
      <c r="CZ49" s="328">
        <v>9.99</v>
      </c>
      <c r="DA49" s="328">
        <v>9.99</v>
      </c>
      <c r="DB49" s="342">
        <v>9.99</v>
      </c>
      <c r="DC49" s="328">
        <v>9.99</v>
      </c>
      <c r="DD49" s="328">
        <v>9.99</v>
      </c>
      <c r="DE49" s="328">
        <v>9.99</v>
      </c>
      <c r="DF49" s="328">
        <v>9.99</v>
      </c>
      <c r="DG49" s="328">
        <v>9.99</v>
      </c>
      <c r="DH49" s="328">
        <v>9.99</v>
      </c>
      <c r="DI49" s="328">
        <v>9.99</v>
      </c>
      <c r="DJ49" s="328">
        <v>9.99</v>
      </c>
      <c r="DK49" s="328">
        <v>9.99</v>
      </c>
      <c r="DL49" s="328">
        <v>9.99</v>
      </c>
      <c r="DM49" s="328">
        <v>9.99</v>
      </c>
      <c r="DN49" s="328">
        <v>9.99</v>
      </c>
      <c r="DO49" s="341">
        <v>9.99</v>
      </c>
      <c r="DP49" s="328">
        <v>9.99</v>
      </c>
      <c r="DQ49" s="328">
        <v>9.99</v>
      </c>
      <c r="DR49" s="328">
        <v>9.99</v>
      </c>
      <c r="DS49" s="328">
        <v>9.99</v>
      </c>
      <c r="DT49" s="328">
        <v>9.99</v>
      </c>
      <c r="DU49" s="328">
        <v>9.99</v>
      </c>
      <c r="DV49" s="328">
        <v>9.99</v>
      </c>
      <c r="DW49" s="328">
        <v>9.99</v>
      </c>
      <c r="DX49" s="328">
        <v>9.99</v>
      </c>
      <c r="DY49" s="328">
        <v>9.99</v>
      </c>
      <c r="DZ49" s="342">
        <v>9.99</v>
      </c>
      <c r="EA49" s="341">
        <v>9.99</v>
      </c>
      <c r="EB49" s="328">
        <v>9.99</v>
      </c>
      <c r="EC49" s="328">
        <v>9.99</v>
      </c>
      <c r="ED49" s="328">
        <v>9.99</v>
      </c>
      <c r="EE49" s="328">
        <v>9.99</v>
      </c>
      <c r="EF49" s="328">
        <v>9.99</v>
      </c>
      <c r="EG49" s="328">
        <v>9.99</v>
      </c>
      <c r="EH49" s="328">
        <v>9.99</v>
      </c>
      <c r="EI49" s="328">
        <v>9.99</v>
      </c>
      <c r="EJ49" s="328">
        <v>9.99</v>
      </c>
      <c r="EK49" s="328">
        <v>9.99</v>
      </c>
      <c r="EL49" s="342">
        <v>9.99</v>
      </c>
      <c r="EM49" s="328">
        <v>9.99</v>
      </c>
      <c r="EN49" s="328">
        <v>9.99</v>
      </c>
      <c r="EO49" s="328">
        <v>9.99</v>
      </c>
      <c r="EP49" s="328">
        <v>9.99</v>
      </c>
      <c r="EQ49" s="328">
        <v>9.99</v>
      </c>
      <c r="ER49" s="328">
        <v>9.99</v>
      </c>
      <c r="ES49" s="328">
        <v>9.99</v>
      </c>
      <c r="ET49" s="328">
        <v>9.99</v>
      </c>
      <c r="EU49" s="328">
        <v>9.99</v>
      </c>
      <c r="EV49" s="328">
        <v>9.99</v>
      </c>
      <c r="EW49" s="328">
        <v>9.99</v>
      </c>
      <c r="EX49" s="342">
        <v>9.99</v>
      </c>
      <c r="EY49" s="328">
        <v>9.99</v>
      </c>
      <c r="EZ49" s="328">
        <v>9.99</v>
      </c>
      <c r="FA49" s="328">
        <v>9.99</v>
      </c>
      <c r="FB49" s="328">
        <v>9.99</v>
      </c>
      <c r="FC49" s="328">
        <v>9.99</v>
      </c>
      <c r="FD49" s="328">
        <v>9.99</v>
      </c>
      <c r="FE49" s="328">
        <v>9.99</v>
      </c>
      <c r="FF49" s="328">
        <v>9.99</v>
      </c>
      <c r="FG49" s="328">
        <v>9.99</v>
      </c>
      <c r="FH49" s="328">
        <v>9.99</v>
      </c>
      <c r="FI49" s="328">
        <v>9.99</v>
      </c>
      <c r="FJ49" s="342">
        <v>9.99</v>
      </c>
      <c r="FK49" s="328">
        <v>9.99</v>
      </c>
      <c r="FL49" s="328">
        <v>9.99</v>
      </c>
      <c r="FM49" s="328">
        <v>9.99</v>
      </c>
      <c r="FN49" s="328">
        <v>9.99</v>
      </c>
      <c r="FO49" s="328">
        <v>9.99</v>
      </c>
      <c r="FP49" s="328">
        <v>9.99</v>
      </c>
      <c r="FQ49" s="328">
        <v>9.99</v>
      </c>
      <c r="FR49" s="328">
        <v>9.99</v>
      </c>
      <c r="FS49" s="328">
        <v>9.99</v>
      </c>
      <c r="FT49" s="328">
        <v>9.99</v>
      </c>
      <c r="FU49" s="328">
        <v>9.99</v>
      </c>
      <c r="FV49" s="342">
        <v>9.99</v>
      </c>
      <c r="FW49" s="328">
        <v>9.99</v>
      </c>
      <c r="FX49" s="328">
        <v>9.99</v>
      </c>
      <c r="FY49" s="328">
        <v>9.99</v>
      </c>
      <c r="FZ49" s="328">
        <v>9.99</v>
      </c>
      <c r="GA49" s="328">
        <v>9.99</v>
      </c>
      <c r="GB49" s="328">
        <v>9.99</v>
      </c>
      <c r="GC49" s="328">
        <v>9.99</v>
      </c>
      <c r="GD49" s="328">
        <v>9.99</v>
      </c>
      <c r="GE49" s="328">
        <v>9.99</v>
      </c>
      <c r="GF49" s="328">
        <v>9.99</v>
      </c>
      <c r="GG49" s="328">
        <v>9.99</v>
      </c>
      <c r="GH49" s="342">
        <v>9.99</v>
      </c>
      <c r="GI49" s="328">
        <v>9.99</v>
      </c>
      <c r="GJ49" s="328">
        <v>9.99</v>
      </c>
      <c r="GK49" s="328">
        <v>9.99</v>
      </c>
      <c r="GL49" s="328">
        <v>9.99</v>
      </c>
      <c r="GM49" s="328">
        <v>9.99</v>
      </c>
      <c r="GN49" s="328">
        <v>9.99</v>
      </c>
      <c r="GO49" s="328">
        <v>9.99</v>
      </c>
      <c r="GP49" s="328">
        <v>9.99</v>
      </c>
      <c r="GQ49" s="328">
        <v>9.99</v>
      </c>
      <c r="GR49" s="328">
        <v>9.99</v>
      </c>
      <c r="GS49" s="328">
        <v>9.99</v>
      </c>
      <c r="GT49" s="342">
        <v>9.99</v>
      </c>
    </row>
    <row r="50" spans="1:202">
      <c r="B50" s="253" t="s">
        <v>39</v>
      </c>
      <c r="C50" s="251">
        <f t="shared" si="606"/>
        <v>36</v>
      </c>
      <c r="D50" s="246">
        <f t="shared" si="607"/>
        <v>50.97</v>
      </c>
      <c r="E50" s="246">
        <f t="shared" si="608"/>
        <v>54.89</v>
      </c>
      <c r="F50" s="246">
        <f t="shared" si="609"/>
        <v>49.9</v>
      </c>
      <c r="G50" s="246">
        <f t="shared" si="610"/>
        <v>49.9</v>
      </c>
      <c r="H50" s="246">
        <f t="shared" si="611"/>
        <v>49.9</v>
      </c>
      <c r="I50" s="246">
        <f t="shared" si="612"/>
        <v>81.86</v>
      </c>
      <c r="J50" s="671"/>
      <c r="K50" s="274">
        <f t="shared" si="603"/>
        <v>3</v>
      </c>
      <c r="L50" s="274">
        <f t="shared" si="604"/>
        <v>4.2474999999999996</v>
      </c>
      <c r="M50" s="246">
        <f t="shared" si="605"/>
        <v>4.5741666666666667</v>
      </c>
      <c r="N50" s="251">
        <f t="shared" si="613"/>
        <v>4.1583333333333332</v>
      </c>
      <c r="O50" s="251">
        <f t="shared" si="614"/>
        <v>4.1583333333333332</v>
      </c>
      <c r="P50" s="251">
        <f t="shared" si="615"/>
        <v>4.1583333333333332</v>
      </c>
      <c r="Q50" s="251">
        <f t="shared" si="616"/>
        <v>6.8216666666666663</v>
      </c>
      <c r="R50" s="671"/>
      <c r="S50" s="274">
        <v>36</v>
      </c>
      <c r="T50" s="23"/>
      <c r="U50" s="23"/>
      <c r="V50" s="274"/>
      <c r="W50" s="23"/>
      <c r="X50" s="23"/>
      <c r="Y50" s="23"/>
      <c r="Z50" s="23"/>
      <c r="AA50" s="23"/>
      <c r="AB50" s="23"/>
      <c r="AC50" s="23"/>
      <c r="AD50" s="23"/>
      <c r="AE50" s="23">
        <v>36</v>
      </c>
      <c r="AF50" s="23"/>
      <c r="AG50" s="23"/>
      <c r="AH50" s="274">
        <v>4.99</v>
      </c>
      <c r="AI50" s="23">
        <v>4.99</v>
      </c>
      <c r="AJ50" s="23">
        <v>4.99</v>
      </c>
      <c r="AK50" s="23"/>
      <c r="AL50" s="23"/>
      <c r="AM50" s="23"/>
      <c r="AN50" s="23"/>
      <c r="AO50" s="23"/>
      <c r="AP50" s="23"/>
      <c r="AQ50" s="23">
        <v>36</v>
      </c>
      <c r="AR50" s="23"/>
      <c r="AS50" s="23"/>
      <c r="AT50" s="274"/>
      <c r="AU50" s="23"/>
      <c r="AV50" s="23">
        <f>3.99+1</f>
        <v>4.99</v>
      </c>
      <c r="AW50" s="23"/>
      <c r="AX50" s="23"/>
      <c r="AY50" s="23"/>
      <c r="AZ50" s="23"/>
      <c r="BA50" s="23"/>
      <c r="BB50" s="23"/>
      <c r="BC50" s="23">
        <v>49.9</v>
      </c>
      <c r="BD50" s="23"/>
      <c r="BE50" s="23"/>
      <c r="BF50" s="274"/>
      <c r="BG50" s="23"/>
      <c r="BH50" s="23"/>
      <c r="BI50" s="23"/>
      <c r="BJ50" s="23"/>
      <c r="BK50" s="23"/>
      <c r="BL50" s="23"/>
      <c r="BM50" s="23"/>
      <c r="BN50" s="23"/>
      <c r="BO50" s="23">
        <v>49.9</v>
      </c>
      <c r="BP50" s="23"/>
      <c r="BQ50" s="23"/>
      <c r="BR50" s="274"/>
      <c r="BS50" s="23"/>
      <c r="BT50" s="23"/>
      <c r="BU50" s="23"/>
      <c r="BV50" s="23"/>
      <c r="BW50" s="23"/>
      <c r="BX50" s="23"/>
      <c r="BY50" s="23"/>
      <c r="BZ50" s="23"/>
      <c r="CA50" s="23">
        <v>49.9</v>
      </c>
      <c r="CB50" s="23"/>
      <c r="CC50" s="23"/>
      <c r="CD50" s="274"/>
      <c r="CE50" s="23"/>
      <c r="CF50" s="23"/>
      <c r="CG50" s="23"/>
      <c r="CH50" s="23"/>
      <c r="CI50" s="23"/>
      <c r="CJ50" s="23"/>
      <c r="CK50" s="23"/>
      <c r="CL50" s="23"/>
      <c r="CM50" s="23">
        <v>49.9</v>
      </c>
      <c r="CN50" s="23"/>
      <c r="CO50" s="23"/>
      <c r="CP50" s="274"/>
      <c r="CQ50" s="23"/>
      <c r="CR50" s="23"/>
      <c r="CS50" s="23"/>
      <c r="CT50" s="23"/>
      <c r="CU50" s="23">
        <v>7.99</v>
      </c>
      <c r="CV50" s="23">
        <v>7.99</v>
      </c>
      <c r="CW50" s="23">
        <v>7.99</v>
      </c>
      <c r="CX50" s="23">
        <v>7.99</v>
      </c>
      <c r="CY50" s="23">
        <v>49.9</v>
      </c>
      <c r="CZ50" s="23"/>
      <c r="DA50" s="23"/>
      <c r="DB50" s="251"/>
      <c r="DC50" s="23"/>
      <c r="DD50" s="23"/>
      <c r="DE50" s="23"/>
      <c r="DF50" s="23"/>
      <c r="DG50" s="23"/>
      <c r="DH50" s="23"/>
      <c r="DI50" s="23"/>
      <c r="DJ50" s="23"/>
      <c r="DK50" s="23">
        <v>49.9</v>
      </c>
      <c r="DL50" s="23"/>
      <c r="DM50" s="23"/>
      <c r="DN50" s="23"/>
      <c r="DO50" s="274"/>
      <c r="DP50" s="23"/>
      <c r="DQ50" s="23"/>
      <c r="DR50" s="23"/>
      <c r="DS50" s="23"/>
      <c r="DT50" s="23"/>
      <c r="DU50" s="23"/>
      <c r="DV50" s="23"/>
      <c r="DW50" s="23">
        <v>36</v>
      </c>
      <c r="DX50" s="23"/>
      <c r="DY50" s="23"/>
      <c r="DZ50" s="251"/>
      <c r="EA50" s="274"/>
      <c r="EB50" s="23"/>
      <c r="EC50" s="23"/>
      <c r="ED50" s="23"/>
      <c r="EE50" s="23"/>
      <c r="EF50" s="23"/>
      <c r="EG50" s="23"/>
      <c r="EH50" s="23"/>
      <c r="EI50" s="23">
        <v>36</v>
      </c>
      <c r="EJ50" s="23"/>
      <c r="EK50" s="23"/>
      <c r="EL50" s="251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51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51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51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51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51"/>
    </row>
    <row r="51" spans="1:202">
      <c r="B51" s="350" t="s">
        <v>40</v>
      </c>
      <c r="C51" s="342">
        <f t="shared" si="606"/>
        <v>0</v>
      </c>
      <c r="D51" s="330">
        <f t="shared" si="607"/>
        <v>1</v>
      </c>
      <c r="E51" s="330">
        <f t="shared" si="608"/>
        <v>62.99</v>
      </c>
      <c r="F51" s="330">
        <f t="shared" si="609"/>
        <v>0</v>
      </c>
      <c r="G51" s="330">
        <f t="shared" si="610"/>
        <v>0</v>
      </c>
      <c r="H51" s="330">
        <f t="shared" si="611"/>
        <v>4</v>
      </c>
      <c r="I51" s="330">
        <f t="shared" si="612"/>
        <v>0</v>
      </c>
      <c r="J51" s="671"/>
      <c r="K51" s="341">
        <f t="shared" si="603"/>
        <v>0</v>
      </c>
      <c r="L51" s="341">
        <f t="shared" si="604"/>
        <v>8.3333333333333329E-2</v>
      </c>
      <c r="M51" s="330">
        <f t="shared" si="605"/>
        <v>5.2491666666666665</v>
      </c>
      <c r="N51" s="342">
        <f t="shared" si="613"/>
        <v>0</v>
      </c>
      <c r="O51" s="342">
        <f t="shared" si="614"/>
        <v>0</v>
      </c>
      <c r="P51" s="342">
        <f t="shared" si="615"/>
        <v>0.33333333333333331</v>
      </c>
      <c r="Q51" s="342">
        <f t="shared" si="616"/>
        <v>0</v>
      </c>
      <c r="R51" s="671"/>
      <c r="S51" s="341"/>
      <c r="T51" s="328"/>
      <c r="U51" s="328"/>
      <c r="V51" s="341"/>
      <c r="W51" s="328"/>
      <c r="X51" s="328"/>
      <c r="Y51" s="328"/>
      <c r="Z51" s="328"/>
      <c r="AA51" s="328"/>
      <c r="AB51" s="328"/>
      <c r="AC51" s="328"/>
      <c r="AD51" s="328"/>
      <c r="AE51" s="328"/>
      <c r="AF51" s="328"/>
      <c r="AG51" s="328"/>
      <c r="AH51" s="341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>
        <v>1</v>
      </c>
      <c r="AT51" s="341">
        <v>1</v>
      </c>
      <c r="AU51" s="328">
        <v>1</v>
      </c>
      <c r="AV51" s="328"/>
      <c r="AW51" s="328">
        <v>1</v>
      </c>
      <c r="AX51" s="328"/>
      <c r="AY51" s="328"/>
      <c r="AZ51" s="328"/>
      <c r="BA51" s="328"/>
      <c r="BB51" s="328">
        <v>59.99</v>
      </c>
      <c r="BC51" s="328"/>
      <c r="BD51" s="328"/>
      <c r="BE51" s="328"/>
      <c r="BF51" s="341"/>
      <c r="BG51" s="328"/>
      <c r="BH51" s="328"/>
      <c r="BI51" s="328"/>
      <c r="BJ51" s="328"/>
      <c r="BK51" s="328"/>
      <c r="BL51" s="328"/>
      <c r="BM51" s="328"/>
      <c r="BN51" s="328"/>
      <c r="BO51" s="328"/>
      <c r="BP51" s="328"/>
      <c r="BQ51" s="328"/>
      <c r="BR51" s="341"/>
      <c r="BS51" s="328"/>
      <c r="BT51" s="328"/>
      <c r="BU51" s="328"/>
      <c r="BV51" s="328"/>
      <c r="BW51" s="328"/>
      <c r="BX51" s="328"/>
      <c r="BY51" s="328"/>
      <c r="BZ51" s="328"/>
      <c r="CA51" s="328"/>
      <c r="CB51" s="328"/>
      <c r="CC51" s="328"/>
      <c r="CD51" s="341"/>
      <c r="CE51" s="328">
        <v>4</v>
      </c>
      <c r="CF51" s="328"/>
      <c r="CG51" s="328"/>
      <c r="CH51" s="328"/>
      <c r="CI51" s="328"/>
      <c r="CJ51" s="328"/>
      <c r="CK51" s="328"/>
      <c r="CL51" s="328"/>
      <c r="CM51" s="328"/>
      <c r="CN51" s="328"/>
      <c r="CO51" s="328"/>
      <c r="CP51" s="341"/>
      <c r="CQ51" s="328"/>
      <c r="CR51" s="328"/>
      <c r="CS51" s="328"/>
      <c r="CT51" s="328"/>
      <c r="CU51" s="328"/>
      <c r="CV51" s="328"/>
      <c r="CW51" s="328"/>
      <c r="CX51" s="328"/>
      <c r="CY51" s="328"/>
      <c r="CZ51" s="328"/>
      <c r="DA51" s="328"/>
      <c r="DB51" s="342"/>
      <c r="DC51" s="328"/>
      <c r="DD51" s="328"/>
      <c r="DE51" s="328"/>
      <c r="DF51" s="328"/>
      <c r="DG51" s="328"/>
      <c r="DH51" s="328"/>
      <c r="DI51" s="328"/>
      <c r="DJ51" s="328"/>
      <c r="DK51" s="328"/>
      <c r="DL51" s="328"/>
      <c r="DM51" s="328"/>
      <c r="DN51" s="328"/>
      <c r="DO51" s="341"/>
      <c r="DP51" s="328"/>
      <c r="DQ51" s="328"/>
      <c r="DR51" s="328"/>
      <c r="DS51" s="328"/>
      <c r="DT51" s="328"/>
      <c r="DU51" s="328"/>
      <c r="DV51" s="328"/>
      <c r="DW51" s="328"/>
      <c r="DX51" s="328"/>
      <c r="DY51" s="328"/>
      <c r="DZ51" s="342"/>
      <c r="EA51" s="341"/>
      <c r="EB51" s="328"/>
      <c r="EC51" s="328"/>
      <c r="ED51" s="328"/>
      <c r="EE51" s="328"/>
      <c r="EF51" s="328"/>
      <c r="EG51" s="328"/>
      <c r="EH51" s="328"/>
      <c r="EI51" s="328"/>
      <c r="EJ51" s="328"/>
      <c r="EK51" s="328"/>
      <c r="EL51" s="342"/>
      <c r="EM51" s="328"/>
      <c r="EN51" s="328"/>
      <c r="EO51" s="328"/>
      <c r="EP51" s="328"/>
      <c r="EQ51" s="328"/>
      <c r="ER51" s="328"/>
      <c r="ES51" s="328"/>
      <c r="ET51" s="328"/>
      <c r="EU51" s="328"/>
      <c r="EV51" s="328"/>
      <c r="EW51" s="328"/>
      <c r="EX51" s="342"/>
      <c r="EY51" s="328"/>
      <c r="EZ51" s="328"/>
      <c r="FA51" s="328"/>
      <c r="FB51" s="328"/>
      <c r="FC51" s="328"/>
      <c r="FD51" s="328"/>
      <c r="FE51" s="328"/>
      <c r="FF51" s="328"/>
      <c r="FG51" s="328"/>
      <c r="FH51" s="328"/>
      <c r="FI51" s="328"/>
      <c r="FJ51" s="342"/>
      <c r="FK51" s="328"/>
      <c r="FL51" s="328"/>
      <c r="FM51" s="328"/>
      <c r="FN51" s="328"/>
      <c r="FO51" s="328"/>
      <c r="FP51" s="328"/>
      <c r="FQ51" s="328"/>
      <c r="FR51" s="328"/>
      <c r="FS51" s="328"/>
      <c r="FT51" s="328"/>
      <c r="FU51" s="328"/>
      <c r="FV51" s="342"/>
      <c r="FW51" s="328"/>
      <c r="FX51" s="328"/>
      <c r="FY51" s="328"/>
      <c r="FZ51" s="328"/>
      <c r="GA51" s="328"/>
      <c r="GB51" s="328"/>
      <c r="GC51" s="328"/>
      <c r="GD51" s="328"/>
      <c r="GE51" s="328"/>
      <c r="GF51" s="328"/>
      <c r="GG51" s="328"/>
      <c r="GH51" s="342"/>
      <c r="GI51" s="328"/>
      <c r="GJ51" s="328"/>
      <c r="GK51" s="328"/>
      <c r="GL51" s="328"/>
      <c r="GM51" s="328"/>
      <c r="GN51" s="328"/>
      <c r="GO51" s="328"/>
      <c r="GP51" s="328"/>
      <c r="GQ51" s="328"/>
      <c r="GR51" s="328"/>
      <c r="GS51" s="328"/>
      <c r="GT51" s="342"/>
    </row>
    <row r="52" spans="1:202">
      <c r="B52" s="254" t="s">
        <v>41</v>
      </c>
      <c r="C52" s="252">
        <f t="shared" si="606"/>
        <v>24</v>
      </c>
      <c r="D52" s="247">
        <f t="shared" si="607"/>
        <v>24</v>
      </c>
      <c r="E52" s="247">
        <f t="shared" si="608"/>
        <v>24</v>
      </c>
      <c r="F52" s="247">
        <f t="shared" si="609"/>
        <v>24</v>
      </c>
      <c r="G52" s="247">
        <f t="shared" si="610"/>
        <v>24</v>
      </c>
      <c r="H52" s="247">
        <f t="shared" si="611"/>
        <v>26</v>
      </c>
      <c r="I52" s="247">
        <f t="shared" si="612"/>
        <v>24</v>
      </c>
      <c r="J52" s="671"/>
      <c r="K52" s="274">
        <f t="shared" si="603"/>
        <v>2</v>
      </c>
      <c r="L52" s="274">
        <f t="shared" si="604"/>
        <v>2</v>
      </c>
      <c r="M52" s="246">
        <f t="shared" si="605"/>
        <v>2</v>
      </c>
      <c r="N52" s="251">
        <f t="shared" si="613"/>
        <v>2</v>
      </c>
      <c r="O52" s="251">
        <f t="shared" si="614"/>
        <v>2</v>
      </c>
      <c r="P52" s="251">
        <f t="shared" si="615"/>
        <v>2.1666666666666665</v>
      </c>
      <c r="Q52" s="251">
        <f t="shared" si="616"/>
        <v>2</v>
      </c>
      <c r="R52" s="671"/>
      <c r="S52" s="275">
        <v>2</v>
      </c>
      <c r="T52" s="239">
        <v>2</v>
      </c>
      <c r="U52" s="239">
        <v>2</v>
      </c>
      <c r="V52" s="275">
        <v>2</v>
      </c>
      <c r="W52" s="239">
        <v>2</v>
      </c>
      <c r="X52" s="239">
        <v>2</v>
      </c>
      <c r="Y52" s="239">
        <v>2</v>
      </c>
      <c r="Z52" s="239">
        <v>2</v>
      </c>
      <c r="AA52" s="239">
        <v>2</v>
      </c>
      <c r="AB52" s="239">
        <v>2</v>
      </c>
      <c r="AC52" s="239">
        <v>2</v>
      </c>
      <c r="AD52" s="239">
        <v>2</v>
      </c>
      <c r="AE52" s="239">
        <v>2</v>
      </c>
      <c r="AF52" s="239">
        <v>2</v>
      </c>
      <c r="AG52" s="239">
        <v>2</v>
      </c>
      <c r="AH52" s="275">
        <v>2</v>
      </c>
      <c r="AI52" s="239">
        <v>2</v>
      </c>
      <c r="AJ52" s="239">
        <f>2</f>
        <v>2</v>
      </c>
      <c r="AK52" s="239">
        <v>2</v>
      </c>
      <c r="AL52" s="239">
        <v>2</v>
      </c>
      <c r="AM52" s="239">
        <v>2</v>
      </c>
      <c r="AN52" s="239">
        <v>2</v>
      </c>
      <c r="AO52" s="239">
        <v>2</v>
      </c>
      <c r="AP52" s="239">
        <v>2</v>
      </c>
      <c r="AQ52" s="239">
        <v>2</v>
      </c>
      <c r="AR52" s="239">
        <v>2</v>
      </c>
      <c r="AS52" s="239">
        <v>2</v>
      </c>
      <c r="AT52" s="275">
        <v>2</v>
      </c>
      <c r="AU52" s="239">
        <v>2</v>
      </c>
      <c r="AV52" s="239">
        <v>2</v>
      </c>
      <c r="AW52" s="239">
        <v>2</v>
      </c>
      <c r="AX52" s="239">
        <v>2</v>
      </c>
      <c r="AY52" s="239">
        <v>2</v>
      </c>
      <c r="AZ52" s="239">
        <v>2</v>
      </c>
      <c r="BA52" s="239">
        <v>2</v>
      </c>
      <c r="BB52" s="239">
        <v>2</v>
      </c>
      <c r="BC52" s="239">
        <v>2</v>
      </c>
      <c r="BD52" s="239">
        <v>2</v>
      </c>
      <c r="BE52" s="239">
        <v>2</v>
      </c>
      <c r="BF52" s="275">
        <v>2</v>
      </c>
      <c r="BG52" s="239">
        <v>2</v>
      </c>
      <c r="BH52" s="239">
        <v>2</v>
      </c>
      <c r="BI52" s="239">
        <v>2</v>
      </c>
      <c r="BJ52" s="239">
        <v>2</v>
      </c>
      <c r="BK52" s="239">
        <v>2</v>
      </c>
      <c r="BL52" s="239">
        <v>2</v>
      </c>
      <c r="BM52" s="239">
        <v>2</v>
      </c>
      <c r="BN52" s="239">
        <v>2</v>
      </c>
      <c r="BO52" s="239">
        <v>2</v>
      </c>
      <c r="BP52" s="239">
        <v>2</v>
      </c>
      <c r="BQ52" s="239">
        <v>2</v>
      </c>
      <c r="BR52" s="275">
        <v>2</v>
      </c>
      <c r="BS52" s="239">
        <v>2</v>
      </c>
      <c r="BT52" s="239">
        <v>2</v>
      </c>
      <c r="BU52" s="239">
        <v>2</v>
      </c>
      <c r="BV52" s="239">
        <v>2</v>
      </c>
      <c r="BW52" s="239">
        <v>2</v>
      </c>
      <c r="BX52" s="239">
        <v>2</v>
      </c>
      <c r="BY52" s="239">
        <v>2</v>
      </c>
      <c r="BZ52" s="239">
        <v>2</v>
      </c>
      <c r="CA52" s="239">
        <v>2</v>
      </c>
      <c r="CB52" s="239">
        <v>2</v>
      </c>
      <c r="CC52" s="239">
        <v>2</v>
      </c>
      <c r="CD52" s="275">
        <v>2</v>
      </c>
      <c r="CE52" s="239">
        <v>2</v>
      </c>
      <c r="CF52" s="239">
        <v>2</v>
      </c>
      <c r="CG52" s="239">
        <v>2</v>
      </c>
      <c r="CH52" s="239">
        <v>2</v>
      </c>
      <c r="CI52" s="239">
        <v>4</v>
      </c>
      <c r="CJ52" s="239">
        <v>2</v>
      </c>
      <c r="CK52" s="239">
        <v>2</v>
      </c>
      <c r="CL52" s="239">
        <v>2</v>
      </c>
      <c r="CM52" s="239">
        <v>2</v>
      </c>
      <c r="CN52" s="239">
        <v>2</v>
      </c>
      <c r="CO52" s="239">
        <v>2</v>
      </c>
      <c r="CP52" s="275">
        <v>2</v>
      </c>
      <c r="CQ52" s="239">
        <v>2</v>
      </c>
      <c r="CR52" s="239">
        <v>2</v>
      </c>
      <c r="CS52" s="239">
        <v>2</v>
      </c>
      <c r="CT52" s="239">
        <v>2</v>
      </c>
      <c r="CU52" s="239">
        <v>2</v>
      </c>
      <c r="CV52" s="239">
        <v>2</v>
      </c>
      <c r="CW52" s="239">
        <v>2</v>
      </c>
      <c r="CX52" s="239">
        <v>2</v>
      </c>
      <c r="CY52" s="239">
        <v>2</v>
      </c>
      <c r="CZ52" s="239">
        <v>2</v>
      </c>
      <c r="DA52" s="239">
        <v>2</v>
      </c>
      <c r="DB52" s="252">
        <v>2</v>
      </c>
      <c r="DC52" s="239">
        <v>2</v>
      </c>
      <c r="DD52" s="239">
        <v>2</v>
      </c>
      <c r="DE52" s="239">
        <v>2</v>
      </c>
      <c r="DF52" s="239">
        <v>2</v>
      </c>
      <c r="DG52" s="239">
        <v>2</v>
      </c>
      <c r="DH52" s="239">
        <v>2</v>
      </c>
      <c r="DI52" s="239">
        <v>2</v>
      </c>
      <c r="DJ52" s="239">
        <v>2</v>
      </c>
      <c r="DK52" s="239">
        <v>2</v>
      </c>
      <c r="DL52" s="239">
        <v>2</v>
      </c>
      <c r="DM52" s="239">
        <v>2</v>
      </c>
      <c r="DN52" s="239">
        <v>2</v>
      </c>
      <c r="DO52" s="275">
        <v>2</v>
      </c>
      <c r="DP52" s="239">
        <v>2</v>
      </c>
      <c r="DQ52" s="239">
        <v>2</v>
      </c>
      <c r="DR52" s="239">
        <v>2</v>
      </c>
      <c r="DS52" s="239">
        <v>2</v>
      </c>
      <c r="DT52" s="239">
        <v>2</v>
      </c>
      <c r="DU52" s="239">
        <v>2</v>
      </c>
      <c r="DV52" s="239">
        <v>2</v>
      </c>
      <c r="DW52" s="239">
        <v>2</v>
      </c>
      <c r="DX52" s="239">
        <v>2</v>
      </c>
      <c r="DY52" s="239">
        <v>2</v>
      </c>
      <c r="DZ52" s="252">
        <v>2</v>
      </c>
      <c r="EA52" s="275">
        <v>2</v>
      </c>
      <c r="EB52" s="239">
        <v>2</v>
      </c>
      <c r="EC52" s="239">
        <v>2</v>
      </c>
      <c r="ED52" s="239">
        <v>2</v>
      </c>
      <c r="EE52" s="239">
        <v>2</v>
      </c>
      <c r="EF52" s="239">
        <v>2</v>
      </c>
      <c r="EG52" s="239">
        <v>2</v>
      </c>
      <c r="EH52" s="239">
        <v>2</v>
      </c>
      <c r="EI52" s="239">
        <v>2</v>
      </c>
      <c r="EJ52" s="239">
        <v>2</v>
      </c>
      <c r="EK52" s="239">
        <v>2</v>
      </c>
      <c r="EL52" s="252">
        <v>2</v>
      </c>
      <c r="EM52" s="239">
        <v>2</v>
      </c>
      <c r="EN52" s="239">
        <v>2</v>
      </c>
      <c r="EO52" s="239">
        <v>2</v>
      </c>
      <c r="EP52" s="239">
        <v>2</v>
      </c>
      <c r="EQ52" s="239">
        <v>2</v>
      </c>
      <c r="ER52" s="239">
        <v>2</v>
      </c>
      <c r="ES52" s="239">
        <v>2</v>
      </c>
      <c r="ET52" s="239">
        <v>2</v>
      </c>
      <c r="EU52" s="239">
        <v>2</v>
      </c>
      <c r="EV52" s="239">
        <v>2</v>
      </c>
      <c r="EW52" s="239">
        <v>2</v>
      </c>
      <c r="EX52" s="252">
        <v>2</v>
      </c>
      <c r="EY52" s="239">
        <v>2</v>
      </c>
      <c r="EZ52" s="239">
        <v>2</v>
      </c>
      <c r="FA52" s="239">
        <v>2</v>
      </c>
      <c r="FB52" s="239">
        <v>2</v>
      </c>
      <c r="FC52" s="239">
        <v>2</v>
      </c>
      <c r="FD52" s="239">
        <v>2</v>
      </c>
      <c r="FE52" s="239">
        <v>2</v>
      </c>
      <c r="FF52" s="239">
        <v>2</v>
      </c>
      <c r="FG52" s="239">
        <v>2</v>
      </c>
      <c r="FH52" s="239">
        <v>2</v>
      </c>
      <c r="FI52" s="239">
        <v>2</v>
      </c>
      <c r="FJ52" s="252">
        <v>2</v>
      </c>
      <c r="FK52" s="239">
        <v>2</v>
      </c>
      <c r="FL52" s="239">
        <v>2</v>
      </c>
      <c r="FM52" s="239">
        <v>2</v>
      </c>
      <c r="FN52" s="239">
        <v>2</v>
      </c>
      <c r="FO52" s="239">
        <v>2</v>
      </c>
      <c r="FP52" s="239">
        <v>2</v>
      </c>
      <c r="FQ52" s="239">
        <v>2</v>
      </c>
      <c r="FR52" s="239">
        <v>2</v>
      </c>
      <c r="FS52" s="239">
        <v>2</v>
      </c>
      <c r="FT52" s="239">
        <v>2</v>
      </c>
      <c r="FU52" s="239">
        <v>2</v>
      </c>
      <c r="FV52" s="252">
        <v>2</v>
      </c>
      <c r="FW52" s="239">
        <v>2</v>
      </c>
      <c r="FX52" s="239">
        <v>2</v>
      </c>
      <c r="FY52" s="239">
        <v>2</v>
      </c>
      <c r="FZ52" s="239">
        <v>2</v>
      </c>
      <c r="GA52" s="239">
        <v>2</v>
      </c>
      <c r="GB52" s="239">
        <v>2</v>
      </c>
      <c r="GC52" s="239">
        <v>2</v>
      </c>
      <c r="GD52" s="239">
        <v>2</v>
      </c>
      <c r="GE52" s="239">
        <v>2</v>
      </c>
      <c r="GF52" s="239">
        <v>2</v>
      </c>
      <c r="GG52" s="239">
        <v>2</v>
      </c>
      <c r="GH52" s="252">
        <v>2</v>
      </c>
      <c r="GI52" s="239">
        <v>2</v>
      </c>
      <c r="GJ52" s="239">
        <v>2</v>
      </c>
      <c r="GK52" s="239">
        <v>2</v>
      </c>
      <c r="GL52" s="239">
        <v>2</v>
      </c>
      <c r="GM52" s="239">
        <v>2</v>
      </c>
      <c r="GN52" s="239">
        <v>2</v>
      </c>
      <c r="GO52" s="239">
        <v>2</v>
      </c>
      <c r="GP52" s="239">
        <v>2</v>
      </c>
      <c r="GQ52" s="239">
        <v>2</v>
      </c>
      <c r="GR52" s="239">
        <v>2</v>
      </c>
      <c r="GS52" s="239">
        <v>2</v>
      </c>
      <c r="GT52" s="252">
        <v>2</v>
      </c>
    </row>
    <row r="53" spans="1:202">
      <c r="B53" s="356" t="s">
        <v>42</v>
      </c>
      <c r="C53" s="357">
        <f>SUM(C41:C52)</f>
        <v>1099.18</v>
      </c>
      <c r="D53" s="358">
        <f t="shared" si="607"/>
        <v>1326.0400000000002</v>
      </c>
      <c r="E53" s="358">
        <f t="shared" si="608"/>
        <v>1080.2</v>
      </c>
      <c r="F53" s="358">
        <f t="shared" si="609"/>
        <v>865.30000000000018</v>
      </c>
      <c r="G53" s="358">
        <f t="shared" si="610"/>
        <v>1071.2099999999998</v>
      </c>
      <c r="H53" s="358">
        <f t="shared" si="611"/>
        <v>1264.1899999999998</v>
      </c>
      <c r="I53" s="358">
        <f t="shared" si="612"/>
        <v>1112.3499999999999</v>
      </c>
      <c r="J53" s="671"/>
      <c r="K53" s="359">
        <f t="shared" ref="K53:O53" si="673">SUM(K41:K52)</f>
        <v>91.598333333333329</v>
      </c>
      <c r="L53" s="359">
        <f t="shared" si="673"/>
        <v>110.50333333333332</v>
      </c>
      <c r="M53" s="358">
        <f t="shared" si="673"/>
        <v>90.016666666666666</v>
      </c>
      <c r="N53" s="357">
        <f t="shared" si="673"/>
        <v>72.108333333333334</v>
      </c>
      <c r="O53" s="357">
        <f t="shared" si="673"/>
        <v>90.09999999999998</v>
      </c>
      <c r="P53" s="357">
        <f t="shared" ref="P53:Q53" si="674">SUM(P41:P52)</f>
        <v>105.34916666666665</v>
      </c>
      <c r="Q53" s="357">
        <f t="shared" si="674"/>
        <v>92.69583333333334</v>
      </c>
      <c r="R53" s="671"/>
      <c r="S53" s="1034">
        <f t="shared" ref="S53:BD53" si="675">SUM(S41:S52)</f>
        <v>89.960000000000008</v>
      </c>
      <c r="T53" s="1035">
        <f t="shared" si="675"/>
        <v>135.57</v>
      </c>
      <c r="U53" s="1035">
        <f t="shared" si="675"/>
        <v>53.960000000000008</v>
      </c>
      <c r="V53" s="1034">
        <f t="shared" si="675"/>
        <v>53.960000000000008</v>
      </c>
      <c r="W53" s="1035">
        <f t="shared" si="675"/>
        <v>201.54000000000002</v>
      </c>
      <c r="X53" s="1035">
        <f t="shared" si="675"/>
        <v>184.57</v>
      </c>
      <c r="Y53" s="1035">
        <f t="shared" si="675"/>
        <v>27.98</v>
      </c>
      <c r="Z53" s="1035">
        <f t="shared" si="675"/>
        <v>142.56</v>
      </c>
      <c r="AA53" s="1035">
        <f t="shared" si="675"/>
        <v>34.97</v>
      </c>
      <c r="AB53" s="1035">
        <f t="shared" si="675"/>
        <v>27.98</v>
      </c>
      <c r="AC53" s="1035">
        <f t="shared" si="675"/>
        <v>96.57</v>
      </c>
      <c r="AD53" s="1035">
        <f t="shared" si="675"/>
        <v>96.57</v>
      </c>
      <c r="AE53" s="1035">
        <f t="shared" si="675"/>
        <v>80.960000000000008</v>
      </c>
      <c r="AF53" s="1035">
        <f t="shared" si="675"/>
        <v>106.56</v>
      </c>
      <c r="AG53" s="1035">
        <f t="shared" si="675"/>
        <v>44.96</v>
      </c>
      <c r="AH53" s="1034">
        <f t="shared" si="675"/>
        <v>109.92999999999998</v>
      </c>
      <c r="AI53" s="1035">
        <f t="shared" si="675"/>
        <v>141.54</v>
      </c>
      <c r="AJ53" s="1035">
        <f t="shared" si="675"/>
        <v>240.54</v>
      </c>
      <c r="AK53" s="1035">
        <f t="shared" si="675"/>
        <v>94.929999999999978</v>
      </c>
      <c r="AL53" s="1035">
        <f t="shared" si="675"/>
        <v>87.939999999999984</v>
      </c>
      <c r="AM53" s="1035">
        <f t="shared" si="675"/>
        <v>67.95</v>
      </c>
      <c r="AN53" s="1035">
        <f t="shared" si="675"/>
        <v>182.48000000000002</v>
      </c>
      <c r="AO53" s="1035">
        <f t="shared" si="675"/>
        <v>57.96</v>
      </c>
      <c r="AP53" s="1035">
        <f t="shared" si="675"/>
        <v>67.95</v>
      </c>
      <c r="AQ53" s="1035">
        <f t="shared" si="675"/>
        <v>99.95</v>
      </c>
      <c r="AR53" s="1035">
        <f t="shared" si="675"/>
        <v>103.92</v>
      </c>
      <c r="AS53" s="1035">
        <f>SUM(AS41:AS52)</f>
        <v>70.95</v>
      </c>
      <c r="AT53" s="1034">
        <f t="shared" si="675"/>
        <v>92.929999999999993</v>
      </c>
      <c r="AU53" s="1035">
        <f t="shared" si="675"/>
        <v>90.94</v>
      </c>
      <c r="AV53" s="1035">
        <f t="shared" si="675"/>
        <v>104.59999999999998</v>
      </c>
      <c r="AW53" s="1035">
        <f>SUM(AW41:AW52)</f>
        <v>100.60999999999999</v>
      </c>
      <c r="AX53" s="1035">
        <f t="shared" si="675"/>
        <v>113.58999999999999</v>
      </c>
      <c r="AY53" s="1035">
        <f t="shared" si="675"/>
        <v>63.95</v>
      </c>
      <c r="AZ53" s="1035">
        <f>SUM(AZ41:AZ52)</f>
        <v>83.94</v>
      </c>
      <c r="BA53" s="1035">
        <f t="shared" si="675"/>
        <v>63.95</v>
      </c>
      <c r="BB53" s="1035">
        <f t="shared" si="675"/>
        <v>123.94</v>
      </c>
      <c r="BC53" s="1035">
        <f t="shared" si="675"/>
        <v>113.85</v>
      </c>
      <c r="BD53" s="1035">
        <f t="shared" si="675"/>
        <v>63.95</v>
      </c>
      <c r="BE53" s="1035">
        <f>SUM(BE41:BE52)</f>
        <v>63.95</v>
      </c>
      <c r="BF53" s="1034">
        <f t="shared" ref="BF53" si="676">SUM(BF41:BF52)</f>
        <v>63.95</v>
      </c>
      <c r="BG53" s="1035">
        <f t="shared" ref="BG53:BH53" si="677">SUM(BG41:BG52)</f>
        <v>63.95</v>
      </c>
      <c r="BH53" s="1035">
        <f t="shared" si="677"/>
        <v>63.95</v>
      </c>
      <c r="BI53" s="1035">
        <f t="shared" ref="BI53:DT53" si="678">SUM(BI41:BI52)</f>
        <v>63.95</v>
      </c>
      <c r="BJ53" s="1035">
        <f>SUM(BJ41:BJ52)</f>
        <v>107.93999999999998</v>
      </c>
      <c r="BK53" s="1035">
        <f t="shared" si="678"/>
        <v>63.95</v>
      </c>
      <c r="BL53" s="1035">
        <f t="shared" si="678"/>
        <v>63.95</v>
      </c>
      <c r="BM53" s="1035">
        <f t="shared" si="678"/>
        <v>63.95</v>
      </c>
      <c r="BN53" s="1035">
        <f t="shared" si="678"/>
        <v>63.95</v>
      </c>
      <c r="BO53" s="1035">
        <f t="shared" si="678"/>
        <v>114.85</v>
      </c>
      <c r="BP53" s="1035">
        <f t="shared" si="678"/>
        <v>64.95</v>
      </c>
      <c r="BQ53" s="1035">
        <f t="shared" si="678"/>
        <v>65.960000000000008</v>
      </c>
      <c r="BR53" s="1034">
        <f t="shared" si="678"/>
        <v>64.95</v>
      </c>
      <c r="BS53" s="1035">
        <f t="shared" si="678"/>
        <v>64.95</v>
      </c>
      <c r="BT53" s="1035">
        <f t="shared" si="678"/>
        <v>95.94</v>
      </c>
      <c r="BU53" s="1035">
        <f t="shared" si="678"/>
        <v>95.94</v>
      </c>
      <c r="BV53" s="1035">
        <f>SUM(BV41:BV52)</f>
        <v>95.929999999999993</v>
      </c>
      <c r="BW53" s="1035">
        <f t="shared" si="678"/>
        <v>79.94</v>
      </c>
      <c r="BX53" s="1035">
        <f t="shared" si="678"/>
        <v>80.94</v>
      </c>
      <c r="BY53" s="1035">
        <f>SUM(BY41:BY52)-BY49</f>
        <v>80.95</v>
      </c>
      <c r="BZ53" s="1035">
        <f t="shared" si="678"/>
        <v>90.94</v>
      </c>
      <c r="CA53" s="1035">
        <f t="shared" si="678"/>
        <v>143.83999999999997</v>
      </c>
      <c r="CB53" s="1035">
        <f t="shared" si="678"/>
        <v>93.939999999999984</v>
      </c>
      <c r="CC53" s="1035">
        <f t="shared" si="678"/>
        <v>82.949999999999989</v>
      </c>
      <c r="CD53" s="1034">
        <f t="shared" si="678"/>
        <v>101.92999999999998</v>
      </c>
      <c r="CE53" s="1035">
        <f t="shared" si="678"/>
        <v>112.91999999999997</v>
      </c>
      <c r="CF53" s="1035">
        <f t="shared" si="678"/>
        <v>102.92999999999998</v>
      </c>
      <c r="CG53" s="1035">
        <f t="shared" si="678"/>
        <v>101.33999999999997</v>
      </c>
      <c r="CH53" s="1035">
        <f t="shared" si="678"/>
        <v>149.59</v>
      </c>
      <c r="CI53" s="1035">
        <f t="shared" si="678"/>
        <v>104.92999999999998</v>
      </c>
      <c r="CJ53" s="1035">
        <f t="shared" si="678"/>
        <v>101.92999999999998</v>
      </c>
      <c r="CK53" s="1035">
        <f t="shared" si="678"/>
        <v>92.939999999999984</v>
      </c>
      <c r="CL53" s="1035">
        <f t="shared" si="678"/>
        <v>92.939999999999984</v>
      </c>
      <c r="CM53" s="1035">
        <f t="shared" si="678"/>
        <v>142.83999999999997</v>
      </c>
      <c r="CN53" s="1035">
        <f t="shared" si="678"/>
        <v>75.95</v>
      </c>
      <c r="CO53" s="1035">
        <f t="shared" si="678"/>
        <v>83.949999999999989</v>
      </c>
      <c r="CP53" s="1034">
        <f t="shared" si="678"/>
        <v>83.949999999999989</v>
      </c>
      <c r="CQ53" s="1035">
        <f t="shared" si="678"/>
        <v>83.949999999999989</v>
      </c>
      <c r="CR53" s="1035">
        <f t="shared" si="678"/>
        <v>91.94</v>
      </c>
      <c r="CS53" s="1035">
        <f t="shared" si="678"/>
        <v>81.949999999999989</v>
      </c>
      <c r="CT53" s="1035">
        <f t="shared" si="678"/>
        <v>106.32</v>
      </c>
      <c r="CU53" s="1035">
        <f t="shared" si="678"/>
        <v>106.30999999999997</v>
      </c>
      <c r="CV53" s="1035">
        <f t="shared" si="678"/>
        <v>106.29999999999998</v>
      </c>
      <c r="CW53" s="1035">
        <f t="shared" si="678"/>
        <v>81.94</v>
      </c>
      <c r="CX53" s="1035">
        <f t="shared" si="678"/>
        <v>81.94</v>
      </c>
      <c r="CY53" s="1035">
        <f t="shared" si="678"/>
        <v>123.85</v>
      </c>
      <c r="CZ53" s="1035">
        <f t="shared" si="678"/>
        <v>81.949999999999989</v>
      </c>
      <c r="DA53" s="1035">
        <f t="shared" si="678"/>
        <v>81.949999999999989</v>
      </c>
      <c r="DB53" s="1036">
        <f t="shared" si="678"/>
        <v>81.949999999999989</v>
      </c>
      <c r="DC53" s="1035">
        <f t="shared" si="678"/>
        <v>94.939999999999984</v>
      </c>
      <c r="DD53" s="1035">
        <f t="shared" si="678"/>
        <v>94.939999999999984</v>
      </c>
      <c r="DE53" s="1035">
        <f t="shared" si="678"/>
        <v>94.939999999999984</v>
      </c>
      <c r="DF53" s="1035">
        <f t="shared" si="678"/>
        <v>94.939999999999984</v>
      </c>
      <c r="DG53" s="1035">
        <f t="shared" si="678"/>
        <v>94.939999999999984</v>
      </c>
      <c r="DH53" s="1035">
        <f t="shared" si="678"/>
        <v>94.939999999999984</v>
      </c>
      <c r="DI53" s="1035">
        <f t="shared" si="678"/>
        <v>94.939999999999984</v>
      </c>
      <c r="DJ53" s="1035">
        <f t="shared" si="678"/>
        <v>94.939999999999984</v>
      </c>
      <c r="DK53" s="1035">
        <f t="shared" si="678"/>
        <v>144.83999999999997</v>
      </c>
      <c r="DL53" s="1035">
        <f t="shared" si="678"/>
        <v>94.939999999999984</v>
      </c>
      <c r="DM53" s="1035">
        <f t="shared" si="678"/>
        <v>94.939999999999984</v>
      </c>
      <c r="DN53" s="1035">
        <f t="shared" si="678"/>
        <v>94.939999999999984</v>
      </c>
      <c r="DO53" s="1034">
        <f t="shared" si="678"/>
        <v>94.939999999999984</v>
      </c>
      <c r="DP53" s="1035">
        <f t="shared" si="678"/>
        <v>94.939999999999984</v>
      </c>
      <c r="DQ53" s="1035">
        <f t="shared" si="678"/>
        <v>94.939999999999984</v>
      </c>
      <c r="DR53" s="1035">
        <f t="shared" si="678"/>
        <v>94.939999999999984</v>
      </c>
      <c r="DS53" s="1035">
        <f t="shared" si="678"/>
        <v>94.939999999999984</v>
      </c>
      <c r="DT53" s="1035">
        <f t="shared" si="678"/>
        <v>94.939999999999984</v>
      </c>
      <c r="DU53" s="1035">
        <f t="shared" ref="DU53:EQ53" si="679">SUM(DU41:DU52)</f>
        <v>94.939999999999984</v>
      </c>
      <c r="DV53" s="1035">
        <f t="shared" si="679"/>
        <v>94.939999999999984</v>
      </c>
      <c r="DW53" s="1035">
        <f t="shared" si="679"/>
        <v>130.94</v>
      </c>
      <c r="DX53" s="1035">
        <f t="shared" si="679"/>
        <v>94.939999999999984</v>
      </c>
      <c r="DY53" s="1035">
        <f t="shared" si="679"/>
        <v>94.939999999999984</v>
      </c>
      <c r="DZ53" s="1036">
        <f t="shared" si="679"/>
        <v>94.939999999999984</v>
      </c>
      <c r="EA53" s="1034">
        <f t="shared" si="679"/>
        <v>94.939999999999984</v>
      </c>
      <c r="EB53" s="1035">
        <f t="shared" si="679"/>
        <v>94.939999999999984</v>
      </c>
      <c r="EC53" s="1035">
        <f t="shared" si="679"/>
        <v>94.939999999999984</v>
      </c>
      <c r="ED53" s="1035">
        <f t="shared" si="679"/>
        <v>94.939999999999984</v>
      </c>
      <c r="EE53" s="1035">
        <f t="shared" si="679"/>
        <v>94.939999999999984</v>
      </c>
      <c r="EF53" s="1035">
        <f t="shared" si="679"/>
        <v>94.939999999999984</v>
      </c>
      <c r="EG53" s="1035">
        <f t="shared" si="679"/>
        <v>94.939999999999984</v>
      </c>
      <c r="EH53" s="1035">
        <f t="shared" si="679"/>
        <v>94.939999999999984</v>
      </c>
      <c r="EI53" s="1035">
        <f t="shared" si="679"/>
        <v>130.94</v>
      </c>
      <c r="EJ53" s="1035">
        <f t="shared" si="679"/>
        <v>94.939999999999984</v>
      </c>
      <c r="EK53" s="1035">
        <f t="shared" si="679"/>
        <v>94.939999999999984</v>
      </c>
      <c r="EL53" s="1036">
        <f t="shared" si="679"/>
        <v>94.939999999999984</v>
      </c>
      <c r="EM53" s="1035">
        <f t="shared" si="679"/>
        <v>94.939999999999984</v>
      </c>
      <c r="EN53" s="1035">
        <f t="shared" si="679"/>
        <v>94.939999999999984</v>
      </c>
      <c r="EO53" s="1035">
        <f t="shared" si="679"/>
        <v>94.939999999999984</v>
      </c>
      <c r="EP53" s="1035">
        <f t="shared" si="679"/>
        <v>94.939999999999984</v>
      </c>
      <c r="EQ53" s="1035">
        <f t="shared" si="679"/>
        <v>94.939999999999984</v>
      </c>
      <c r="ER53" s="1035">
        <f t="shared" ref="ER53:EX53" si="680">SUM(ER41:ER52)</f>
        <v>94.939999999999984</v>
      </c>
      <c r="ES53" s="1035">
        <f t="shared" si="680"/>
        <v>94.939999999999984</v>
      </c>
      <c r="ET53" s="1035">
        <f t="shared" si="680"/>
        <v>94.939999999999984</v>
      </c>
      <c r="EU53" s="1035">
        <f t="shared" si="680"/>
        <v>81.949999999999989</v>
      </c>
      <c r="EV53" s="1035">
        <f t="shared" si="680"/>
        <v>81.949999999999989</v>
      </c>
      <c r="EW53" s="1035">
        <f t="shared" si="680"/>
        <v>81.949999999999989</v>
      </c>
      <c r="EX53" s="1036">
        <f t="shared" si="680"/>
        <v>81.949999999999989</v>
      </c>
      <c r="EY53" s="1035">
        <f t="shared" ref="EY53:GM53" si="681">SUM(EY41:EY52)</f>
        <v>81.949999999999989</v>
      </c>
      <c r="EZ53" s="1035">
        <f t="shared" si="681"/>
        <v>81.949999999999989</v>
      </c>
      <c r="FA53" s="1035">
        <f t="shared" si="681"/>
        <v>81.949999999999989</v>
      </c>
      <c r="FB53" s="1035">
        <f t="shared" si="681"/>
        <v>81.949999999999989</v>
      </c>
      <c r="FC53" s="1035">
        <f t="shared" si="681"/>
        <v>81.949999999999989</v>
      </c>
      <c r="FD53" s="1035">
        <f t="shared" si="681"/>
        <v>81.949999999999989</v>
      </c>
      <c r="FE53" s="1035">
        <f t="shared" si="681"/>
        <v>81.949999999999989</v>
      </c>
      <c r="FF53" s="1035">
        <f t="shared" si="681"/>
        <v>81.949999999999989</v>
      </c>
      <c r="FG53" s="1035">
        <f t="shared" si="681"/>
        <v>81.949999999999989</v>
      </c>
      <c r="FH53" s="1035">
        <f t="shared" si="681"/>
        <v>81.949999999999989</v>
      </c>
      <c r="FI53" s="1035">
        <f t="shared" si="681"/>
        <v>81.949999999999989</v>
      </c>
      <c r="FJ53" s="1036">
        <f t="shared" si="681"/>
        <v>81.949999999999989</v>
      </c>
      <c r="FK53" s="1035">
        <f t="shared" si="681"/>
        <v>81.949999999999989</v>
      </c>
      <c r="FL53" s="1035">
        <f t="shared" si="681"/>
        <v>81.949999999999989</v>
      </c>
      <c r="FM53" s="1035">
        <f t="shared" si="681"/>
        <v>81.949999999999989</v>
      </c>
      <c r="FN53" s="1035">
        <f t="shared" si="681"/>
        <v>81.949999999999989</v>
      </c>
      <c r="FO53" s="1035">
        <f t="shared" si="681"/>
        <v>81.949999999999989</v>
      </c>
      <c r="FP53" s="1035">
        <f t="shared" si="681"/>
        <v>81.949999999999989</v>
      </c>
      <c r="FQ53" s="1035">
        <f t="shared" si="681"/>
        <v>81.949999999999989</v>
      </c>
      <c r="FR53" s="1035">
        <f t="shared" si="681"/>
        <v>81.949999999999989</v>
      </c>
      <c r="FS53" s="1035">
        <f t="shared" si="681"/>
        <v>81.949999999999989</v>
      </c>
      <c r="FT53" s="1035">
        <f t="shared" si="681"/>
        <v>81.949999999999989</v>
      </c>
      <c r="FU53" s="1035">
        <f t="shared" si="681"/>
        <v>81.949999999999989</v>
      </c>
      <c r="FV53" s="1036">
        <f t="shared" si="681"/>
        <v>81.949999999999989</v>
      </c>
      <c r="FW53" s="1035">
        <f t="shared" si="681"/>
        <v>81.949999999999989</v>
      </c>
      <c r="FX53" s="1035">
        <f t="shared" si="681"/>
        <v>81.949999999999989</v>
      </c>
      <c r="FY53" s="1035">
        <f t="shared" si="681"/>
        <v>81.949999999999989</v>
      </c>
      <c r="FZ53" s="1035">
        <f t="shared" si="681"/>
        <v>81.949999999999989</v>
      </c>
      <c r="GA53" s="1035">
        <f t="shared" si="681"/>
        <v>81.949999999999989</v>
      </c>
      <c r="GB53" s="1035">
        <f t="shared" si="681"/>
        <v>81.949999999999989</v>
      </c>
      <c r="GC53" s="1035">
        <f t="shared" si="681"/>
        <v>81.949999999999989</v>
      </c>
      <c r="GD53" s="1035">
        <f t="shared" si="681"/>
        <v>81.949999999999989</v>
      </c>
      <c r="GE53" s="1035">
        <f t="shared" si="681"/>
        <v>81.949999999999989</v>
      </c>
      <c r="GF53" s="1035">
        <f t="shared" si="681"/>
        <v>81.949999999999989</v>
      </c>
      <c r="GG53" s="1035">
        <f t="shared" si="681"/>
        <v>81.949999999999989</v>
      </c>
      <c r="GH53" s="1036">
        <f t="shared" si="681"/>
        <v>81.949999999999989</v>
      </c>
      <c r="GI53" s="1035">
        <f t="shared" si="681"/>
        <v>81.949999999999989</v>
      </c>
      <c r="GJ53" s="1035">
        <f t="shared" si="681"/>
        <v>81.949999999999989</v>
      </c>
      <c r="GK53" s="1035">
        <f t="shared" si="681"/>
        <v>81.949999999999989</v>
      </c>
      <c r="GL53" s="1035">
        <f t="shared" si="681"/>
        <v>81.949999999999989</v>
      </c>
      <c r="GM53" s="1035">
        <f t="shared" si="681"/>
        <v>81.949999999999989</v>
      </c>
      <c r="GN53" s="1035">
        <f t="shared" ref="GN53:GT53" si="682">SUM(GN41:GN52)</f>
        <v>81.949999999999989</v>
      </c>
      <c r="GO53" s="1035">
        <f t="shared" si="682"/>
        <v>81.949999999999989</v>
      </c>
      <c r="GP53" s="1035">
        <f t="shared" si="682"/>
        <v>81.949999999999989</v>
      </c>
      <c r="GQ53" s="1035">
        <f t="shared" si="682"/>
        <v>81.949999999999989</v>
      </c>
      <c r="GR53" s="1035">
        <f t="shared" si="682"/>
        <v>81.949999999999989</v>
      </c>
      <c r="GS53" s="1035">
        <f t="shared" si="682"/>
        <v>81.949999999999989</v>
      </c>
      <c r="GT53" s="1036">
        <f t="shared" si="682"/>
        <v>81.949999999999989</v>
      </c>
    </row>
    <row r="54" spans="1:202">
      <c r="B54" s="255"/>
      <c r="C54" s="43"/>
      <c r="D54" s="43"/>
      <c r="E54" s="43"/>
      <c r="F54" s="43"/>
      <c r="G54" s="43"/>
      <c r="H54" s="43"/>
      <c r="I54" s="43"/>
      <c r="J54" s="1077"/>
      <c r="K54" s="1129"/>
      <c r="L54" s="1129"/>
      <c r="M54" s="1129"/>
      <c r="N54" s="1129"/>
      <c r="O54" s="1129"/>
      <c r="P54" s="1129"/>
      <c r="Q54" s="1129"/>
      <c r="R54" s="1077"/>
      <c r="S54" s="360"/>
      <c r="T54" s="43"/>
      <c r="U54" s="43"/>
      <c r="V54" s="360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360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360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360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360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360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360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255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360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255"/>
      <c r="EA54" s="360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255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255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255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255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255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255"/>
    </row>
    <row r="55" spans="1:202">
      <c r="A55" s="237"/>
      <c r="B55" s="256" t="s">
        <v>43</v>
      </c>
      <c r="C55" s="241"/>
      <c r="D55" s="241"/>
      <c r="E55" s="241"/>
      <c r="F55" s="241"/>
      <c r="G55" s="241"/>
      <c r="H55" s="241"/>
      <c r="I55" s="241"/>
      <c r="J55" s="1077"/>
      <c r="K55" s="1130"/>
      <c r="L55" s="1130"/>
      <c r="M55" s="1130"/>
      <c r="N55" s="1130"/>
      <c r="O55" s="1130"/>
      <c r="P55" s="1260"/>
      <c r="Q55" s="1129"/>
      <c r="R55" s="1077"/>
      <c r="S55" s="435"/>
      <c r="T55" s="241"/>
      <c r="U55" s="241"/>
      <c r="V55" s="435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435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435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435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435"/>
      <c r="BS55" s="241"/>
      <c r="BT55" s="241"/>
      <c r="BU55" s="241"/>
      <c r="BV55" s="241"/>
      <c r="BW55" s="241"/>
      <c r="BX55" s="241"/>
      <c r="BY55" s="241"/>
      <c r="BZ55" s="241"/>
      <c r="CA55" s="241"/>
      <c r="CB55" s="241"/>
      <c r="CC55" s="241"/>
      <c r="CD55" s="435"/>
      <c r="CE55" s="241"/>
      <c r="CF55" s="241"/>
      <c r="CG55" s="241"/>
      <c r="CH55" s="241"/>
      <c r="CI55" s="241"/>
      <c r="CJ55" s="241"/>
      <c r="CK55" s="241"/>
      <c r="CL55" s="241"/>
      <c r="CM55" s="241"/>
      <c r="CN55" s="241"/>
      <c r="CO55" s="241"/>
      <c r="CP55" s="435"/>
      <c r="CQ55" s="241"/>
      <c r="CR55" s="241"/>
      <c r="CS55" s="241"/>
      <c r="CT55" s="241"/>
      <c r="CU55" s="241"/>
      <c r="CV55" s="241"/>
      <c r="CW55" s="241"/>
      <c r="CX55" s="241"/>
      <c r="CY55" s="241"/>
      <c r="CZ55" s="241"/>
      <c r="DA55" s="241"/>
      <c r="DB55" s="559"/>
      <c r="DC55" s="241"/>
      <c r="DD55" s="241"/>
      <c r="DE55" s="241"/>
      <c r="DF55" s="241"/>
      <c r="DG55" s="241"/>
      <c r="DH55" s="241"/>
      <c r="DI55" s="241"/>
      <c r="DJ55" s="241"/>
      <c r="DK55" s="241"/>
      <c r="DL55" s="241"/>
      <c r="DM55" s="241"/>
      <c r="DN55" s="241"/>
      <c r="DO55" s="435"/>
      <c r="DP55" s="241"/>
      <c r="DQ55" s="241"/>
      <c r="DR55" s="241"/>
      <c r="DS55" s="241"/>
      <c r="DT55" s="241"/>
      <c r="DU55" s="241"/>
      <c r="DV55" s="241"/>
      <c r="DW55" s="241"/>
      <c r="DX55" s="241"/>
      <c r="DY55" s="241"/>
      <c r="DZ55" s="559"/>
      <c r="EA55" s="435"/>
      <c r="EB55" s="241"/>
      <c r="EC55" s="241"/>
      <c r="ED55" s="241"/>
      <c r="EE55" s="241"/>
      <c r="EF55" s="241"/>
      <c r="EG55" s="241"/>
      <c r="EH55" s="241"/>
      <c r="EI55" s="241"/>
      <c r="EJ55" s="241"/>
      <c r="EK55" s="241"/>
      <c r="EL55" s="559"/>
      <c r="EM55" s="241"/>
      <c r="EN55" s="241"/>
      <c r="EO55" s="241"/>
      <c r="EP55" s="241"/>
      <c r="EQ55" s="241"/>
      <c r="ER55" s="241"/>
      <c r="ES55" s="241"/>
      <c r="ET55" s="241"/>
      <c r="EU55" s="241"/>
      <c r="EV55" s="241"/>
      <c r="EW55" s="241"/>
      <c r="EX55" s="559"/>
      <c r="EY55" s="241"/>
      <c r="EZ55" s="241"/>
      <c r="FA55" s="241"/>
      <c r="FB55" s="241"/>
      <c r="FC55" s="241"/>
      <c r="FD55" s="241"/>
      <c r="FE55" s="241"/>
      <c r="FF55" s="241"/>
      <c r="FG55" s="241"/>
      <c r="FH55" s="241"/>
      <c r="FI55" s="241"/>
      <c r="FJ55" s="559"/>
      <c r="FK55" s="241"/>
      <c r="FL55" s="241"/>
      <c r="FM55" s="241"/>
      <c r="FN55" s="241"/>
      <c r="FO55" s="241"/>
      <c r="FP55" s="241"/>
      <c r="FQ55" s="241"/>
      <c r="FR55" s="241"/>
      <c r="FS55" s="241"/>
      <c r="FT55" s="241"/>
      <c r="FU55" s="241"/>
      <c r="FV55" s="559"/>
      <c r="FW55" s="241"/>
      <c r="FX55" s="241"/>
      <c r="FY55" s="241"/>
      <c r="FZ55" s="241"/>
      <c r="GA55" s="241"/>
      <c r="GB55" s="241"/>
      <c r="GC55" s="241"/>
      <c r="GD55" s="241"/>
      <c r="GE55" s="241"/>
      <c r="GF55" s="241"/>
      <c r="GG55" s="241"/>
      <c r="GH55" s="559"/>
      <c r="GI55" s="241"/>
      <c r="GJ55" s="241"/>
      <c r="GK55" s="241"/>
      <c r="GL55" s="241"/>
      <c r="GM55" s="241"/>
      <c r="GN55" s="241"/>
      <c r="GO55" s="241"/>
      <c r="GP55" s="241"/>
      <c r="GQ55" s="241"/>
      <c r="GR55" s="241"/>
      <c r="GS55" s="241"/>
      <c r="GT55" s="559"/>
    </row>
    <row r="56" spans="1:202">
      <c r="B56" s="253" t="s">
        <v>44</v>
      </c>
      <c r="C56" s="251">
        <f>SUM(V56:AG56)</f>
        <v>7471</v>
      </c>
      <c r="D56" s="246">
        <f>SUM(AH56:AS56)</f>
        <v>7592.5300000000007</v>
      </c>
      <c r="E56" s="246">
        <f>SUM(AT56:BE56)</f>
        <v>4798.17</v>
      </c>
      <c r="F56" s="246">
        <f>SUM(BF56:BQ56)</f>
        <v>7081.88</v>
      </c>
      <c r="G56" s="246">
        <f>SUM(BR56:CC56)</f>
        <v>10399.370000000001</v>
      </c>
      <c r="H56" s="246">
        <f>SUM(CD56:CO56)</f>
        <v>15772.008000000002</v>
      </c>
      <c r="I56" s="1023">
        <f>SUM(CP56:DA56)</f>
        <v>16621.273999999998</v>
      </c>
      <c r="J56" s="671"/>
      <c r="K56" s="274">
        <f t="shared" ref="K56:P61" si="683">C56/12</f>
        <v>622.58333333333337</v>
      </c>
      <c r="L56" s="274">
        <f t="shared" si="683"/>
        <v>632.71083333333343</v>
      </c>
      <c r="M56" s="246">
        <f t="shared" si="683"/>
        <v>399.84750000000003</v>
      </c>
      <c r="N56" s="251">
        <f t="shared" si="683"/>
        <v>590.15666666666664</v>
      </c>
      <c r="O56" s="251">
        <f t="shared" si="683"/>
        <v>866.61416666666673</v>
      </c>
      <c r="P56" s="251">
        <f t="shared" si="683"/>
        <v>1314.3340000000001</v>
      </c>
      <c r="Q56" s="1042">
        <f>IFERROR(AVERAGEIF(CP56:DB56,"&gt;0"),0)</f>
        <v>1662.1273999999999</v>
      </c>
      <c r="R56" s="671"/>
      <c r="S56" s="23">
        <f>'Riepilogo Mensile Spese CC'!J3</f>
        <v>375.82</v>
      </c>
      <c r="T56" s="23">
        <f>'Riepilogo Mensile Spese CC'!K3</f>
        <v>277.06</v>
      </c>
      <c r="U56" s="23">
        <f>'Riepilogo Mensile Spese CC'!L3</f>
        <v>415.31</v>
      </c>
      <c r="V56" s="274">
        <f>'Riepilogo Mensile Spese CC'!M3</f>
        <v>1163.94</v>
      </c>
      <c r="W56" s="23">
        <f>'Riepilogo Mensile Spese CC'!B4</f>
        <v>509.00000000000006</v>
      </c>
      <c r="X56" s="23">
        <f>'Riepilogo Mensile Spese CC'!C4</f>
        <v>518.43000000000006</v>
      </c>
      <c r="Y56" s="23">
        <f>'Riepilogo Mensile Spese CC'!D4</f>
        <v>904.96000000000015</v>
      </c>
      <c r="Z56" s="23">
        <f>'Riepilogo Mensile Spese CC'!E4</f>
        <v>492.42</v>
      </c>
      <c r="AA56" s="23">
        <f>'Riepilogo Mensile Spese CC'!F4</f>
        <v>675.94999999999993</v>
      </c>
      <c r="AB56" s="23">
        <f>'Riepilogo Mensile Spese CC'!G4</f>
        <v>464.78999999999996</v>
      </c>
      <c r="AC56" s="23">
        <f>'Riepilogo Mensile Spese CC'!H4</f>
        <v>375.60000000000008</v>
      </c>
      <c r="AD56" s="23">
        <f>'Riepilogo Mensile Spese CC'!I4</f>
        <v>1297.49</v>
      </c>
      <c r="AE56" s="23">
        <f>'Riepilogo Mensile Spese CC'!J4</f>
        <v>369.18</v>
      </c>
      <c r="AF56" s="23">
        <f>'Riepilogo Mensile Spese CC'!K4</f>
        <v>392.46</v>
      </c>
      <c r="AG56" s="23">
        <f>'Riepilogo Mensile Spese CC'!L4</f>
        <v>306.77999999999997</v>
      </c>
      <c r="AH56" s="274">
        <f>'Riepilogo Mensile Spese CC'!M4</f>
        <v>966.59000000000015</v>
      </c>
      <c r="AI56" s="23">
        <f>'Riepilogo Mensile Spese CC'!B5</f>
        <v>713.45</v>
      </c>
      <c r="AJ56" s="23">
        <f>'Riepilogo Mensile Spese CC'!C5</f>
        <v>641.65</v>
      </c>
      <c r="AK56" s="23">
        <f>'Riepilogo Mensile Spese CC'!D5</f>
        <v>640.22999999999979</v>
      </c>
      <c r="AL56" s="23">
        <f>'Riepilogo Mensile Spese CC'!E5</f>
        <v>926.99000000000024</v>
      </c>
      <c r="AM56" s="23">
        <f>'Riepilogo Mensile Spese CC'!F5</f>
        <v>1037.97</v>
      </c>
      <c r="AN56" s="23">
        <f>'Riepilogo Mensile Spese CC'!G5</f>
        <v>603.70000000000005</v>
      </c>
      <c r="AO56" s="23">
        <f>'Riepilogo Mensile Spese CC'!H5</f>
        <v>739.48000000000013</v>
      </c>
      <c r="AP56" s="23">
        <f>'Riepilogo Mensile Spese CC'!I5</f>
        <v>788.58</v>
      </c>
      <c r="AQ56" s="23">
        <f>'Riepilogo Mensile Spese CC'!J5</f>
        <v>153.58000000000001</v>
      </c>
      <c r="AR56" s="23">
        <f>'Riepilogo Mensile Spese CC'!K5</f>
        <v>69.42</v>
      </c>
      <c r="AS56" s="23">
        <f>'Riepilogo Mensile Spese CC'!L5</f>
        <v>310.89</v>
      </c>
      <c r="AT56" s="274">
        <f>'Riepilogo Mensile Spese CC'!M5</f>
        <v>486.00999999999993</v>
      </c>
      <c r="AU56" s="23">
        <f>'Riepilogo Mensile Spese CC'!B6</f>
        <v>312.79000000000002</v>
      </c>
      <c r="AV56" s="23">
        <f>'Riepilogo Mensile Spese CC'!C6</f>
        <v>619.89</v>
      </c>
      <c r="AW56" s="23">
        <f>'Riepilogo Mensile Spese CC'!D6</f>
        <v>252.27</v>
      </c>
      <c r="AX56" s="23">
        <f>'Riepilogo Mensile Spese CC'!E6</f>
        <v>584.70000000000016</v>
      </c>
      <c r="AY56" s="23">
        <f>'Riepilogo Mensile Spese CC'!F6</f>
        <v>450.7</v>
      </c>
      <c r="AZ56" s="23">
        <f>'Riepilogo Mensile Spese CC'!G6</f>
        <v>273.89</v>
      </c>
      <c r="BA56" s="23">
        <f>'Riepilogo Mensile Spese CC'!H6</f>
        <v>366.3</v>
      </c>
      <c r="BB56" s="23">
        <f>'Riepilogo Mensile Spese CC'!I6</f>
        <v>440.41999999999996</v>
      </c>
      <c r="BC56" s="23">
        <f>'Riepilogo Mensile Spese CC'!J6</f>
        <v>251.39000000000007</v>
      </c>
      <c r="BD56" s="23">
        <f>'Riepilogo Mensile Spese CC'!K6</f>
        <v>344.73</v>
      </c>
      <c r="BE56" s="23">
        <f>'Riepilogo Mensile Spese CC'!L6</f>
        <v>415.08</v>
      </c>
      <c r="BF56" s="274">
        <f>'Riepilogo Mensile Spese CC'!M6</f>
        <v>869.98</v>
      </c>
      <c r="BG56" s="23">
        <f>'Riepilogo Mensile Spese CC'!B7</f>
        <v>449.36999999999995</v>
      </c>
      <c r="BH56" s="23">
        <f>'Riepilogo Mensile Spese CC'!C7</f>
        <v>335.17</v>
      </c>
      <c r="BI56" s="23">
        <f>'Riepilogo Mensile Spese CC'!D7</f>
        <v>341.64</v>
      </c>
      <c r="BJ56" s="23">
        <f>'Riepilogo Mensile Spese CC'!E7</f>
        <v>370.41</v>
      </c>
      <c r="BK56" s="23">
        <f>'Riepilogo Mensile Spese CC'!F7</f>
        <v>361.88</v>
      </c>
      <c r="BL56" s="23">
        <f>'Riepilogo Mensile Spese CC'!G7</f>
        <v>602.51999999999987</v>
      </c>
      <c r="BM56" s="23">
        <f>'Riepilogo Mensile Spese CC'!H7</f>
        <v>606.55000000000007</v>
      </c>
      <c r="BN56" s="23">
        <f>'Riepilogo Mensile Spese CC'!I7</f>
        <v>1397.92</v>
      </c>
      <c r="BO56" s="23">
        <f>'Riepilogo Mensile Spese CC'!J7</f>
        <v>417.89999999999986</v>
      </c>
      <c r="BP56" s="23">
        <f>'Riepilogo Mensile Spese CC'!K7</f>
        <v>606.27</v>
      </c>
      <c r="BQ56" s="23">
        <f>'Riepilogo Mensile Spese CC'!L7</f>
        <v>722.26999999999953</v>
      </c>
      <c r="BR56" s="274">
        <f>'Riepilogo Mensile Spese CC'!M7</f>
        <v>1156.6600000000001</v>
      </c>
      <c r="BS56" s="23">
        <f>'Riepilogo Mensile Spese CC'!B8</f>
        <v>464.87999999999994</v>
      </c>
      <c r="BT56" s="23">
        <f>'Riepilogo Mensile Spese CC'!C8</f>
        <v>565.69999999999982</v>
      </c>
      <c r="BU56" s="23">
        <f>'Riepilogo Mensile Spese CC'!D8</f>
        <v>485.51999999999987</v>
      </c>
      <c r="BV56" s="23">
        <f>'Riepilogo Mensile Spese CC'!E8</f>
        <v>605.46999999999957</v>
      </c>
      <c r="BW56" s="23">
        <f>'Riepilogo Mensile Spese CC'!F8</f>
        <v>365</v>
      </c>
      <c r="BX56" s="23">
        <f>'Riepilogo Mensile Spese CC'!G8</f>
        <v>790.88999999999987</v>
      </c>
      <c r="BY56" s="23">
        <f>'Riepilogo Mensile Spese CC'!H8</f>
        <v>952.17999999999984</v>
      </c>
      <c r="BZ56" s="23">
        <f>'Riepilogo Mensile Spese CC'!I8</f>
        <v>1769.1599999999999</v>
      </c>
      <c r="CA56" s="23">
        <f>'Riepilogo Mensile Spese CC'!J8</f>
        <v>889.21</v>
      </c>
      <c r="CB56" s="23">
        <f>'Riepilogo Mensile Spese CC'!K8</f>
        <v>883.26000000000022</v>
      </c>
      <c r="CC56" s="23">
        <f>'Riepilogo Mensile Spese CC'!L8</f>
        <v>1471.4400000000005</v>
      </c>
      <c r="CD56" s="274">
        <f>'Riepilogo Mensile Spese CC'!M8</f>
        <v>957.99</v>
      </c>
      <c r="CE56" s="23">
        <f>'Riepilogo Mensile Spese CC'!B9</f>
        <v>638.49</v>
      </c>
      <c r="CF56" s="23">
        <f>'Riepilogo Mensile Spese CC'!C9</f>
        <v>1210.9900000000002</v>
      </c>
      <c r="CG56" s="23">
        <f>'Riepilogo Mensile Spese CC'!D9</f>
        <v>872.45999999999981</v>
      </c>
      <c r="CH56" s="23">
        <f>'Riepilogo Mensile Spese CC'!E9</f>
        <v>1556.5000000000002</v>
      </c>
      <c r="CI56" s="23">
        <f>'Riepilogo Mensile Spese CC'!F9</f>
        <v>944.83999999999992</v>
      </c>
      <c r="CJ56" s="23">
        <f>'Riepilogo Mensile Spese CC'!G9</f>
        <v>1242.7300000000007</v>
      </c>
      <c r="CK56" s="23">
        <f>'Riepilogo Mensile Spese CC'!H9</f>
        <v>2077.8280000000004</v>
      </c>
      <c r="CL56" s="23">
        <f>'Riepilogo Mensile Spese CC'!I9</f>
        <v>1997.5000000000005</v>
      </c>
      <c r="CM56" s="23">
        <f>'Riepilogo Mensile Spese CC'!J9</f>
        <v>978.57999999999993</v>
      </c>
      <c r="CN56" s="23">
        <f>'Riepilogo Mensile Spese CC'!K9</f>
        <v>1619.24</v>
      </c>
      <c r="CO56" s="23">
        <f>'Riepilogo Mensile Spese CC'!L9</f>
        <v>1674.8599999999997</v>
      </c>
      <c r="CP56" s="274">
        <f>'Riepilogo Mensile Spese CC'!M9</f>
        <v>1815.6800000000007</v>
      </c>
      <c r="CQ56" s="23">
        <f>'Riepilogo Mensile Spese CC'!B10</f>
        <v>1092.6699999999998</v>
      </c>
      <c r="CR56" s="23">
        <f>'Riepilogo Mensile Spese CC'!C10</f>
        <v>1406.4079999999994</v>
      </c>
      <c r="CS56" s="23">
        <f>'Riepilogo Mensile Spese CC'!D10</f>
        <v>1307.8499999999995</v>
      </c>
      <c r="CT56" s="23">
        <f>'Riepilogo Mensile Spese CC'!E10</f>
        <v>1500.4580000000003</v>
      </c>
      <c r="CU56" s="23">
        <f>'Riepilogo Mensile Spese CC'!F10</f>
        <v>1576.9480000000001</v>
      </c>
      <c r="CV56" s="23">
        <f>'Riepilogo Mensile Spese CC'!G10</f>
        <v>1606.4099999999999</v>
      </c>
      <c r="CW56" s="23">
        <f>'Riepilogo Mensile Spese CC'!H10</f>
        <v>1971.7499999999998</v>
      </c>
      <c r="CX56" s="23">
        <f>'Riepilogo Mensile Spese CC'!I10</f>
        <v>2229.02</v>
      </c>
      <c r="CY56" s="23">
        <f>'Riepilogo Mensile Spese CC'!J10</f>
        <v>2114.08</v>
      </c>
      <c r="CZ56" s="23">
        <f>'Riepilogo Mensile Spese CC'!K10</f>
        <v>0</v>
      </c>
      <c r="DA56" s="23">
        <f>'Riepilogo Mensile Spese CC'!L10</f>
        <v>0</v>
      </c>
      <c r="DB56" s="251">
        <f>'Riepilogo Mensile Spese CC'!M10</f>
        <v>0</v>
      </c>
      <c r="DC56" s="274">
        <f>'Riepilogo Mensile Spese CC'!B11</f>
        <v>0</v>
      </c>
      <c r="DD56" s="23">
        <f>'Riepilogo Mensile Spese CC'!C11</f>
        <v>0</v>
      </c>
      <c r="DE56" s="23">
        <f>'Riepilogo Mensile Spese CC'!D11</f>
        <v>0</v>
      </c>
      <c r="DF56" s="23">
        <f>'Riepilogo Mensile Spese CC'!E11</f>
        <v>0</v>
      </c>
      <c r="DG56" s="23">
        <f>'Riepilogo Mensile Spese CC'!F11</f>
        <v>0</v>
      </c>
      <c r="DH56" s="23">
        <f>'Riepilogo Mensile Spese CC'!G11</f>
        <v>0</v>
      </c>
      <c r="DI56" s="23">
        <f>'Riepilogo Mensile Spese CC'!H11</f>
        <v>0</v>
      </c>
      <c r="DJ56" s="23">
        <f>'Riepilogo Mensile Spese CC'!I11</f>
        <v>0</v>
      </c>
      <c r="DK56" s="23">
        <f>'Riepilogo Mensile Spese CC'!J11</f>
        <v>0</v>
      </c>
      <c r="DL56" s="23">
        <f>'Riepilogo Mensile Spese CC'!K11</f>
        <v>0</v>
      </c>
      <c r="DM56" s="23">
        <f>'Riepilogo Mensile Spese CC'!L11</f>
        <v>0</v>
      </c>
      <c r="DN56" s="251">
        <f>'Riepilogo Mensile Spese CC'!M11</f>
        <v>0</v>
      </c>
      <c r="DO56" s="274">
        <f>'Riepilogo Mensile Spese CC'!B12</f>
        <v>0</v>
      </c>
      <c r="DP56" s="23">
        <f>'Riepilogo Mensile Spese CC'!C12</f>
        <v>0</v>
      </c>
      <c r="DQ56" s="23">
        <f>'Riepilogo Mensile Spese CC'!D12</f>
        <v>0</v>
      </c>
      <c r="DR56" s="23">
        <f>'Riepilogo Mensile Spese CC'!E12</f>
        <v>0</v>
      </c>
      <c r="DS56" s="23">
        <f>'Riepilogo Mensile Spese CC'!F12</f>
        <v>0</v>
      </c>
      <c r="DT56" s="23">
        <f>'Riepilogo Mensile Spese CC'!G12</f>
        <v>0</v>
      </c>
      <c r="DU56" s="23">
        <f>'Riepilogo Mensile Spese CC'!H12</f>
        <v>0</v>
      </c>
      <c r="DV56" s="23">
        <f>'Riepilogo Mensile Spese CC'!I12</f>
        <v>0</v>
      </c>
      <c r="DW56" s="23">
        <f>'Riepilogo Mensile Spese CC'!J12</f>
        <v>0</v>
      </c>
      <c r="DX56" s="23">
        <f>'Riepilogo Mensile Spese CC'!K12</f>
        <v>0</v>
      </c>
      <c r="DY56" s="23">
        <f>'Riepilogo Mensile Spese CC'!L12</f>
        <v>0</v>
      </c>
      <c r="DZ56" s="251">
        <f>'Riepilogo Mensile Spese CC'!M12</f>
        <v>0</v>
      </c>
      <c r="EA56" s="274">
        <f>'Riepilogo Mensile Spese CC'!B13</f>
        <v>0</v>
      </c>
      <c r="EB56" s="23">
        <f>'Riepilogo Mensile Spese CC'!C13</f>
        <v>0</v>
      </c>
      <c r="EC56" s="23">
        <f>'Riepilogo Mensile Spese CC'!D13</f>
        <v>0</v>
      </c>
      <c r="ED56" s="23">
        <f>'Riepilogo Mensile Spese CC'!E13</f>
        <v>0</v>
      </c>
      <c r="EE56" s="23">
        <f>'Riepilogo Mensile Spese CC'!F13</f>
        <v>0</v>
      </c>
      <c r="EF56" s="23">
        <f>'Riepilogo Mensile Spese CC'!G13</f>
        <v>0</v>
      </c>
      <c r="EG56" s="23">
        <f>'Riepilogo Mensile Spese CC'!H13</f>
        <v>0</v>
      </c>
      <c r="EH56" s="23">
        <f>'Riepilogo Mensile Spese CC'!I13</f>
        <v>0</v>
      </c>
      <c r="EI56" s="23">
        <f>'Riepilogo Mensile Spese CC'!J13</f>
        <v>0</v>
      </c>
      <c r="EJ56" s="23">
        <f>'Riepilogo Mensile Spese CC'!K13</f>
        <v>0</v>
      </c>
      <c r="EK56" s="23">
        <f>'Riepilogo Mensile Spese CC'!L13</f>
        <v>0</v>
      </c>
      <c r="EL56" s="251">
        <f>'Riepilogo Mensile Spese CC'!M13</f>
        <v>0</v>
      </c>
      <c r="EM56" s="274">
        <f>'Riepilogo Mensile Spese CC'!B14</f>
        <v>0</v>
      </c>
      <c r="EN56" s="23">
        <f>'Riepilogo Mensile Spese CC'!C14</f>
        <v>0</v>
      </c>
      <c r="EO56" s="23">
        <f>'Riepilogo Mensile Spese CC'!D14</f>
        <v>0</v>
      </c>
      <c r="EP56" s="23">
        <f>'Riepilogo Mensile Spese CC'!E14</f>
        <v>0</v>
      </c>
      <c r="EQ56" s="23">
        <f>'Riepilogo Mensile Spese CC'!F14</f>
        <v>0</v>
      </c>
      <c r="ER56" s="23">
        <f>'Riepilogo Mensile Spese CC'!G14</f>
        <v>0</v>
      </c>
      <c r="ES56" s="23">
        <f>'Riepilogo Mensile Spese CC'!H14</f>
        <v>0</v>
      </c>
      <c r="ET56" s="23">
        <f>'Riepilogo Mensile Spese CC'!I14</f>
        <v>0</v>
      </c>
      <c r="EU56" s="23">
        <f>'Riepilogo Mensile Spese CC'!J14</f>
        <v>0</v>
      </c>
      <c r="EV56" s="23">
        <f>'Riepilogo Mensile Spese CC'!K14</f>
        <v>0</v>
      </c>
      <c r="EW56" s="23">
        <f>'Riepilogo Mensile Spese CC'!L14</f>
        <v>0</v>
      </c>
      <c r="EX56" s="251">
        <f>'Riepilogo Mensile Spese CC'!M14</f>
        <v>0</v>
      </c>
      <c r="EY56" s="274">
        <f>'Riepilogo Mensile Spese CC'!B15</f>
        <v>0</v>
      </c>
      <c r="EZ56" s="23">
        <f>'Riepilogo Mensile Spese CC'!C15</f>
        <v>0</v>
      </c>
      <c r="FA56" s="23">
        <f>'Riepilogo Mensile Spese CC'!D15</f>
        <v>0</v>
      </c>
      <c r="FB56" s="23">
        <f>'Riepilogo Mensile Spese CC'!E15</f>
        <v>0</v>
      </c>
      <c r="FC56" s="23">
        <f>'Riepilogo Mensile Spese CC'!F15</f>
        <v>0</v>
      </c>
      <c r="FD56" s="23">
        <f>'Riepilogo Mensile Spese CC'!G15</f>
        <v>0</v>
      </c>
      <c r="FE56" s="23">
        <f>'Riepilogo Mensile Spese CC'!H15</f>
        <v>0</v>
      </c>
      <c r="FF56" s="23">
        <f>'Riepilogo Mensile Spese CC'!I15</f>
        <v>0</v>
      </c>
      <c r="FG56" s="23">
        <f>'Riepilogo Mensile Spese CC'!J15</f>
        <v>0</v>
      </c>
      <c r="FH56" s="23">
        <f>'Riepilogo Mensile Spese CC'!K15</f>
        <v>0</v>
      </c>
      <c r="FI56" s="23">
        <f>'Riepilogo Mensile Spese CC'!L15</f>
        <v>0</v>
      </c>
      <c r="FJ56" s="251">
        <f>'Riepilogo Mensile Spese CC'!M15</f>
        <v>0</v>
      </c>
      <c r="FK56" s="274">
        <f>'Riepilogo Mensile Spese CC'!B16</f>
        <v>0</v>
      </c>
      <c r="FL56" s="23">
        <f>'Riepilogo Mensile Spese CC'!C16</f>
        <v>0</v>
      </c>
      <c r="FM56" s="23">
        <f>'Riepilogo Mensile Spese CC'!D16</f>
        <v>0</v>
      </c>
      <c r="FN56" s="23">
        <f>'Riepilogo Mensile Spese CC'!E16</f>
        <v>0</v>
      </c>
      <c r="FO56" s="23">
        <f>'Riepilogo Mensile Spese CC'!F16</f>
        <v>0</v>
      </c>
      <c r="FP56" s="23">
        <f>'Riepilogo Mensile Spese CC'!G16</f>
        <v>0</v>
      </c>
      <c r="FQ56" s="23">
        <f>'Riepilogo Mensile Spese CC'!H16</f>
        <v>0</v>
      </c>
      <c r="FR56" s="23">
        <f>'Riepilogo Mensile Spese CC'!I16</f>
        <v>0</v>
      </c>
      <c r="FS56" s="23">
        <f>'Riepilogo Mensile Spese CC'!J16</f>
        <v>0</v>
      </c>
      <c r="FT56" s="23">
        <f>'Riepilogo Mensile Spese CC'!K16</f>
        <v>0</v>
      </c>
      <c r="FU56" s="23">
        <f>'Riepilogo Mensile Spese CC'!L16</f>
        <v>0</v>
      </c>
      <c r="FV56" s="251">
        <f>'Riepilogo Mensile Spese CC'!M16</f>
        <v>0</v>
      </c>
      <c r="FW56" s="274">
        <f>'Riepilogo Mensile Spese CC'!B17</f>
        <v>0</v>
      </c>
      <c r="FX56" s="23">
        <f>'Riepilogo Mensile Spese CC'!C17</f>
        <v>0</v>
      </c>
      <c r="FY56" s="23">
        <f>'Riepilogo Mensile Spese CC'!D17</f>
        <v>0</v>
      </c>
      <c r="FZ56" s="23">
        <f>'Riepilogo Mensile Spese CC'!E17</f>
        <v>0</v>
      </c>
      <c r="GA56" s="23">
        <f>'Riepilogo Mensile Spese CC'!F17</f>
        <v>0</v>
      </c>
      <c r="GB56" s="23">
        <f>'Riepilogo Mensile Spese CC'!G17</f>
        <v>0</v>
      </c>
      <c r="GC56" s="23">
        <f>'Riepilogo Mensile Spese CC'!H17</f>
        <v>0</v>
      </c>
      <c r="GD56" s="23">
        <f>'Riepilogo Mensile Spese CC'!I17</f>
        <v>0</v>
      </c>
      <c r="GE56" s="23">
        <f>'Riepilogo Mensile Spese CC'!J17</f>
        <v>0</v>
      </c>
      <c r="GF56" s="23">
        <f>'Riepilogo Mensile Spese CC'!K17</f>
        <v>0</v>
      </c>
      <c r="GG56" s="23">
        <f>'Riepilogo Mensile Spese CC'!L17</f>
        <v>0</v>
      </c>
      <c r="GH56" s="251">
        <f>'Riepilogo Mensile Spese CC'!M17</f>
        <v>0</v>
      </c>
      <c r="GI56" s="274">
        <f>'Riepilogo Mensile Spese CC'!B18</f>
        <v>0</v>
      </c>
      <c r="GJ56" s="23">
        <f>'Riepilogo Mensile Spese CC'!C18</f>
        <v>0</v>
      </c>
      <c r="GK56" s="23">
        <f>'Riepilogo Mensile Spese CC'!D18</f>
        <v>0</v>
      </c>
      <c r="GL56" s="23">
        <f>'Riepilogo Mensile Spese CC'!E18</f>
        <v>0</v>
      </c>
      <c r="GM56" s="23">
        <f>'Riepilogo Mensile Spese CC'!F18</f>
        <v>0</v>
      </c>
      <c r="GN56" s="23">
        <f>'Riepilogo Mensile Spese CC'!G18</f>
        <v>0</v>
      </c>
      <c r="GO56" s="23">
        <f>'Riepilogo Mensile Spese CC'!H18</f>
        <v>0</v>
      </c>
      <c r="GP56" s="23">
        <f>'Riepilogo Mensile Spese CC'!I18</f>
        <v>0</v>
      </c>
      <c r="GQ56" s="23">
        <f>'Riepilogo Mensile Spese CC'!J18</f>
        <v>0</v>
      </c>
      <c r="GR56" s="23">
        <f>'Riepilogo Mensile Spese CC'!K18</f>
        <v>0</v>
      </c>
      <c r="GS56" s="23">
        <f>'Riepilogo Mensile Spese CC'!L18</f>
        <v>0</v>
      </c>
      <c r="GT56" s="251">
        <f>'Riepilogo Mensile Spese CC'!M18</f>
        <v>0</v>
      </c>
    </row>
    <row r="57" spans="1:202">
      <c r="B57" s="350" t="s">
        <v>45</v>
      </c>
      <c r="C57" s="342">
        <f t="shared" ref="C57:C62" si="684">SUM(V57:AG57)</f>
        <v>340</v>
      </c>
      <c r="D57" s="330">
        <f t="shared" ref="D57:D61" si="685">SUM(AH57:AS57)</f>
        <v>109.98</v>
      </c>
      <c r="E57" s="330">
        <f t="shared" ref="E57:E63" si="686">SUM(AT57:BE57)</f>
        <v>10</v>
      </c>
      <c r="F57" s="330">
        <f t="shared" ref="F57:F63" si="687">SUM(BF57:BQ57)</f>
        <v>0</v>
      </c>
      <c r="G57" s="330">
        <f t="shared" ref="G57:G63" si="688">SUM(BR57:CC57)</f>
        <v>10</v>
      </c>
      <c r="H57" s="330">
        <f t="shared" ref="H57:H63" si="689">SUM(CD57:CO57)</f>
        <v>10</v>
      </c>
      <c r="I57" s="1024">
        <f t="shared" ref="I57:I63" si="690">SUM(CP57:DA57)</f>
        <v>0</v>
      </c>
      <c r="J57" s="671"/>
      <c r="K57" s="341">
        <f t="shared" si="683"/>
        <v>28.333333333333332</v>
      </c>
      <c r="L57" s="341">
        <f t="shared" si="683"/>
        <v>9.1650000000000009</v>
      </c>
      <c r="M57" s="330">
        <f t="shared" si="683"/>
        <v>0.83333333333333337</v>
      </c>
      <c r="N57" s="342">
        <f t="shared" si="683"/>
        <v>0</v>
      </c>
      <c r="O57" s="342">
        <f t="shared" si="683"/>
        <v>0.83333333333333337</v>
      </c>
      <c r="P57" s="342">
        <f t="shared" si="683"/>
        <v>0.83333333333333337</v>
      </c>
      <c r="Q57" s="342">
        <f t="shared" ref="Q57:Q62" si="691">IFERROR(AVERAGEIF(CQ57:DB57,"&gt;0"),0)</f>
        <v>0</v>
      </c>
      <c r="R57" s="671"/>
      <c r="S57" s="341">
        <v>30</v>
      </c>
      <c r="T57" s="328">
        <f>30</f>
        <v>30</v>
      </c>
      <c r="U57" s="328">
        <f>10+30+30</f>
        <v>70</v>
      </c>
      <c r="V57" s="341">
        <v>30</v>
      </c>
      <c r="W57" s="328">
        <v>30</v>
      </c>
      <c r="X57" s="328">
        <v>30</v>
      </c>
      <c r="Y57" s="328"/>
      <c r="Z57" s="328">
        <v>60</v>
      </c>
      <c r="AA57" s="328"/>
      <c r="AB57" s="328">
        <v>30</v>
      </c>
      <c r="AC57" s="328">
        <f>30+30</f>
        <v>60</v>
      </c>
      <c r="AD57" s="328"/>
      <c r="AE57" s="328">
        <v>50</v>
      </c>
      <c r="AF57" s="328">
        <v>50</v>
      </c>
      <c r="AG57" s="328"/>
      <c r="AH57" s="341">
        <v>30</v>
      </c>
      <c r="AI57" s="328">
        <v>30</v>
      </c>
      <c r="AJ57" s="328">
        <f>30+19.98</f>
        <v>49.980000000000004</v>
      </c>
      <c r="AK57" s="328"/>
      <c r="AL57" s="328"/>
      <c r="AM57" s="328"/>
      <c r="AN57" s="328"/>
      <c r="AO57" s="328"/>
      <c r="AP57" s="328"/>
      <c r="AQ57" s="328"/>
      <c r="AR57" s="328"/>
      <c r="AS57" s="328"/>
      <c r="AT57" s="341"/>
      <c r="AU57" s="328">
        <f>10</f>
        <v>10</v>
      </c>
      <c r="AV57" s="328"/>
      <c r="AW57" s="328"/>
      <c r="AX57" s="328"/>
      <c r="AY57" s="328"/>
      <c r="AZ57" s="328"/>
      <c r="BA57" s="328"/>
      <c r="BB57" s="328"/>
      <c r="BC57" s="328"/>
      <c r="BD57" s="328"/>
      <c r="BE57" s="328"/>
      <c r="BF57" s="341"/>
      <c r="BG57" s="328"/>
      <c r="BH57" s="328"/>
      <c r="BI57" s="328"/>
      <c r="BJ57" s="328"/>
      <c r="BK57" s="328"/>
      <c r="BL57" s="328"/>
      <c r="BM57" s="328"/>
      <c r="BN57" s="328"/>
      <c r="BO57" s="328"/>
      <c r="BP57" s="328"/>
      <c r="BQ57" s="328"/>
      <c r="BR57" s="341"/>
      <c r="BS57" s="328"/>
      <c r="BT57" s="328"/>
      <c r="BU57" s="328"/>
      <c r="BV57" s="328"/>
      <c r="BW57" s="328"/>
      <c r="BX57" s="328"/>
      <c r="BY57" s="328">
        <v>10</v>
      </c>
      <c r="BZ57" s="328"/>
      <c r="CA57" s="328"/>
      <c r="CB57" s="328"/>
      <c r="CC57" s="328"/>
      <c r="CD57" s="341"/>
      <c r="CE57" s="328"/>
      <c r="CF57" s="328"/>
      <c r="CG57" s="328"/>
      <c r="CH57" s="328"/>
      <c r="CI57" s="328">
        <v>10</v>
      </c>
      <c r="CJ57" s="328"/>
      <c r="CK57" s="328"/>
      <c r="CL57" s="328"/>
      <c r="CM57" s="328"/>
      <c r="CN57" s="328"/>
      <c r="CO57" s="328"/>
      <c r="CP57" s="341"/>
      <c r="CQ57" s="328"/>
      <c r="CR57" s="328"/>
      <c r="CS57" s="328"/>
      <c r="CT57" s="328"/>
      <c r="CU57" s="328"/>
      <c r="CV57" s="328"/>
      <c r="CW57" s="328"/>
      <c r="CX57" s="328"/>
      <c r="CY57" s="328"/>
      <c r="CZ57" s="328"/>
      <c r="DA57" s="328"/>
      <c r="DB57" s="342"/>
      <c r="DC57" s="328"/>
      <c r="DD57" s="328"/>
      <c r="DE57" s="328"/>
      <c r="DF57" s="328"/>
      <c r="DG57" s="328"/>
      <c r="DH57" s="328"/>
      <c r="DI57" s="328"/>
      <c r="DJ57" s="328"/>
      <c r="DK57" s="328"/>
      <c r="DL57" s="328"/>
      <c r="DM57" s="328"/>
      <c r="DN57" s="328"/>
      <c r="DO57" s="341"/>
      <c r="DP57" s="328"/>
      <c r="DQ57" s="328"/>
      <c r="DR57" s="328"/>
      <c r="DS57" s="328"/>
      <c r="DT57" s="328"/>
      <c r="DU57" s="328"/>
      <c r="DV57" s="328"/>
      <c r="DW57" s="328"/>
      <c r="DX57" s="328"/>
      <c r="DY57" s="328"/>
      <c r="DZ57" s="342"/>
      <c r="EA57" s="341"/>
      <c r="EB57" s="328"/>
      <c r="EC57" s="328"/>
      <c r="ED57" s="328"/>
      <c r="EE57" s="328"/>
      <c r="EF57" s="328"/>
      <c r="EG57" s="328"/>
      <c r="EH57" s="328"/>
      <c r="EI57" s="328"/>
      <c r="EJ57" s="328"/>
      <c r="EK57" s="328"/>
      <c r="EL57" s="342"/>
      <c r="EM57" s="328"/>
      <c r="EN57" s="328"/>
      <c r="EO57" s="328"/>
      <c r="EP57" s="328"/>
      <c r="EQ57" s="328"/>
      <c r="ER57" s="328"/>
      <c r="ES57" s="328"/>
      <c r="ET57" s="328"/>
      <c r="EU57" s="328"/>
      <c r="EV57" s="328"/>
      <c r="EW57" s="328"/>
      <c r="EX57" s="342"/>
      <c r="EY57" s="328"/>
      <c r="EZ57" s="328"/>
      <c r="FA57" s="328"/>
      <c r="FB57" s="328"/>
      <c r="FC57" s="328"/>
      <c r="FD57" s="328"/>
      <c r="FE57" s="328"/>
      <c r="FF57" s="328"/>
      <c r="FG57" s="328"/>
      <c r="FH57" s="328"/>
      <c r="FI57" s="328"/>
      <c r="FJ57" s="342"/>
      <c r="FK57" s="328"/>
      <c r="FL57" s="328"/>
      <c r="FM57" s="328"/>
      <c r="FN57" s="328"/>
      <c r="FO57" s="328"/>
      <c r="FP57" s="328"/>
      <c r="FQ57" s="328"/>
      <c r="FR57" s="328"/>
      <c r="FS57" s="328"/>
      <c r="FT57" s="328"/>
      <c r="FU57" s="328"/>
      <c r="FV57" s="342"/>
      <c r="FW57" s="328"/>
      <c r="FX57" s="328"/>
      <c r="FY57" s="328"/>
      <c r="FZ57" s="328"/>
      <c r="GA57" s="328"/>
      <c r="GB57" s="328"/>
      <c r="GC57" s="328"/>
      <c r="GD57" s="328"/>
      <c r="GE57" s="328"/>
      <c r="GF57" s="328"/>
      <c r="GG57" s="328"/>
      <c r="GH57" s="342"/>
      <c r="GI57" s="328"/>
      <c r="GJ57" s="328"/>
      <c r="GK57" s="328"/>
      <c r="GL57" s="328"/>
      <c r="GM57" s="328"/>
      <c r="GN57" s="328"/>
      <c r="GO57" s="328"/>
      <c r="GP57" s="328"/>
      <c r="GQ57" s="328"/>
      <c r="GR57" s="328"/>
      <c r="GS57" s="328"/>
      <c r="GT57" s="342"/>
    </row>
    <row r="58" spans="1:202">
      <c r="B58" s="253" t="s">
        <v>16</v>
      </c>
      <c r="C58" s="251">
        <f t="shared" si="684"/>
        <v>2770</v>
      </c>
      <c r="D58" s="246">
        <f t="shared" si="685"/>
        <v>2984.91</v>
      </c>
      <c r="E58" s="246">
        <f t="shared" si="686"/>
        <v>4621.79</v>
      </c>
      <c r="F58" s="246">
        <f t="shared" si="687"/>
        <v>4550</v>
      </c>
      <c r="G58" s="246">
        <f t="shared" si="688"/>
        <v>3532.9</v>
      </c>
      <c r="H58" s="246">
        <f t="shared" si="689"/>
        <v>1280</v>
      </c>
      <c r="I58" s="695">
        <f t="shared" si="690"/>
        <v>80</v>
      </c>
      <c r="J58" s="671"/>
      <c r="K58" s="274">
        <f t="shared" si="683"/>
        <v>230.83333333333334</v>
      </c>
      <c r="L58" s="274">
        <f t="shared" si="683"/>
        <v>248.74249999999998</v>
      </c>
      <c r="M58" s="246">
        <f t="shared" si="683"/>
        <v>385.14916666666664</v>
      </c>
      <c r="N58" s="251">
        <f t="shared" si="683"/>
        <v>379.16666666666669</v>
      </c>
      <c r="O58" s="251">
        <f t="shared" si="683"/>
        <v>294.40833333333336</v>
      </c>
      <c r="P58" s="251">
        <f t="shared" si="683"/>
        <v>106.66666666666667</v>
      </c>
      <c r="Q58" s="251">
        <f t="shared" si="691"/>
        <v>80</v>
      </c>
      <c r="R58" s="671"/>
      <c r="S58" s="274">
        <f>200+70+70</f>
        <v>340</v>
      </c>
      <c r="T58" s="23">
        <f>80+70+100+70+70+100</f>
        <v>490</v>
      </c>
      <c r="U58" s="23">
        <f>100+200+100</f>
        <v>400</v>
      </c>
      <c r="V58" s="274">
        <f>90+150</f>
        <v>240</v>
      </c>
      <c r="W58" s="23">
        <f>120+100</f>
        <v>220</v>
      </c>
      <c r="X58" s="23">
        <f>100+100+100</f>
        <v>300</v>
      </c>
      <c r="Y58" s="23"/>
      <c r="Z58" s="23"/>
      <c r="AA58" s="23">
        <v>150</v>
      </c>
      <c r="AB58" s="23">
        <f>100+100</f>
        <v>200</v>
      </c>
      <c r="AC58" s="23">
        <f>100+100</f>
        <v>200</v>
      </c>
      <c r="AD58" s="23">
        <f>70+70+100+100</f>
        <v>340</v>
      </c>
      <c r="AE58" s="23">
        <f>100+100+150</f>
        <v>350</v>
      </c>
      <c r="AF58" s="23">
        <f>140+100+100</f>
        <v>340</v>
      </c>
      <c r="AG58" s="23">
        <f>290+70+70</f>
        <v>430</v>
      </c>
      <c r="AH58" s="274">
        <v>150</v>
      </c>
      <c r="AI58" s="23">
        <v>100</v>
      </c>
      <c r="AJ58" s="23">
        <f>70+250+70</f>
        <v>390</v>
      </c>
      <c r="AK58" s="23"/>
      <c r="AL58" s="23"/>
      <c r="AM58" s="23">
        <v>70</v>
      </c>
      <c r="AN58" s="23">
        <f>60+70+100+70+50</f>
        <v>350</v>
      </c>
      <c r="AO58" s="23">
        <f>250+250+40</f>
        <v>540</v>
      </c>
      <c r="AP58" s="23">
        <v>250</v>
      </c>
      <c r="AQ58" s="23">
        <f>50+50+50+50+60</f>
        <v>260</v>
      </c>
      <c r="AR58" s="23">
        <f>50+100+100+80+60+40</f>
        <v>430</v>
      </c>
      <c r="AS58" s="23">
        <f>60+80+24.91+50+80+100+50</f>
        <v>444.90999999999997</v>
      </c>
      <c r="AT58" s="274">
        <f>50+100+60+180+60</f>
        <v>450</v>
      </c>
      <c r="AU58" s="23">
        <f>60+60+60+60+40+40+80</f>
        <v>400</v>
      </c>
      <c r="AV58" s="23">
        <f>60+40+50+100</f>
        <v>250</v>
      </c>
      <c r="AW58" s="23">
        <f>17.84+50+60+40+60+100+60</f>
        <v>387.84000000000003</v>
      </c>
      <c r="AX58" s="23">
        <f>40</f>
        <v>40</v>
      </c>
      <c r="AY58" s="23">
        <f>40+40+60+60+40</f>
        <v>240</v>
      </c>
      <c r="AZ58" s="23">
        <f>60+60+70+40+70+103.95+50+80</f>
        <v>533.95000000000005</v>
      </c>
      <c r="BA58" s="23">
        <f>40+100+40+50+60+60+40+40</f>
        <v>430</v>
      </c>
      <c r="BB58" s="23">
        <f>90+60+60+120+80</f>
        <v>410</v>
      </c>
      <c r="BC58" s="23">
        <f>40+100+100+100+70+60+40</f>
        <v>510</v>
      </c>
      <c r="BD58" s="23">
        <f>60+60+80+60+60+40+60</f>
        <v>420</v>
      </c>
      <c r="BE58" s="23">
        <f>40+80+40+40+50+60+60+100+40+40</f>
        <v>550</v>
      </c>
      <c r="BF58" s="274">
        <f>40+60</f>
        <v>100</v>
      </c>
      <c r="BG58" s="23">
        <f>40+40+60+40+40+60</f>
        <v>280</v>
      </c>
      <c r="BH58" s="23">
        <f>60+70+100+40+60+80+40</f>
        <v>450</v>
      </c>
      <c r="BI58" s="23">
        <f>100+190+60+50+60</f>
        <v>460</v>
      </c>
      <c r="BJ58" s="23">
        <f>60+60+60+90+60+60+60+60</f>
        <v>510</v>
      </c>
      <c r="BK58" s="23">
        <f>150+80+100+40+60+60+60+40+40</f>
        <v>630</v>
      </c>
      <c r="BL58" s="23">
        <f>60+100+40+60</f>
        <v>260</v>
      </c>
      <c r="BM58" s="23">
        <f>40+80+50+60+60</f>
        <v>290</v>
      </c>
      <c r="BN58" s="23">
        <f>100+80+60+60+60+70+80+60</f>
        <v>570</v>
      </c>
      <c r="BO58" s="23">
        <f>100+60+60+60+60</f>
        <v>340</v>
      </c>
      <c r="BP58" s="23">
        <f>60+70+60+60</f>
        <v>250</v>
      </c>
      <c r="BQ58" s="23">
        <f>80+70+60+60+60+40+40</f>
        <v>410</v>
      </c>
      <c r="BR58" s="274">
        <f>60+100+80+80+100+60</f>
        <v>480</v>
      </c>
      <c r="BS58" s="23">
        <f>40+40+60</f>
        <v>140</v>
      </c>
      <c r="BT58" s="23">
        <f>60+100+100+70</f>
        <v>330</v>
      </c>
      <c r="BU58" s="23">
        <f>80+70+40</f>
        <v>190</v>
      </c>
      <c r="BV58" s="23">
        <f>60+60+120</f>
        <v>240</v>
      </c>
      <c r="BW58" s="23">
        <f>60+80+60+80+80+202.9</f>
        <v>562.9</v>
      </c>
      <c r="BX58" s="23">
        <f>200+70+60+60</f>
        <v>390</v>
      </c>
      <c r="BY58" s="23">
        <f>120+60+40+40+40</f>
        <v>300</v>
      </c>
      <c r="BZ58" s="23">
        <f>40+60+70+60+60+60+60</f>
        <v>410</v>
      </c>
      <c r="CA58" s="23">
        <f>80+70+60+40</f>
        <v>250</v>
      </c>
      <c r="CB58" s="23">
        <f>60+60+60</f>
        <v>180</v>
      </c>
      <c r="CC58" s="23">
        <v>60</v>
      </c>
      <c r="CD58" s="274">
        <f>60+60+60</f>
        <v>180</v>
      </c>
      <c r="CE58" s="23">
        <v>60</v>
      </c>
      <c r="CF58" s="23">
        <f>60+80</f>
        <v>140</v>
      </c>
      <c r="CG58" s="23">
        <v>60</v>
      </c>
      <c r="CH58" s="23"/>
      <c r="CI58" s="23">
        <f>60+60</f>
        <v>120</v>
      </c>
      <c r="CJ58" s="23">
        <f>80+100</f>
        <v>180</v>
      </c>
      <c r="CK58" s="23">
        <f>60+40</f>
        <v>100</v>
      </c>
      <c r="CL58" s="23">
        <f>150+60</f>
        <v>210</v>
      </c>
      <c r="CM58" s="23">
        <f>80+150</f>
        <v>230</v>
      </c>
      <c r="CN58" s="23"/>
      <c r="CO58" s="23"/>
      <c r="CP58" s="274"/>
      <c r="CQ58" s="23"/>
      <c r="CR58" s="23"/>
      <c r="CS58" s="23"/>
      <c r="CT58" s="23"/>
      <c r="CU58" s="23"/>
      <c r="CV58" s="23"/>
      <c r="CW58" s="23"/>
      <c r="CX58" s="23">
        <v>80</v>
      </c>
      <c r="CY58" s="23"/>
      <c r="CZ58" s="23"/>
      <c r="DA58" s="23"/>
      <c r="DB58" s="251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74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51"/>
      <c r="EA58" s="274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51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51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51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51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51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51"/>
    </row>
    <row r="59" spans="1:202">
      <c r="B59" s="350" t="s">
        <v>46</v>
      </c>
      <c r="C59" s="342">
        <f t="shared" si="684"/>
        <v>106.8</v>
      </c>
      <c r="D59" s="330">
        <f>SUM(AH59:AS59)</f>
        <v>121.97</v>
      </c>
      <c r="E59" s="330">
        <f t="shared" si="686"/>
        <v>197.45000000000005</v>
      </c>
      <c r="F59" s="330">
        <f t="shared" si="687"/>
        <v>188.72</v>
      </c>
      <c r="G59" s="330">
        <f t="shared" si="688"/>
        <v>145.07</v>
      </c>
      <c r="H59" s="330">
        <f t="shared" si="689"/>
        <v>51.67</v>
      </c>
      <c r="I59" s="1024">
        <f t="shared" si="690"/>
        <v>3.2</v>
      </c>
      <c r="J59" s="671"/>
      <c r="K59" s="341">
        <f t="shared" si="683"/>
        <v>8.9</v>
      </c>
      <c r="L59" s="341">
        <f t="shared" si="683"/>
        <v>10.164166666666667</v>
      </c>
      <c r="M59" s="330">
        <f t="shared" si="683"/>
        <v>16.454166666666669</v>
      </c>
      <c r="N59" s="342">
        <f t="shared" si="683"/>
        <v>15.726666666666667</v>
      </c>
      <c r="O59" s="342">
        <f t="shared" si="683"/>
        <v>12.089166666666666</v>
      </c>
      <c r="P59" s="342">
        <f t="shared" si="683"/>
        <v>4.3058333333333332</v>
      </c>
      <c r="Q59" s="342">
        <f t="shared" si="691"/>
        <v>3.2</v>
      </c>
      <c r="R59" s="671"/>
      <c r="S59" s="341">
        <f>8+2.8+2.8</f>
        <v>13.600000000000001</v>
      </c>
      <c r="T59" s="328">
        <f>3.2+2.8+4+2.8+4+2.8</f>
        <v>19.600000000000001</v>
      </c>
      <c r="U59" s="328">
        <f>4+8+4</f>
        <v>16</v>
      </c>
      <c r="V59" s="341">
        <f>3.6+6</f>
        <v>9.6</v>
      </c>
      <c r="W59" s="328">
        <f>4.8+4</f>
        <v>8.8000000000000007</v>
      </c>
      <c r="X59" s="328">
        <f>4+4</f>
        <v>8</v>
      </c>
      <c r="Y59" s="328"/>
      <c r="Z59" s="328"/>
      <c r="AA59" s="328">
        <v>6</v>
      </c>
      <c r="AB59" s="328">
        <f>4+4</f>
        <v>8</v>
      </c>
      <c r="AC59" s="328">
        <f>4+4</f>
        <v>8</v>
      </c>
      <c r="AD59" s="328">
        <f>2.8+2.8+4+4</f>
        <v>13.6</v>
      </c>
      <c r="AE59" s="328">
        <f>4+4+6</f>
        <v>14</v>
      </c>
      <c r="AF59" s="328">
        <f>5.6+4+4</f>
        <v>13.6</v>
      </c>
      <c r="AG59" s="328">
        <f>2.8+11.6+2.8</f>
        <v>17.2</v>
      </c>
      <c r="AH59" s="341">
        <v>6</v>
      </c>
      <c r="AI59" s="328">
        <v>4</v>
      </c>
      <c r="AJ59" s="328">
        <f>2.8+10+2.8</f>
        <v>15.600000000000001</v>
      </c>
      <c r="AK59" s="328"/>
      <c r="AL59" s="328"/>
      <c r="AM59" s="328">
        <v>2.8</v>
      </c>
      <c r="AN59" s="328">
        <f>2.4+2.8+4+2.8+2.07</f>
        <v>14.07</v>
      </c>
      <c r="AO59" s="328">
        <f>10+10+2.07</f>
        <v>22.07</v>
      </c>
      <c r="AP59" s="328">
        <v>10</v>
      </c>
      <c r="AQ59" s="328">
        <f>2.07+2.07+2.07+2.07+2.4</f>
        <v>10.68</v>
      </c>
      <c r="AR59" s="328">
        <f>2.07+4+4+3.2+2.4+2.07</f>
        <v>17.739999999999998</v>
      </c>
      <c r="AS59" s="328">
        <f>2.4+3.2+2.07+2.07+3.2+4+2.07</f>
        <v>19.010000000000002</v>
      </c>
      <c r="AT59" s="341">
        <f>2.07+4+2.4+7.2+2.4</f>
        <v>18.07</v>
      </c>
      <c r="AU59" s="328">
        <f>2.4+2.4+2.4+2.4+2.07+2.07+2.07+2.07</f>
        <v>17.88</v>
      </c>
      <c r="AV59" s="328">
        <f>2.4+2.07+2.07+4</f>
        <v>10.54</v>
      </c>
      <c r="AW59" s="328">
        <f>2.07+2.07+2.4+2.07+2.4+4+2.4</f>
        <v>17.41</v>
      </c>
      <c r="AX59" s="328">
        <v>2.0699999999999998</v>
      </c>
      <c r="AY59" s="328">
        <f>2.07+2.07+2.4+2.4+2.07</f>
        <v>11.01</v>
      </c>
      <c r="AZ59" s="328">
        <f>2.4+2.4+2.8+2.07+2.8+4.15+2.07+3.2</f>
        <v>21.889999999999997</v>
      </c>
      <c r="BA59" s="328">
        <f>2.07+4+2.07+2.07+2.4+2.4+2.07+2.07</f>
        <v>19.150000000000002</v>
      </c>
      <c r="BB59" s="328">
        <f>3.6+2.4+2.4+4.8+3.2</f>
        <v>16.399999999999999</v>
      </c>
      <c r="BC59" s="328">
        <f>2.07+4+4+4+2.8+2.4+2.07</f>
        <v>21.34</v>
      </c>
      <c r="BD59" s="328">
        <f>2.4+2.4+3.2+2.4+2.4+2.07+2.4</f>
        <v>17.27</v>
      </c>
      <c r="BE59" s="328">
        <f>2.07+3.2+2.07+2.07+2.07+2.4+2.4+4+2.07+2.07</f>
        <v>24.42</v>
      </c>
      <c r="BF59" s="341">
        <f>2.07+2.4</f>
        <v>4.47</v>
      </c>
      <c r="BG59" s="328">
        <f>2.07+2.07+2.4+2.07+2.07+2.4</f>
        <v>13.08</v>
      </c>
      <c r="BH59" s="328">
        <f>2.4+2.8+4+2.07+2.4+3.2+2.07</f>
        <v>18.940000000000001</v>
      </c>
      <c r="BI59" s="328">
        <f>4+7.6+2.4+2.07+2.4</f>
        <v>18.47</v>
      </c>
      <c r="BJ59" s="328">
        <f>2.4+2.4+2.4+3.6+2.4+2.4+2.4+2.4</f>
        <v>20.399999999999999</v>
      </c>
      <c r="BK59" s="328">
        <f>6+4+3.2+2.07+2.4+2.4+2.4+2.07+2.07</f>
        <v>26.609999999999996</v>
      </c>
      <c r="BL59" s="328">
        <f>2.4+4+2.07+2.4</f>
        <v>10.870000000000001</v>
      </c>
      <c r="BM59" s="328">
        <f>2.07+3.2+2.07+2.4+2.4</f>
        <v>12.14</v>
      </c>
      <c r="BN59" s="328">
        <f>4+3.2+2.4+2.4+2.4+2.8+3.2+2.4</f>
        <v>22.799999999999997</v>
      </c>
      <c r="BO59" s="328">
        <f>4+2.4+2.4+2.4+2.4</f>
        <v>13.600000000000001</v>
      </c>
      <c r="BP59" s="328">
        <f>2.4+2.8+2.4+2.4</f>
        <v>10</v>
      </c>
      <c r="BQ59" s="328">
        <f>3.2+2.8+2.4+2.4+2.4+2.07+2.07</f>
        <v>17.34</v>
      </c>
      <c r="BR59" s="341">
        <f>2.4+4+3.2+3.2+4+2.4</f>
        <v>19.2</v>
      </c>
      <c r="BS59" s="328">
        <f>2.07+2.07+2.4</f>
        <v>6.5399999999999991</v>
      </c>
      <c r="BT59" s="328">
        <f>2.4+4+4+2.8</f>
        <v>13.2</v>
      </c>
      <c r="BU59" s="328">
        <f>3.2+2.8+2.07</f>
        <v>8.07</v>
      </c>
      <c r="BV59" s="328">
        <f>2.4+2.4+4.8</f>
        <v>9.6</v>
      </c>
      <c r="BW59" s="328">
        <f>2.4+3.2+2.4+3.2+3.2+8.11</f>
        <v>22.509999999999998</v>
      </c>
      <c r="BX59" s="328">
        <f>8+2.8+2.4+2.4</f>
        <v>15.600000000000001</v>
      </c>
      <c r="BY59" s="328">
        <f>4.8+2.4+2.07+2.07+2.07</f>
        <v>13.41</v>
      </c>
      <c r="BZ59" s="328">
        <f>2.07+2.4+2.8+2.4+2.4+2.4+2.4</f>
        <v>16.87</v>
      </c>
      <c r="CA59" s="328">
        <f>3.2+2.8+2.4+2.07</f>
        <v>10.47</v>
      </c>
      <c r="CB59" s="328">
        <f>2.4+2.4+2.4</f>
        <v>7.1999999999999993</v>
      </c>
      <c r="CC59" s="328">
        <v>2.4</v>
      </c>
      <c r="CD59" s="341">
        <f>2.4+2.4+2.4</f>
        <v>7.1999999999999993</v>
      </c>
      <c r="CE59" s="328">
        <v>2.4</v>
      </c>
      <c r="CF59" s="328">
        <f>2.4+3.2</f>
        <v>5.6</v>
      </c>
      <c r="CG59" s="328">
        <v>2.4</v>
      </c>
      <c r="CH59" s="328"/>
      <c r="CI59" s="328">
        <f>2.4+2.4</f>
        <v>4.8</v>
      </c>
      <c r="CJ59" s="328">
        <f>3.2+4</f>
        <v>7.2</v>
      </c>
      <c r="CK59" s="328">
        <f>2.4+2.07</f>
        <v>4.47</v>
      </c>
      <c r="CL59" s="328">
        <f>6+2.4</f>
        <v>8.4</v>
      </c>
      <c r="CM59" s="328">
        <f>3.2+6</f>
        <v>9.1999999999999993</v>
      </c>
      <c r="CN59" s="328"/>
      <c r="CO59" s="328"/>
      <c r="CP59" s="341"/>
      <c r="CQ59" s="328"/>
      <c r="CR59" s="328"/>
      <c r="CS59" s="328"/>
      <c r="CT59" s="328"/>
      <c r="CU59" s="328"/>
      <c r="CV59" s="328"/>
      <c r="CW59" s="328"/>
      <c r="CX59" s="328">
        <v>3.2</v>
      </c>
      <c r="CY59" s="328"/>
      <c r="CZ59" s="328"/>
      <c r="DA59" s="328"/>
      <c r="DB59" s="342"/>
      <c r="DC59" s="328"/>
      <c r="DD59" s="328"/>
      <c r="DE59" s="328"/>
      <c r="DF59" s="328"/>
      <c r="DG59" s="328"/>
      <c r="DH59" s="328"/>
      <c r="DI59" s="328"/>
      <c r="DJ59" s="328"/>
      <c r="DK59" s="328"/>
      <c r="DL59" s="328"/>
      <c r="DM59" s="328"/>
      <c r="DN59" s="328"/>
      <c r="DO59" s="341"/>
      <c r="DP59" s="328"/>
      <c r="DQ59" s="328"/>
      <c r="DR59" s="328"/>
      <c r="DS59" s="328"/>
      <c r="DT59" s="328"/>
      <c r="DU59" s="328"/>
      <c r="DV59" s="328"/>
      <c r="DW59" s="328"/>
      <c r="DX59" s="328"/>
      <c r="DY59" s="328"/>
      <c r="DZ59" s="342"/>
      <c r="EA59" s="341"/>
      <c r="EB59" s="328"/>
      <c r="EC59" s="328"/>
      <c r="ED59" s="328"/>
      <c r="EE59" s="328"/>
      <c r="EF59" s="328"/>
      <c r="EG59" s="328"/>
      <c r="EH59" s="328"/>
      <c r="EI59" s="328"/>
      <c r="EJ59" s="328"/>
      <c r="EK59" s="328"/>
      <c r="EL59" s="342"/>
      <c r="EM59" s="328"/>
      <c r="EN59" s="328"/>
      <c r="EO59" s="328"/>
      <c r="EP59" s="328"/>
      <c r="EQ59" s="328"/>
      <c r="ER59" s="328"/>
      <c r="ES59" s="328"/>
      <c r="ET59" s="328"/>
      <c r="EU59" s="328"/>
      <c r="EV59" s="328"/>
      <c r="EW59" s="328"/>
      <c r="EX59" s="342"/>
      <c r="EY59" s="328"/>
      <c r="EZ59" s="328"/>
      <c r="FA59" s="328"/>
      <c r="FB59" s="328"/>
      <c r="FC59" s="328"/>
      <c r="FD59" s="328"/>
      <c r="FE59" s="328"/>
      <c r="FF59" s="328"/>
      <c r="FG59" s="328"/>
      <c r="FH59" s="328"/>
      <c r="FI59" s="328"/>
      <c r="FJ59" s="342"/>
      <c r="FK59" s="328"/>
      <c r="FL59" s="328"/>
      <c r="FM59" s="328"/>
      <c r="FN59" s="328"/>
      <c r="FO59" s="328"/>
      <c r="FP59" s="328"/>
      <c r="FQ59" s="328"/>
      <c r="FR59" s="328"/>
      <c r="FS59" s="328"/>
      <c r="FT59" s="328"/>
      <c r="FU59" s="328"/>
      <c r="FV59" s="342"/>
      <c r="FW59" s="328"/>
      <c r="FX59" s="328"/>
      <c r="FY59" s="328"/>
      <c r="FZ59" s="328"/>
      <c r="GA59" s="328"/>
      <c r="GB59" s="328"/>
      <c r="GC59" s="328"/>
      <c r="GD59" s="328"/>
      <c r="GE59" s="328"/>
      <c r="GF59" s="328"/>
      <c r="GG59" s="328"/>
      <c r="GH59" s="342"/>
      <c r="GI59" s="328"/>
      <c r="GJ59" s="328"/>
      <c r="GK59" s="328"/>
      <c r="GL59" s="328"/>
      <c r="GM59" s="328"/>
      <c r="GN59" s="328"/>
      <c r="GO59" s="328"/>
      <c r="GP59" s="328"/>
      <c r="GQ59" s="328"/>
      <c r="GR59" s="328"/>
      <c r="GS59" s="328"/>
      <c r="GT59" s="342"/>
    </row>
    <row r="60" spans="1:202">
      <c r="B60" s="253" t="s">
        <v>47</v>
      </c>
      <c r="C60" s="251">
        <f t="shared" si="684"/>
        <v>1510.27</v>
      </c>
      <c r="D60" s="246">
        <f t="shared" si="685"/>
        <v>1486</v>
      </c>
      <c r="E60" s="246">
        <f t="shared" si="686"/>
        <v>2269.0299999999997</v>
      </c>
      <c r="F60" s="246">
        <f t="shared" si="687"/>
        <v>2299.2599999999998</v>
      </c>
      <c r="G60" s="246">
        <f t="shared" si="688"/>
        <v>1240.3599999999999</v>
      </c>
      <c r="H60" s="246">
        <f t="shared" si="689"/>
        <v>25</v>
      </c>
      <c r="I60" s="695">
        <f t="shared" si="690"/>
        <v>229.6</v>
      </c>
      <c r="J60" s="671"/>
      <c r="K60" s="274">
        <f t="shared" si="683"/>
        <v>125.85583333333334</v>
      </c>
      <c r="L60" s="274">
        <f t="shared" si="683"/>
        <v>123.83333333333333</v>
      </c>
      <c r="M60" s="246">
        <f t="shared" si="683"/>
        <v>189.08583333333331</v>
      </c>
      <c r="N60" s="251">
        <f t="shared" si="683"/>
        <v>191.60499999999999</v>
      </c>
      <c r="O60" s="251">
        <f t="shared" si="683"/>
        <v>103.36333333333333</v>
      </c>
      <c r="P60" s="251">
        <f t="shared" si="683"/>
        <v>2.0833333333333335</v>
      </c>
      <c r="Q60" s="251">
        <f t="shared" si="691"/>
        <v>114.8</v>
      </c>
      <c r="R60" s="671"/>
      <c r="S60" s="274">
        <f>69.3+25</f>
        <v>94.3</v>
      </c>
      <c r="T60" s="23">
        <f>72.03+25+25</f>
        <v>122.03</v>
      </c>
      <c r="U60" s="23">
        <f>30.35+57.16+25.12+25+25</f>
        <v>162.63</v>
      </c>
      <c r="V60" s="274">
        <f>25.02+63.48+65.38+30.02+30.03</f>
        <v>213.93</v>
      </c>
      <c r="W60" s="23">
        <f>70.03+63.01+25+25.02+64.51</f>
        <v>247.57</v>
      </c>
      <c r="X60" s="23">
        <f>70.79+68.47</f>
        <v>139.26</v>
      </c>
      <c r="Y60" s="23">
        <f>25.02+25</f>
        <v>50.019999999999996</v>
      </c>
      <c r="Z60" s="23"/>
      <c r="AA60" s="23"/>
      <c r="AB60" s="23">
        <f>56.39+66+30</f>
        <v>152.38999999999999</v>
      </c>
      <c r="AC60" s="23">
        <f>42.45+30+46.47</f>
        <v>118.92</v>
      </c>
      <c r="AD60" s="23">
        <f>25+25.13+47.45+56+73.31</f>
        <v>226.89</v>
      </c>
      <c r="AE60" s="23">
        <f>35.5+54+25</f>
        <v>114.5</v>
      </c>
      <c r="AF60" s="23">
        <f>59.39+25+25+62.38</f>
        <v>171.77</v>
      </c>
      <c r="AG60" s="23">
        <f>25.02+30+20</f>
        <v>75.02</v>
      </c>
      <c r="AH60" s="274">
        <f>37.01+30.02+30</f>
        <v>97.03</v>
      </c>
      <c r="AI60" s="23">
        <f>30.02+25+30.13+30</f>
        <v>115.14999999999999</v>
      </c>
      <c r="AJ60" s="23">
        <f>35+30.01+30.01</f>
        <v>95.02000000000001</v>
      </c>
      <c r="AK60" s="23">
        <f>30+30+30.01</f>
        <v>90.01</v>
      </c>
      <c r="AL60" s="23">
        <f>30.01+30.01+35.03</f>
        <v>95.050000000000011</v>
      </c>
      <c r="AM60" s="23">
        <f>35.04+30</f>
        <v>65.039999999999992</v>
      </c>
      <c r="AN60" s="23">
        <f>30.01+35</f>
        <v>65.010000000000005</v>
      </c>
      <c r="AO60" s="23">
        <f>30+40.01+72.35+71.12</f>
        <v>213.48</v>
      </c>
      <c r="AP60" s="23">
        <f>15+69</f>
        <v>84</v>
      </c>
      <c r="AQ60" s="23">
        <f>74.39+65+64.79</f>
        <v>204.18</v>
      </c>
      <c r="AR60" s="23">
        <f>75.41+77.01+62.03</f>
        <v>214.45000000000002</v>
      </c>
      <c r="AS60" s="23">
        <f>17.52+25.03+35.02+35.01+35</f>
        <v>147.57999999999998</v>
      </c>
      <c r="AT60" s="274">
        <f>35+35.01+35.02+30+35</f>
        <v>170.03</v>
      </c>
      <c r="AU60" s="23">
        <f>30+35+30+35.03+70.45</f>
        <v>200.48000000000002</v>
      </c>
      <c r="AV60" s="23">
        <f>35.01+35+35.05+35.01+30.01</f>
        <v>170.07999999999998</v>
      </c>
      <c r="AW60" s="23">
        <f>13+75+96.93+35.01</f>
        <v>219.94</v>
      </c>
      <c r="AX60" s="23">
        <f>35+25.01+36.58+79.47+15.01+30+85</f>
        <v>306.07</v>
      </c>
      <c r="AY60" s="23">
        <f>40.05+50.01+40.01+35.01+35.01+35+30.01</f>
        <v>265.09999999999997</v>
      </c>
      <c r="AZ60" s="23">
        <f>25.01+30+30+25.01+86.99+20+25+30.01+25</f>
        <v>297.02</v>
      </c>
      <c r="BA60" s="23">
        <f>25+30.1+25.01+25.01+25.01+25.01+25+25</f>
        <v>205.14</v>
      </c>
      <c r="BB60" s="23">
        <f>25.01+25.02+25+25.05</f>
        <v>100.08</v>
      </c>
      <c r="BC60" s="23">
        <f>25+15+40+50+60.01+15.06</f>
        <v>205.07</v>
      </c>
      <c r="BD60" s="23"/>
      <c r="BE60" s="23">
        <f>40+60.01+30.01</f>
        <v>130.01999999999998</v>
      </c>
      <c r="BF60" s="274">
        <f>40+40+60</f>
        <v>140</v>
      </c>
      <c r="BG60" s="23">
        <f>60.04+40+63.89</f>
        <v>163.93</v>
      </c>
      <c r="BH60" s="23">
        <f>55+51+58.9+55.02</f>
        <v>219.92000000000002</v>
      </c>
      <c r="BI60" s="23">
        <f>60.01+55+60.01</f>
        <v>175.01999999999998</v>
      </c>
      <c r="BJ60" s="23">
        <f>65.02+60+58+20</f>
        <v>203.01999999999998</v>
      </c>
      <c r="BK60" s="23">
        <f>60.02+60.01+50.01+40.01</f>
        <v>210.04999999999998</v>
      </c>
      <c r="BL60" s="23">
        <v>60</v>
      </c>
      <c r="BM60" s="23">
        <f>60.01+60+60.04</f>
        <v>180.04999999999998</v>
      </c>
      <c r="BN60" s="23">
        <f>60.02+25.01+25.01+90.01+92</f>
        <v>292.05</v>
      </c>
      <c r="BO60" s="23">
        <f>15.01+70+70.08+70</f>
        <v>225.09</v>
      </c>
      <c r="BP60" s="23">
        <f>75.05+65+20+20</f>
        <v>180.05</v>
      </c>
      <c r="BQ60" s="23">
        <f>30+60.08+60+40+30+30</f>
        <v>250.07999999999998</v>
      </c>
      <c r="BR60" s="274">
        <f>60+60+30+25</f>
        <v>175</v>
      </c>
      <c r="BS60" s="23">
        <f>25+30+50+65.01</f>
        <v>170.01</v>
      </c>
      <c r="BT60" s="23">
        <f>65.01+5.01+15.25+60.01+60.01</f>
        <v>205.29</v>
      </c>
      <c r="BU60" s="23">
        <f>65+65.02+65</f>
        <v>195.01999999999998</v>
      </c>
      <c r="BV60" s="23">
        <f>35+40.01+60+30+30</f>
        <v>195.01</v>
      </c>
      <c r="BW60" s="23">
        <f>45+45.01+40+40+40.02+50</f>
        <v>260.02999999999997</v>
      </c>
      <c r="BX60" s="23">
        <f>40</f>
        <v>40</v>
      </c>
      <c r="BY60" s="23"/>
      <c r="BZ60" s="23"/>
      <c r="CA60" s="23"/>
      <c r="CB60" s="23"/>
      <c r="CC60" s="23"/>
      <c r="CD60" s="274"/>
      <c r="CE60" s="23"/>
      <c r="CF60" s="23"/>
      <c r="CG60" s="23"/>
      <c r="CH60" s="23"/>
      <c r="CI60" s="23"/>
      <c r="CJ60" s="23"/>
      <c r="CK60" s="23"/>
      <c r="CL60" s="23">
        <v>25</v>
      </c>
      <c r="CM60" s="23"/>
      <c r="CN60" s="23"/>
      <c r="CO60" s="23"/>
      <c r="CP60" s="274"/>
      <c r="CQ60" s="23"/>
      <c r="CR60" s="23"/>
      <c r="CS60" s="23"/>
      <c r="CT60" s="23">
        <f>61.03+60.03</f>
        <v>121.06</v>
      </c>
      <c r="CU60" s="23">
        <f>15.02+93.52</f>
        <v>108.53999999999999</v>
      </c>
      <c r="CV60" s="23"/>
      <c r="CW60" s="23"/>
      <c r="CX60" s="23"/>
      <c r="CY60" s="23"/>
      <c r="CZ60" s="23"/>
      <c r="DA60" s="23"/>
      <c r="DB60" s="251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74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51"/>
      <c r="EA60" s="274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51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51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51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51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51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51"/>
    </row>
    <row r="61" spans="1:202">
      <c r="B61" s="351" t="s">
        <v>48</v>
      </c>
      <c r="C61" s="348">
        <f t="shared" si="684"/>
        <v>13.289999999999997</v>
      </c>
      <c r="D61" s="332">
        <f t="shared" si="685"/>
        <v>17.36</v>
      </c>
      <c r="E61" s="332">
        <f t="shared" si="686"/>
        <v>33.480000000000004</v>
      </c>
      <c r="F61" s="332">
        <f t="shared" si="687"/>
        <v>15.5</v>
      </c>
      <c r="G61" s="332">
        <f t="shared" si="688"/>
        <v>12.4</v>
      </c>
      <c r="H61" s="332">
        <f t="shared" si="689"/>
        <v>1.8599999999999999</v>
      </c>
      <c r="I61" s="1025">
        <f t="shared" si="690"/>
        <v>2.48</v>
      </c>
      <c r="J61" s="671"/>
      <c r="K61" s="347">
        <f t="shared" si="683"/>
        <v>1.1074999999999997</v>
      </c>
      <c r="L61" s="347">
        <f t="shared" si="683"/>
        <v>1.4466666666666665</v>
      </c>
      <c r="M61" s="332">
        <f t="shared" si="683"/>
        <v>2.7900000000000005</v>
      </c>
      <c r="N61" s="348">
        <f t="shared" si="683"/>
        <v>1.2916666666666667</v>
      </c>
      <c r="O61" s="348">
        <f t="shared" si="683"/>
        <v>1.0333333333333334</v>
      </c>
      <c r="P61" s="348">
        <f t="shared" si="683"/>
        <v>0.155</v>
      </c>
      <c r="Q61" s="348">
        <f t="shared" si="691"/>
        <v>1.24</v>
      </c>
      <c r="R61" s="671"/>
      <c r="S61" s="347">
        <f>0.62</f>
        <v>0.62</v>
      </c>
      <c r="T61" s="331">
        <f>0.62+0.62</f>
        <v>1.24</v>
      </c>
      <c r="U61" s="331">
        <f>0.62+0.62+0.62+0.62</f>
        <v>2.48</v>
      </c>
      <c r="V61" s="347">
        <f>0.62+0.62+0.62</f>
        <v>1.8599999999999999</v>
      </c>
      <c r="W61" s="331">
        <f>0.62+0.62</f>
        <v>1.24</v>
      </c>
      <c r="X61" s="331">
        <v>1.51</v>
      </c>
      <c r="Y61" s="331">
        <f>0.62+0.62</f>
        <v>1.24</v>
      </c>
      <c r="Z61" s="331"/>
      <c r="AA61" s="331"/>
      <c r="AB61" s="331">
        <f>0.62+0.62+0.62</f>
        <v>1.8599999999999999</v>
      </c>
      <c r="AC61" s="331">
        <v>0.62</v>
      </c>
      <c r="AD61" s="331">
        <f>0.62+0.62</f>
        <v>1.24</v>
      </c>
      <c r="AE61" s="331">
        <v>0.62</v>
      </c>
      <c r="AF61" s="331">
        <f>0.62+0.62</f>
        <v>1.24</v>
      </c>
      <c r="AG61" s="331">
        <f>0.62+0.62+0.62</f>
        <v>1.8599999999999999</v>
      </c>
      <c r="AH61" s="347">
        <f>0.62+0.62+0.62</f>
        <v>1.8599999999999999</v>
      </c>
      <c r="AI61" s="331">
        <f>0.62+0.62+0.62+0.62</f>
        <v>2.48</v>
      </c>
      <c r="AJ61" s="331">
        <f>0.62+0.62+0.62</f>
        <v>1.8599999999999999</v>
      </c>
      <c r="AK61" s="331">
        <f>0.62+0.62+0.62</f>
        <v>1.8599999999999999</v>
      </c>
      <c r="AL61" s="331">
        <f>0.62+0.62+0.62</f>
        <v>1.8599999999999999</v>
      </c>
      <c r="AM61" s="331">
        <f>0.62+0.62</f>
        <v>1.24</v>
      </c>
      <c r="AN61" s="331">
        <f>0.62+0.62</f>
        <v>1.24</v>
      </c>
      <c r="AO61" s="331">
        <f>0.62+0.62</f>
        <v>1.24</v>
      </c>
      <c r="AP61" s="331">
        <v>0.62</v>
      </c>
      <c r="AQ61" s="331"/>
      <c r="AR61" s="331"/>
      <c r="AS61" s="331">
        <f>0.62+0.62+0.62+0.62+0.62</f>
        <v>3.1</v>
      </c>
      <c r="AT61" s="347">
        <f>0.62+0.62+0.62+0.62+0.62</f>
        <v>3.1</v>
      </c>
      <c r="AU61" s="331">
        <f>0.62+0.62+0.62</f>
        <v>1.8599999999999999</v>
      </c>
      <c r="AV61" s="331">
        <f>0.62+0.62+0.62+0.62+0.62</f>
        <v>3.1</v>
      </c>
      <c r="AW61" s="331">
        <v>0.62</v>
      </c>
      <c r="AX61" s="331">
        <f>0.62+0.62+0.62+0.62</f>
        <v>2.48</v>
      </c>
      <c r="AY61" s="331">
        <f>0.62+0.62+0.62+0.62+0.62+0.62+0.62</f>
        <v>4.34</v>
      </c>
      <c r="AZ61" s="331">
        <f>0.62+0.62+0.62+0.62+0.62+0.62+0.62+0.62</f>
        <v>4.96</v>
      </c>
      <c r="BA61" s="331">
        <f>0.62+0.62+0.62+0.62+0.62+0.62+0.62+0.62</f>
        <v>4.96</v>
      </c>
      <c r="BB61" s="331">
        <f>0.62+0.62+0.62+0.62</f>
        <v>2.48</v>
      </c>
      <c r="BC61" s="331">
        <f>0.62+0.62+0.62+0.62+0.62+0.62</f>
        <v>3.72</v>
      </c>
      <c r="BD61" s="331"/>
      <c r="BE61" s="331">
        <f>0.62+0.62+0.62</f>
        <v>1.8599999999999999</v>
      </c>
      <c r="BF61" s="347">
        <f>0.62+0.62+0.62</f>
        <v>1.8599999999999999</v>
      </c>
      <c r="BG61" s="331">
        <f>0.62</f>
        <v>0.62</v>
      </c>
      <c r="BH61" s="331">
        <v>0</v>
      </c>
      <c r="BI61" s="331"/>
      <c r="BJ61" s="331">
        <v>0.62</v>
      </c>
      <c r="BK61" s="331">
        <f>0.62+0.62+0.62</f>
        <v>1.8599999999999999</v>
      </c>
      <c r="BL61" s="331">
        <v>0.62</v>
      </c>
      <c r="BM61" s="331">
        <f>0.62+0.62+0.62</f>
        <v>1.8599999999999999</v>
      </c>
      <c r="BN61" s="331">
        <f>0.62+0.62+0.62+0.62</f>
        <v>2.48</v>
      </c>
      <c r="BO61" s="331">
        <v>0.62</v>
      </c>
      <c r="BP61" s="331">
        <f>0.62+0.62</f>
        <v>1.24</v>
      </c>
      <c r="BQ61" s="331">
        <f>0.62+0.62+0.62+0.62+0.62+0.62</f>
        <v>3.72</v>
      </c>
      <c r="BR61" s="347">
        <f>0.62+0.62+0.62+0.62</f>
        <v>2.48</v>
      </c>
      <c r="BS61" s="331">
        <f>0.62+0.62+0.62</f>
        <v>1.8599999999999999</v>
      </c>
      <c r="BT61" s="331">
        <f>0.62+0.62</f>
        <v>1.24</v>
      </c>
      <c r="BU61" s="331"/>
      <c r="BV61" s="331">
        <f>0.62+0.62+0.62+0.62</f>
        <v>2.48</v>
      </c>
      <c r="BW61" s="331">
        <f>0.62+0.62+0.62+0.62+0.62+0.62</f>
        <v>3.72</v>
      </c>
      <c r="BX61" s="331">
        <f>0.62</f>
        <v>0.62</v>
      </c>
      <c r="BY61" s="331"/>
      <c r="BZ61" s="331"/>
      <c r="CA61" s="331"/>
      <c r="CB61" s="331"/>
      <c r="CC61" s="331"/>
      <c r="CD61" s="347"/>
      <c r="CE61" s="331"/>
      <c r="CF61" s="331"/>
      <c r="CG61" s="331"/>
      <c r="CH61" s="331"/>
      <c r="CI61" s="331"/>
      <c r="CJ61" s="331"/>
      <c r="CK61" s="331"/>
      <c r="CL61" s="331">
        <f>0.62+0.62+0.62</f>
        <v>1.8599999999999999</v>
      </c>
      <c r="CM61" s="331"/>
      <c r="CN61" s="331"/>
      <c r="CO61" s="331"/>
      <c r="CP61" s="347"/>
      <c r="CQ61" s="331"/>
      <c r="CR61" s="331"/>
      <c r="CS61" s="331"/>
      <c r="CT61" s="331">
        <f>0.62+0.62</f>
        <v>1.24</v>
      </c>
      <c r="CU61" s="331">
        <f>0.62+0.62</f>
        <v>1.24</v>
      </c>
      <c r="CV61" s="331"/>
      <c r="CW61" s="331"/>
      <c r="CX61" s="331"/>
      <c r="CY61" s="331"/>
      <c r="CZ61" s="331"/>
      <c r="DA61" s="331"/>
      <c r="DB61" s="348"/>
      <c r="DC61" s="331"/>
      <c r="DD61" s="331"/>
      <c r="DE61" s="331"/>
      <c r="DF61" s="331"/>
      <c r="DG61" s="331"/>
      <c r="DH61" s="331"/>
      <c r="DI61" s="331"/>
      <c r="DJ61" s="331"/>
      <c r="DK61" s="331"/>
      <c r="DL61" s="331"/>
      <c r="DM61" s="331"/>
      <c r="DN61" s="331"/>
      <c r="DO61" s="347"/>
      <c r="DP61" s="331"/>
      <c r="DQ61" s="331"/>
      <c r="DR61" s="331"/>
      <c r="DS61" s="331"/>
      <c r="DT61" s="331"/>
      <c r="DU61" s="331"/>
      <c r="DV61" s="331"/>
      <c r="DW61" s="331"/>
      <c r="DX61" s="331"/>
      <c r="DY61" s="331"/>
      <c r="DZ61" s="348"/>
      <c r="EA61" s="347"/>
      <c r="EB61" s="331"/>
      <c r="EC61" s="331"/>
      <c r="ED61" s="331"/>
      <c r="EE61" s="331"/>
      <c r="EF61" s="331"/>
      <c r="EG61" s="331"/>
      <c r="EH61" s="331"/>
      <c r="EI61" s="331"/>
      <c r="EJ61" s="331"/>
      <c r="EK61" s="331"/>
      <c r="EL61" s="348"/>
      <c r="EM61" s="331"/>
      <c r="EN61" s="331"/>
      <c r="EO61" s="331"/>
      <c r="EP61" s="331"/>
      <c r="EQ61" s="331"/>
      <c r="ER61" s="331"/>
      <c r="ES61" s="331"/>
      <c r="ET61" s="331"/>
      <c r="EU61" s="331"/>
      <c r="EV61" s="331"/>
      <c r="EW61" s="331"/>
      <c r="EX61" s="348"/>
      <c r="EY61" s="331"/>
      <c r="EZ61" s="331"/>
      <c r="FA61" s="331"/>
      <c r="FB61" s="331"/>
      <c r="FC61" s="331"/>
      <c r="FD61" s="331"/>
      <c r="FE61" s="331"/>
      <c r="FF61" s="331"/>
      <c r="FG61" s="331"/>
      <c r="FH61" s="331"/>
      <c r="FI61" s="331"/>
      <c r="FJ61" s="348"/>
      <c r="FK61" s="331"/>
      <c r="FL61" s="331"/>
      <c r="FM61" s="331"/>
      <c r="FN61" s="331"/>
      <c r="FO61" s="331"/>
      <c r="FP61" s="331"/>
      <c r="FQ61" s="331"/>
      <c r="FR61" s="331"/>
      <c r="FS61" s="331"/>
      <c r="FT61" s="331"/>
      <c r="FU61" s="331"/>
      <c r="FV61" s="348"/>
      <c r="FW61" s="331"/>
      <c r="FX61" s="331"/>
      <c r="FY61" s="331"/>
      <c r="FZ61" s="331"/>
      <c r="GA61" s="331"/>
      <c r="GB61" s="331"/>
      <c r="GC61" s="331"/>
      <c r="GD61" s="331"/>
      <c r="GE61" s="331"/>
      <c r="GF61" s="331"/>
      <c r="GG61" s="331"/>
      <c r="GH61" s="348"/>
      <c r="GI61" s="331"/>
      <c r="GJ61" s="331"/>
      <c r="GK61" s="331"/>
      <c r="GL61" s="331"/>
      <c r="GM61" s="331"/>
      <c r="GN61" s="331"/>
      <c r="GO61" s="331"/>
      <c r="GP61" s="331"/>
      <c r="GQ61" s="331"/>
      <c r="GR61" s="331"/>
      <c r="GS61" s="331"/>
      <c r="GT61" s="348"/>
    </row>
    <row r="62" spans="1:202">
      <c r="B62" s="257" t="s">
        <v>49</v>
      </c>
      <c r="C62" s="249">
        <f t="shared" si="684"/>
        <v>12211.359999999999</v>
      </c>
      <c r="D62" s="248">
        <f>SUM(AH62:AS62)</f>
        <v>12312.75</v>
      </c>
      <c r="E62" s="248">
        <f t="shared" si="686"/>
        <v>11929.919999999998</v>
      </c>
      <c r="F62" s="248">
        <f t="shared" si="687"/>
        <v>14135.359999999999</v>
      </c>
      <c r="G62" s="248">
        <f t="shared" si="688"/>
        <v>15340.1</v>
      </c>
      <c r="H62" s="248">
        <f t="shared" si="689"/>
        <v>17140.538</v>
      </c>
      <c r="I62" s="1026">
        <f t="shared" si="690"/>
        <v>16936.554</v>
      </c>
      <c r="J62" s="671"/>
      <c r="K62" s="275">
        <f>SUM(K56:K61)</f>
        <v>1017.6133333333333</v>
      </c>
      <c r="L62" s="275">
        <f t="shared" ref="L62:M62" si="692">SUM(L56:L61)</f>
        <v>1026.0625</v>
      </c>
      <c r="M62" s="247">
        <f t="shared" si="692"/>
        <v>994.15999999999985</v>
      </c>
      <c r="N62" s="252">
        <f t="shared" ref="N62:P62" si="693">SUM(N56:N61)</f>
        <v>1177.9466666666667</v>
      </c>
      <c r="O62" s="252">
        <f t="shared" si="693"/>
        <v>1278.3416666666667</v>
      </c>
      <c r="P62" s="252">
        <f t="shared" si="693"/>
        <v>1428.3781666666666</v>
      </c>
      <c r="Q62" s="252">
        <f t="shared" si="691"/>
        <v>1680.0971111111112</v>
      </c>
      <c r="R62" s="671"/>
      <c r="S62" s="274">
        <f t="shared" ref="S62:V62" si="694">SUM(S56:S61)</f>
        <v>854.33999999999992</v>
      </c>
      <c r="T62" s="23">
        <f t="shared" si="694"/>
        <v>939.93</v>
      </c>
      <c r="U62" s="23">
        <f t="shared" si="694"/>
        <v>1066.42</v>
      </c>
      <c r="V62" s="274">
        <f t="shared" si="694"/>
        <v>1659.33</v>
      </c>
      <c r="W62" s="23">
        <f t="shared" ref="W62:AU62" si="695">SUM(W56:W61)</f>
        <v>1016.6099999999999</v>
      </c>
      <c r="X62" s="23">
        <f t="shared" si="695"/>
        <v>997.2</v>
      </c>
      <c r="Y62" s="23">
        <f t="shared" si="695"/>
        <v>956.22000000000014</v>
      </c>
      <c r="Z62" s="23">
        <f t="shared" si="695"/>
        <v>552.42000000000007</v>
      </c>
      <c r="AA62" s="23">
        <f t="shared" si="695"/>
        <v>831.94999999999993</v>
      </c>
      <c r="AB62" s="23">
        <f t="shared" si="695"/>
        <v>857.04</v>
      </c>
      <c r="AC62" s="23">
        <f t="shared" si="695"/>
        <v>763.1400000000001</v>
      </c>
      <c r="AD62" s="23">
        <f t="shared" si="695"/>
        <v>1879.22</v>
      </c>
      <c r="AE62" s="23">
        <f t="shared" si="695"/>
        <v>898.30000000000007</v>
      </c>
      <c r="AF62" s="23">
        <f t="shared" si="695"/>
        <v>969.07</v>
      </c>
      <c r="AG62" s="23">
        <f t="shared" si="695"/>
        <v>830.86</v>
      </c>
      <c r="AH62" s="274">
        <f t="shared" si="695"/>
        <v>1251.48</v>
      </c>
      <c r="AI62" s="23">
        <f t="shared" si="695"/>
        <v>965.08</v>
      </c>
      <c r="AJ62" s="23">
        <f t="shared" si="695"/>
        <v>1194.1099999999999</v>
      </c>
      <c r="AK62" s="23">
        <f t="shared" si="695"/>
        <v>732.0999999999998</v>
      </c>
      <c r="AL62" s="23">
        <f t="shared" si="695"/>
        <v>1023.9000000000002</v>
      </c>
      <c r="AM62" s="23">
        <f t="shared" si="695"/>
        <v>1177.05</v>
      </c>
      <c r="AN62" s="23">
        <f t="shared" si="695"/>
        <v>1034.0200000000002</v>
      </c>
      <c r="AO62" s="23">
        <f t="shared" si="695"/>
        <v>1516.27</v>
      </c>
      <c r="AP62" s="23">
        <f t="shared" si="695"/>
        <v>1133.1999999999998</v>
      </c>
      <c r="AQ62" s="23">
        <f t="shared" si="695"/>
        <v>628.44000000000005</v>
      </c>
      <c r="AR62" s="23">
        <f t="shared" si="695"/>
        <v>731.61</v>
      </c>
      <c r="AS62" s="23">
        <f t="shared" si="695"/>
        <v>925.4899999999999</v>
      </c>
      <c r="AT62" s="274">
        <f>SUM(AT56:AT61)</f>
        <v>1127.21</v>
      </c>
      <c r="AU62" s="23">
        <f t="shared" si="695"/>
        <v>943.01</v>
      </c>
      <c r="AV62" s="23">
        <f t="shared" ref="AV62:BD62" si="696">SUM(AV56:AV61)</f>
        <v>1053.6099999999999</v>
      </c>
      <c r="AW62" s="23">
        <f>SUM(AW56:AW61)</f>
        <v>878.08</v>
      </c>
      <c r="AX62" s="23">
        <f t="shared" si="696"/>
        <v>935.32000000000016</v>
      </c>
      <c r="AY62" s="23">
        <f t="shared" si="696"/>
        <v>971.15</v>
      </c>
      <c r="AZ62" s="23">
        <f>SUM(AZ56:AZ61)</f>
        <v>1131.71</v>
      </c>
      <c r="BA62" s="23">
        <f t="shared" si="696"/>
        <v>1025.55</v>
      </c>
      <c r="BB62" s="23">
        <f t="shared" si="696"/>
        <v>969.38</v>
      </c>
      <c r="BC62" s="23">
        <f t="shared" si="696"/>
        <v>991.52000000000021</v>
      </c>
      <c r="BD62" s="23">
        <f t="shared" si="696"/>
        <v>782</v>
      </c>
      <c r="BE62" s="23">
        <f>SUM(BE56:BE61)</f>
        <v>1121.3799999999999</v>
      </c>
      <c r="BF62" s="274">
        <f>SUM(BF56:BF61)</f>
        <v>1116.31</v>
      </c>
      <c r="BG62" s="23">
        <f t="shared" ref="BG62" si="697">SUM(BG56:BG61)</f>
        <v>906.99999999999989</v>
      </c>
      <c r="BH62" s="23">
        <f>SUM(BH56:BH61)</f>
        <v>1024.0300000000002</v>
      </c>
      <c r="BI62" s="23">
        <f t="shared" ref="BI62:DT62" si="698">SUM(BI56:BI61)</f>
        <v>995.13</v>
      </c>
      <c r="BJ62" s="23">
        <f>SUM(BJ56:BJ61)</f>
        <v>1104.4499999999998</v>
      </c>
      <c r="BK62" s="23">
        <f t="shared" si="698"/>
        <v>1230.3999999999999</v>
      </c>
      <c r="BL62" s="23">
        <f t="shared" si="698"/>
        <v>934.00999999999988</v>
      </c>
      <c r="BM62" s="23">
        <f t="shared" si="698"/>
        <v>1090.5999999999999</v>
      </c>
      <c r="BN62" s="23">
        <f t="shared" si="698"/>
        <v>2285.25</v>
      </c>
      <c r="BO62" s="23">
        <f t="shared" si="698"/>
        <v>997.20999999999992</v>
      </c>
      <c r="BP62" s="23">
        <f t="shared" si="698"/>
        <v>1047.56</v>
      </c>
      <c r="BQ62" s="23">
        <f t="shared" si="698"/>
        <v>1403.4099999999994</v>
      </c>
      <c r="BR62" s="274">
        <f t="shared" si="698"/>
        <v>1833.3400000000001</v>
      </c>
      <c r="BS62" s="23">
        <f>SUM(BS56:BS61)</f>
        <v>783.28999999999985</v>
      </c>
      <c r="BT62" s="23">
        <f>SUM(BT56:BT61)</f>
        <v>1115.4299999999998</v>
      </c>
      <c r="BU62" s="23">
        <f t="shared" si="698"/>
        <v>878.6099999999999</v>
      </c>
      <c r="BV62" s="23">
        <f>SUM(BV56:BV61)</f>
        <v>1052.5599999999995</v>
      </c>
      <c r="BW62" s="23">
        <f t="shared" si="698"/>
        <v>1214.1600000000001</v>
      </c>
      <c r="BX62" s="23">
        <f t="shared" si="698"/>
        <v>1237.1099999999997</v>
      </c>
      <c r="BY62" s="23">
        <f>SUM(BY56:BY61)</f>
        <v>1275.5899999999999</v>
      </c>
      <c r="BZ62" s="23">
        <f t="shared" si="698"/>
        <v>2196.0299999999997</v>
      </c>
      <c r="CA62" s="23">
        <f t="shared" si="698"/>
        <v>1149.68</v>
      </c>
      <c r="CB62" s="23">
        <f t="shared" si="698"/>
        <v>1070.4600000000003</v>
      </c>
      <c r="CC62" s="23">
        <f>SUM(CC56:CC61)</f>
        <v>1533.8400000000006</v>
      </c>
      <c r="CD62" s="274">
        <f>SUM(CD56:CD61)</f>
        <v>1145.19</v>
      </c>
      <c r="CE62" s="23">
        <f t="shared" si="698"/>
        <v>700.89</v>
      </c>
      <c r="CF62" s="23">
        <f t="shared" si="698"/>
        <v>1356.5900000000001</v>
      </c>
      <c r="CG62" s="23">
        <f t="shared" si="698"/>
        <v>934.85999999999979</v>
      </c>
      <c r="CH62" s="23">
        <f t="shared" si="698"/>
        <v>1556.5000000000002</v>
      </c>
      <c r="CI62" s="23">
        <f t="shared" si="698"/>
        <v>1079.6399999999999</v>
      </c>
      <c r="CJ62" s="23">
        <f t="shared" si="698"/>
        <v>1429.9300000000007</v>
      </c>
      <c r="CK62" s="23">
        <f t="shared" si="698"/>
        <v>2182.2980000000002</v>
      </c>
      <c r="CL62" s="23">
        <f t="shared" si="698"/>
        <v>2242.7600000000007</v>
      </c>
      <c r="CM62" s="23">
        <f t="shared" si="698"/>
        <v>1217.78</v>
      </c>
      <c r="CN62" s="23">
        <f t="shared" si="698"/>
        <v>1619.24</v>
      </c>
      <c r="CO62" s="23">
        <f t="shared" si="698"/>
        <v>1674.8599999999997</v>
      </c>
      <c r="CP62" s="274">
        <f t="shared" si="698"/>
        <v>1815.6800000000007</v>
      </c>
      <c r="CQ62" s="23">
        <f t="shared" si="698"/>
        <v>1092.6699999999998</v>
      </c>
      <c r="CR62" s="23">
        <f t="shared" si="698"/>
        <v>1406.4079999999994</v>
      </c>
      <c r="CS62" s="23">
        <f t="shared" si="698"/>
        <v>1307.8499999999995</v>
      </c>
      <c r="CT62" s="23">
        <f t="shared" si="698"/>
        <v>1622.7580000000003</v>
      </c>
      <c r="CU62" s="23">
        <f t="shared" si="698"/>
        <v>1686.7280000000001</v>
      </c>
      <c r="CV62" s="23">
        <f t="shared" si="698"/>
        <v>1606.4099999999999</v>
      </c>
      <c r="CW62" s="23">
        <f t="shared" si="698"/>
        <v>1971.7499999999998</v>
      </c>
      <c r="CX62" s="23">
        <f t="shared" si="698"/>
        <v>2312.2199999999998</v>
      </c>
      <c r="CY62" s="23">
        <f t="shared" si="698"/>
        <v>2114.08</v>
      </c>
      <c r="CZ62" s="23">
        <f t="shared" si="698"/>
        <v>0</v>
      </c>
      <c r="DA62" s="23">
        <f t="shared" si="698"/>
        <v>0</v>
      </c>
      <c r="DB62" s="251">
        <f t="shared" si="698"/>
        <v>0</v>
      </c>
      <c r="DC62" s="23">
        <f t="shared" si="698"/>
        <v>0</v>
      </c>
      <c r="DD62" s="23">
        <f t="shared" si="698"/>
        <v>0</v>
      </c>
      <c r="DE62" s="23">
        <f t="shared" si="698"/>
        <v>0</v>
      </c>
      <c r="DF62" s="23">
        <f t="shared" si="698"/>
        <v>0</v>
      </c>
      <c r="DG62" s="23">
        <f t="shared" si="698"/>
        <v>0</v>
      </c>
      <c r="DH62" s="23">
        <f t="shared" si="698"/>
        <v>0</v>
      </c>
      <c r="DI62" s="23">
        <f t="shared" si="698"/>
        <v>0</v>
      </c>
      <c r="DJ62" s="23">
        <f t="shared" si="698"/>
        <v>0</v>
      </c>
      <c r="DK62" s="23">
        <f t="shared" si="698"/>
        <v>0</v>
      </c>
      <c r="DL62" s="23">
        <f t="shared" si="698"/>
        <v>0</v>
      </c>
      <c r="DM62" s="23">
        <f t="shared" si="698"/>
        <v>0</v>
      </c>
      <c r="DN62" s="23">
        <f t="shared" si="698"/>
        <v>0</v>
      </c>
      <c r="DO62" s="274">
        <f t="shared" si="698"/>
        <v>0</v>
      </c>
      <c r="DP62" s="23">
        <f t="shared" si="698"/>
        <v>0</v>
      </c>
      <c r="DQ62" s="23">
        <f t="shared" si="698"/>
        <v>0</v>
      </c>
      <c r="DR62" s="23">
        <f t="shared" si="698"/>
        <v>0</v>
      </c>
      <c r="DS62" s="23">
        <f t="shared" si="698"/>
        <v>0</v>
      </c>
      <c r="DT62" s="23">
        <f t="shared" si="698"/>
        <v>0</v>
      </c>
      <c r="DU62" s="23">
        <f t="shared" ref="DU62:EQ62" si="699">SUM(DU56:DU61)</f>
        <v>0</v>
      </c>
      <c r="DV62" s="23">
        <f t="shared" si="699"/>
        <v>0</v>
      </c>
      <c r="DW62" s="23">
        <f t="shared" si="699"/>
        <v>0</v>
      </c>
      <c r="DX62" s="23">
        <f t="shared" si="699"/>
        <v>0</v>
      </c>
      <c r="DY62" s="23">
        <f t="shared" si="699"/>
        <v>0</v>
      </c>
      <c r="DZ62" s="251">
        <f t="shared" si="699"/>
        <v>0</v>
      </c>
      <c r="EA62" s="274">
        <f t="shared" si="699"/>
        <v>0</v>
      </c>
      <c r="EB62" s="23">
        <f t="shared" si="699"/>
        <v>0</v>
      </c>
      <c r="EC62" s="23">
        <f t="shared" si="699"/>
        <v>0</v>
      </c>
      <c r="ED62" s="23">
        <f t="shared" si="699"/>
        <v>0</v>
      </c>
      <c r="EE62" s="23">
        <f t="shared" si="699"/>
        <v>0</v>
      </c>
      <c r="EF62" s="23">
        <f t="shared" si="699"/>
        <v>0</v>
      </c>
      <c r="EG62" s="23">
        <f t="shared" si="699"/>
        <v>0</v>
      </c>
      <c r="EH62" s="23">
        <f t="shared" si="699"/>
        <v>0</v>
      </c>
      <c r="EI62" s="23">
        <f t="shared" si="699"/>
        <v>0</v>
      </c>
      <c r="EJ62" s="23">
        <f t="shared" si="699"/>
        <v>0</v>
      </c>
      <c r="EK62" s="23">
        <f t="shared" si="699"/>
        <v>0</v>
      </c>
      <c r="EL62" s="251">
        <f t="shared" si="699"/>
        <v>0</v>
      </c>
      <c r="EM62" s="23">
        <f t="shared" si="699"/>
        <v>0</v>
      </c>
      <c r="EN62" s="23">
        <f t="shared" si="699"/>
        <v>0</v>
      </c>
      <c r="EO62" s="23">
        <f t="shared" si="699"/>
        <v>0</v>
      </c>
      <c r="EP62" s="23">
        <f t="shared" si="699"/>
        <v>0</v>
      </c>
      <c r="EQ62" s="23">
        <f t="shared" si="699"/>
        <v>0</v>
      </c>
      <c r="ER62" s="23">
        <f t="shared" ref="ER62:EX62" si="700">SUM(ER56:ER61)</f>
        <v>0</v>
      </c>
      <c r="ES62" s="23">
        <f t="shared" si="700"/>
        <v>0</v>
      </c>
      <c r="ET62" s="23">
        <f t="shared" si="700"/>
        <v>0</v>
      </c>
      <c r="EU62" s="23">
        <f t="shared" si="700"/>
        <v>0</v>
      </c>
      <c r="EV62" s="23">
        <f t="shared" si="700"/>
        <v>0</v>
      </c>
      <c r="EW62" s="23">
        <f t="shared" si="700"/>
        <v>0</v>
      </c>
      <c r="EX62" s="251">
        <f t="shared" si="700"/>
        <v>0</v>
      </c>
      <c r="EY62" s="23">
        <f t="shared" ref="EY62:GM62" si="701">SUM(EY56:EY61)</f>
        <v>0</v>
      </c>
      <c r="EZ62" s="23">
        <f t="shared" si="701"/>
        <v>0</v>
      </c>
      <c r="FA62" s="23">
        <f t="shared" si="701"/>
        <v>0</v>
      </c>
      <c r="FB62" s="23">
        <f t="shared" si="701"/>
        <v>0</v>
      </c>
      <c r="FC62" s="23">
        <f t="shared" si="701"/>
        <v>0</v>
      </c>
      <c r="FD62" s="23">
        <f t="shared" si="701"/>
        <v>0</v>
      </c>
      <c r="FE62" s="23">
        <f t="shared" si="701"/>
        <v>0</v>
      </c>
      <c r="FF62" s="23">
        <f t="shared" si="701"/>
        <v>0</v>
      </c>
      <c r="FG62" s="23">
        <f t="shared" si="701"/>
        <v>0</v>
      </c>
      <c r="FH62" s="23">
        <f t="shared" si="701"/>
        <v>0</v>
      </c>
      <c r="FI62" s="23">
        <f t="shared" si="701"/>
        <v>0</v>
      </c>
      <c r="FJ62" s="251">
        <f t="shared" si="701"/>
        <v>0</v>
      </c>
      <c r="FK62" s="23">
        <f t="shared" si="701"/>
        <v>0</v>
      </c>
      <c r="FL62" s="23">
        <f>SUM(FL56:FL61)</f>
        <v>0</v>
      </c>
      <c r="FM62" s="23">
        <f t="shared" si="701"/>
        <v>0</v>
      </c>
      <c r="FN62" s="23">
        <f t="shared" si="701"/>
        <v>0</v>
      </c>
      <c r="FO62" s="23">
        <f t="shared" si="701"/>
        <v>0</v>
      </c>
      <c r="FP62" s="23">
        <f t="shared" si="701"/>
        <v>0</v>
      </c>
      <c r="FQ62" s="23">
        <f t="shared" si="701"/>
        <v>0</v>
      </c>
      <c r="FR62" s="23">
        <f t="shared" si="701"/>
        <v>0</v>
      </c>
      <c r="FS62" s="23">
        <f t="shared" si="701"/>
        <v>0</v>
      </c>
      <c r="FT62" s="23">
        <f t="shared" si="701"/>
        <v>0</v>
      </c>
      <c r="FU62" s="23">
        <f t="shared" si="701"/>
        <v>0</v>
      </c>
      <c r="FV62" s="251">
        <f t="shared" si="701"/>
        <v>0</v>
      </c>
      <c r="FW62" s="23">
        <f t="shared" si="701"/>
        <v>0</v>
      </c>
      <c r="FX62" s="23">
        <f t="shared" si="701"/>
        <v>0</v>
      </c>
      <c r="FY62" s="23">
        <f t="shared" si="701"/>
        <v>0</v>
      </c>
      <c r="FZ62" s="23">
        <f t="shared" si="701"/>
        <v>0</v>
      </c>
      <c r="GA62" s="23">
        <f t="shared" si="701"/>
        <v>0</v>
      </c>
      <c r="GB62" s="23">
        <f t="shared" si="701"/>
        <v>0</v>
      </c>
      <c r="GC62" s="23">
        <f t="shared" si="701"/>
        <v>0</v>
      </c>
      <c r="GD62" s="23">
        <f t="shared" si="701"/>
        <v>0</v>
      </c>
      <c r="GE62" s="23">
        <f t="shared" si="701"/>
        <v>0</v>
      </c>
      <c r="GF62" s="23">
        <f t="shared" si="701"/>
        <v>0</v>
      </c>
      <c r="GG62" s="23">
        <f t="shared" si="701"/>
        <v>0</v>
      </c>
      <c r="GH62" s="251">
        <f t="shared" si="701"/>
        <v>0</v>
      </c>
      <c r="GI62" s="23">
        <f t="shared" si="701"/>
        <v>0</v>
      </c>
      <c r="GJ62" s="23">
        <f t="shared" si="701"/>
        <v>0</v>
      </c>
      <c r="GK62" s="23">
        <f t="shared" si="701"/>
        <v>0</v>
      </c>
      <c r="GL62" s="23">
        <f t="shared" si="701"/>
        <v>0</v>
      </c>
      <c r="GM62" s="23">
        <f t="shared" si="701"/>
        <v>0</v>
      </c>
      <c r="GN62" s="23">
        <f t="shared" ref="GN62:GT62" si="702">SUM(GN56:GN61)</f>
        <v>0</v>
      </c>
      <c r="GO62" s="23">
        <f t="shared" si="702"/>
        <v>0</v>
      </c>
      <c r="GP62" s="23">
        <f t="shared" si="702"/>
        <v>0</v>
      </c>
      <c r="GQ62" s="23">
        <f t="shared" si="702"/>
        <v>0</v>
      </c>
      <c r="GR62" s="23">
        <f t="shared" si="702"/>
        <v>0</v>
      </c>
      <c r="GS62" s="23">
        <f t="shared" si="702"/>
        <v>0</v>
      </c>
      <c r="GT62" s="251">
        <f t="shared" si="702"/>
        <v>0</v>
      </c>
    </row>
    <row r="63" spans="1:202" s="927" customFormat="1">
      <c r="A63" s="443"/>
      <c r="B63" s="662" t="s">
        <v>20</v>
      </c>
      <c r="C63" s="338">
        <f>SUM(V63:AG63)</f>
        <v>369.27000000000004</v>
      </c>
      <c r="D63" s="339">
        <f>SUM(AH63:AS63)</f>
        <v>5</v>
      </c>
      <c r="E63" s="338">
        <f t="shared" si="686"/>
        <v>224.89</v>
      </c>
      <c r="F63" s="339">
        <f t="shared" si="687"/>
        <v>0</v>
      </c>
      <c r="G63" s="339">
        <f t="shared" si="688"/>
        <v>648.18000000000006</v>
      </c>
      <c r="H63" s="339">
        <f t="shared" si="689"/>
        <v>313.72000000000003</v>
      </c>
      <c r="I63" s="1027">
        <f t="shared" si="690"/>
        <v>71.84</v>
      </c>
      <c r="J63" s="667"/>
      <c r="K63" s="1040">
        <f t="shared" ref="K63:Q63" si="703">C63/12</f>
        <v>30.772500000000004</v>
      </c>
      <c r="L63" s="1040">
        <f t="shared" si="703"/>
        <v>0.41666666666666669</v>
      </c>
      <c r="M63" s="1040">
        <f t="shared" si="703"/>
        <v>18.740833333333331</v>
      </c>
      <c r="N63" s="1040">
        <f t="shared" si="703"/>
        <v>0</v>
      </c>
      <c r="O63" s="1040">
        <f t="shared" si="703"/>
        <v>54.015000000000008</v>
      </c>
      <c r="P63" s="1040">
        <f t="shared" si="703"/>
        <v>26.143333333333334</v>
      </c>
      <c r="Q63" s="1040">
        <f t="shared" si="703"/>
        <v>5.9866666666666672</v>
      </c>
      <c r="R63" s="667"/>
      <c r="S63" s="668">
        <v>19.3</v>
      </c>
      <c r="T63" s="669"/>
      <c r="U63" s="669"/>
      <c r="V63" s="668"/>
      <c r="W63" s="669">
        <v>343.29</v>
      </c>
      <c r="X63" s="669"/>
      <c r="Y63" s="669"/>
      <c r="Z63" s="669"/>
      <c r="AA63" s="669">
        <v>15.99</v>
      </c>
      <c r="AB63" s="669">
        <v>9.99</v>
      </c>
      <c r="AC63" s="669"/>
      <c r="AD63" s="669"/>
      <c r="AE63" s="669"/>
      <c r="AF63" s="669"/>
      <c r="AG63" s="669"/>
      <c r="AH63" s="668">
        <v>5</v>
      </c>
      <c r="AI63" s="669"/>
      <c r="AJ63" s="669"/>
      <c r="AK63" s="669"/>
      <c r="AL63" s="669"/>
      <c r="AM63" s="669"/>
      <c r="AN63" s="669"/>
      <c r="AO63" s="669"/>
      <c r="AP63" s="669"/>
      <c r="AQ63" s="669"/>
      <c r="AR63" s="669"/>
      <c r="AS63" s="669"/>
      <c r="AT63" s="668">
        <v>208.89</v>
      </c>
      <c r="AU63" s="669"/>
      <c r="AV63" s="669"/>
      <c r="AW63" s="669"/>
      <c r="AX63" s="669"/>
      <c r="AY63" s="669"/>
      <c r="AZ63" s="669"/>
      <c r="BA63" s="669">
        <v>16</v>
      </c>
      <c r="BB63" s="669"/>
      <c r="BC63" s="669"/>
      <c r="BD63" s="669"/>
      <c r="BE63" s="669"/>
      <c r="BF63" s="668"/>
      <c r="BG63" s="669"/>
      <c r="BH63" s="669"/>
      <c r="BI63" s="669"/>
      <c r="BJ63" s="669"/>
      <c r="BK63" s="669"/>
      <c r="BL63" s="669"/>
      <c r="BM63" s="669"/>
      <c r="BN63" s="669"/>
      <c r="BO63" s="669"/>
      <c r="BP63" s="669"/>
      <c r="BQ63" s="669"/>
      <c r="BR63" s="668">
        <v>10</v>
      </c>
      <c r="BS63" s="669"/>
      <c r="BT63" s="669"/>
      <c r="BU63" s="669"/>
      <c r="BV63" s="669"/>
      <c r="BW63" s="669"/>
      <c r="BX63" s="669"/>
      <c r="BY63" s="669"/>
      <c r="BZ63" s="669">
        <v>607.21</v>
      </c>
      <c r="CA63" s="669"/>
      <c r="CB63" s="669"/>
      <c r="CC63" s="669">
        <f>30+0.97</f>
        <v>30.97</v>
      </c>
      <c r="CD63" s="668">
        <f>3.58+9.99+17.99+13.01</f>
        <v>44.57</v>
      </c>
      <c r="CE63" s="669">
        <v>6.99</v>
      </c>
      <c r="CF63" s="669"/>
      <c r="CG63" s="669"/>
      <c r="CH63" s="669">
        <f>46.99+17.99+19.95+27.53+61.68+6.04</f>
        <v>180.18</v>
      </c>
      <c r="CI63" s="669"/>
      <c r="CJ63" s="669"/>
      <c r="CK63" s="669"/>
      <c r="CL63" s="669"/>
      <c r="CM63" s="669">
        <f>6.99+16.66+12.73+4.99+8.63</f>
        <v>50</v>
      </c>
      <c r="CN63" s="669">
        <v>20</v>
      </c>
      <c r="CO63" s="669">
        <f>6.99+4.99</f>
        <v>11.98</v>
      </c>
      <c r="CP63" s="668"/>
      <c r="CQ63" s="669">
        <v>5</v>
      </c>
      <c r="CR63" s="669">
        <f>5+0.85+8</f>
        <v>13.85</v>
      </c>
      <c r="CS63" s="669">
        <f>29.99+6.99+8</f>
        <v>44.98</v>
      </c>
      <c r="CT63" s="669">
        <v>1.01</v>
      </c>
      <c r="CU63" s="669"/>
      <c r="CV63" s="669"/>
      <c r="CW63" s="669"/>
      <c r="CX63" s="669"/>
      <c r="CY63" s="669">
        <v>7</v>
      </c>
      <c r="CZ63" s="669"/>
      <c r="DA63" s="669"/>
      <c r="DB63" s="670"/>
      <c r="DC63" s="669"/>
      <c r="DD63" s="669"/>
      <c r="DE63" s="669"/>
      <c r="DF63" s="669"/>
      <c r="DG63" s="669"/>
      <c r="DH63" s="669"/>
      <c r="DI63" s="669"/>
      <c r="DJ63" s="669"/>
      <c r="DK63" s="669"/>
      <c r="DL63" s="669"/>
      <c r="DM63" s="669"/>
      <c r="DN63" s="669"/>
      <c r="DO63" s="668"/>
      <c r="DP63" s="669"/>
      <c r="DQ63" s="669"/>
      <c r="DR63" s="669"/>
      <c r="DS63" s="669"/>
      <c r="DT63" s="669"/>
      <c r="DU63" s="669"/>
      <c r="DV63" s="669"/>
      <c r="DW63" s="669"/>
      <c r="DX63" s="669"/>
      <c r="DY63" s="669"/>
      <c r="DZ63" s="670"/>
      <c r="EA63" s="668"/>
      <c r="EB63" s="669"/>
      <c r="EC63" s="669"/>
      <c r="ED63" s="669"/>
      <c r="EE63" s="669"/>
      <c r="EF63" s="669"/>
      <c r="EG63" s="669"/>
      <c r="EH63" s="669"/>
      <c r="EI63" s="669"/>
      <c r="EJ63" s="669"/>
      <c r="EK63" s="669"/>
      <c r="EL63" s="670"/>
      <c r="EM63" s="669"/>
      <c r="EN63" s="669"/>
      <c r="EO63" s="669"/>
      <c r="EP63" s="669"/>
      <c r="EQ63" s="669"/>
      <c r="ER63" s="669"/>
      <c r="ES63" s="669"/>
      <c r="ET63" s="669"/>
      <c r="EU63" s="669"/>
      <c r="EV63" s="669"/>
      <c r="EW63" s="669"/>
      <c r="EX63" s="670"/>
      <c r="EY63" s="669"/>
      <c r="EZ63" s="669"/>
      <c r="FA63" s="669"/>
      <c r="FB63" s="669"/>
      <c r="FC63" s="669"/>
      <c r="FD63" s="669"/>
      <c r="FE63" s="669"/>
      <c r="FF63" s="669"/>
      <c r="FG63" s="669"/>
      <c r="FH63" s="669"/>
      <c r="FI63" s="669"/>
      <c r="FJ63" s="670"/>
      <c r="FK63" s="669"/>
      <c r="FL63" s="669"/>
      <c r="FM63" s="669"/>
      <c r="FN63" s="669"/>
      <c r="FO63" s="669"/>
      <c r="FP63" s="669"/>
      <c r="FQ63" s="669"/>
      <c r="FR63" s="669"/>
      <c r="FS63" s="669"/>
      <c r="FT63" s="669"/>
      <c r="FU63" s="669"/>
      <c r="FV63" s="670"/>
      <c r="FW63" s="669"/>
      <c r="FX63" s="669"/>
      <c r="FY63" s="669"/>
      <c r="FZ63" s="669"/>
      <c r="GA63" s="669"/>
      <c r="GB63" s="669"/>
      <c r="GC63" s="669"/>
      <c r="GD63" s="669"/>
      <c r="GE63" s="669"/>
      <c r="GF63" s="669"/>
      <c r="GG63" s="669"/>
      <c r="GH63" s="670"/>
      <c r="GI63" s="669"/>
      <c r="GJ63" s="669"/>
      <c r="GK63" s="669"/>
      <c r="GL63" s="669"/>
      <c r="GM63" s="669"/>
      <c r="GN63" s="669"/>
      <c r="GO63" s="669"/>
      <c r="GP63" s="669"/>
      <c r="GQ63" s="669"/>
      <c r="GR63" s="669"/>
      <c r="GS63" s="669"/>
      <c r="GT63" s="670"/>
    </row>
    <row r="64" spans="1:202" s="49" customFormat="1">
      <c r="B64" s="258" t="s">
        <v>50</v>
      </c>
      <c r="C64" s="1112">
        <f>AVERAGE(V64:AG64)</f>
        <v>1078.4391666666668</v>
      </c>
      <c r="D64" s="1112">
        <f>AVERAGE(AH64:AS64)</f>
        <v>1136.1491666666668</v>
      </c>
      <c r="E64" s="1113">
        <f>AVERAGE(AT64:BE64)</f>
        <v>1065.4358333333334</v>
      </c>
      <c r="F64" s="1114">
        <f>IFERROR(AVERAGE(BF64:BQ64),B67)</f>
        <v>1250.0550000000001</v>
      </c>
      <c r="G64" s="1114">
        <f>IFERROR(AVERAGE(BR64:CC64),D65)</f>
        <v>1313.5941666666668</v>
      </c>
      <c r="H64" s="1114">
        <f>IFERROR(AVERAGEIF(CD64:CO64,"&gt;0"),D65)</f>
        <v>1507.5840000000001</v>
      </c>
      <c r="I64" s="1115">
        <f>IFERROR(AVERAGEIF(CP64:DA64,"&gt;0"),E65)</f>
        <v>1781.3164000000002</v>
      </c>
      <c r="J64" s="1116"/>
      <c r="K64" s="359">
        <f t="shared" ref="K64" si="704">C64/12</f>
        <v>89.86993055555557</v>
      </c>
      <c r="L64" s="359">
        <f t="shared" ref="L64" si="705">D64/12</f>
        <v>94.679097222222239</v>
      </c>
      <c r="M64" s="358">
        <f t="shared" ref="M64:P64" si="706">E64/12</f>
        <v>88.786319444444459</v>
      </c>
      <c r="N64" s="357">
        <f t="shared" si="706"/>
        <v>104.17125</v>
      </c>
      <c r="O64" s="357">
        <f t="shared" si="706"/>
        <v>109.46618055555557</v>
      </c>
      <c r="P64" s="357">
        <f t="shared" si="706"/>
        <v>125.63200000000001</v>
      </c>
      <c r="Q64" s="1040">
        <f t="shared" ref="Q64" si="707">I64/12</f>
        <v>148.44303333333335</v>
      </c>
      <c r="R64" s="1116"/>
      <c r="S64" s="1117">
        <f t="shared" ref="S64:AX64" si="708">IF(S62&gt;0,S53+S62-S63,"")</f>
        <v>925</v>
      </c>
      <c r="T64" s="1118">
        <f t="shared" si="708"/>
        <v>1075.5</v>
      </c>
      <c r="U64" s="1118">
        <f t="shared" si="708"/>
        <v>1120.3800000000001</v>
      </c>
      <c r="V64" s="1117">
        <f t="shared" si="708"/>
        <v>1713.29</v>
      </c>
      <c r="W64" s="1118">
        <f t="shared" si="708"/>
        <v>874.8599999999999</v>
      </c>
      <c r="X64" s="1118">
        <f t="shared" si="708"/>
        <v>1181.77</v>
      </c>
      <c r="Y64" s="1118">
        <f t="shared" si="708"/>
        <v>984.20000000000016</v>
      </c>
      <c r="Z64" s="1118">
        <f t="shared" si="708"/>
        <v>694.98</v>
      </c>
      <c r="AA64" s="1118">
        <f t="shared" si="708"/>
        <v>850.93</v>
      </c>
      <c r="AB64" s="1118">
        <f t="shared" si="708"/>
        <v>875.03</v>
      </c>
      <c r="AC64" s="1118">
        <f t="shared" si="708"/>
        <v>859.71</v>
      </c>
      <c r="AD64" s="1118">
        <f t="shared" si="708"/>
        <v>1975.79</v>
      </c>
      <c r="AE64" s="1118">
        <f t="shared" si="708"/>
        <v>979.2600000000001</v>
      </c>
      <c r="AF64" s="1118">
        <f t="shared" si="708"/>
        <v>1075.6300000000001</v>
      </c>
      <c r="AG64" s="1118">
        <f t="shared" si="708"/>
        <v>875.82</v>
      </c>
      <c r="AH64" s="1117">
        <f t="shared" si="708"/>
        <v>1356.41</v>
      </c>
      <c r="AI64" s="1118">
        <f t="shared" si="708"/>
        <v>1106.6200000000001</v>
      </c>
      <c r="AJ64" s="1118">
        <f t="shared" si="708"/>
        <v>1434.6499999999999</v>
      </c>
      <c r="AK64" s="1118">
        <f t="shared" si="708"/>
        <v>827.02999999999975</v>
      </c>
      <c r="AL64" s="1118">
        <f t="shared" si="708"/>
        <v>1111.8400000000001</v>
      </c>
      <c r="AM64" s="1118">
        <f t="shared" si="708"/>
        <v>1245</v>
      </c>
      <c r="AN64" s="1118">
        <f t="shared" si="708"/>
        <v>1216.5000000000002</v>
      </c>
      <c r="AO64" s="1118">
        <f t="shared" si="708"/>
        <v>1574.23</v>
      </c>
      <c r="AP64" s="1118">
        <f t="shared" si="708"/>
        <v>1201.1499999999999</v>
      </c>
      <c r="AQ64" s="1118">
        <f t="shared" si="708"/>
        <v>728.3900000000001</v>
      </c>
      <c r="AR64" s="1118">
        <f t="shared" si="708"/>
        <v>835.53</v>
      </c>
      <c r="AS64" s="1118">
        <f t="shared" si="708"/>
        <v>996.43999999999994</v>
      </c>
      <c r="AT64" s="1117">
        <f t="shared" si="708"/>
        <v>1011.2500000000001</v>
      </c>
      <c r="AU64" s="1118">
        <f t="shared" si="708"/>
        <v>1033.95</v>
      </c>
      <c r="AV64" s="1118">
        <f t="shared" si="708"/>
        <v>1158.2099999999998</v>
      </c>
      <c r="AW64" s="1118">
        <f t="shared" si="708"/>
        <v>978.69</v>
      </c>
      <c r="AX64" s="1118">
        <f t="shared" si="708"/>
        <v>1048.9100000000001</v>
      </c>
      <c r="AY64" s="1118">
        <f t="shared" ref="AY64:CC64" si="709">IF(AY62&gt;0,AY53+AY62-AY63,"")</f>
        <v>1035.0999999999999</v>
      </c>
      <c r="AZ64" s="1118">
        <f t="shared" si="709"/>
        <v>1215.6500000000001</v>
      </c>
      <c r="BA64" s="1118">
        <f t="shared" si="709"/>
        <v>1073.5</v>
      </c>
      <c r="BB64" s="1118">
        <f t="shared" si="709"/>
        <v>1093.32</v>
      </c>
      <c r="BC64" s="1118">
        <f t="shared" si="709"/>
        <v>1105.3700000000001</v>
      </c>
      <c r="BD64" s="1118">
        <f t="shared" si="709"/>
        <v>845.95</v>
      </c>
      <c r="BE64" s="1118">
        <f t="shared" si="709"/>
        <v>1185.33</v>
      </c>
      <c r="BF64" s="1117">
        <f t="shared" si="709"/>
        <v>1180.26</v>
      </c>
      <c r="BG64" s="1118">
        <f t="shared" si="709"/>
        <v>970.94999999999993</v>
      </c>
      <c r="BH64" s="1118">
        <f t="shared" si="709"/>
        <v>1087.9800000000002</v>
      </c>
      <c r="BI64" s="1118">
        <f t="shared" si="709"/>
        <v>1059.08</v>
      </c>
      <c r="BJ64" s="1118">
        <f t="shared" si="709"/>
        <v>1212.3899999999999</v>
      </c>
      <c r="BK64" s="1118">
        <f t="shared" si="709"/>
        <v>1294.3499999999999</v>
      </c>
      <c r="BL64" s="1118">
        <f t="shared" si="709"/>
        <v>997.95999999999992</v>
      </c>
      <c r="BM64" s="1118">
        <f t="shared" si="709"/>
        <v>1154.55</v>
      </c>
      <c r="BN64" s="1118">
        <f t="shared" si="709"/>
        <v>2349.1999999999998</v>
      </c>
      <c r="BO64" s="1118">
        <f t="shared" si="709"/>
        <v>1112.06</v>
      </c>
      <c r="BP64" s="1118">
        <f t="shared" si="709"/>
        <v>1112.51</v>
      </c>
      <c r="BQ64" s="1118">
        <f t="shared" si="709"/>
        <v>1469.3699999999994</v>
      </c>
      <c r="BR64" s="1117">
        <f t="shared" si="709"/>
        <v>1888.2900000000002</v>
      </c>
      <c r="BS64" s="1118">
        <f t="shared" si="709"/>
        <v>848.2399999999999</v>
      </c>
      <c r="BT64" s="1118">
        <f t="shared" si="709"/>
        <v>1211.3699999999999</v>
      </c>
      <c r="BU64" s="1118">
        <f t="shared" si="709"/>
        <v>974.55</v>
      </c>
      <c r="BV64" s="1118">
        <f t="shared" si="709"/>
        <v>1148.4899999999996</v>
      </c>
      <c r="BW64" s="1118">
        <f t="shared" si="709"/>
        <v>1294.1000000000001</v>
      </c>
      <c r="BX64" s="1118">
        <f t="shared" si="709"/>
        <v>1318.0499999999997</v>
      </c>
      <c r="BY64" s="1118">
        <f>IF(BY62&gt;0,BY53+BY62-BY63,"")</f>
        <v>1356.54</v>
      </c>
      <c r="BZ64" s="1118">
        <f>IF(BZ62&gt;0,BZ53+BZ62-BZ63,"")</f>
        <v>1679.7599999999998</v>
      </c>
      <c r="CA64" s="1118">
        <f t="shared" si="709"/>
        <v>1293.52</v>
      </c>
      <c r="CB64" s="1118">
        <f t="shared" si="709"/>
        <v>1164.4000000000003</v>
      </c>
      <c r="CC64" s="1118">
        <f t="shared" si="709"/>
        <v>1585.8200000000006</v>
      </c>
      <c r="CD64" s="1117">
        <f>IF(CD62&gt;0,CD53+CD62-CD63,"")</f>
        <v>1202.5500000000002</v>
      </c>
      <c r="CE64" s="1118">
        <f t="shared" ref="CE64" si="710">IF(CE62&gt;0,CE53+CE62-CE63,"")</f>
        <v>806.81999999999994</v>
      </c>
      <c r="CF64" s="1118">
        <f>IF(CF62&gt;0,CF53+CF62-CF63,0)</f>
        <v>1459.5200000000002</v>
      </c>
      <c r="CG64" s="1118">
        <f t="shared" ref="CG64:ER64" si="711">IF(CG62&gt;0,CG53+CG62-CG63,0)</f>
        <v>1036.1999999999998</v>
      </c>
      <c r="CH64" s="1118">
        <f t="shared" si="711"/>
        <v>1525.91</v>
      </c>
      <c r="CI64" s="1118">
        <f t="shared" si="711"/>
        <v>1184.57</v>
      </c>
      <c r="CJ64" s="1118">
        <f t="shared" si="711"/>
        <v>1531.8600000000008</v>
      </c>
      <c r="CK64" s="1118">
        <f t="shared" si="711"/>
        <v>2275.2380000000003</v>
      </c>
      <c r="CL64" s="1118">
        <f t="shared" si="711"/>
        <v>2335.7000000000007</v>
      </c>
      <c r="CM64" s="1118">
        <f t="shared" si="711"/>
        <v>1310.6199999999999</v>
      </c>
      <c r="CN64" s="1118">
        <f t="shared" si="711"/>
        <v>1675.19</v>
      </c>
      <c r="CO64" s="1118">
        <f t="shared" si="711"/>
        <v>1746.8299999999997</v>
      </c>
      <c r="CP64" s="1117">
        <f t="shared" si="711"/>
        <v>1899.6300000000008</v>
      </c>
      <c r="CQ64" s="1118">
        <f t="shared" si="711"/>
        <v>1171.6199999999999</v>
      </c>
      <c r="CR64" s="1118">
        <f t="shared" si="711"/>
        <v>1484.4979999999996</v>
      </c>
      <c r="CS64" s="1118">
        <f t="shared" si="711"/>
        <v>1344.8199999999995</v>
      </c>
      <c r="CT64" s="1118">
        <f t="shared" si="711"/>
        <v>1728.0680000000002</v>
      </c>
      <c r="CU64" s="1118">
        <f>IF(CU62&gt;0,CU53+CU62-CU63,0)</f>
        <v>1793.038</v>
      </c>
      <c r="CV64" s="1118">
        <f t="shared" si="711"/>
        <v>1712.7099999999998</v>
      </c>
      <c r="CW64" s="1118">
        <f t="shared" si="711"/>
        <v>2053.6899999999996</v>
      </c>
      <c r="CX64" s="1118">
        <f t="shared" si="711"/>
        <v>2394.16</v>
      </c>
      <c r="CY64" s="1118">
        <f t="shared" si="711"/>
        <v>2230.9299999999998</v>
      </c>
      <c r="CZ64" s="1118">
        <f t="shared" si="711"/>
        <v>0</v>
      </c>
      <c r="DA64" s="1118">
        <f t="shared" si="711"/>
        <v>0</v>
      </c>
      <c r="DB64" s="1112">
        <f t="shared" si="711"/>
        <v>0</v>
      </c>
      <c r="DC64" s="1113">
        <f t="shared" si="711"/>
        <v>0</v>
      </c>
      <c r="DD64" s="1113">
        <f t="shared" si="711"/>
        <v>0</v>
      </c>
      <c r="DE64" s="1113">
        <f t="shared" si="711"/>
        <v>0</v>
      </c>
      <c r="DF64" s="1113">
        <f t="shared" si="711"/>
        <v>0</v>
      </c>
      <c r="DG64" s="1113">
        <f t="shared" si="711"/>
        <v>0</v>
      </c>
      <c r="DH64" s="1113">
        <f t="shared" si="711"/>
        <v>0</v>
      </c>
      <c r="DI64" s="1113">
        <f t="shared" si="711"/>
        <v>0</v>
      </c>
      <c r="DJ64" s="1113">
        <f t="shared" si="711"/>
        <v>0</v>
      </c>
      <c r="DK64" s="1113">
        <f t="shared" si="711"/>
        <v>0</v>
      </c>
      <c r="DL64" s="1113">
        <f t="shared" si="711"/>
        <v>0</v>
      </c>
      <c r="DM64" s="1113">
        <f t="shared" si="711"/>
        <v>0</v>
      </c>
      <c r="DN64" s="1113">
        <f t="shared" si="711"/>
        <v>0</v>
      </c>
      <c r="DO64" s="1119">
        <f t="shared" si="711"/>
        <v>0</v>
      </c>
      <c r="DP64" s="1113">
        <f t="shared" si="711"/>
        <v>0</v>
      </c>
      <c r="DQ64" s="1113">
        <f t="shared" si="711"/>
        <v>0</v>
      </c>
      <c r="DR64" s="1113">
        <f t="shared" si="711"/>
        <v>0</v>
      </c>
      <c r="DS64" s="1113">
        <f t="shared" si="711"/>
        <v>0</v>
      </c>
      <c r="DT64" s="1113">
        <f t="shared" si="711"/>
        <v>0</v>
      </c>
      <c r="DU64" s="1113">
        <f t="shared" si="711"/>
        <v>0</v>
      </c>
      <c r="DV64" s="1113">
        <f t="shared" si="711"/>
        <v>0</v>
      </c>
      <c r="DW64" s="1113">
        <f t="shared" si="711"/>
        <v>0</v>
      </c>
      <c r="DX64" s="1113">
        <f t="shared" si="711"/>
        <v>0</v>
      </c>
      <c r="DY64" s="1113">
        <f t="shared" si="711"/>
        <v>0</v>
      </c>
      <c r="DZ64" s="1112">
        <f t="shared" si="711"/>
        <v>0</v>
      </c>
      <c r="EA64" s="1119">
        <f t="shared" si="711"/>
        <v>0</v>
      </c>
      <c r="EB64" s="1113">
        <f t="shared" si="711"/>
        <v>0</v>
      </c>
      <c r="EC64" s="1113">
        <f t="shared" si="711"/>
        <v>0</v>
      </c>
      <c r="ED64" s="1113">
        <f t="shared" si="711"/>
        <v>0</v>
      </c>
      <c r="EE64" s="1113">
        <f t="shared" si="711"/>
        <v>0</v>
      </c>
      <c r="EF64" s="1113">
        <f t="shared" si="711"/>
        <v>0</v>
      </c>
      <c r="EG64" s="1113">
        <f t="shared" si="711"/>
        <v>0</v>
      </c>
      <c r="EH64" s="1113">
        <f t="shared" si="711"/>
        <v>0</v>
      </c>
      <c r="EI64" s="1113">
        <f t="shared" si="711"/>
        <v>0</v>
      </c>
      <c r="EJ64" s="1113">
        <f t="shared" si="711"/>
        <v>0</v>
      </c>
      <c r="EK64" s="1113">
        <f t="shared" si="711"/>
        <v>0</v>
      </c>
      <c r="EL64" s="1112">
        <f t="shared" si="711"/>
        <v>0</v>
      </c>
      <c r="EM64" s="1113">
        <f t="shared" si="711"/>
        <v>0</v>
      </c>
      <c r="EN64" s="1113">
        <f t="shared" si="711"/>
        <v>0</v>
      </c>
      <c r="EO64" s="1113">
        <f t="shared" si="711"/>
        <v>0</v>
      </c>
      <c r="EP64" s="1113">
        <f t="shared" si="711"/>
        <v>0</v>
      </c>
      <c r="EQ64" s="1113">
        <f t="shared" si="711"/>
        <v>0</v>
      </c>
      <c r="ER64" s="1113">
        <f t="shared" si="711"/>
        <v>0</v>
      </c>
      <c r="ES64" s="1113">
        <f t="shared" ref="ES64:GT64" si="712">IF(ES62&gt;0,ES53+ES62-ES63,0)</f>
        <v>0</v>
      </c>
      <c r="ET64" s="1113">
        <f t="shared" si="712"/>
        <v>0</v>
      </c>
      <c r="EU64" s="1113">
        <f t="shared" si="712"/>
        <v>0</v>
      </c>
      <c r="EV64" s="1113">
        <f t="shared" si="712"/>
        <v>0</v>
      </c>
      <c r="EW64" s="1113">
        <f t="shared" si="712"/>
        <v>0</v>
      </c>
      <c r="EX64" s="1112">
        <f t="shared" si="712"/>
        <v>0</v>
      </c>
      <c r="EY64" s="1113">
        <f t="shared" si="712"/>
        <v>0</v>
      </c>
      <c r="EZ64" s="1113">
        <f t="shared" si="712"/>
        <v>0</v>
      </c>
      <c r="FA64" s="1113">
        <f t="shared" si="712"/>
        <v>0</v>
      </c>
      <c r="FB64" s="1113">
        <f t="shared" si="712"/>
        <v>0</v>
      </c>
      <c r="FC64" s="1113">
        <f t="shared" si="712"/>
        <v>0</v>
      </c>
      <c r="FD64" s="1113">
        <f t="shared" si="712"/>
        <v>0</v>
      </c>
      <c r="FE64" s="1113">
        <f t="shared" si="712"/>
        <v>0</v>
      </c>
      <c r="FF64" s="1113">
        <f t="shared" si="712"/>
        <v>0</v>
      </c>
      <c r="FG64" s="1113">
        <f t="shared" si="712"/>
        <v>0</v>
      </c>
      <c r="FH64" s="1113">
        <f t="shared" si="712"/>
        <v>0</v>
      </c>
      <c r="FI64" s="1113">
        <f t="shared" si="712"/>
        <v>0</v>
      </c>
      <c r="FJ64" s="1112">
        <f t="shared" si="712"/>
        <v>0</v>
      </c>
      <c r="FK64" s="1113">
        <f t="shared" si="712"/>
        <v>0</v>
      </c>
      <c r="FL64" s="1113">
        <f t="shared" si="712"/>
        <v>0</v>
      </c>
      <c r="FM64" s="1113">
        <f t="shared" si="712"/>
        <v>0</v>
      </c>
      <c r="FN64" s="1113">
        <f t="shared" si="712"/>
        <v>0</v>
      </c>
      <c r="FO64" s="1113">
        <f t="shared" si="712"/>
        <v>0</v>
      </c>
      <c r="FP64" s="1113">
        <f t="shared" si="712"/>
        <v>0</v>
      </c>
      <c r="FQ64" s="1113">
        <f t="shared" si="712"/>
        <v>0</v>
      </c>
      <c r="FR64" s="1113">
        <f t="shared" si="712"/>
        <v>0</v>
      </c>
      <c r="FS64" s="1113">
        <f t="shared" si="712"/>
        <v>0</v>
      </c>
      <c r="FT64" s="1113">
        <f t="shared" si="712"/>
        <v>0</v>
      </c>
      <c r="FU64" s="1113">
        <f t="shared" si="712"/>
        <v>0</v>
      </c>
      <c r="FV64" s="1112">
        <f t="shared" si="712"/>
        <v>0</v>
      </c>
      <c r="FW64" s="1113">
        <f t="shared" si="712"/>
        <v>0</v>
      </c>
      <c r="FX64" s="1113">
        <f t="shared" si="712"/>
        <v>0</v>
      </c>
      <c r="FY64" s="1113">
        <f t="shared" si="712"/>
        <v>0</v>
      </c>
      <c r="FZ64" s="1113">
        <f t="shared" si="712"/>
        <v>0</v>
      </c>
      <c r="GA64" s="1113">
        <f t="shared" si="712"/>
        <v>0</v>
      </c>
      <c r="GB64" s="1113">
        <f t="shared" si="712"/>
        <v>0</v>
      </c>
      <c r="GC64" s="1113">
        <f t="shared" si="712"/>
        <v>0</v>
      </c>
      <c r="GD64" s="1113">
        <f t="shared" si="712"/>
        <v>0</v>
      </c>
      <c r="GE64" s="1113">
        <f t="shared" si="712"/>
        <v>0</v>
      </c>
      <c r="GF64" s="1113">
        <f t="shared" si="712"/>
        <v>0</v>
      </c>
      <c r="GG64" s="1113">
        <f t="shared" si="712"/>
        <v>0</v>
      </c>
      <c r="GH64" s="1112">
        <f t="shared" si="712"/>
        <v>0</v>
      </c>
      <c r="GI64" s="1113">
        <f t="shared" si="712"/>
        <v>0</v>
      </c>
      <c r="GJ64" s="1113">
        <f t="shared" si="712"/>
        <v>0</v>
      </c>
      <c r="GK64" s="1113">
        <f t="shared" si="712"/>
        <v>0</v>
      </c>
      <c r="GL64" s="1113">
        <f t="shared" si="712"/>
        <v>0</v>
      </c>
      <c r="GM64" s="1113">
        <f t="shared" si="712"/>
        <v>0</v>
      </c>
      <c r="GN64" s="1113">
        <f t="shared" si="712"/>
        <v>0</v>
      </c>
      <c r="GO64" s="1113">
        <f t="shared" si="712"/>
        <v>0</v>
      </c>
      <c r="GP64" s="1113">
        <f t="shared" si="712"/>
        <v>0</v>
      </c>
      <c r="GQ64" s="1113">
        <f t="shared" si="712"/>
        <v>0</v>
      </c>
      <c r="GR64" s="1113">
        <f t="shared" si="712"/>
        <v>0</v>
      </c>
      <c r="GS64" s="1113">
        <f t="shared" si="712"/>
        <v>0</v>
      </c>
      <c r="GT64" s="1112">
        <f t="shared" si="712"/>
        <v>0</v>
      </c>
    </row>
    <row r="65" spans="1:202">
      <c r="B65" s="46" t="s">
        <v>51</v>
      </c>
      <c r="D65" s="47">
        <f>IF(B67&lt;&gt;"",B67,B71)</f>
        <v>1100</v>
      </c>
      <c r="E65" s="47"/>
      <c r="F65" s="21"/>
      <c r="G65" s="21"/>
      <c r="H65" s="21"/>
      <c r="I65" s="21"/>
      <c r="J65" s="1077"/>
      <c r="K65" s="21"/>
      <c r="L65" s="21"/>
      <c r="M65" s="21"/>
      <c r="N65" s="21"/>
      <c r="O65" s="21"/>
      <c r="P65" s="21"/>
      <c r="Q65" s="21"/>
      <c r="R65" s="1077"/>
      <c r="S65" s="45"/>
      <c r="T65" s="48">
        <f>IFERROR((T64-S64)/S64,"")</f>
        <v>0.16270270270270271</v>
      </c>
      <c r="U65" s="48">
        <f t="shared" ref="U65:V65" si="713">IFERROR((U64-T64)/T64,"")</f>
        <v>4.1729428172942916E-2</v>
      </c>
      <c r="V65" s="48">
        <f t="shared" si="713"/>
        <v>0.52920437708634549</v>
      </c>
      <c r="W65" s="48">
        <f t="shared" ref="W65:AH65" si="714">IFERROR((W64-$C$64)/$C$64,"")</f>
        <v>-0.18877204478385834</v>
      </c>
      <c r="X65" s="48">
        <f t="shared" si="714"/>
        <v>9.5815171153990158E-2</v>
      </c>
      <c r="Y65" s="48">
        <f t="shared" si="714"/>
        <v>-8.7384777537289571E-2</v>
      </c>
      <c r="Z65" s="48">
        <f t="shared" si="714"/>
        <v>-0.35556865748106642</v>
      </c>
      <c r="AA65" s="48">
        <f t="shared" si="714"/>
        <v>-0.21096152077809996</v>
      </c>
      <c r="AB65" s="48">
        <f t="shared" si="714"/>
        <v>-0.18861440955949466</v>
      </c>
      <c r="AC65" s="48">
        <f t="shared" si="714"/>
        <v>-0.20282012507273248</v>
      </c>
      <c r="AD65" s="48">
        <f t="shared" si="714"/>
        <v>0.83208294085510903</v>
      </c>
      <c r="AE65" s="48">
        <f t="shared" si="714"/>
        <v>-9.1965471704090862E-2</v>
      </c>
      <c r="AF65" s="48">
        <f t="shared" si="714"/>
        <v>-2.6048448104397815E-3</v>
      </c>
      <c r="AG65" s="48">
        <f t="shared" si="714"/>
        <v>-0.18788186939921667</v>
      </c>
      <c r="AH65" s="48">
        <f t="shared" si="714"/>
        <v>0.25775290987669675</v>
      </c>
      <c r="AI65" s="48">
        <f t="shared" ref="AI65:BN65" si="715">IFERROR((AI64-$B$71)/$B$71,"")</f>
        <v>-6.6182570265861038E-2</v>
      </c>
      <c r="AJ65" s="48">
        <f t="shared" si="715"/>
        <v>0.21062440184352552</v>
      </c>
      <c r="AK65" s="48">
        <f t="shared" si="715"/>
        <v>-0.30211361721907737</v>
      </c>
      <c r="AL65" s="48">
        <f t="shared" si="715"/>
        <v>-6.1777691460840133E-2</v>
      </c>
      <c r="AM65" s="48">
        <f t="shared" si="715"/>
        <v>5.0588910392910739E-2</v>
      </c>
      <c r="AN65" s="48">
        <f t="shared" si="715"/>
        <v>2.653928473331418E-2</v>
      </c>
      <c r="AO65" s="48">
        <f t="shared" si="715"/>
        <v>0.32840849831954372</v>
      </c>
      <c r="AP65" s="48">
        <f t="shared" si="715"/>
        <v>1.3586240737706501E-2</v>
      </c>
      <c r="AQ65" s="48">
        <f t="shared" si="715"/>
        <v>-0.38535063739671299</v>
      </c>
      <c r="AR65" s="48">
        <f t="shared" si="715"/>
        <v>-0.29494092184691673</v>
      </c>
      <c r="AS65" s="48">
        <f t="shared" si="715"/>
        <v>-0.15915757921934787</v>
      </c>
      <c r="AT65" s="48">
        <f t="shared" si="715"/>
        <v>-0.14666021234150112</v>
      </c>
      <c r="AU65" s="48">
        <f t="shared" si="715"/>
        <v>-0.12750489646526095</v>
      </c>
      <c r="AV65" s="48">
        <f t="shared" si="715"/>
        <v>-2.264852858941932E-2</v>
      </c>
      <c r="AW65" s="48">
        <f t="shared" si="715"/>
        <v>-0.17413585484944749</v>
      </c>
      <c r="AX65" s="48">
        <f t="shared" si="715"/>
        <v>-0.11488095261025856</v>
      </c>
      <c r="AY65" s="48">
        <f t="shared" si="715"/>
        <v>-0.12653447297373349</v>
      </c>
      <c r="AZ65" s="48">
        <f t="shared" si="715"/>
        <v>2.5822015196098023E-2</v>
      </c>
      <c r="BA65" s="48">
        <f t="shared" si="715"/>
        <v>-9.4130766821855671E-2</v>
      </c>
      <c r="BB65" s="48">
        <f t="shared" si="715"/>
        <v>-7.7405728907006338E-2</v>
      </c>
      <c r="BC65" s="48">
        <f t="shared" si="715"/>
        <v>-6.7237378408825807E-2</v>
      </c>
      <c r="BD65" s="48">
        <f t="shared" si="715"/>
        <v>-0.28614804116716236</v>
      </c>
      <c r="BE65" s="48">
        <f t="shared" si="715"/>
        <v>2.3658888034442741E-4</v>
      </c>
      <c r="BF65" s="48">
        <f t="shared" si="715"/>
        <v>-4.0417129475206256E-3</v>
      </c>
      <c r="BG65" s="48">
        <f t="shared" si="715"/>
        <v>-0.18066722687068545</v>
      </c>
      <c r="BH65" s="48">
        <f t="shared" si="715"/>
        <v>-8.1911869293751577E-2</v>
      </c>
      <c r="BI65" s="48">
        <f t="shared" si="715"/>
        <v>-0.10629903355909733</v>
      </c>
      <c r="BJ65" s="48">
        <f t="shared" si="715"/>
        <v>2.3071075559245719E-2</v>
      </c>
      <c r="BK65" s="48">
        <f t="shared" si="715"/>
        <v>9.2232735877159772E-2</v>
      </c>
      <c r="BL65" s="48">
        <f t="shared" si="715"/>
        <v>-0.1578749325175027</v>
      </c>
      <c r="BM65" s="48">
        <f t="shared" si="715"/>
        <v>-2.5737006832020043E-2</v>
      </c>
      <c r="BN65" s="48">
        <f t="shared" si="715"/>
        <v>0.98236423156226971</v>
      </c>
      <c r="BO65" s="48">
        <f t="shared" ref="BO65:CT65" si="716">IFERROR((BO64-$B$71)/$B$71,"")</f>
        <v>-6.1592045227678506E-2</v>
      </c>
      <c r="BP65" s="48">
        <f t="shared" si="716"/>
        <v>-6.121231429621115E-2</v>
      </c>
      <c r="BQ65" s="48">
        <f t="shared" si="716"/>
        <v>0.2399227528225146</v>
      </c>
      <c r="BR65" s="48">
        <f t="shared" si="716"/>
        <v>0.59342693462315632</v>
      </c>
      <c r="BS65" s="48">
        <f t="shared" si="716"/>
        <v>-0.28421563264925098</v>
      </c>
      <c r="BT65" s="48">
        <f t="shared" si="716"/>
        <v>2.2210352114586482E-2</v>
      </c>
      <c r="BU65" s="48">
        <f t="shared" si="716"/>
        <v>-0.17762937941894691</v>
      </c>
      <c r="BV65" s="48">
        <f t="shared" si="716"/>
        <v>-3.0850716709113584E-2</v>
      </c>
      <c r="BW65" s="48">
        <f t="shared" si="716"/>
        <v>9.2021774248567015E-2</v>
      </c>
      <c r="BX65" s="48">
        <f t="shared" si="716"/>
        <v>0.11223189826777166</v>
      </c>
      <c r="BY65" s="48">
        <f t="shared" si="716"/>
        <v>0.14471155060594304</v>
      </c>
      <c r="BZ65" s="48">
        <f t="shared" si="716"/>
        <v>0.41745962098120121</v>
      </c>
      <c r="CA65" s="48">
        <f t="shared" si="716"/>
        <v>9.1532343270231228E-2</v>
      </c>
      <c r="CB65" s="48">
        <f t="shared" si="716"/>
        <v>-1.7425118665457349E-2</v>
      </c>
      <c r="CC65" s="48">
        <f t="shared" si="716"/>
        <v>0.33818867942111352</v>
      </c>
      <c r="CD65" s="48">
        <f t="shared" si="716"/>
        <v>1.4767625857827312E-2</v>
      </c>
      <c r="CE65" s="48">
        <f t="shared" si="716"/>
        <v>-0.31916775527453156</v>
      </c>
      <c r="CF65" s="48">
        <f t="shared" si="716"/>
        <v>0.23161086465595285</v>
      </c>
      <c r="CG65" s="48">
        <f t="shared" si="716"/>
        <v>-0.12560624180792457</v>
      </c>
      <c r="CH65" s="48">
        <f t="shared" si="716"/>
        <v>0.28763383474509763</v>
      </c>
      <c r="CI65" s="48">
        <f t="shared" si="716"/>
        <v>-4.0473447057814499E-4</v>
      </c>
      <c r="CJ65" s="48">
        <f t="shared" si="716"/>
        <v>0.2926547215056105</v>
      </c>
      <c r="CK65" s="48">
        <f t="shared" si="716"/>
        <v>0.91995165566630177</v>
      </c>
      <c r="CL65" s="48">
        <f t="shared" si="716"/>
        <v>0.97097230361825093</v>
      </c>
      <c r="CM65" s="48">
        <f t="shared" si="716"/>
        <v>0.1059621186659892</v>
      </c>
      <c r="CN65" s="48">
        <f t="shared" si="716"/>
        <v>0.41360324241052226</v>
      </c>
      <c r="CO65" s="48">
        <f t="shared" si="716"/>
        <v>0.47405640670011884</v>
      </c>
      <c r="CP65" s="48">
        <f t="shared" si="716"/>
        <v>0.60299615409613327</v>
      </c>
      <c r="CQ65" s="48">
        <f t="shared" si="716"/>
        <v>-1.1332546831693199E-2</v>
      </c>
      <c r="CR65" s="48">
        <f t="shared" si="716"/>
        <v>0.25268846289193153</v>
      </c>
      <c r="CS65" s="48">
        <f t="shared" si="716"/>
        <v>0.13482166945750496</v>
      </c>
      <c r="CT65" s="48">
        <f t="shared" si="716"/>
        <v>0.45822415839747527</v>
      </c>
      <c r="CU65" s="48">
        <f t="shared" ref="CU65:DZ65" si="717">IFERROR((CU64-$B$71)/$B$71,"")</f>
        <v>0.51304886643621195</v>
      </c>
      <c r="CV65" s="48">
        <f t="shared" si="717"/>
        <v>0.44526436362975258</v>
      </c>
      <c r="CW65" s="48">
        <f t="shared" si="717"/>
        <v>0.73299914810025413</v>
      </c>
      <c r="CX65" s="48">
        <f t="shared" si="717"/>
        <v>1.0203035708484265</v>
      </c>
      <c r="CY65" s="48">
        <f t="shared" si="717"/>
        <v>0.88256250430751504</v>
      </c>
      <c r="CZ65" s="48">
        <f t="shared" si="717"/>
        <v>-1</v>
      </c>
      <c r="DA65" s="48">
        <f t="shared" si="717"/>
        <v>-1</v>
      </c>
      <c r="DB65" s="48">
        <f t="shared" si="717"/>
        <v>-1</v>
      </c>
      <c r="DC65" s="48">
        <f t="shared" si="717"/>
        <v>-1</v>
      </c>
      <c r="DD65" s="48">
        <f t="shared" si="717"/>
        <v>-1</v>
      </c>
      <c r="DE65" s="48">
        <f t="shared" si="717"/>
        <v>-1</v>
      </c>
      <c r="DF65" s="48">
        <f t="shared" si="717"/>
        <v>-1</v>
      </c>
      <c r="DG65" s="48">
        <f t="shared" si="717"/>
        <v>-1</v>
      </c>
      <c r="DH65" s="48">
        <f t="shared" si="717"/>
        <v>-1</v>
      </c>
      <c r="DI65" s="48">
        <f t="shared" si="717"/>
        <v>-1</v>
      </c>
      <c r="DJ65" s="48">
        <f t="shared" si="717"/>
        <v>-1</v>
      </c>
      <c r="DK65" s="48">
        <f t="shared" si="717"/>
        <v>-1</v>
      </c>
      <c r="DL65" s="48">
        <f t="shared" si="717"/>
        <v>-1</v>
      </c>
      <c r="DM65" s="48">
        <f t="shared" si="717"/>
        <v>-1</v>
      </c>
      <c r="DN65" s="48">
        <f t="shared" si="717"/>
        <v>-1</v>
      </c>
      <c r="DO65" s="48">
        <f t="shared" si="717"/>
        <v>-1</v>
      </c>
      <c r="DP65" s="48">
        <f t="shared" si="717"/>
        <v>-1</v>
      </c>
      <c r="DQ65" s="48">
        <f t="shared" si="717"/>
        <v>-1</v>
      </c>
      <c r="DR65" s="48">
        <f t="shared" si="717"/>
        <v>-1</v>
      </c>
      <c r="DS65" s="48">
        <f t="shared" si="717"/>
        <v>-1</v>
      </c>
      <c r="DT65" s="48">
        <f t="shared" si="717"/>
        <v>-1</v>
      </c>
      <c r="DU65" s="48">
        <f t="shared" si="717"/>
        <v>-1</v>
      </c>
      <c r="DV65" s="48">
        <f t="shared" si="717"/>
        <v>-1</v>
      </c>
      <c r="DW65" s="48">
        <f t="shared" si="717"/>
        <v>-1</v>
      </c>
      <c r="DX65" s="48">
        <f t="shared" si="717"/>
        <v>-1</v>
      </c>
      <c r="DY65" s="48">
        <f t="shared" si="717"/>
        <v>-1</v>
      </c>
      <c r="DZ65" s="48">
        <f t="shared" si="717"/>
        <v>-1</v>
      </c>
      <c r="EA65" s="48">
        <f t="shared" ref="EA65:EQ65" si="718">IFERROR((EA64-$B$71)/$B$71,"")</f>
        <v>-1</v>
      </c>
      <c r="EB65" s="48">
        <f t="shared" si="718"/>
        <v>-1</v>
      </c>
      <c r="EC65" s="48">
        <f t="shared" si="718"/>
        <v>-1</v>
      </c>
      <c r="ED65" s="48">
        <f t="shared" si="718"/>
        <v>-1</v>
      </c>
      <c r="EE65" s="48">
        <f t="shared" si="718"/>
        <v>-1</v>
      </c>
      <c r="EF65" s="48">
        <f t="shared" si="718"/>
        <v>-1</v>
      </c>
      <c r="EG65" s="48">
        <f t="shared" si="718"/>
        <v>-1</v>
      </c>
      <c r="EH65" s="48">
        <f t="shared" si="718"/>
        <v>-1</v>
      </c>
      <c r="EI65" s="48">
        <f t="shared" si="718"/>
        <v>-1</v>
      </c>
      <c r="EJ65" s="48">
        <f t="shared" si="718"/>
        <v>-1</v>
      </c>
      <c r="EK65" s="48">
        <f t="shared" si="718"/>
        <v>-1</v>
      </c>
      <c r="EL65" s="48">
        <f t="shared" si="718"/>
        <v>-1</v>
      </c>
      <c r="EM65" s="48">
        <f t="shared" si="718"/>
        <v>-1</v>
      </c>
      <c r="EN65" s="48">
        <f t="shared" si="718"/>
        <v>-1</v>
      </c>
      <c r="EO65" s="48">
        <f t="shared" si="718"/>
        <v>-1</v>
      </c>
      <c r="EP65" s="48">
        <f t="shared" si="718"/>
        <v>-1</v>
      </c>
      <c r="EQ65" s="48">
        <f t="shared" si="718"/>
        <v>-1</v>
      </c>
    </row>
    <row r="66" spans="1:202" ht="4.5" customHeight="1" thickBot="1">
      <c r="J66" s="1077"/>
      <c r="R66" s="1077"/>
      <c r="S66" s="140">
        <f>S39</f>
        <v>43718</v>
      </c>
      <c r="T66" s="140">
        <f t="shared" ref="T66:CE66" si="719">T39</f>
        <v>43748</v>
      </c>
      <c r="U66" s="140">
        <f t="shared" si="719"/>
        <v>43779</v>
      </c>
      <c r="V66" s="140">
        <f t="shared" si="719"/>
        <v>43809</v>
      </c>
      <c r="W66" s="140">
        <f t="shared" si="719"/>
        <v>43840</v>
      </c>
      <c r="X66" s="140">
        <f t="shared" si="719"/>
        <v>43871</v>
      </c>
      <c r="Y66" s="140">
        <f t="shared" si="719"/>
        <v>43900</v>
      </c>
      <c r="Z66" s="140">
        <f t="shared" si="719"/>
        <v>43931</v>
      </c>
      <c r="AA66" s="140">
        <f t="shared" si="719"/>
        <v>43961</v>
      </c>
      <c r="AB66" s="140">
        <f t="shared" si="719"/>
        <v>43992</v>
      </c>
      <c r="AC66" s="140">
        <f t="shared" si="719"/>
        <v>44022</v>
      </c>
      <c r="AD66" s="140">
        <f t="shared" si="719"/>
        <v>44053</v>
      </c>
      <c r="AE66" s="140">
        <f t="shared" si="719"/>
        <v>44084</v>
      </c>
      <c r="AF66" s="140">
        <f t="shared" si="719"/>
        <v>44114</v>
      </c>
      <c r="AG66" s="140">
        <f t="shared" si="719"/>
        <v>44145</v>
      </c>
      <c r="AH66" s="140">
        <f t="shared" si="719"/>
        <v>44175</v>
      </c>
      <c r="AI66" s="140">
        <f t="shared" si="719"/>
        <v>44206</v>
      </c>
      <c r="AJ66" s="140">
        <f t="shared" si="719"/>
        <v>44237</v>
      </c>
      <c r="AK66" s="140">
        <f t="shared" si="719"/>
        <v>44265</v>
      </c>
      <c r="AL66" s="140">
        <f t="shared" si="719"/>
        <v>44296</v>
      </c>
      <c r="AM66" s="140">
        <f t="shared" si="719"/>
        <v>44326</v>
      </c>
      <c r="AN66" s="140">
        <f t="shared" si="719"/>
        <v>44357</v>
      </c>
      <c r="AO66" s="140">
        <f t="shared" si="719"/>
        <v>44378</v>
      </c>
      <c r="AP66" s="140">
        <f t="shared" si="719"/>
        <v>44409</v>
      </c>
      <c r="AQ66" s="140">
        <f t="shared" si="719"/>
        <v>44440</v>
      </c>
      <c r="AR66" s="140">
        <f t="shared" si="719"/>
        <v>44470</v>
      </c>
      <c r="AS66" s="140">
        <f t="shared" si="719"/>
        <v>44501</v>
      </c>
      <c r="AT66" s="140">
        <f t="shared" si="719"/>
        <v>44531</v>
      </c>
      <c r="AU66" s="140">
        <f t="shared" si="719"/>
        <v>44562</v>
      </c>
      <c r="AV66" s="140">
        <f t="shared" si="719"/>
        <v>44593</v>
      </c>
      <c r="AW66" s="140">
        <f t="shared" si="719"/>
        <v>44621</v>
      </c>
      <c r="AX66" s="140">
        <f t="shared" si="719"/>
        <v>44652</v>
      </c>
      <c r="AY66" s="140">
        <f t="shared" si="719"/>
        <v>44682</v>
      </c>
      <c r="AZ66" s="140">
        <f t="shared" si="719"/>
        <v>44713</v>
      </c>
      <c r="BA66" s="140">
        <f t="shared" si="719"/>
        <v>44743</v>
      </c>
      <c r="BB66" s="140">
        <f t="shared" si="719"/>
        <v>44774</v>
      </c>
      <c r="BC66" s="140">
        <f t="shared" si="719"/>
        <v>44805</v>
      </c>
      <c r="BD66" s="140">
        <f t="shared" si="719"/>
        <v>44835</v>
      </c>
      <c r="BE66" s="140">
        <f t="shared" si="719"/>
        <v>44866</v>
      </c>
      <c r="BF66" s="140">
        <f t="shared" si="719"/>
        <v>44896</v>
      </c>
      <c r="BG66" s="140">
        <f t="shared" si="719"/>
        <v>44927</v>
      </c>
      <c r="BH66" s="140">
        <f t="shared" si="719"/>
        <v>44958</v>
      </c>
      <c r="BI66" s="140">
        <f t="shared" si="719"/>
        <v>44986</v>
      </c>
      <c r="BJ66" s="140">
        <f t="shared" si="719"/>
        <v>45017</v>
      </c>
      <c r="BK66" s="140">
        <f t="shared" si="719"/>
        <v>45047</v>
      </c>
      <c r="BL66" s="140">
        <f t="shared" si="719"/>
        <v>45078</v>
      </c>
      <c r="BM66" s="140">
        <f t="shared" si="719"/>
        <v>45108</v>
      </c>
      <c r="BN66" s="140">
        <f t="shared" si="719"/>
        <v>45139</v>
      </c>
      <c r="BO66" s="140">
        <f t="shared" si="719"/>
        <v>45170</v>
      </c>
      <c r="BP66" s="140">
        <f t="shared" si="719"/>
        <v>45200</v>
      </c>
      <c r="BQ66" s="140">
        <f t="shared" si="719"/>
        <v>45231</v>
      </c>
      <c r="BR66" s="140">
        <f t="shared" si="719"/>
        <v>45261</v>
      </c>
      <c r="BS66" s="140">
        <f t="shared" si="719"/>
        <v>45292</v>
      </c>
      <c r="BT66" s="140">
        <f t="shared" si="719"/>
        <v>45323</v>
      </c>
      <c r="BU66" s="140">
        <f t="shared" si="719"/>
        <v>45352</v>
      </c>
      <c r="BV66" s="140">
        <f t="shared" si="719"/>
        <v>45383</v>
      </c>
      <c r="BW66" s="140">
        <f t="shared" si="719"/>
        <v>45413</v>
      </c>
      <c r="BX66" s="140">
        <f t="shared" si="719"/>
        <v>45444</v>
      </c>
      <c r="BY66" s="140">
        <f t="shared" si="719"/>
        <v>45474</v>
      </c>
      <c r="BZ66" s="140">
        <f t="shared" si="719"/>
        <v>45505</v>
      </c>
      <c r="CA66" s="140">
        <f t="shared" si="719"/>
        <v>45536</v>
      </c>
      <c r="CB66" s="140">
        <f t="shared" si="719"/>
        <v>45566</v>
      </c>
      <c r="CC66" s="140">
        <f t="shared" si="719"/>
        <v>45597</v>
      </c>
      <c r="CD66" s="140">
        <f t="shared" si="719"/>
        <v>45627</v>
      </c>
      <c r="CE66" s="140">
        <f t="shared" si="719"/>
        <v>45658</v>
      </c>
      <c r="CF66" s="140">
        <f t="shared" ref="CF66:EQ66" si="720">CF39</f>
        <v>45689</v>
      </c>
      <c r="CG66" s="140">
        <f t="shared" si="720"/>
        <v>45717</v>
      </c>
      <c r="CH66" s="140">
        <f t="shared" si="720"/>
        <v>45748</v>
      </c>
      <c r="CI66" s="140">
        <f t="shared" si="720"/>
        <v>45778</v>
      </c>
      <c r="CJ66" s="140">
        <f t="shared" si="720"/>
        <v>45809</v>
      </c>
      <c r="CK66" s="140">
        <f t="shared" si="720"/>
        <v>45839</v>
      </c>
      <c r="CL66" s="140">
        <f t="shared" si="720"/>
        <v>45870</v>
      </c>
      <c r="CM66" s="140">
        <f t="shared" si="720"/>
        <v>45901</v>
      </c>
      <c r="CN66" s="140">
        <f t="shared" si="720"/>
        <v>45931</v>
      </c>
      <c r="CO66" s="140">
        <f t="shared" si="720"/>
        <v>45962</v>
      </c>
      <c r="CP66" s="140">
        <f t="shared" si="720"/>
        <v>45992</v>
      </c>
      <c r="CQ66" s="140">
        <f t="shared" si="720"/>
        <v>46023</v>
      </c>
      <c r="CR66" s="140">
        <f t="shared" si="720"/>
        <v>46054</v>
      </c>
      <c r="CS66" s="140">
        <f t="shared" si="720"/>
        <v>46082</v>
      </c>
      <c r="CT66" s="140">
        <f t="shared" si="720"/>
        <v>46113</v>
      </c>
      <c r="CU66" s="140">
        <f t="shared" si="720"/>
        <v>46143</v>
      </c>
      <c r="CV66" s="140">
        <f t="shared" si="720"/>
        <v>46174</v>
      </c>
      <c r="CW66" s="140">
        <f t="shared" si="720"/>
        <v>46204</v>
      </c>
      <c r="CX66" s="140">
        <f t="shared" si="720"/>
        <v>46235</v>
      </c>
      <c r="CY66" s="140">
        <f t="shared" si="720"/>
        <v>46266</v>
      </c>
      <c r="CZ66" s="140">
        <f t="shared" si="720"/>
        <v>46296</v>
      </c>
      <c r="DA66" s="140">
        <f t="shared" si="720"/>
        <v>46327</v>
      </c>
      <c r="DB66" s="140">
        <f t="shared" si="720"/>
        <v>46357</v>
      </c>
      <c r="DC66" s="140">
        <f t="shared" si="720"/>
        <v>46388</v>
      </c>
      <c r="DD66" s="140">
        <f t="shared" si="720"/>
        <v>46419</v>
      </c>
      <c r="DE66" s="140">
        <f t="shared" si="720"/>
        <v>46447</v>
      </c>
      <c r="DF66" s="140">
        <f t="shared" si="720"/>
        <v>46478</v>
      </c>
      <c r="DG66" s="140">
        <f t="shared" si="720"/>
        <v>46508</v>
      </c>
      <c r="DH66" s="140">
        <f t="shared" si="720"/>
        <v>46539</v>
      </c>
      <c r="DI66" s="140">
        <f t="shared" si="720"/>
        <v>46569</v>
      </c>
      <c r="DJ66" s="140">
        <f t="shared" si="720"/>
        <v>46600</v>
      </c>
      <c r="DK66" s="140">
        <f t="shared" si="720"/>
        <v>46631</v>
      </c>
      <c r="DL66" s="140">
        <f t="shared" si="720"/>
        <v>46661</v>
      </c>
      <c r="DM66" s="140">
        <f t="shared" si="720"/>
        <v>46692</v>
      </c>
      <c r="DN66" s="140">
        <f t="shared" si="720"/>
        <v>46722</v>
      </c>
      <c r="DO66" s="140">
        <f t="shared" si="720"/>
        <v>46753</v>
      </c>
      <c r="DP66" s="140">
        <f t="shared" si="720"/>
        <v>46784</v>
      </c>
      <c r="DQ66" s="140">
        <f t="shared" si="720"/>
        <v>46813</v>
      </c>
      <c r="DR66" s="140">
        <f t="shared" si="720"/>
        <v>46844</v>
      </c>
      <c r="DS66" s="140">
        <f t="shared" si="720"/>
        <v>46874</v>
      </c>
      <c r="DT66" s="140">
        <f t="shared" si="720"/>
        <v>46905</v>
      </c>
      <c r="DU66" s="140">
        <f t="shared" si="720"/>
        <v>46935</v>
      </c>
      <c r="DV66" s="140">
        <f t="shared" si="720"/>
        <v>46966</v>
      </c>
      <c r="DW66" s="140">
        <f t="shared" si="720"/>
        <v>46997</v>
      </c>
      <c r="DX66" s="140">
        <f t="shared" si="720"/>
        <v>47027</v>
      </c>
      <c r="DY66" s="140">
        <f t="shared" si="720"/>
        <v>47058</v>
      </c>
      <c r="DZ66" s="140">
        <f t="shared" si="720"/>
        <v>47088</v>
      </c>
      <c r="EA66" s="140">
        <f t="shared" si="720"/>
        <v>47119</v>
      </c>
      <c r="EB66" s="140">
        <f t="shared" si="720"/>
        <v>47150</v>
      </c>
      <c r="EC66" s="140">
        <f t="shared" si="720"/>
        <v>47178</v>
      </c>
      <c r="ED66" s="140">
        <f t="shared" si="720"/>
        <v>47209</v>
      </c>
      <c r="EE66" s="140">
        <f t="shared" si="720"/>
        <v>47239</v>
      </c>
      <c r="EF66" s="140">
        <f t="shared" si="720"/>
        <v>47270</v>
      </c>
      <c r="EG66" s="140">
        <f t="shared" si="720"/>
        <v>47300</v>
      </c>
      <c r="EH66" s="140">
        <f t="shared" si="720"/>
        <v>47331</v>
      </c>
      <c r="EI66" s="140">
        <f t="shared" si="720"/>
        <v>47362</v>
      </c>
      <c r="EJ66" s="140">
        <f t="shared" si="720"/>
        <v>47392</v>
      </c>
      <c r="EK66" s="140">
        <f t="shared" si="720"/>
        <v>47423</v>
      </c>
      <c r="EL66" s="140">
        <f t="shared" si="720"/>
        <v>47453</v>
      </c>
      <c r="EM66" s="140">
        <f t="shared" si="720"/>
        <v>47484</v>
      </c>
      <c r="EN66" s="140">
        <f t="shared" si="720"/>
        <v>47515</v>
      </c>
      <c r="EO66" s="140">
        <f t="shared" si="720"/>
        <v>47543</v>
      </c>
      <c r="EP66" s="140">
        <f t="shared" si="720"/>
        <v>47574</v>
      </c>
      <c r="EQ66" s="140">
        <f t="shared" si="720"/>
        <v>47604</v>
      </c>
    </row>
    <row r="67" spans="1:202" ht="18" customHeight="1" thickBot="1">
      <c r="B67" s="882">
        <v>1100</v>
      </c>
      <c r="J67" s="1077"/>
      <c r="R67" s="1077"/>
      <c r="AG67" s="705"/>
    </row>
    <row r="68" spans="1:202" s="18" customFormat="1" ht="19.5" customHeight="1" thickBot="1">
      <c r="A68" s="9"/>
      <c r="B68" s="1131">
        <v>0</v>
      </c>
      <c r="C68" s="16"/>
      <c r="D68" s="16"/>
      <c r="E68" s="16"/>
      <c r="F68" s="16"/>
      <c r="G68" s="1278"/>
      <c r="I68" s="326"/>
      <c r="J68" s="1077"/>
      <c r="R68" s="1077"/>
      <c r="S68" s="955">
        <f t="shared" ref="S68:AX68" si="721">S9</f>
        <v>43739</v>
      </c>
      <c r="T68" s="955">
        <f t="shared" si="721"/>
        <v>43770</v>
      </c>
      <c r="U68" s="955">
        <f t="shared" si="721"/>
        <v>43800</v>
      </c>
      <c r="V68" s="955">
        <f t="shared" si="721"/>
        <v>43831</v>
      </c>
      <c r="W68" s="955">
        <f t="shared" si="721"/>
        <v>43862</v>
      </c>
      <c r="X68" s="955">
        <f t="shared" si="721"/>
        <v>43891</v>
      </c>
      <c r="Y68" s="955">
        <f t="shared" si="721"/>
        <v>43922</v>
      </c>
      <c r="Z68" s="955">
        <f t="shared" si="721"/>
        <v>43952</v>
      </c>
      <c r="AA68" s="955">
        <f t="shared" si="721"/>
        <v>43983</v>
      </c>
      <c r="AB68" s="955">
        <f t="shared" si="721"/>
        <v>44013</v>
      </c>
      <c r="AC68" s="955">
        <f t="shared" si="721"/>
        <v>44044</v>
      </c>
      <c r="AD68" s="955">
        <f t="shared" si="721"/>
        <v>44075</v>
      </c>
      <c r="AE68" s="955">
        <f t="shared" si="721"/>
        <v>44105</v>
      </c>
      <c r="AF68" s="955">
        <f t="shared" si="721"/>
        <v>44136</v>
      </c>
      <c r="AG68" s="955">
        <f t="shared" si="721"/>
        <v>44166</v>
      </c>
      <c r="AH68" s="955">
        <f t="shared" si="721"/>
        <v>44197</v>
      </c>
      <c r="AI68" s="955">
        <f t="shared" si="721"/>
        <v>44228</v>
      </c>
      <c r="AJ68" s="955">
        <f t="shared" si="721"/>
        <v>44256</v>
      </c>
      <c r="AK68" s="955">
        <f t="shared" si="721"/>
        <v>44287</v>
      </c>
      <c r="AL68" s="955">
        <f t="shared" si="721"/>
        <v>44317</v>
      </c>
      <c r="AM68" s="955">
        <f t="shared" si="721"/>
        <v>44348</v>
      </c>
      <c r="AN68" s="955">
        <f t="shared" si="721"/>
        <v>44378</v>
      </c>
      <c r="AO68" s="955">
        <f t="shared" si="721"/>
        <v>44409</v>
      </c>
      <c r="AP68" s="955">
        <f t="shared" si="721"/>
        <v>44440</v>
      </c>
      <c r="AQ68" s="955">
        <f t="shared" si="721"/>
        <v>44470</v>
      </c>
      <c r="AR68" s="955">
        <f t="shared" si="721"/>
        <v>44501</v>
      </c>
      <c r="AS68" s="955">
        <f t="shared" si="721"/>
        <v>44531</v>
      </c>
      <c r="AT68" s="955">
        <f t="shared" si="721"/>
        <v>44562</v>
      </c>
      <c r="AU68" s="955">
        <f t="shared" si="721"/>
        <v>44593</v>
      </c>
      <c r="AV68" s="955">
        <f t="shared" si="721"/>
        <v>44621</v>
      </c>
      <c r="AW68" s="955">
        <f t="shared" si="721"/>
        <v>44652</v>
      </c>
      <c r="AX68" s="955">
        <f t="shared" si="721"/>
        <v>44682</v>
      </c>
      <c r="AY68" s="955">
        <f t="shared" ref="AY68:CD68" si="722">AY9</f>
        <v>44713</v>
      </c>
      <c r="AZ68" s="955">
        <f t="shared" si="722"/>
        <v>44743</v>
      </c>
      <c r="BA68" s="955">
        <f t="shared" si="722"/>
        <v>44774</v>
      </c>
      <c r="BB68" s="955">
        <f t="shared" si="722"/>
        <v>44805</v>
      </c>
      <c r="BC68" s="955">
        <f t="shared" si="722"/>
        <v>44835</v>
      </c>
      <c r="BD68" s="955">
        <f t="shared" si="722"/>
        <v>44866</v>
      </c>
      <c r="BE68" s="955">
        <f t="shared" si="722"/>
        <v>44896</v>
      </c>
      <c r="BF68" s="955">
        <f t="shared" si="722"/>
        <v>44927</v>
      </c>
      <c r="BG68" s="955">
        <f t="shared" si="722"/>
        <v>44958</v>
      </c>
      <c r="BH68" s="955">
        <f t="shared" si="722"/>
        <v>44986</v>
      </c>
      <c r="BI68" s="955">
        <f t="shared" si="722"/>
        <v>45017</v>
      </c>
      <c r="BJ68" s="955">
        <f t="shared" si="722"/>
        <v>45047</v>
      </c>
      <c r="BK68" s="955">
        <f t="shared" si="722"/>
        <v>45078</v>
      </c>
      <c r="BL68" s="955">
        <f t="shared" si="722"/>
        <v>45108</v>
      </c>
      <c r="BM68" s="955">
        <f t="shared" si="722"/>
        <v>45139</v>
      </c>
      <c r="BN68" s="955">
        <f t="shared" si="722"/>
        <v>45170</v>
      </c>
      <c r="BO68" s="955">
        <f t="shared" si="722"/>
        <v>45200</v>
      </c>
      <c r="BP68" s="955">
        <f t="shared" si="722"/>
        <v>45231</v>
      </c>
      <c r="BQ68" s="955">
        <f t="shared" si="722"/>
        <v>45261</v>
      </c>
      <c r="BR68" s="955">
        <f t="shared" si="722"/>
        <v>45292</v>
      </c>
      <c r="BS68" s="955">
        <f t="shared" si="722"/>
        <v>45323</v>
      </c>
      <c r="BT68" s="955">
        <f t="shared" si="722"/>
        <v>45352</v>
      </c>
      <c r="BU68" s="955">
        <f t="shared" si="722"/>
        <v>45383</v>
      </c>
      <c r="BV68" s="955">
        <f t="shared" si="722"/>
        <v>45413</v>
      </c>
      <c r="BW68" s="955">
        <f t="shared" si="722"/>
        <v>45444</v>
      </c>
      <c r="BX68" s="955">
        <f t="shared" si="722"/>
        <v>45474</v>
      </c>
      <c r="BY68" s="955">
        <f t="shared" si="722"/>
        <v>45505</v>
      </c>
      <c r="BZ68" s="955">
        <f t="shared" si="722"/>
        <v>45536</v>
      </c>
      <c r="CA68" s="955">
        <f t="shared" si="722"/>
        <v>45566</v>
      </c>
      <c r="CB68" s="955">
        <f t="shared" si="722"/>
        <v>45597</v>
      </c>
      <c r="CC68" s="955">
        <f t="shared" si="722"/>
        <v>45627</v>
      </c>
      <c r="CD68" s="955">
        <f t="shared" si="722"/>
        <v>45658</v>
      </c>
      <c r="CE68" s="955">
        <f t="shared" ref="CE68:DJ68" si="723">CE9</f>
        <v>45689</v>
      </c>
      <c r="CF68" s="955">
        <f t="shared" si="723"/>
        <v>45717</v>
      </c>
      <c r="CG68" s="955">
        <f t="shared" si="723"/>
        <v>45748</v>
      </c>
      <c r="CH68" s="955">
        <f t="shared" si="723"/>
        <v>45778</v>
      </c>
      <c r="CI68" s="955">
        <f t="shared" si="723"/>
        <v>45809</v>
      </c>
      <c r="CJ68" s="955">
        <f t="shared" si="723"/>
        <v>45839</v>
      </c>
      <c r="CK68" s="955">
        <f t="shared" si="723"/>
        <v>45870</v>
      </c>
      <c r="CL68" s="955">
        <f t="shared" si="723"/>
        <v>45901</v>
      </c>
      <c r="CM68" s="955">
        <f t="shared" si="723"/>
        <v>45931</v>
      </c>
      <c r="CN68" s="955">
        <f t="shared" si="723"/>
        <v>45962</v>
      </c>
      <c r="CO68" s="955">
        <f t="shared" si="723"/>
        <v>45992</v>
      </c>
      <c r="CP68" s="955">
        <f t="shared" si="723"/>
        <v>46023</v>
      </c>
      <c r="CQ68" s="955">
        <f t="shared" si="723"/>
        <v>46054</v>
      </c>
      <c r="CR68" s="955">
        <f t="shared" si="723"/>
        <v>46082</v>
      </c>
      <c r="CS68" s="955">
        <f t="shared" si="723"/>
        <v>46113</v>
      </c>
      <c r="CT68" s="955">
        <f t="shared" si="723"/>
        <v>46143</v>
      </c>
      <c r="CU68" s="955">
        <f t="shared" si="723"/>
        <v>46174</v>
      </c>
      <c r="CV68" s="955">
        <f t="shared" si="723"/>
        <v>46204</v>
      </c>
      <c r="CW68" s="955">
        <f t="shared" si="723"/>
        <v>46235</v>
      </c>
      <c r="CX68" s="955">
        <f t="shared" si="723"/>
        <v>46266</v>
      </c>
      <c r="CY68" s="955">
        <f t="shared" si="723"/>
        <v>46296</v>
      </c>
      <c r="CZ68" s="955">
        <f t="shared" si="723"/>
        <v>46327</v>
      </c>
      <c r="DA68" s="955">
        <f t="shared" si="723"/>
        <v>46357</v>
      </c>
      <c r="DB68" s="955">
        <f t="shared" si="723"/>
        <v>46388</v>
      </c>
      <c r="DC68" s="955">
        <f t="shared" si="723"/>
        <v>46419</v>
      </c>
      <c r="DD68" s="955">
        <f t="shared" si="723"/>
        <v>46447</v>
      </c>
      <c r="DE68" s="955">
        <f t="shared" si="723"/>
        <v>46478</v>
      </c>
      <c r="DF68" s="955">
        <f t="shared" si="723"/>
        <v>46508</v>
      </c>
      <c r="DG68" s="955">
        <f t="shared" si="723"/>
        <v>46539</v>
      </c>
      <c r="DH68" s="955">
        <f t="shared" si="723"/>
        <v>46569</v>
      </c>
      <c r="DI68" s="955">
        <f t="shared" si="723"/>
        <v>46600</v>
      </c>
      <c r="DJ68" s="955">
        <f t="shared" si="723"/>
        <v>46631</v>
      </c>
      <c r="DK68" s="955">
        <f t="shared" ref="DK68:EP68" si="724">DK9</f>
        <v>46661</v>
      </c>
      <c r="DL68" s="955">
        <f t="shared" si="724"/>
        <v>46692</v>
      </c>
      <c r="DM68" s="955">
        <f t="shared" si="724"/>
        <v>46722</v>
      </c>
      <c r="DN68" s="955">
        <f t="shared" si="724"/>
        <v>46753</v>
      </c>
      <c r="DO68" s="955">
        <f t="shared" si="724"/>
        <v>46784</v>
      </c>
      <c r="DP68" s="955">
        <f t="shared" si="724"/>
        <v>46813</v>
      </c>
      <c r="DQ68" s="955">
        <f t="shared" si="724"/>
        <v>46844</v>
      </c>
      <c r="DR68" s="955">
        <f t="shared" si="724"/>
        <v>46874</v>
      </c>
      <c r="DS68" s="955">
        <f t="shared" si="724"/>
        <v>46905</v>
      </c>
      <c r="DT68" s="955">
        <f t="shared" si="724"/>
        <v>46935</v>
      </c>
      <c r="DU68" s="955">
        <f t="shared" si="724"/>
        <v>46966</v>
      </c>
      <c r="DV68" s="955">
        <f t="shared" si="724"/>
        <v>46997</v>
      </c>
      <c r="DW68" s="955">
        <f t="shared" si="724"/>
        <v>47027</v>
      </c>
      <c r="DX68" s="955">
        <f t="shared" si="724"/>
        <v>47058</v>
      </c>
      <c r="DY68" s="955">
        <f t="shared" si="724"/>
        <v>47088</v>
      </c>
      <c r="DZ68" s="955">
        <f t="shared" si="724"/>
        <v>47119</v>
      </c>
      <c r="EA68" s="955">
        <f t="shared" si="724"/>
        <v>47150</v>
      </c>
      <c r="EB68" s="955">
        <f t="shared" si="724"/>
        <v>47178</v>
      </c>
      <c r="EC68" s="955">
        <f t="shared" si="724"/>
        <v>47209</v>
      </c>
      <c r="ED68" s="955">
        <f t="shared" si="724"/>
        <v>47239</v>
      </c>
      <c r="EE68" s="955">
        <f t="shared" si="724"/>
        <v>47270</v>
      </c>
      <c r="EF68" s="955">
        <f t="shared" si="724"/>
        <v>47300</v>
      </c>
      <c r="EG68" s="955">
        <f t="shared" si="724"/>
        <v>47331</v>
      </c>
      <c r="EH68" s="955">
        <f t="shared" si="724"/>
        <v>47362</v>
      </c>
      <c r="EI68" s="955">
        <f t="shared" si="724"/>
        <v>47392</v>
      </c>
      <c r="EJ68" s="955">
        <f t="shared" si="724"/>
        <v>47423</v>
      </c>
      <c r="EK68" s="955">
        <f t="shared" si="724"/>
        <v>47453</v>
      </c>
      <c r="EL68" s="955">
        <f t="shared" si="724"/>
        <v>47484</v>
      </c>
      <c r="EM68" s="955">
        <f t="shared" si="724"/>
        <v>47515</v>
      </c>
      <c r="EN68" s="955">
        <f t="shared" si="724"/>
        <v>47543</v>
      </c>
      <c r="EO68" s="955">
        <f t="shared" si="724"/>
        <v>47574</v>
      </c>
      <c r="EP68" s="955">
        <f t="shared" si="724"/>
        <v>47604</v>
      </c>
      <c r="EQ68" s="955">
        <f t="shared" ref="EQ68:FV68" si="725">EQ9</f>
        <v>47635</v>
      </c>
      <c r="ER68" s="955">
        <f t="shared" si="725"/>
        <v>47665</v>
      </c>
      <c r="ES68" s="955">
        <f t="shared" si="725"/>
        <v>47696</v>
      </c>
      <c r="ET68" s="955">
        <f t="shared" si="725"/>
        <v>47727</v>
      </c>
      <c r="EU68" s="955">
        <f t="shared" si="725"/>
        <v>47757</v>
      </c>
      <c r="EV68" s="955">
        <f t="shared" si="725"/>
        <v>47788</v>
      </c>
      <c r="EW68" s="955">
        <f t="shared" si="725"/>
        <v>47818</v>
      </c>
      <c r="EX68" s="955">
        <f t="shared" si="725"/>
        <v>47849</v>
      </c>
      <c r="EY68" s="955">
        <f t="shared" si="725"/>
        <v>47880</v>
      </c>
      <c r="EZ68" s="955">
        <f t="shared" si="725"/>
        <v>47908</v>
      </c>
      <c r="FA68" s="955">
        <f t="shared" si="725"/>
        <v>47939</v>
      </c>
      <c r="FB68" s="955">
        <f t="shared" si="725"/>
        <v>47969</v>
      </c>
      <c r="FC68" s="955">
        <f t="shared" si="725"/>
        <v>48000</v>
      </c>
      <c r="FD68" s="955">
        <f t="shared" si="725"/>
        <v>48030</v>
      </c>
      <c r="FE68" s="955">
        <f t="shared" si="725"/>
        <v>48061</v>
      </c>
      <c r="FF68" s="955">
        <f t="shared" si="725"/>
        <v>48092</v>
      </c>
      <c r="FG68" s="955">
        <f t="shared" si="725"/>
        <v>48122</v>
      </c>
      <c r="FH68" s="955">
        <f t="shared" si="725"/>
        <v>48153</v>
      </c>
      <c r="FI68" s="955">
        <f t="shared" si="725"/>
        <v>48183</v>
      </c>
      <c r="FJ68" s="955">
        <f t="shared" si="725"/>
        <v>48214</v>
      </c>
      <c r="FK68" s="955">
        <f t="shared" si="725"/>
        <v>48245</v>
      </c>
      <c r="FL68" s="955">
        <f t="shared" si="725"/>
        <v>48274</v>
      </c>
      <c r="FM68" s="955">
        <f t="shared" si="725"/>
        <v>48305</v>
      </c>
      <c r="FN68" s="955">
        <f t="shared" si="725"/>
        <v>48335</v>
      </c>
      <c r="FO68" s="955">
        <f t="shared" si="725"/>
        <v>48366</v>
      </c>
      <c r="FP68" s="955">
        <f t="shared" si="725"/>
        <v>48396</v>
      </c>
      <c r="FQ68" s="955">
        <f t="shared" si="725"/>
        <v>48427</v>
      </c>
      <c r="FR68" s="955">
        <f t="shared" si="725"/>
        <v>48458</v>
      </c>
      <c r="FS68" s="955">
        <f t="shared" si="725"/>
        <v>48488</v>
      </c>
      <c r="FT68" s="955">
        <f t="shared" si="725"/>
        <v>48519</v>
      </c>
      <c r="FU68" s="955">
        <f t="shared" si="725"/>
        <v>48549</v>
      </c>
      <c r="FV68" s="955">
        <f t="shared" si="725"/>
        <v>48580</v>
      </c>
      <c r="FW68" s="955">
        <f t="shared" ref="FW68:GT68" si="726">FW9</f>
        <v>48611</v>
      </c>
      <c r="FX68" s="955">
        <f t="shared" si="726"/>
        <v>48639</v>
      </c>
      <c r="FY68" s="955">
        <f t="shared" si="726"/>
        <v>48670</v>
      </c>
      <c r="FZ68" s="955">
        <f t="shared" si="726"/>
        <v>48700</v>
      </c>
      <c r="GA68" s="955">
        <f t="shared" si="726"/>
        <v>48731</v>
      </c>
      <c r="GB68" s="955">
        <f t="shared" si="726"/>
        <v>48761</v>
      </c>
      <c r="GC68" s="955">
        <f t="shared" si="726"/>
        <v>48792</v>
      </c>
      <c r="GD68" s="955">
        <f t="shared" si="726"/>
        <v>48823</v>
      </c>
      <c r="GE68" s="955">
        <f t="shared" si="726"/>
        <v>48853</v>
      </c>
      <c r="GF68" s="955">
        <f t="shared" si="726"/>
        <v>48884</v>
      </c>
      <c r="GG68" s="955">
        <f t="shared" si="726"/>
        <v>48914</v>
      </c>
      <c r="GH68" s="955">
        <f t="shared" si="726"/>
        <v>48945</v>
      </c>
      <c r="GI68" s="955">
        <f t="shared" si="726"/>
        <v>48976</v>
      </c>
      <c r="GJ68" s="955">
        <f t="shared" si="726"/>
        <v>49004</v>
      </c>
      <c r="GK68" s="955">
        <f t="shared" si="726"/>
        <v>49035</v>
      </c>
      <c r="GL68" s="955">
        <f t="shared" si="726"/>
        <v>49065</v>
      </c>
      <c r="GM68" s="955">
        <f t="shared" si="726"/>
        <v>49096</v>
      </c>
      <c r="GN68" s="955">
        <f t="shared" si="726"/>
        <v>49126</v>
      </c>
      <c r="GO68" s="955">
        <f t="shared" si="726"/>
        <v>49157</v>
      </c>
      <c r="GP68" s="955">
        <f t="shared" si="726"/>
        <v>49188</v>
      </c>
      <c r="GQ68" s="955">
        <f t="shared" si="726"/>
        <v>49218</v>
      </c>
      <c r="GR68" s="955">
        <f t="shared" si="726"/>
        <v>49249</v>
      </c>
      <c r="GS68" s="955">
        <f t="shared" si="726"/>
        <v>49279</v>
      </c>
      <c r="GT68" s="955">
        <f t="shared" si="726"/>
        <v>49310</v>
      </c>
    </row>
    <row r="69" spans="1:202">
      <c r="B69" s="639">
        <f>B67*(1+B68)</f>
        <v>1100</v>
      </c>
      <c r="C69" s="49"/>
      <c r="F69" s="49"/>
      <c r="G69" s="49"/>
      <c r="I69" s="49" t="s">
        <v>52</v>
      </c>
      <c r="J69" s="1077"/>
      <c r="K69" s="49"/>
      <c r="L69" s="49"/>
      <c r="M69" s="49"/>
      <c r="N69" s="49"/>
      <c r="O69" s="49"/>
      <c r="P69" s="49"/>
      <c r="Q69" s="49"/>
      <c r="R69" s="1077"/>
      <c r="S69" s="37">
        <f>IF(_xlfn.NUMBERVALUE($B$2)&gt;=_xlfn.NUMBERVALUE(S$9),S11+S30,"")</f>
        <v>2158</v>
      </c>
      <c r="T69" s="37">
        <f t="shared" ref="T69:CE69" si="727">IF(_xlfn.NUMBERVALUE($B$2)&gt;=_xlfn.NUMBERVALUE(T$9),T11+T30,"")</f>
        <v>2222</v>
      </c>
      <c r="U69" s="37">
        <f t="shared" si="727"/>
        <v>5996.87</v>
      </c>
      <c r="V69" s="270">
        <f t="shared" si="727"/>
        <v>2741</v>
      </c>
      <c r="W69" s="37">
        <f t="shared" si="727"/>
        <v>2346</v>
      </c>
      <c r="X69" s="37">
        <f t="shared" si="727"/>
        <v>2175</v>
      </c>
      <c r="Y69" s="37">
        <f t="shared" si="727"/>
        <v>2158</v>
      </c>
      <c r="Z69" s="37">
        <f t="shared" si="727"/>
        <v>2337</v>
      </c>
      <c r="AA69" s="37">
        <f t="shared" si="727"/>
        <v>2158</v>
      </c>
      <c r="AB69" s="37">
        <f t="shared" si="727"/>
        <v>2376</v>
      </c>
      <c r="AC69" s="37">
        <f t="shared" si="727"/>
        <v>2349</v>
      </c>
      <c r="AD69" s="37">
        <f t="shared" si="727"/>
        <v>2518</v>
      </c>
      <c r="AE69" s="37">
        <f t="shared" si="727"/>
        <v>2377</v>
      </c>
      <c r="AF69" s="37">
        <f t="shared" si="727"/>
        <v>2518</v>
      </c>
      <c r="AG69" s="714">
        <f t="shared" si="727"/>
        <v>8225.119999999999</v>
      </c>
      <c r="AH69" s="37">
        <f t="shared" si="727"/>
        <v>1887</v>
      </c>
      <c r="AI69" s="37">
        <f t="shared" si="727"/>
        <v>6827</v>
      </c>
      <c r="AJ69" s="37">
        <f t="shared" si="727"/>
        <v>2795</v>
      </c>
      <c r="AK69" s="37">
        <f t="shared" si="727"/>
        <v>2170</v>
      </c>
      <c r="AL69" s="37">
        <f t="shared" si="727"/>
        <v>2227</v>
      </c>
      <c r="AM69" s="37">
        <f t="shared" si="727"/>
        <v>2418</v>
      </c>
      <c r="AN69" s="37">
        <f t="shared" si="727"/>
        <v>7637</v>
      </c>
      <c r="AO69" s="37">
        <f t="shared" si="727"/>
        <v>2706</v>
      </c>
      <c r="AP69" s="37">
        <f t="shared" si="727"/>
        <v>2379</v>
      </c>
      <c r="AQ69" s="37">
        <f t="shared" si="727"/>
        <v>2164</v>
      </c>
      <c r="AR69" s="37">
        <f t="shared" si="727"/>
        <v>2308</v>
      </c>
      <c r="AS69" s="714">
        <f t="shared" si="727"/>
        <v>5602</v>
      </c>
      <c r="AT69" s="37">
        <f t="shared" si="727"/>
        <v>16108.08</v>
      </c>
      <c r="AU69" s="37">
        <f t="shared" si="727"/>
        <v>2249</v>
      </c>
      <c r="AV69" s="37">
        <f t="shared" si="727"/>
        <v>2713.2</v>
      </c>
      <c r="AW69" s="37">
        <f t="shared" si="727"/>
        <v>20650</v>
      </c>
      <c r="AX69" s="37">
        <f t="shared" si="727"/>
        <v>2243</v>
      </c>
      <c r="AY69" s="37">
        <f t="shared" si="727"/>
        <v>2314</v>
      </c>
      <c r="AZ69" s="37">
        <f t="shared" si="727"/>
        <v>2442</v>
      </c>
      <c r="BA69" s="37">
        <f t="shared" si="727"/>
        <v>3118</v>
      </c>
      <c r="BB69" s="37">
        <f t="shared" si="727"/>
        <v>2619.0100000000002</v>
      </c>
      <c r="BC69" s="37">
        <f t="shared" si="727"/>
        <v>2238</v>
      </c>
      <c r="BD69" s="37">
        <f t="shared" si="727"/>
        <v>2248</v>
      </c>
      <c r="BE69" s="37">
        <f t="shared" si="727"/>
        <v>6262</v>
      </c>
      <c r="BF69" s="270">
        <f t="shared" si="727"/>
        <v>2078.12</v>
      </c>
      <c r="BG69" s="37">
        <f t="shared" si="727"/>
        <v>2294</v>
      </c>
      <c r="BH69" s="37">
        <f t="shared" si="727"/>
        <v>2395</v>
      </c>
      <c r="BI69" s="37">
        <f t="shared" si="727"/>
        <v>2251</v>
      </c>
      <c r="BJ69" s="37">
        <f t="shared" si="727"/>
        <v>2500</v>
      </c>
      <c r="BK69" s="37">
        <f t="shared" si="727"/>
        <v>2251</v>
      </c>
      <c r="BL69" s="37">
        <f t="shared" si="727"/>
        <v>2706</v>
      </c>
      <c r="BM69" s="37">
        <f t="shared" si="727"/>
        <v>2608.63</v>
      </c>
      <c r="BN69" s="37">
        <f t="shared" si="727"/>
        <v>3179</v>
      </c>
      <c r="BO69" s="37">
        <f t="shared" si="727"/>
        <v>2325</v>
      </c>
      <c r="BP69" s="37">
        <f t="shared" si="727"/>
        <v>2327</v>
      </c>
      <c r="BQ69" s="37">
        <f t="shared" si="727"/>
        <v>4807</v>
      </c>
      <c r="BR69" s="270">
        <f t="shared" si="727"/>
        <v>3111.03</v>
      </c>
      <c r="BS69" s="37">
        <f t="shared" si="727"/>
        <v>2425</v>
      </c>
      <c r="BT69" s="37">
        <f t="shared" si="727"/>
        <v>5986</v>
      </c>
      <c r="BU69" s="37">
        <f t="shared" si="727"/>
        <v>2373</v>
      </c>
      <c r="BV69" s="37">
        <f t="shared" si="727"/>
        <v>2498</v>
      </c>
      <c r="BW69" s="37">
        <f t="shared" si="727"/>
        <v>2385</v>
      </c>
      <c r="BX69" s="37">
        <f t="shared" si="727"/>
        <v>2541</v>
      </c>
      <c r="BY69" s="37">
        <f t="shared" si="727"/>
        <v>3412.46</v>
      </c>
      <c r="BZ69" s="37">
        <f t="shared" si="727"/>
        <v>2489</v>
      </c>
      <c r="CA69" s="37">
        <f t="shared" si="727"/>
        <v>4207</v>
      </c>
      <c r="CB69" s="37">
        <f t="shared" si="727"/>
        <v>2806</v>
      </c>
      <c r="CC69" s="37">
        <f t="shared" si="727"/>
        <v>5643</v>
      </c>
      <c r="CD69" s="270">
        <f t="shared" si="727"/>
        <v>3182.06</v>
      </c>
      <c r="CE69" s="37">
        <f t="shared" si="727"/>
        <v>2538</v>
      </c>
      <c r="CF69" s="37">
        <f t="shared" ref="CF69:EQ69" si="728">IF(_xlfn.NUMBERVALUE($B$2)&gt;=_xlfn.NUMBERVALUE(CF$9),CF11+CF30,"")</f>
        <v>5992</v>
      </c>
      <c r="CG69" s="37">
        <f t="shared" si="728"/>
        <v>2820</v>
      </c>
      <c r="CH69" s="37">
        <f t="shared" si="728"/>
        <v>2506</v>
      </c>
      <c r="CI69" s="37">
        <f t="shared" si="728"/>
        <v>2411</v>
      </c>
      <c r="CJ69" s="37">
        <f t="shared" si="728"/>
        <v>2430</v>
      </c>
      <c r="CK69" s="37">
        <f t="shared" si="728"/>
        <v>3437.2799999999997</v>
      </c>
      <c r="CL69" s="37">
        <f t="shared" si="728"/>
        <v>2655</v>
      </c>
      <c r="CM69" s="37">
        <f t="shared" si="728"/>
        <v>2760</v>
      </c>
      <c r="CN69" s="37">
        <f t="shared" si="728"/>
        <v>2671</v>
      </c>
      <c r="CO69" s="37">
        <f t="shared" si="728"/>
        <v>5234</v>
      </c>
      <c r="CP69" s="270">
        <f t="shared" si="728"/>
        <v>3162.11</v>
      </c>
      <c r="CQ69" s="37">
        <f t="shared" si="728"/>
        <v>2633</v>
      </c>
      <c r="CR69" s="37">
        <f t="shared" si="728"/>
        <v>2486</v>
      </c>
      <c r="CS69" s="37">
        <f t="shared" si="728"/>
        <v>6484</v>
      </c>
      <c r="CT69" s="37">
        <f t="shared" si="728"/>
        <v>11067.07</v>
      </c>
      <c r="CU69" s="37">
        <f t="shared" si="728"/>
        <v>38696.980000000003</v>
      </c>
      <c r="CV69" s="37">
        <f t="shared" si="728"/>
        <v>2707.45</v>
      </c>
      <c r="CW69" s="37">
        <f t="shared" si="728"/>
        <v>5942.61</v>
      </c>
      <c r="CX69" s="37">
        <f t="shared" si="728"/>
        <v>3654.37</v>
      </c>
      <c r="CY69" s="37">
        <f t="shared" si="728"/>
        <v>2658.29</v>
      </c>
      <c r="CZ69" s="37" t="str">
        <f t="shared" si="728"/>
        <v/>
      </c>
      <c r="DA69" s="37" t="str">
        <f t="shared" si="728"/>
        <v/>
      </c>
      <c r="DB69" s="270" t="str">
        <f t="shared" si="728"/>
        <v/>
      </c>
      <c r="DC69" s="37" t="str">
        <f t="shared" si="728"/>
        <v/>
      </c>
      <c r="DD69" s="37" t="str">
        <f t="shared" si="728"/>
        <v/>
      </c>
      <c r="DE69" s="37" t="str">
        <f t="shared" si="728"/>
        <v/>
      </c>
      <c r="DF69" s="37" t="str">
        <f t="shared" si="728"/>
        <v/>
      </c>
      <c r="DG69" s="37" t="str">
        <f t="shared" si="728"/>
        <v/>
      </c>
      <c r="DH69" s="37" t="str">
        <f t="shared" si="728"/>
        <v/>
      </c>
      <c r="DI69" s="37" t="str">
        <f t="shared" si="728"/>
        <v/>
      </c>
      <c r="DJ69" s="37" t="str">
        <f t="shared" si="728"/>
        <v/>
      </c>
      <c r="DK69" s="37" t="str">
        <f t="shared" si="728"/>
        <v/>
      </c>
      <c r="DL69" s="37" t="str">
        <f t="shared" si="728"/>
        <v/>
      </c>
      <c r="DM69" s="37" t="str">
        <f t="shared" si="728"/>
        <v/>
      </c>
      <c r="DN69" s="270" t="str">
        <f t="shared" si="728"/>
        <v/>
      </c>
      <c r="DO69" s="37" t="str">
        <f t="shared" si="728"/>
        <v/>
      </c>
      <c r="DP69" s="37" t="str">
        <f t="shared" si="728"/>
        <v/>
      </c>
      <c r="DQ69" s="37" t="str">
        <f t="shared" si="728"/>
        <v/>
      </c>
      <c r="DR69" s="37" t="str">
        <f t="shared" si="728"/>
        <v/>
      </c>
      <c r="DS69" s="37" t="str">
        <f t="shared" si="728"/>
        <v/>
      </c>
      <c r="DT69" s="37" t="str">
        <f t="shared" si="728"/>
        <v/>
      </c>
      <c r="DU69" s="37" t="str">
        <f t="shared" si="728"/>
        <v/>
      </c>
      <c r="DV69" s="37" t="str">
        <f t="shared" si="728"/>
        <v/>
      </c>
      <c r="DW69" s="37" t="str">
        <f t="shared" si="728"/>
        <v/>
      </c>
      <c r="DX69" s="37" t="str">
        <f t="shared" si="728"/>
        <v/>
      </c>
      <c r="DY69" s="37" t="str">
        <f t="shared" si="728"/>
        <v/>
      </c>
      <c r="DZ69" s="270" t="str">
        <f t="shared" si="728"/>
        <v/>
      </c>
      <c r="EA69" s="37" t="str">
        <f t="shared" si="728"/>
        <v/>
      </c>
      <c r="EB69" s="37" t="str">
        <f t="shared" si="728"/>
        <v/>
      </c>
      <c r="EC69" s="37" t="str">
        <f t="shared" si="728"/>
        <v/>
      </c>
      <c r="ED69" s="37" t="str">
        <f t="shared" si="728"/>
        <v/>
      </c>
      <c r="EE69" s="37" t="str">
        <f t="shared" si="728"/>
        <v/>
      </c>
      <c r="EF69" s="37" t="str">
        <f t="shared" si="728"/>
        <v/>
      </c>
      <c r="EG69" s="37" t="str">
        <f t="shared" si="728"/>
        <v/>
      </c>
      <c r="EH69" s="37" t="str">
        <f t="shared" si="728"/>
        <v/>
      </c>
      <c r="EI69" s="37" t="str">
        <f t="shared" si="728"/>
        <v/>
      </c>
      <c r="EJ69" s="37" t="str">
        <f t="shared" si="728"/>
        <v/>
      </c>
      <c r="EK69" s="37" t="str">
        <f t="shared" si="728"/>
        <v/>
      </c>
      <c r="EL69" s="270" t="str">
        <f t="shared" si="728"/>
        <v/>
      </c>
      <c r="EM69" s="37" t="str">
        <f t="shared" si="728"/>
        <v/>
      </c>
      <c r="EN69" s="37" t="str">
        <f t="shared" si="728"/>
        <v/>
      </c>
      <c r="EO69" s="37" t="str">
        <f t="shared" si="728"/>
        <v/>
      </c>
      <c r="EP69" s="37" t="str">
        <f t="shared" si="728"/>
        <v/>
      </c>
      <c r="EQ69" s="37" t="str">
        <f t="shared" si="728"/>
        <v/>
      </c>
      <c r="ER69" s="37" t="str">
        <f t="shared" ref="ER69:GT69" si="729">IF(_xlfn.NUMBERVALUE($B$2)&gt;=_xlfn.NUMBERVALUE(ER$9),ER11+ER30,"")</f>
        <v/>
      </c>
      <c r="ES69" s="37" t="str">
        <f t="shared" si="729"/>
        <v/>
      </c>
      <c r="ET69" s="37" t="str">
        <f t="shared" si="729"/>
        <v/>
      </c>
      <c r="EU69" s="37" t="str">
        <f t="shared" si="729"/>
        <v/>
      </c>
      <c r="EV69" s="37" t="str">
        <f t="shared" si="729"/>
        <v/>
      </c>
      <c r="EW69" s="37" t="str">
        <f t="shared" si="729"/>
        <v/>
      </c>
      <c r="EX69" s="270" t="str">
        <f t="shared" si="729"/>
        <v/>
      </c>
      <c r="EY69" s="37" t="str">
        <f t="shared" si="729"/>
        <v/>
      </c>
      <c r="EZ69" s="37" t="str">
        <f t="shared" si="729"/>
        <v/>
      </c>
      <c r="FA69" s="37" t="str">
        <f t="shared" si="729"/>
        <v/>
      </c>
      <c r="FB69" s="37" t="str">
        <f t="shared" si="729"/>
        <v/>
      </c>
      <c r="FC69" s="37" t="str">
        <f t="shared" si="729"/>
        <v/>
      </c>
      <c r="FD69" s="37" t="str">
        <f t="shared" si="729"/>
        <v/>
      </c>
      <c r="FE69" s="37" t="str">
        <f t="shared" si="729"/>
        <v/>
      </c>
      <c r="FF69" s="37" t="str">
        <f t="shared" si="729"/>
        <v/>
      </c>
      <c r="FG69" s="37" t="str">
        <f t="shared" si="729"/>
        <v/>
      </c>
      <c r="FH69" s="37" t="str">
        <f t="shared" si="729"/>
        <v/>
      </c>
      <c r="FI69" s="37" t="str">
        <f t="shared" si="729"/>
        <v/>
      </c>
      <c r="FJ69" s="270" t="str">
        <f t="shared" si="729"/>
        <v/>
      </c>
      <c r="FK69" s="37" t="str">
        <f t="shared" si="729"/>
        <v/>
      </c>
      <c r="FL69" s="37" t="str">
        <f t="shared" si="729"/>
        <v/>
      </c>
      <c r="FM69" s="37" t="str">
        <f t="shared" si="729"/>
        <v/>
      </c>
      <c r="FN69" s="37" t="str">
        <f t="shared" si="729"/>
        <v/>
      </c>
      <c r="FO69" s="37" t="str">
        <f t="shared" si="729"/>
        <v/>
      </c>
      <c r="FP69" s="37" t="str">
        <f t="shared" si="729"/>
        <v/>
      </c>
      <c r="FQ69" s="37" t="str">
        <f t="shared" si="729"/>
        <v/>
      </c>
      <c r="FR69" s="37" t="str">
        <f t="shared" si="729"/>
        <v/>
      </c>
      <c r="FS69" s="37" t="str">
        <f t="shared" si="729"/>
        <v/>
      </c>
      <c r="FT69" s="37" t="str">
        <f t="shared" si="729"/>
        <v/>
      </c>
      <c r="FU69" s="37" t="str">
        <f t="shared" si="729"/>
        <v/>
      </c>
      <c r="FV69" s="270" t="str">
        <f t="shared" si="729"/>
        <v/>
      </c>
      <c r="FW69" s="37" t="str">
        <f t="shared" si="729"/>
        <v/>
      </c>
      <c r="FX69" s="37" t="str">
        <f t="shared" si="729"/>
        <v/>
      </c>
      <c r="FY69" s="37" t="str">
        <f t="shared" si="729"/>
        <v/>
      </c>
      <c r="FZ69" s="37" t="str">
        <f t="shared" si="729"/>
        <v/>
      </c>
      <c r="GA69" s="37" t="str">
        <f t="shared" si="729"/>
        <v/>
      </c>
      <c r="GB69" s="37" t="str">
        <f t="shared" si="729"/>
        <v/>
      </c>
      <c r="GC69" s="37" t="str">
        <f t="shared" si="729"/>
        <v/>
      </c>
      <c r="GD69" s="37" t="str">
        <f t="shared" si="729"/>
        <v/>
      </c>
      <c r="GE69" s="37" t="str">
        <f t="shared" si="729"/>
        <v/>
      </c>
      <c r="GF69" s="37" t="str">
        <f t="shared" si="729"/>
        <v/>
      </c>
      <c r="GG69" s="37" t="str">
        <f t="shared" si="729"/>
        <v/>
      </c>
      <c r="GH69" s="37" t="str">
        <f t="shared" si="729"/>
        <v/>
      </c>
      <c r="GI69" s="37" t="str">
        <f t="shared" si="729"/>
        <v/>
      </c>
      <c r="GJ69" s="37" t="str">
        <f t="shared" si="729"/>
        <v/>
      </c>
      <c r="GK69" s="37" t="str">
        <f t="shared" si="729"/>
        <v/>
      </c>
      <c r="GL69" s="37" t="str">
        <f t="shared" si="729"/>
        <v/>
      </c>
      <c r="GM69" s="37" t="str">
        <f t="shared" si="729"/>
        <v/>
      </c>
      <c r="GN69" s="37" t="str">
        <f t="shared" si="729"/>
        <v/>
      </c>
      <c r="GO69" s="37" t="str">
        <f t="shared" si="729"/>
        <v/>
      </c>
      <c r="GP69" s="37" t="str">
        <f t="shared" si="729"/>
        <v/>
      </c>
      <c r="GQ69" s="37" t="str">
        <f t="shared" si="729"/>
        <v/>
      </c>
      <c r="GR69" s="37" t="str">
        <f t="shared" si="729"/>
        <v/>
      </c>
      <c r="GS69" s="37" t="str">
        <f t="shared" si="729"/>
        <v/>
      </c>
      <c r="GT69" s="37" t="str">
        <f t="shared" si="729"/>
        <v/>
      </c>
    </row>
    <row r="70" spans="1:202">
      <c r="B70" s="46" t="s">
        <v>53</v>
      </c>
      <c r="C70" s="49"/>
      <c r="F70" s="49"/>
      <c r="G70" s="49"/>
      <c r="I70" s="49" t="s">
        <v>54</v>
      </c>
      <c r="J70" s="1077"/>
      <c r="K70" s="49"/>
      <c r="L70" s="49"/>
      <c r="M70" s="49"/>
      <c r="N70" s="49"/>
      <c r="O70" s="49"/>
      <c r="P70" s="49"/>
      <c r="Q70" s="49"/>
      <c r="R70" s="1077"/>
      <c r="S70" s="318">
        <f>IF(_xlfn.NUMBERVALUE($B$2)&gt;=_xlfn.NUMBERVALUE(S$9),S31+S27,"")</f>
        <v>1701.9299999999998</v>
      </c>
      <c r="T70" s="318">
        <f t="shared" ref="T70:CE70" si="730">IF(_xlfn.NUMBERVALUE($B$2)&gt;=_xlfn.NUMBERVALUE(T$9),T31+T27,"")</f>
        <v>1877.4299999999998</v>
      </c>
      <c r="U70" s="318">
        <f t="shared" si="730"/>
        <v>2640.19</v>
      </c>
      <c r="V70" s="317">
        <f t="shared" si="730"/>
        <v>2752.1099999999997</v>
      </c>
      <c r="W70" s="318">
        <f t="shared" si="730"/>
        <v>2343.79</v>
      </c>
      <c r="X70" s="318">
        <f t="shared" si="730"/>
        <v>2200.9299999999998</v>
      </c>
      <c r="Y70" s="318">
        <f t="shared" si="730"/>
        <v>1801.13</v>
      </c>
      <c r="Z70" s="318">
        <f t="shared" si="730"/>
        <v>1794</v>
      </c>
      <c r="AA70" s="318">
        <f t="shared" si="730"/>
        <v>1938.96</v>
      </c>
      <c r="AB70" s="318">
        <f t="shared" si="730"/>
        <v>1788.03</v>
      </c>
      <c r="AC70" s="318">
        <f t="shared" si="730"/>
        <v>2345.14</v>
      </c>
      <c r="AD70" s="318">
        <f t="shared" si="730"/>
        <v>3038.75</v>
      </c>
      <c r="AE70" s="318">
        <f t="shared" si="730"/>
        <v>2454.8700000000003</v>
      </c>
      <c r="AF70" s="318">
        <f t="shared" si="730"/>
        <v>13588.32</v>
      </c>
      <c r="AG70" s="715">
        <f t="shared" si="730"/>
        <v>7560.06</v>
      </c>
      <c r="AH70" s="318">
        <f t="shared" si="730"/>
        <v>2267.6400000000003</v>
      </c>
      <c r="AI70" s="318">
        <f t="shared" si="730"/>
        <v>4986.3500000000004</v>
      </c>
      <c r="AJ70" s="318">
        <f t="shared" si="730"/>
        <v>5597.0399999999991</v>
      </c>
      <c r="AK70" s="318">
        <f t="shared" si="730"/>
        <v>1848.7099999999998</v>
      </c>
      <c r="AL70" s="318">
        <f t="shared" si="730"/>
        <v>2036.3500000000001</v>
      </c>
      <c r="AM70" s="318">
        <f t="shared" si="730"/>
        <v>2445.88</v>
      </c>
      <c r="AN70" s="318">
        <f t="shared" si="730"/>
        <v>3062.3600000000006</v>
      </c>
      <c r="AO70" s="318">
        <f t="shared" si="730"/>
        <v>4521.51</v>
      </c>
      <c r="AP70" s="318">
        <f t="shared" si="730"/>
        <v>3001.8599999999997</v>
      </c>
      <c r="AQ70" s="318">
        <f t="shared" si="730"/>
        <v>2511.4700000000003</v>
      </c>
      <c r="AR70" s="318">
        <f t="shared" si="730"/>
        <v>2412.81</v>
      </c>
      <c r="AS70" s="715">
        <f t="shared" si="730"/>
        <v>3813.92</v>
      </c>
      <c r="AT70" s="318">
        <f t="shared" si="730"/>
        <v>3779.54</v>
      </c>
      <c r="AU70" s="318">
        <f t="shared" si="730"/>
        <v>16881.739999999998</v>
      </c>
      <c r="AV70" s="318">
        <f t="shared" si="730"/>
        <v>2125.9399999999996</v>
      </c>
      <c r="AW70" s="318">
        <f t="shared" si="730"/>
        <v>2888.84</v>
      </c>
      <c r="AX70" s="318">
        <f t="shared" si="730"/>
        <v>2521.29</v>
      </c>
      <c r="AY70" s="318">
        <f t="shared" si="730"/>
        <v>2283.9699999999998</v>
      </c>
      <c r="AZ70" s="318">
        <f t="shared" si="730"/>
        <v>3011.25</v>
      </c>
      <c r="BA70" s="318">
        <f t="shared" si="730"/>
        <v>2970.0499999999997</v>
      </c>
      <c r="BB70" s="318">
        <f t="shared" si="730"/>
        <v>21704.21</v>
      </c>
      <c r="BC70" s="318">
        <f t="shared" si="730"/>
        <v>2271.8000000000002</v>
      </c>
      <c r="BD70" s="318">
        <f t="shared" si="730"/>
        <v>2180.94</v>
      </c>
      <c r="BE70" s="318">
        <f t="shared" si="730"/>
        <v>3539.9</v>
      </c>
      <c r="BF70" s="317">
        <f t="shared" si="730"/>
        <v>2735.1499999999996</v>
      </c>
      <c r="BG70" s="318">
        <f t="shared" si="730"/>
        <v>2248.77</v>
      </c>
      <c r="BH70" s="318">
        <f t="shared" si="730"/>
        <v>2548.7000000000003</v>
      </c>
      <c r="BI70" s="318">
        <f t="shared" si="730"/>
        <v>2297.13</v>
      </c>
      <c r="BJ70" s="318">
        <f t="shared" si="730"/>
        <v>2697.8999999999996</v>
      </c>
      <c r="BK70" s="318">
        <f t="shared" si="730"/>
        <v>2552.9700000000003</v>
      </c>
      <c r="BL70" s="318">
        <f t="shared" si="730"/>
        <v>2526.56</v>
      </c>
      <c r="BM70" s="318">
        <f t="shared" si="730"/>
        <v>3165.68</v>
      </c>
      <c r="BN70" s="318">
        <f t="shared" si="730"/>
        <v>3673.04</v>
      </c>
      <c r="BO70" s="318">
        <f t="shared" si="730"/>
        <v>2371.16</v>
      </c>
      <c r="BP70" s="318">
        <f t="shared" si="730"/>
        <v>2492.0500000000002</v>
      </c>
      <c r="BQ70" s="318">
        <f t="shared" si="730"/>
        <v>3081.6199999999994</v>
      </c>
      <c r="BR70" s="317">
        <f t="shared" si="730"/>
        <v>3476.0600000000004</v>
      </c>
      <c r="BS70" s="318">
        <f t="shared" si="730"/>
        <v>2519.4700000000003</v>
      </c>
      <c r="BT70" s="318">
        <f t="shared" si="730"/>
        <v>2834.7999999999997</v>
      </c>
      <c r="BU70" s="318">
        <f t="shared" si="730"/>
        <v>2309</v>
      </c>
      <c r="BV70" s="318">
        <f t="shared" si="730"/>
        <v>2559.2499999999995</v>
      </c>
      <c r="BW70" s="318">
        <f t="shared" si="730"/>
        <v>2773.34</v>
      </c>
      <c r="BX70" s="318">
        <f t="shared" si="730"/>
        <v>2471.1899999999996</v>
      </c>
      <c r="BY70" s="318">
        <f t="shared" si="730"/>
        <v>3599.62</v>
      </c>
      <c r="BZ70" s="318">
        <f t="shared" si="730"/>
        <v>2887.8599999999997</v>
      </c>
      <c r="CA70" s="318">
        <f t="shared" si="730"/>
        <v>1148.8</v>
      </c>
      <c r="CB70" s="318">
        <f t="shared" si="730"/>
        <v>4230.22</v>
      </c>
      <c r="CC70" s="318">
        <f t="shared" si="730"/>
        <v>3794.1700000000005</v>
      </c>
      <c r="CD70" s="317">
        <f t="shared" si="730"/>
        <v>3122.17</v>
      </c>
      <c r="CE70" s="318">
        <f t="shared" si="730"/>
        <v>2411.7299999999996</v>
      </c>
      <c r="CF70" s="318">
        <f t="shared" ref="CF70:EQ70" si="731">IF(_xlfn.NUMBERVALUE($B$2)&gt;=_xlfn.NUMBERVALUE(CF$9),CF31+CF27,"")</f>
        <v>3326.6400000000003</v>
      </c>
      <c r="CG70" s="318">
        <f t="shared" si="731"/>
        <v>2886.51</v>
      </c>
      <c r="CH70" s="318">
        <f t="shared" si="731"/>
        <v>2618.7600000000002</v>
      </c>
      <c r="CI70" s="318">
        <f t="shared" si="731"/>
        <v>2364.36</v>
      </c>
      <c r="CJ70" s="318">
        <f t="shared" si="731"/>
        <v>2519.9600000000009</v>
      </c>
      <c r="CK70" s="318">
        <f t="shared" si="731"/>
        <v>3648.2680000000005</v>
      </c>
      <c r="CL70" s="318">
        <f t="shared" si="731"/>
        <v>3333.8000000000006</v>
      </c>
      <c r="CM70" s="318">
        <f t="shared" si="731"/>
        <v>2756.29</v>
      </c>
      <c r="CN70" s="318">
        <f t="shared" si="731"/>
        <v>2670.27</v>
      </c>
      <c r="CO70" s="318">
        <f t="shared" si="731"/>
        <v>3850</v>
      </c>
      <c r="CP70" s="317">
        <f t="shared" si="731"/>
        <v>3438.2300000000005</v>
      </c>
      <c r="CQ70" s="318">
        <f t="shared" si="731"/>
        <v>2542.4300000000003</v>
      </c>
      <c r="CR70" s="318">
        <f t="shared" si="731"/>
        <v>2880.4679999999994</v>
      </c>
      <c r="CS70" s="318">
        <f t="shared" si="731"/>
        <v>4672.6399999999994</v>
      </c>
      <c r="CT70" s="318">
        <f t="shared" si="731"/>
        <v>3629.8980000000001</v>
      </c>
      <c r="CU70" s="318">
        <f t="shared" si="731"/>
        <v>4342.0079999999998</v>
      </c>
      <c r="CV70" s="318">
        <f t="shared" si="731"/>
        <v>3111.2</v>
      </c>
      <c r="CW70" s="318">
        <f t="shared" si="731"/>
        <v>5846.0499999999993</v>
      </c>
      <c r="CX70" s="318">
        <f t="shared" si="731"/>
        <v>6129.2199999999993</v>
      </c>
      <c r="CY70" s="318">
        <f t="shared" si="731"/>
        <v>3457.79</v>
      </c>
      <c r="CZ70" s="318" t="str">
        <f t="shared" si="731"/>
        <v/>
      </c>
      <c r="DA70" s="318" t="str">
        <f t="shared" si="731"/>
        <v/>
      </c>
      <c r="DB70" s="317" t="str">
        <f t="shared" si="731"/>
        <v/>
      </c>
      <c r="DC70" s="318" t="str">
        <f t="shared" si="731"/>
        <v/>
      </c>
      <c r="DD70" s="318" t="str">
        <f t="shared" si="731"/>
        <v/>
      </c>
      <c r="DE70" s="318" t="str">
        <f t="shared" si="731"/>
        <v/>
      </c>
      <c r="DF70" s="318" t="str">
        <f t="shared" si="731"/>
        <v/>
      </c>
      <c r="DG70" s="318" t="str">
        <f t="shared" si="731"/>
        <v/>
      </c>
      <c r="DH70" s="318" t="str">
        <f t="shared" si="731"/>
        <v/>
      </c>
      <c r="DI70" s="318" t="str">
        <f t="shared" si="731"/>
        <v/>
      </c>
      <c r="DJ70" s="318" t="str">
        <f t="shared" si="731"/>
        <v/>
      </c>
      <c r="DK70" s="37" t="str">
        <f t="shared" si="731"/>
        <v/>
      </c>
      <c r="DL70" s="37" t="str">
        <f t="shared" si="731"/>
        <v/>
      </c>
      <c r="DM70" s="37" t="str">
        <f t="shared" si="731"/>
        <v/>
      </c>
      <c r="DN70" s="317" t="str">
        <f t="shared" si="731"/>
        <v/>
      </c>
      <c r="DO70" s="37" t="str">
        <f t="shared" si="731"/>
        <v/>
      </c>
      <c r="DP70" s="37" t="str">
        <f t="shared" si="731"/>
        <v/>
      </c>
      <c r="DQ70" s="37" t="str">
        <f t="shared" si="731"/>
        <v/>
      </c>
      <c r="DR70" s="37" t="str">
        <f t="shared" si="731"/>
        <v/>
      </c>
      <c r="DS70" s="37" t="str">
        <f t="shared" si="731"/>
        <v/>
      </c>
      <c r="DT70" s="37" t="str">
        <f t="shared" si="731"/>
        <v/>
      </c>
      <c r="DU70" s="37" t="str">
        <f t="shared" si="731"/>
        <v/>
      </c>
      <c r="DV70" s="37" t="str">
        <f t="shared" si="731"/>
        <v/>
      </c>
      <c r="DW70" s="37" t="str">
        <f t="shared" si="731"/>
        <v/>
      </c>
      <c r="DX70" s="37" t="str">
        <f t="shared" si="731"/>
        <v/>
      </c>
      <c r="DY70" s="37" t="str">
        <f t="shared" si="731"/>
        <v/>
      </c>
      <c r="DZ70" s="317" t="str">
        <f t="shared" si="731"/>
        <v/>
      </c>
      <c r="EA70" s="37" t="str">
        <f t="shared" si="731"/>
        <v/>
      </c>
      <c r="EB70" s="37" t="str">
        <f t="shared" si="731"/>
        <v/>
      </c>
      <c r="EC70" s="37" t="str">
        <f t="shared" si="731"/>
        <v/>
      </c>
      <c r="ED70" s="37" t="str">
        <f t="shared" si="731"/>
        <v/>
      </c>
      <c r="EE70" s="37" t="str">
        <f t="shared" si="731"/>
        <v/>
      </c>
      <c r="EF70" s="37" t="str">
        <f t="shared" si="731"/>
        <v/>
      </c>
      <c r="EG70" s="37" t="str">
        <f t="shared" si="731"/>
        <v/>
      </c>
      <c r="EH70" s="37" t="str">
        <f t="shared" si="731"/>
        <v/>
      </c>
      <c r="EI70" s="37" t="str">
        <f t="shared" si="731"/>
        <v/>
      </c>
      <c r="EJ70" s="37" t="str">
        <f t="shared" si="731"/>
        <v/>
      </c>
      <c r="EK70" s="37" t="str">
        <f t="shared" si="731"/>
        <v/>
      </c>
      <c r="EL70" s="317" t="str">
        <f t="shared" si="731"/>
        <v/>
      </c>
      <c r="EM70" s="37" t="str">
        <f t="shared" si="731"/>
        <v/>
      </c>
      <c r="EN70" s="37" t="str">
        <f t="shared" si="731"/>
        <v/>
      </c>
      <c r="EO70" s="37" t="str">
        <f t="shared" si="731"/>
        <v/>
      </c>
      <c r="EP70" s="37" t="str">
        <f t="shared" si="731"/>
        <v/>
      </c>
      <c r="EQ70" s="37" t="str">
        <f t="shared" si="731"/>
        <v/>
      </c>
      <c r="ER70" s="37" t="str">
        <f t="shared" ref="ER70:GT70" si="732">IF(_xlfn.NUMBERVALUE($B$2)&gt;=_xlfn.NUMBERVALUE(ER$9),ER31+ER27,"")</f>
        <v/>
      </c>
      <c r="ES70" s="37" t="str">
        <f t="shared" si="732"/>
        <v/>
      </c>
      <c r="ET70" s="37" t="str">
        <f t="shared" si="732"/>
        <v/>
      </c>
      <c r="EU70" s="37" t="str">
        <f t="shared" si="732"/>
        <v/>
      </c>
      <c r="EV70" s="37" t="str">
        <f t="shared" si="732"/>
        <v/>
      </c>
      <c r="EW70" s="37" t="str">
        <f t="shared" si="732"/>
        <v/>
      </c>
      <c r="EX70" s="317" t="str">
        <f t="shared" si="732"/>
        <v/>
      </c>
      <c r="EY70" s="37" t="str">
        <f t="shared" si="732"/>
        <v/>
      </c>
      <c r="EZ70" s="37" t="str">
        <f t="shared" si="732"/>
        <v/>
      </c>
      <c r="FA70" s="37" t="str">
        <f t="shared" si="732"/>
        <v/>
      </c>
      <c r="FB70" s="37" t="str">
        <f t="shared" si="732"/>
        <v/>
      </c>
      <c r="FC70" s="37" t="str">
        <f t="shared" si="732"/>
        <v/>
      </c>
      <c r="FD70" s="37" t="str">
        <f t="shared" si="732"/>
        <v/>
      </c>
      <c r="FE70" s="37" t="str">
        <f t="shared" si="732"/>
        <v/>
      </c>
      <c r="FF70" s="37" t="str">
        <f t="shared" si="732"/>
        <v/>
      </c>
      <c r="FG70" s="37" t="str">
        <f t="shared" si="732"/>
        <v/>
      </c>
      <c r="FH70" s="37" t="str">
        <f t="shared" si="732"/>
        <v/>
      </c>
      <c r="FI70" s="37" t="str">
        <f t="shared" si="732"/>
        <v/>
      </c>
      <c r="FJ70" s="317" t="str">
        <f t="shared" si="732"/>
        <v/>
      </c>
      <c r="FK70" s="37" t="str">
        <f t="shared" si="732"/>
        <v/>
      </c>
      <c r="FL70" s="37" t="str">
        <f t="shared" si="732"/>
        <v/>
      </c>
      <c r="FM70" s="37" t="str">
        <f t="shared" si="732"/>
        <v/>
      </c>
      <c r="FN70" s="37" t="str">
        <f t="shared" si="732"/>
        <v/>
      </c>
      <c r="FO70" s="37" t="str">
        <f t="shared" si="732"/>
        <v/>
      </c>
      <c r="FP70" s="37" t="str">
        <f t="shared" si="732"/>
        <v/>
      </c>
      <c r="FQ70" s="37" t="str">
        <f t="shared" si="732"/>
        <v/>
      </c>
      <c r="FR70" s="37" t="str">
        <f t="shared" si="732"/>
        <v/>
      </c>
      <c r="FS70" s="37" t="str">
        <f t="shared" si="732"/>
        <v/>
      </c>
      <c r="FT70" s="37" t="str">
        <f t="shared" si="732"/>
        <v/>
      </c>
      <c r="FU70" s="37" t="str">
        <f t="shared" si="732"/>
        <v/>
      </c>
      <c r="FV70" s="317" t="str">
        <f t="shared" si="732"/>
        <v/>
      </c>
      <c r="FW70" s="37" t="str">
        <f t="shared" si="732"/>
        <v/>
      </c>
      <c r="FX70" s="37" t="str">
        <f t="shared" si="732"/>
        <v/>
      </c>
      <c r="FY70" s="37" t="str">
        <f t="shared" si="732"/>
        <v/>
      </c>
      <c r="FZ70" s="37" t="str">
        <f t="shared" si="732"/>
        <v/>
      </c>
      <c r="GA70" s="37" t="str">
        <f t="shared" si="732"/>
        <v/>
      </c>
      <c r="GB70" s="37" t="str">
        <f t="shared" si="732"/>
        <v/>
      </c>
      <c r="GC70" s="37" t="str">
        <f t="shared" si="732"/>
        <v/>
      </c>
      <c r="GD70" s="37" t="str">
        <f t="shared" si="732"/>
        <v/>
      </c>
      <c r="GE70" s="37" t="str">
        <f t="shared" si="732"/>
        <v/>
      </c>
      <c r="GF70" s="37" t="str">
        <f t="shared" si="732"/>
        <v/>
      </c>
      <c r="GG70" s="37" t="str">
        <f t="shared" si="732"/>
        <v/>
      </c>
      <c r="GH70" s="37" t="str">
        <f t="shared" si="732"/>
        <v/>
      </c>
      <c r="GI70" s="37" t="str">
        <f t="shared" si="732"/>
        <v/>
      </c>
      <c r="GJ70" s="37" t="str">
        <f t="shared" si="732"/>
        <v/>
      </c>
      <c r="GK70" s="37" t="str">
        <f t="shared" si="732"/>
        <v/>
      </c>
      <c r="GL70" s="37" t="str">
        <f t="shared" si="732"/>
        <v/>
      </c>
      <c r="GM70" s="37" t="str">
        <f t="shared" si="732"/>
        <v/>
      </c>
      <c r="GN70" s="37" t="str">
        <f t="shared" si="732"/>
        <v/>
      </c>
      <c r="GO70" s="37" t="str">
        <f t="shared" si="732"/>
        <v/>
      </c>
      <c r="GP70" s="37" t="str">
        <f t="shared" si="732"/>
        <v/>
      </c>
      <c r="GQ70" s="37" t="str">
        <f t="shared" si="732"/>
        <v/>
      </c>
      <c r="GR70" s="37" t="str">
        <f t="shared" si="732"/>
        <v/>
      </c>
      <c r="GS70" s="37" t="str">
        <f t="shared" si="732"/>
        <v/>
      </c>
      <c r="GT70" s="37" t="str">
        <f t="shared" si="732"/>
        <v/>
      </c>
    </row>
    <row r="71" spans="1:202" s="456" customFormat="1" ht="15.75">
      <c r="B71" s="721">
        <f>AVERAGEIF(S31:GT31,"&gt;0")</f>
        <v>1185.0496304347828</v>
      </c>
      <c r="I71" s="456" t="s">
        <v>55</v>
      </c>
      <c r="J71" s="1078"/>
      <c r="R71" s="1078"/>
      <c r="S71" s="456">
        <f t="shared" ref="S71:V71" si="733">IF(_xlfn.NUMBERVALUE($B$2)&gt;=_xlfn.NUMBERVALUE(S$9),S69-S70,"")</f>
        <v>456.07000000000016</v>
      </c>
      <c r="T71" s="456">
        <f t="shared" si="733"/>
        <v>344.57000000000016</v>
      </c>
      <c r="U71" s="456">
        <f t="shared" si="733"/>
        <v>3356.68</v>
      </c>
      <c r="V71" s="563">
        <f t="shared" si="733"/>
        <v>-11.109999999999673</v>
      </c>
      <c r="W71" s="456">
        <f t="shared" ref="W71:AS71" si="734">IF(_xlfn.NUMBERVALUE($B$2)&gt;=_xlfn.NUMBERVALUE(W$9),W69-W70,"")</f>
        <v>2.2100000000000364</v>
      </c>
      <c r="X71" s="456">
        <f t="shared" si="734"/>
        <v>-25.929999999999836</v>
      </c>
      <c r="Y71" s="456">
        <f t="shared" si="734"/>
        <v>356.86999999999989</v>
      </c>
      <c r="Z71" s="456">
        <f t="shared" si="734"/>
        <v>543</v>
      </c>
      <c r="AA71" s="456">
        <f t="shared" si="734"/>
        <v>219.03999999999996</v>
      </c>
      <c r="AB71" s="456">
        <f t="shared" si="734"/>
        <v>587.97</v>
      </c>
      <c r="AC71" s="456">
        <f t="shared" si="734"/>
        <v>3.8600000000001273</v>
      </c>
      <c r="AD71" s="456">
        <f t="shared" si="734"/>
        <v>-520.75</v>
      </c>
      <c r="AE71" s="456">
        <f t="shared" si="734"/>
        <v>-77.870000000000346</v>
      </c>
      <c r="AF71" s="456">
        <f t="shared" si="734"/>
        <v>-11070.32</v>
      </c>
      <c r="AG71" s="716">
        <f t="shared" si="734"/>
        <v>665.05999999999858</v>
      </c>
      <c r="AH71" s="456">
        <f t="shared" si="734"/>
        <v>-380.64000000000033</v>
      </c>
      <c r="AI71" s="456">
        <f t="shared" si="734"/>
        <v>1840.6499999999996</v>
      </c>
      <c r="AJ71" s="456">
        <f t="shared" si="734"/>
        <v>-2802.0399999999991</v>
      </c>
      <c r="AK71" s="456">
        <f t="shared" si="734"/>
        <v>321.29000000000019</v>
      </c>
      <c r="AL71" s="456">
        <f t="shared" si="734"/>
        <v>190.64999999999986</v>
      </c>
      <c r="AM71" s="456">
        <f t="shared" si="734"/>
        <v>-27.880000000000109</v>
      </c>
      <c r="AN71" s="456">
        <f t="shared" si="734"/>
        <v>4574.6399999999994</v>
      </c>
      <c r="AO71" s="456">
        <f t="shared" si="734"/>
        <v>-1815.5100000000002</v>
      </c>
      <c r="AP71" s="456">
        <f t="shared" si="734"/>
        <v>-622.85999999999967</v>
      </c>
      <c r="AQ71" s="456">
        <f t="shared" si="734"/>
        <v>-347.47000000000025</v>
      </c>
      <c r="AR71" s="456">
        <f t="shared" si="734"/>
        <v>-104.80999999999995</v>
      </c>
      <c r="AS71" s="716">
        <f t="shared" si="734"/>
        <v>1788.08</v>
      </c>
      <c r="AT71" s="457">
        <f t="shared" ref="AT71:AU71" si="735">IF(_xlfn.NUMBERVALUE($B$2)&gt;=_xlfn.NUMBERVALUE(AT$9),AT69-AT70,"")</f>
        <v>12328.54</v>
      </c>
      <c r="AU71" s="457">
        <f t="shared" si="735"/>
        <v>-14632.739999999998</v>
      </c>
      <c r="AV71" s="457">
        <f>IF(_xlfn.NUMBERVALUE($B$2)&gt;=_xlfn.NUMBERVALUE(AV$9),AV69-AV70,0)</f>
        <v>587.26000000000022</v>
      </c>
      <c r="AW71" s="457">
        <f>IF(_xlfn.NUMBERVALUE($B$2)&gt;=_xlfn.NUMBERVALUE(AW$9),AW69-AW70,0)</f>
        <v>17761.16</v>
      </c>
      <c r="AX71" s="457">
        <f t="shared" ref="AX71:BF71" si="736">IF(_xlfn.NUMBERVALUE($B$2)&gt;=_xlfn.NUMBERVALUE(AX$9),AX69-AX70,0)</f>
        <v>-278.28999999999996</v>
      </c>
      <c r="AY71" s="457">
        <f t="shared" si="736"/>
        <v>30.0300000000002</v>
      </c>
      <c r="AZ71" s="457">
        <f t="shared" si="736"/>
        <v>-569.25</v>
      </c>
      <c r="BA71" s="457">
        <f t="shared" si="736"/>
        <v>147.95000000000027</v>
      </c>
      <c r="BB71" s="457">
        <f t="shared" si="736"/>
        <v>-19085.199999999997</v>
      </c>
      <c r="BC71" s="457">
        <f t="shared" si="736"/>
        <v>-33.800000000000182</v>
      </c>
      <c r="BD71" s="457">
        <f t="shared" si="736"/>
        <v>67.059999999999945</v>
      </c>
      <c r="BE71" s="457">
        <f>IF(_xlfn.NUMBERVALUE($B$2)&gt;=_xlfn.NUMBERVALUE(BE$9),BE69-BE70,0)</f>
        <v>2722.1</v>
      </c>
      <c r="BF71" s="562">
        <f t="shared" si="736"/>
        <v>-657.02999999999975</v>
      </c>
      <c r="BG71" s="457">
        <f t="shared" ref="BG71:BH71" si="737">IF(_xlfn.NUMBERVALUE($B$2)&gt;=_xlfn.NUMBERVALUE(BG$9),BG69-BG70,0)</f>
        <v>45.230000000000018</v>
      </c>
      <c r="BH71" s="457">
        <f t="shared" si="737"/>
        <v>-153.70000000000027</v>
      </c>
      <c r="BI71" s="457">
        <f>IF(_xlfn.NUMBERVALUE($B$2)&gt;=_xlfn.NUMBERVALUE(BI$9),BI69-BI70,0)</f>
        <v>-46.130000000000109</v>
      </c>
      <c r="BJ71" s="457">
        <f t="shared" ref="BJ71:DT71" si="738">IF(_xlfn.NUMBERVALUE($B$2)&gt;=_xlfn.NUMBERVALUE(BJ$9),BJ69-BJ70,0)</f>
        <v>-197.89999999999964</v>
      </c>
      <c r="BK71" s="457">
        <f t="shared" si="738"/>
        <v>-301.97000000000025</v>
      </c>
      <c r="BL71" s="457">
        <f t="shared" si="738"/>
        <v>179.44000000000005</v>
      </c>
      <c r="BM71" s="457">
        <f t="shared" si="738"/>
        <v>-557.04999999999973</v>
      </c>
      <c r="BN71" s="457">
        <f t="shared" si="738"/>
        <v>-494.03999999999996</v>
      </c>
      <c r="BO71" s="457">
        <f t="shared" si="738"/>
        <v>-46.159999999999854</v>
      </c>
      <c r="BP71" s="457">
        <f t="shared" si="738"/>
        <v>-165.05000000000018</v>
      </c>
      <c r="BQ71" s="457">
        <f t="shared" si="738"/>
        <v>1725.3800000000006</v>
      </c>
      <c r="BR71" s="562">
        <f t="shared" si="738"/>
        <v>-365.0300000000002</v>
      </c>
      <c r="BS71" s="457">
        <f t="shared" si="738"/>
        <v>-94.470000000000255</v>
      </c>
      <c r="BT71" s="457">
        <f t="shared" si="738"/>
        <v>3151.2000000000003</v>
      </c>
      <c r="BU71" s="457">
        <f t="shared" si="738"/>
        <v>64</v>
      </c>
      <c r="BV71" s="457">
        <f t="shared" si="738"/>
        <v>-61.249999999999545</v>
      </c>
      <c r="BW71" s="457">
        <f t="shared" si="738"/>
        <v>-388.34000000000015</v>
      </c>
      <c r="BX71" s="457">
        <f t="shared" si="738"/>
        <v>69.8100000000004</v>
      </c>
      <c r="BY71" s="457">
        <f t="shared" si="738"/>
        <v>-187.15999999999985</v>
      </c>
      <c r="BZ71" s="457">
        <f t="shared" si="738"/>
        <v>-398.85999999999967</v>
      </c>
      <c r="CA71" s="457">
        <f t="shared" si="738"/>
        <v>3058.2</v>
      </c>
      <c r="CB71" s="457">
        <f t="shared" si="738"/>
        <v>-1424.2200000000003</v>
      </c>
      <c r="CC71" s="457">
        <f t="shared" si="738"/>
        <v>1848.8299999999995</v>
      </c>
      <c r="CD71" s="562">
        <f t="shared" si="738"/>
        <v>59.889999999999873</v>
      </c>
      <c r="CE71" s="457">
        <f t="shared" si="738"/>
        <v>126.27000000000044</v>
      </c>
      <c r="CF71" s="457">
        <f>IF(_xlfn.NUMBERVALUE($B$2)&gt;=_xlfn.NUMBERVALUE(CF$9),CF69-CF70,0)</f>
        <v>2665.3599999999997</v>
      </c>
      <c r="CG71" s="457">
        <f t="shared" si="738"/>
        <v>-66.510000000000218</v>
      </c>
      <c r="CH71" s="457">
        <f t="shared" si="738"/>
        <v>-112.76000000000022</v>
      </c>
      <c r="CI71" s="457">
        <f t="shared" si="738"/>
        <v>46.639999999999873</v>
      </c>
      <c r="CJ71" s="457">
        <f t="shared" si="738"/>
        <v>-89.960000000000946</v>
      </c>
      <c r="CK71" s="457">
        <f t="shared" si="738"/>
        <v>-210.98800000000074</v>
      </c>
      <c r="CL71" s="457">
        <f t="shared" si="738"/>
        <v>-678.80000000000064</v>
      </c>
      <c r="CM71" s="457">
        <f t="shared" si="738"/>
        <v>3.7100000000000364</v>
      </c>
      <c r="CN71" s="457">
        <f t="shared" si="738"/>
        <v>0.73000000000001819</v>
      </c>
      <c r="CO71" s="457">
        <f t="shared" si="738"/>
        <v>1384</v>
      </c>
      <c r="CP71" s="562">
        <f t="shared" si="738"/>
        <v>-276.12000000000035</v>
      </c>
      <c r="CQ71" s="457">
        <f t="shared" si="738"/>
        <v>90.569999999999709</v>
      </c>
      <c r="CR71" s="457">
        <f t="shared" si="738"/>
        <v>-394.46799999999939</v>
      </c>
      <c r="CS71" s="457">
        <f t="shared" si="738"/>
        <v>1811.3600000000006</v>
      </c>
      <c r="CT71" s="457">
        <f t="shared" si="738"/>
        <v>7437.1719999999996</v>
      </c>
      <c r="CU71" s="457">
        <f t="shared" si="738"/>
        <v>34354.972000000002</v>
      </c>
      <c r="CV71" s="457">
        <f t="shared" si="738"/>
        <v>-403.75</v>
      </c>
      <c r="CW71" s="457">
        <f t="shared" si="738"/>
        <v>96.5600000000004</v>
      </c>
      <c r="CX71" s="457">
        <f t="shared" si="738"/>
        <v>-2474.8499999999995</v>
      </c>
      <c r="CY71" s="457">
        <f t="shared" si="738"/>
        <v>-799.5</v>
      </c>
      <c r="CZ71" s="457">
        <f t="shared" si="738"/>
        <v>0</v>
      </c>
      <c r="DA71" s="457">
        <f t="shared" si="738"/>
        <v>0</v>
      </c>
      <c r="DB71" s="562">
        <f t="shared" si="738"/>
        <v>0</v>
      </c>
      <c r="DC71" s="457">
        <f t="shared" si="738"/>
        <v>0</v>
      </c>
      <c r="DD71" s="457">
        <f t="shared" si="738"/>
        <v>0</v>
      </c>
      <c r="DE71" s="457">
        <f t="shared" si="738"/>
        <v>0</v>
      </c>
      <c r="DF71" s="457">
        <f t="shared" si="738"/>
        <v>0</v>
      </c>
      <c r="DG71" s="457">
        <f t="shared" si="738"/>
        <v>0</v>
      </c>
      <c r="DH71" s="457">
        <f t="shared" si="738"/>
        <v>0</v>
      </c>
      <c r="DI71" s="457">
        <f t="shared" si="738"/>
        <v>0</v>
      </c>
      <c r="DJ71" s="457">
        <f t="shared" si="738"/>
        <v>0</v>
      </c>
      <c r="DK71" s="458">
        <f t="shared" si="738"/>
        <v>0</v>
      </c>
      <c r="DL71" s="458">
        <f t="shared" si="738"/>
        <v>0</v>
      </c>
      <c r="DM71" s="458">
        <f t="shared" si="738"/>
        <v>0</v>
      </c>
      <c r="DN71" s="562">
        <f t="shared" si="738"/>
        <v>0</v>
      </c>
      <c r="DO71" s="458">
        <f t="shared" si="738"/>
        <v>0</v>
      </c>
      <c r="DP71" s="458">
        <f t="shared" si="738"/>
        <v>0</v>
      </c>
      <c r="DQ71" s="458">
        <f t="shared" si="738"/>
        <v>0</v>
      </c>
      <c r="DR71" s="458">
        <f t="shared" si="738"/>
        <v>0</v>
      </c>
      <c r="DS71" s="458">
        <f t="shared" si="738"/>
        <v>0</v>
      </c>
      <c r="DT71" s="458">
        <f t="shared" si="738"/>
        <v>0</v>
      </c>
      <c r="DU71" s="458">
        <f t="shared" ref="DU71:EP71" si="739">IF(_xlfn.NUMBERVALUE($B$2)&gt;=_xlfn.NUMBERVALUE(DU$9),DU69-DU70,0)</f>
        <v>0</v>
      </c>
      <c r="DV71" s="458">
        <f t="shared" si="739"/>
        <v>0</v>
      </c>
      <c r="DW71" s="458">
        <f t="shared" si="739"/>
        <v>0</v>
      </c>
      <c r="DX71" s="458">
        <f t="shared" si="739"/>
        <v>0</v>
      </c>
      <c r="DY71" s="458">
        <f t="shared" si="739"/>
        <v>0</v>
      </c>
      <c r="DZ71" s="562">
        <f t="shared" si="739"/>
        <v>0</v>
      </c>
      <c r="EA71" s="458">
        <f t="shared" si="739"/>
        <v>0</v>
      </c>
      <c r="EB71" s="458">
        <f t="shared" si="739"/>
        <v>0</v>
      </c>
      <c r="EC71" s="458">
        <f t="shared" si="739"/>
        <v>0</v>
      </c>
      <c r="ED71" s="458">
        <f t="shared" si="739"/>
        <v>0</v>
      </c>
      <c r="EE71" s="458">
        <f t="shared" si="739"/>
        <v>0</v>
      </c>
      <c r="EF71" s="458">
        <f t="shared" si="739"/>
        <v>0</v>
      </c>
      <c r="EG71" s="458">
        <f t="shared" si="739"/>
        <v>0</v>
      </c>
      <c r="EH71" s="458">
        <f t="shared" si="739"/>
        <v>0</v>
      </c>
      <c r="EI71" s="458">
        <f t="shared" si="739"/>
        <v>0</v>
      </c>
      <c r="EJ71" s="458">
        <f t="shared" si="739"/>
        <v>0</v>
      </c>
      <c r="EK71" s="458">
        <f t="shared" si="739"/>
        <v>0</v>
      </c>
      <c r="EL71" s="562">
        <f t="shared" si="739"/>
        <v>0</v>
      </c>
      <c r="EM71" s="458">
        <f t="shared" si="739"/>
        <v>0</v>
      </c>
      <c r="EN71" s="458">
        <f t="shared" si="739"/>
        <v>0</v>
      </c>
      <c r="EO71" s="458">
        <f t="shared" si="739"/>
        <v>0</v>
      </c>
      <c r="EP71" s="458">
        <f t="shared" si="739"/>
        <v>0</v>
      </c>
      <c r="EQ71" s="458">
        <f t="shared" ref="EQ71:EX71" si="740">IF(_xlfn.NUMBERVALUE($B$2)&gt;=_xlfn.NUMBERVALUE(EQ$9),EQ69-EQ70,0)</f>
        <v>0</v>
      </c>
      <c r="ER71" s="458">
        <f t="shared" si="740"/>
        <v>0</v>
      </c>
      <c r="ES71" s="458">
        <f t="shared" si="740"/>
        <v>0</v>
      </c>
      <c r="ET71" s="458">
        <f t="shared" si="740"/>
        <v>0</v>
      </c>
      <c r="EU71" s="458">
        <f t="shared" si="740"/>
        <v>0</v>
      </c>
      <c r="EV71" s="458">
        <f t="shared" si="740"/>
        <v>0</v>
      </c>
      <c r="EW71" s="458">
        <f t="shared" si="740"/>
        <v>0</v>
      </c>
      <c r="EX71" s="562">
        <f t="shared" si="740"/>
        <v>0</v>
      </c>
      <c r="EY71" s="458">
        <f t="shared" ref="EY71:GM71" si="741">IF(_xlfn.NUMBERVALUE($B$2)&gt;=_xlfn.NUMBERVALUE(EY$9),EY69-EY70,0)</f>
        <v>0</v>
      </c>
      <c r="EZ71" s="458">
        <f t="shared" si="741"/>
        <v>0</v>
      </c>
      <c r="FA71" s="458">
        <f t="shared" si="741"/>
        <v>0</v>
      </c>
      <c r="FB71" s="458">
        <f t="shared" si="741"/>
        <v>0</v>
      </c>
      <c r="FC71" s="458">
        <f t="shared" si="741"/>
        <v>0</v>
      </c>
      <c r="FD71" s="458">
        <f t="shared" si="741"/>
        <v>0</v>
      </c>
      <c r="FE71" s="458">
        <f t="shared" si="741"/>
        <v>0</v>
      </c>
      <c r="FF71" s="458">
        <f t="shared" si="741"/>
        <v>0</v>
      </c>
      <c r="FG71" s="458">
        <f t="shared" si="741"/>
        <v>0</v>
      </c>
      <c r="FH71" s="458">
        <f t="shared" si="741"/>
        <v>0</v>
      </c>
      <c r="FI71" s="458">
        <f t="shared" si="741"/>
        <v>0</v>
      </c>
      <c r="FJ71" s="562">
        <f t="shared" si="741"/>
        <v>0</v>
      </c>
      <c r="FK71" s="458">
        <f t="shared" si="741"/>
        <v>0</v>
      </c>
      <c r="FL71" s="458">
        <f t="shared" si="741"/>
        <v>0</v>
      </c>
      <c r="FM71" s="458">
        <f t="shared" si="741"/>
        <v>0</v>
      </c>
      <c r="FN71" s="458">
        <f t="shared" si="741"/>
        <v>0</v>
      </c>
      <c r="FO71" s="458">
        <f t="shared" si="741"/>
        <v>0</v>
      </c>
      <c r="FP71" s="458">
        <f t="shared" si="741"/>
        <v>0</v>
      </c>
      <c r="FQ71" s="458">
        <f t="shared" si="741"/>
        <v>0</v>
      </c>
      <c r="FR71" s="458">
        <f t="shared" si="741"/>
        <v>0</v>
      </c>
      <c r="FS71" s="458">
        <f t="shared" si="741"/>
        <v>0</v>
      </c>
      <c r="FT71" s="458">
        <f t="shared" si="741"/>
        <v>0</v>
      </c>
      <c r="FU71" s="458">
        <f t="shared" si="741"/>
        <v>0</v>
      </c>
      <c r="FV71" s="562">
        <f t="shared" si="741"/>
        <v>0</v>
      </c>
      <c r="FW71" s="458">
        <f t="shared" si="741"/>
        <v>0</v>
      </c>
      <c r="FX71" s="458">
        <f t="shared" si="741"/>
        <v>0</v>
      </c>
      <c r="FY71" s="458">
        <f t="shared" si="741"/>
        <v>0</v>
      </c>
      <c r="FZ71" s="458">
        <f t="shared" si="741"/>
        <v>0</v>
      </c>
      <c r="GA71" s="458">
        <f t="shared" si="741"/>
        <v>0</v>
      </c>
      <c r="GB71" s="458">
        <f t="shared" si="741"/>
        <v>0</v>
      </c>
      <c r="GC71" s="458">
        <f t="shared" si="741"/>
        <v>0</v>
      </c>
      <c r="GD71" s="458">
        <f t="shared" si="741"/>
        <v>0</v>
      </c>
      <c r="GE71" s="458">
        <f t="shared" si="741"/>
        <v>0</v>
      </c>
      <c r="GF71" s="458">
        <f t="shared" si="741"/>
        <v>0</v>
      </c>
      <c r="GG71" s="458">
        <f t="shared" si="741"/>
        <v>0</v>
      </c>
      <c r="GH71" s="458">
        <f t="shared" si="741"/>
        <v>0</v>
      </c>
      <c r="GI71" s="458">
        <f t="shared" si="741"/>
        <v>0</v>
      </c>
      <c r="GJ71" s="458">
        <f t="shared" si="741"/>
        <v>0</v>
      </c>
      <c r="GK71" s="458">
        <f t="shared" si="741"/>
        <v>0</v>
      </c>
      <c r="GL71" s="458">
        <f t="shared" si="741"/>
        <v>0</v>
      </c>
      <c r="GM71" s="458">
        <f t="shared" si="741"/>
        <v>0</v>
      </c>
      <c r="GN71" s="458">
        <f t="shared" ref="GN71:GT71" si="742">IF(_xlfn.NUMBERVALUE($B$2)&gt;=_xlfn.NUMBERVALUE(GN$9),GN69-GN70,0)</f>
        <v>0</v>
      </c>
      <c r="GO71" s="458">
        <f t="shared" si="742"/>
        <v>0</v>
      </c>
      <c r="GP71" s="458">
        <f t="shared" si="742"/>
        <v>0</v>
      </c>
      <c r="GQ71" s="458">
        <f t="shared" si="742"/>
        <v>0</v>
      </c>
      <c r="GR71" s="458">
        <f t="shared" si="742"/>
        <v>0</v>
      </c>
      <c r="GS71" s="458">
        <f t="shared" si="742"/>
        <v>0</v>
      </c>
      <c r="GT71" s="458">
        <f t="shared" si="742"/>
        <v>0</v>
      </c>
    </row>
    <row r="72" spans="1:202">
      <c r="S72" s="712">
        <f t="shared" ref="S72:AX72" si="743">S71/(S11+S28)</f>
        <v>0.21133920296570907</v>
      </c>
      <c r="T72" s="712">
        <f t="shared" si="743"/>
        <v>0.15507200720072015</v>
      </c>
      <c r="U72" s="712">
        <f t="shared" si="743"/>
        <v>1.3579516722157718</v>
      </c>
      <c r="V72" s="713">
        <f t="shared" si="743"/>
        <v>-4.0532652316671554E-3</v>
      </c>
      <c r="W72" s="712">
        <f t="shared" si="743"/>
        <v>9.4202898550726187E-4</v>
      </c>
      <c r="X72" s="712">
        <f t="shared" si="743"/>
        <v>-1.1921839080459695E-2</v>
      </c>
      <c r="Y72" s="712">
        <f t="shared" si="743"/>
        <v>0.16537071362372563</v>
      </c>
      <c r="Z72" s="712">
        <f t="shared" si="743"/>
        <v>0.23234916559691912</v>
      </c>
      <c r="AA72" s="712">
        <f t="shared" si="743"/>
        <v>0.10150139017608896</v>
      </c>
      <c r="AB72" s="712">
        <f t="shared" si="743"/>
        <v>0.24746212121212122</v>
      </c>
      <c r="AC72" s="712">
        <f t="shared" si="743"/>
        <v>1.6432524478502031E-3</v>
      </c>
      <c r="AD72" s="712">
        <f t="shared" si="743"/>
        <v>-0.2068109610802224</v>
      </c>
      <c r="AE72" s="712">
        <f t="shared" si="743"/>
        <v>-3.2759781236853323E-2</v>
      </c>
      <c r="AF72" s="712">
        <f t="shared" si="743"/>
        <v>-4.3964733915806198</v>
      </c>
      <c r="AG72" s="712">
        <f t="shared" si="743"/>
        <v>0.2732239988168203</v>
      </c>
      <c r="AH72" s="713">
        <f t="shared" si="743"/>
        <v>-0.20171701112877602</v>
      </c>
      <c r="AI72" s="712">
        <f t="shared" si="743"/>
        <v>0.26961330013182944</v>
      </c>
      <c r="AJ72" s="712">
        <f t="shared" si="743"/>
        <v>-1.002518783542039</v>
      </c>
      <c r="AK72" s="712">
        <f t="shared" si="743"/>
        <v>0.14805990783410147</v>
      </c>
      <c r="AL72" s="712">
        <f t="shared" si="743"/>
        <v>8.5608441850022393E-2</v>
      </c>
      <c r="AM72" s="712">
        <f t="shared" si="743"/>
        <v>-1.1530190239867705E-2</v>
      </c>
      <c r="AN72" s="712">
        <f t="shared" si="743"/>
        <v>0.59901008249312548</v>
      </c>
      <c r="AO72" s="712">
        <f t="shared" si="743"/>
        <v>-0.67092017738359211</v>
      </c>
      <c r="AP72" s="712">
        <f t="shared" si="743"/>
        <v>-0.26181588902900366</v>
      </c>
      <c r="AQ72" s="712">
        <f t="shared" si="743"/>
        <v>-0.16056839186691324</v>
      </c>
      <c r="AR72" s="712">
        <f t="shared" si="743"/>
        <v>-4.5411611785095299E-2</v>
      </c>
      <c r="AS72" s="717">
        <f t="shared" si="743"/>
        <v>0.77339100346020762</v>
      </c>
      <c r="AT72" s="712">
        <f t="shared" si="743"/>
        <v>0.76536371808434034</v>
      </c>
      <c r="AU72" s="712">
        <f t="shared" si="743"/>
        <v>-6.506331702979101</v>
      </c>
      <c r="AV72" s="712">
        <f t="shared" si="743"/>
        <v>0.2164455255786526</v>
      </c>
      <c r="AW72" s="712">
        <f t="shared" si="743"/>
        <v>0.86010460048426152</v>
      </c>
      <c r="AX72" s="712">
        <f t="shared" si="743"/>
        <v>-0.12407044137316092</v>
      </c>
      <c r="AY72" s="712">
        <f t="shared" ref="AY72:CD72" si="744">AY71/(AY11+AY28)</f>
        <v>1.2977528089887726E-2</v>
      </c>
      <c r="AZ72" s="712">
        <f t="shared" si="744"/>
        <v>-0.23310810810810811</v>
      </c>
      <c r="BA72" s="712">
        <f t="shared" si="744"/>
        <v>6.3936905790838494E-2</v>
      </c>
      <c r="BB72" s="712">
        <f t="shared" si="744"/>
        <v>-7.2871810340548508</v>
      </c>
      <c r="BC72" s="712">
        <f t="shared" si="744"/>
        <v>-1.510277033065245E-2</v>
      </c>
      <c r="BD72" s="712">
        <f t="shared" si="744"/>
        <v>2.9830960854092502E-2</v>
      </c>
      <c r="BE72" s="712">
        <f t="shared" si="744"/>
        <v>1.1384776244249268</v>
      </c>
      <c r="BF72" s="713">
        <f t="shared" si="744"/>
        <v>-0.31616557272919743</v>
      </c>
      <c r="BG72" s="712">
        <f t="shared" si="744"/>
        <v>1.9716652136006981E-2</v>
      </c>
      <c r="BH72" s="712">
        <f t="shared" si="744"/>
        <v>-6.4175365344467758E-2</v>
      </c>
      <c r="BI72" s="712">
        <f t="shared" si="744"/>
        <v>-2.0493114171479389E-2</v>
      </c>
      <c r="BJ72" s="712">
        <f t="shared" si="744"/>
        <v>-7.9159999999999855E-2</v>
      </c>
      <c r="BK72" s="712">
        <f t="shared" si="744"/>
        <v>-0.13414926699244792</v>
      </c>
      <c r="BL72" s="712">
        <f t="shared" si="744"/>
        <v>6.6311899482631206E-2</v>
      </c>
      <c r="BM72" s="712">
        <f t="shared" si="744"/>
        <v>-0.21354120745372079</v>
      </c>
      <c r="BN72" s="712">
        <f t="shared" si="744"/>
        <v>-0.21249032258064515</v>
      </c>
      <c r="BO72" s="712">
        <f t="shared" si="744"/>
        <v>-1.9853763440860154E-2</v>
      </c>
      <c r="BP72" s="712">
        <f t="shared" si="744"/>
        <v>-7.0928233777395863E-2</v>
      </c>
      <c r="BQ72" s="712">
        <f t="shared" si="744"/>
        <v>0.69712323232323259</v>
      </c>
      <c r="BR72" s="713">
        <f t="shared" si="744"/>
        <v>-0.11733413049697373</v>
      </c>
      <c r="BS72" s="712">
        <f t="shared" si="744"/>
        <v>-3.8956701030927937E-2</v>
      </c>
      <c r="BT72" s="712">
        <f t="shared" si="744"/>
        <v>1.3279393173198484</v>
      </c>
      <c r="BU72" s="712">
        <f t="shared" si="744"/>
        <v>2.6970080067425201E-2</v>
      </c>
      <c r="BV72" s="712">
        <f t="shared" si="744"/>
        <v>-2.451961569255386E-2</v>
      </c>
      <c r="BW72" s="712">
        <f t="shared" si="744"/>
        <v>-0.16282599580712795</v>
      </c>
      <c r="BX72" s="712">
        <f t="shared" si="744"/>
        <v>2.7473435655253994E-2</v>
      </c>
      <c r="BY72" s="712">
        <f t="shared" si="744"/>
        <v>-7.0640809825398332E-2</v>
      </c>
      <c r="BZ72" s="712">
        <f t="shared" si="744"/>
        <v>-0.16024909602249887</v>
      </c>
      <c r="CA72" s="712">
        <f t="shared" si="744"/>
        <v>0.72693130496791059</v>
      </c>
      <c r="CB72" s="712">
        <f t="shared" si="744"/>
        <v>-0.50756236635780483</v>
      </c>
      <c r="CC72" s="712">
        <f t="shared" si="744"/>
        <v>0.61300729442970803</v>
      </c>
      <c r="CD72" s="713">
        <f t="shared" si="744"/>
        <v>1.8821141021853727E-2</v>
      </c>
      <c r="CE72" s="712">
        <f t="shared" ref="CE72:DJ72" si="745">CE71/(CE11+CE28)</f>
        <v>4.9751773049645565E-2</v>
      </c>
      <c r="CF72" s="712">
        <f t="shared" si="745"/>
        <v>0.99490854796565875</v>
      </c>
      <c r="CG72" s="712">
        <f t="shared" si="745"/>
        <v>-2.3585106382978799E-2</v>
      </c>
      <c r="CH72" s="712">
        <f t="shared" si="745"/>
        <v>-4.4996009577015252E-2</v>
      </c>
      <c r="CI72" s="712">
        <f t="shared" si="745"/>
        <v>1.9344670261302311E-2</v>
      </c>
      <c r="CJ72" s="712">
        <f t="shared" si="745"/>
        <v>-3.7020576131687633E-2</v>
      </c>
      <c r="CK72" s="712">
        <f t="shared" si="745"/>
        <v>-7.4101598718777487E-2</v>
      </c>
      <c r="CL72" s="712">
        <f t="shared" si="745"/>
        <v>-0.25566854990583826</v>
      </c>
      <c r="CM72" s="712">
        <f t="shared" si="745"/>
        <v>1.3442028985507378E-3</v>
      </c>
      <c r="CN72" s="712">
        <f t="shared" si="745"/>
        <v>2.7330587794834076E-4</v>
      </c>
      <c r="CO72" s="712">
        <f t="shared" si="745"/>
        <v>0.53026819923371649</v>
      </c>
      <c r="CP72" s="713">
        <f t="shared" si="745"/>
        <v>-8.7321440430598668E-2</v>
      </c>
      <c r="CQ72" s="712">
        <f t="shared" si="745"/>
        <v>3.4398025066464E-2</v>
      </c>
      <c r="CR72" s="712">
        <f>CR71/(CR11+CR28)</f>
        <v>-0.1586757843925983</v>
      </c>
      <c r="CS72" s="712">
        <f>CS71/(CS11+CS28)</f>
        <v>0.59272251308900548</v>
      </c>
      <c r="CT72" s="712">
        <f t="shared" si="745"/>
        <v>2.9916218825422365</v>
      </c>
      <c r="CU72" s="712">
        <f t="shared" si="745"/>
        <v>11.390905835543768</v>
      </c>
      <c r="CV72" s="712">
        <f t="shared" si="745"/>
        <v>-0.14912556095218749</v>
      </c>
      <c r="CW72" s="712">
        <f t="shared" si="745"/>
        <v>1.6248752652454124E-2</v>
      </c>
      <c r="CX72" s="712">
        <f t="shared" si="745"/>
        <v>-0.67723027498583876</v>
      </c>
      <c r="CY72" s="712">
        <f t="shared" si="745"/>
        <v>-0.30075725372325818</v>
      </c>
      <c r="CZ72" s="712">
        <f t="shared" si="745"/>
        <v>0</v>
      </c>
      <c r="DA72" s="717">
        <f t="shared" si="745"/>
        <v>0</v>
      </c>
      <c r="DB72" s="712">
        <f t="shared" si="745"/>
        <v>0</v>
      </c>
      <c r="DC72" s="712">
        <f t="shared" si="745"/>
        <v>0</v>
      </c>
      <c r="DD72" s="712">
        <f t="shared" si="745"/>
        <v>0</v>
      </c>
      <c r="DE72" s="712">
        <f t="shared" si="745"/>
        <v>0</v>
      </c>
      <c r="DF72" s="712">
        <f t="shared" si="745"/>
        <v>0</v>
      </c>
      <c r="DG72" s="712">
        <f t="shared" si="745"/>
        <v>0</v>
      </c>
      <c r="DH72" s="712">
        <f t="shared" si="745"/>
        <v>0</v>
      </c>
      <c r="DI72" s="712">
        <f t="shared" si="745"/>
        <v>0</v>
      </c>
      <c r="DJ72" s="712">
        <f t="shared" si="745"/>
        <v>0</v>
      </c>
      <c r="DK72" s="712">
        <f t="shared" ref="DK72:EP72" si="746">DK71/(DK11+DK28)</f>
        <v>0</v>
      </c>
      <c r="DL72" s="712">
        <f t="shared" si="746"/>
        <v>0</v>
      </c>
      <c r="DM72" s="717">
        <f t="shared" si="746"/>
        <v>0</v>
      </c>
      <c r="DN72" s="712">
        <f t="shared" si="746"/>
        <v>0</v>
      </c>
      <c r="DO72" s="712">
        <f t="shared" si="746"/>
        <v>0</v>
      </c>
      <c r="DP72" s="712">
        <f t="shared" si="746"/>
        <v>0</v>
      </c>
      <c r="DQ72" s="712">
        <f t="shared" si="746"/>
        <v>0</v>
      </c>
      <c r="DR72" s="712">
        <f t="shared" si="746"/>
        <v>0</v>
      </c>
      <c r="DS72" s="712">
        <f t="shared" si="746"/>
        <v>0</v>
      </c>
      <c r="DT72" s="712">
        <f t="shared" si="746"/>
        <v>0</v>
      </c>
      <c r="DU72" s="712">
        <f t="shared" si="746"/>
        <v>0</v>
      </c>
      <c r="DV72" s="712">
        <f t="shared" si="746"/>
        <v>0</v>
      </c>
      <c r="DW72" s="712">
        <f t="shared" si="746"/>
        <v>0</v>
      </c>
      <c r="DX72" s="712">
        <f t="shared" si="746"/>
        <v>0</v>
      </c>
      <c r="DY72" s="717">
        <f t="shared" si="746"/>
        <v>0</v>
      </c>
      <c r="DZ72" s="712">
        <f t="shared" si="746"/>
        <v>0</v>
      </c>
      <c r="EA72" s="712">
        <f t="shared" si="746"/>
        <v>0</v>
      </c>
      <c r="EB72" s="712">
        <f t="shared" si="746"/>
        <v>0</v>
      </c>
      <c r="EC72" s="712">
        <f t="shared" si="746"/>
        <v>0</v>
      </c>
      <c r="ED72" s="712">
        <f t="shared" si="746"/>
        <v>0</v>
      </c>
      <c r="EE72" s="712">
        <f t="shared" si="746"/>
        <v>0</v>
      </c>
      <c r="EF72" s="712">
        <f t="shared" si="746"/>
        <v>0</v>
      </c>
      <c r="EG72" s="712">
        <f t="shared" si="746"/>
        <v>0</v>
      </c>
      <c r="EH72" s="712">
        <f t="shared" si="746"/>
        <v>0</v>
      </c>
      <c r="EI72" s="712">
        <f t="shared" si="746"/>
        <v>0</v>
      </c>
      <c r="EJ72" s="712">
        <f t="shared" si="746"/>
        <v>0</v>
      </c>
      <c r="EK72" s="712">
        <f t="shared" si="746"/>
        <v>0</v>
      </c>
      <c r="EL72" s="713">
        <f t="shared" si="746"/>
        <v>0</v>
      </c>
      <c r="EM72" s="712">
        <f t="shared" si="746"/>
        <v>0</v>
      </c>
      <c r="EN72" s="712">
        <f t="shared" si="746"/>
        <v>0</v>
      </c>
      <c r="EO72" s="712">
        <f t="shared" si="746"/>
        <v>0</v>
      </c>
      <c r="EP72" s="712">
        <f t="shared" si="746"/>
        <v>0</v>
      </c>
      <c r="EQ72" s="712">
        <f t="shared" ref="EQ72:FV72" si="747">EQ71/(EQ11+EQ28)</f>
        <v>0</v>
      </c>
      <c r="ER72" s="712">
        <f t="shared" si="747"/>
        <v>0</v>
      </c>
      <c r="ES72" s="712">
        <f t="shared" si="747"/>
        <v>0</v>
      </c>
      <c r="ET72" s="712">
        <f t="shared" si="747"/>
        <v>0</v>
      </c>
      <c r="EU72" s="712">
        <f t="shared" si="747"/>
        <v>0</v>
      </c>
      <c r="EV72" s="712">
        <f t="shared" si="747"/>
        <v>0</v>
      </c>
      <c r="EW72" s="717">
        <f t="shared" si="747"/>
        <v>0</v>
      </c>
      <c r="EX72" s="712">
        <f t="shared" si="747"/>
        <v>0</v>
      </c>
      <c r="EY72" s="712">
        <f t="shared" si="747"/>
        <v>0</v>
      </c>
      <c r="EZ72" s="712">
        <f t="shared" si="747"/>
        <v>0</v>
      </c>
      <c r="FA72" s="712">
        <f t="shared" si="747"/>
        <v>0</v>
      </c>
      <c r="FB72" s="712">
        <f t="shared" si="747"/>
        <v>0</v>
      </c>
      <c r="FC72" s="712">
        <f t="shared" si="747"/>
        <v>0</v>
      </c>
      <c r="FD72" s="712">
        <f t="shared" si="747"/>
        <v>0</v>
      </c>
      <c r="FE72" s="712">
        <f t="shared" si="747"/>
        <v>0</v>
      </c>
      <c r="FF72" s="712">
        <f t="shared" si="747"/>
        <v>0</v>
      </c>
      <c r="FG72" s="712">
        <f t="shared" si="747"/>
        <v>0</v>
      </c>
      <c r="FH72" s="712">
        <f t="shared" si="747"/>
        <v>0</v>
      </c>
      <c r="FI72" s="712">
        <f t="shared" si="747"/>
        <v>0</v>
      </c>
      <c r="FJ72" s="713">
        <f t="shared" si="747"/>
        <v>0</v>
      </c>
      <c r="FK72" s="712">
        <f t="shared" si="747"/>
        <v>0</v>
      </c>
      <c r="FL72" s="712">
        <f t="shared" si="747"/>
        <v>0</v>
      </c>
      <c r="FM72" s="712">
        <f t="shared" si="747"/>
        <v>0</v>
      </c>
      <c r="FN72" s="712">
        <f t="shared" si="747"/>
        <v>0</v>
      </c>
      <c r="FO72" s="712">
        <f t="shared" si="747"/>
        <v>0</v>
      </c>
      <c r="FP72" s="712">
        <f t="shared" si="747"/>
        <v>0</v>
      </c>
      <c r="FQ72" s="712">
        <f t="shared" si="747"/>
        <v>0</v>
      </c>
      <c r="FR72" s="712">
        <f t="shared" si="747"/>
        <v>0</v>
      </c>
      <c r="FS72" s="712">
        <f t="shared" si="747"/>
        <v>0</v>
      </c>
      <c r="FT72" s="712">
        <f t="shared" si="747"/>
        <v>0</v>
      </c>
      <c r="FU72" s="712">
        <f t="shared" si="747"/>
        <v>0</v>
      </c>
      <c r="FV72" s="713">
        <f t="shared" si="747"/>
        <v>0</v>
      </c>
      <c r="FW72" s="712">
        <f t="shared" ref="FW72:GT72" si="748">FW71/(FW11+FW28)</f>
        <v>0</v>
      </c>
      <c r="FX72" s="712">
        <f t="shared" si="748"/>
        <v>0</v>
      </c>
      <c r="FY72" s="712">
        <f t="shared" si="748"/>
        <v>0</v>
      </c>
      <c r="FZ72" s="712">
        <f t="shared" si="748"/>
        <v>0</v>
      </c>
      <c r="GA72" s="712">
        <f t="shared" si="748"/>
        <v>0</v>
      </c>
      <c r="GB72" s="712">
        <f t="shared" si="748"/>
        <v>0</v>
      </c>
      <c r="GC72" s="712">
        <f t="shared" si="748"/>
        <v>0</v>
      </c>
      <c r="GD72" s="712">
        <f t="shared" si="748"/>
        <v>0</v>
      </c>
      <c r="GE72" s="712">
        <f t="shared" si="748"/>
        <v>0</v>
      </c>
      <c r="GF72" s="712">
        <f t="shared" si="748"/>
        <v>0</v>
      </c>
      <c r="GG72" s="712">
        <f t="shared" si="748"/>
        <v>0</v>
      </c>
      <c r="GH72" s="712">
        <f t="shared" si="748"/>
        <v>0</v>
      </c>
      <c r="GI72" s="712">
        <f t="shared" si="748"/>
        <v>0</v>
      </c>
      <c r="GJ72" s="712">
        <f t="shared" si="748"/>
        <v>0</v>
      </c>
      <c r="GK72" s="712">
        <f t="shared" si="748"/>
        <v>0</v>
      </c>
      <c r="GL72" s="712">
        <f t="shared" si="748"/>
        <v>0</v>
      </c>
      <c r="GM72" s="712">
        <f t="shared" si="748"/>
        <v>0</v>
      </c>
      <c r="GN72" s="712">
        <f t="shared" si="748"/>
        <v>0</v>
      </c>
      <c r="GO72" s="712">
        <f t="shared" si="748"/>
        <v>0</v>
      </c>
      <c r="GP72" s="712">
        <f t="shared" si="748"/>
        <v>0</v>
      </c>
      <c r="GQ72" s="712">
        <f t="shared" si="748"/>
        <v>0</v>
      </c>
      <c r="GR72" s="712">
        <f t="shared" si="748"/>
        <v>0</v>
      </c>
      <c r="GS72" s="712">
        <f t="shared" si="748"/>
        <v>0</v>
      </c>
      <c r="GT72" s="926">
        <f t="shared" si="748"/>
        <v>0</v>
      </c>
    </row>
    <row r="73" spans="1:202" hidden="1">
      <c r="B73" s="237"/>
      <c r="C73" s="638">
        <v>2020</v>
      </c>
      <c r="D73" s="638">
        <v>2021</v>
      </c>
      <c r="E73" s="638">
        <v>2022</v>
      </c>
      <c r="F73" s="638">
        <v>2023</v>
      </c>
      <c r="G73" s="638">
        <v>2024</v>
      </c>
      <c r="H73" s="638">
        <v>2025</v>
      </c>
      <c r="I73" s="1011"/>
      <c r="J73" s="1079"/>
      <c r="K73" s="326" t="s">
        <v>56</v>
      </c>
      <c r="L73" s="326" t="s">
        <v>57</v>
      </c>
      <c r="M73" s="326" t="s">
        <v>58</v>
      </c>
      <c r="N73" s="326" t="s">
        <v>59</v>
      </c>
      <c r="O73" s="326" t="s">
        <v>60</v>
      </c>
      <c r="P73" s="326" t="s">
        <v>61</v>
      </c>
      <c r="Q73" s="18"/>
      <c r="R73" s="1079"/>
    </row>
    <row r="74" spans="1:202" hidden="1">
      <c r="B74" s="333" t="s">
        <v>62</v>
      </c>
      <c r="C74" s="334">
        <f>SUM(V74:AG74)</f>
        <v>22582.190000000002</v>
      </c>
      <c r="D74" s="335">
        <f>SUM(AH74:AS74)</f>
        <v>15303.27</v>
      </c>
      <c r="E74" s="336">
        <f>SUM(AT74:BE74)</f>
        <v>49394.47</v>
      </c>
      <c r="F74" s="337">
        <f>SUM(BF74:BQ74)</f>
        <v>16362.289999999997</v>
      </c>
      <c r="G74" s="337">
        <f>SUM(BR74:CC74)</f>
        <v>16274.14</v>
      </c>
      <c r="H74" s="337">
        <f>SUM(CD74:CO74)</f>
        <v>14968.149999999998</v>
      </c>
      <c r="I74" s="419"/>
      <c r="J74" s="1079"/>
      <c r="K74" s="336">
        <f t="shared" ref="K74:P74" si="749">C74/12</f>
        <v>1881.8491666666669</v>
      </c>
      <c r="L74" s="336">
        <f t="shared" si="749"/>
        <v>1275.2725</v>
      </c>
      <c r="M74" s="336">
        <f t="shared" si="749"/>
        <v>4116.2058333333334</v>
      </c>
      <c r="N74" s="336">
        <f t="shared" si="749"/>
        <v>1363.5241666666664</v>
      </c>
      <c r="O74" s="337">
        <f t="shared" si="749"/>
        <v>1356.1783333333333</v>
      </c>
      <c r="P74" s="337">
        <f t="shared" si="749"/>
        <v>1247.3458333333331</v>
      </c>
      <c r="Q74" s="419"/>
      <c r="R74" s="1079"/>
      <c r="S74" s="419">
        <f t="shared" ref="S74:AX74" si="750">IF(_xlfn.NUMBERVALUE($B$2)&gt;=_xlfn.NUMBERVALUE(S$9),SUM(S15:S23)+S53,"")</f>
        <v>866.89</v>
      </c>
      <c r="T74" s="419">
        <f t="shared" si="750"/>
        <v>912.5</v>
      </c>
      <c r="U74" s="419">
        <f t="shared" si="750"/>
        <v>886.02</v>
      </c>
      <c r="V74" s="420">
        <f t="shared" si="750"/>
        <v>830.89</v>
      </c>
      <c r="W74" s="419">
        <f t="shared" si="750"/>
        <v>1158.47</v>
      </c>
      <c r="X74" s="419">
        <f t="shared" si="750"/>
        <v>1054.9299999999998</v>
      </c>
      <c r="Y74" s="419">
        <f t="shared" si="750"/>
        <v>804.91</v>
      </c>
      <c r="Z74" s="419">
        <f t="shared" si="750"/>
        <v>1099.58</v>
      </c>
      <c r="AA74" s="419">
        <f t="shared" si="750"/>
        <v>770.5</v>
      </c>
      <c r="AB74" s="419">
        <f t="shared" si="750"/>
        <v>750.98</v>
      </c>
      <c r="AC74" s="419">
        <f t="shared" si="750"/>
        <v>1053.5999999999999</v>
      </c>
      <c r="AD74" s="419">
        <f t="shared" si="750"/>
        <v>949.53</v>
      </c>
      <c r="AE74" s="419">
        <f t="shared" si="750"/>
        <v>857.99</v>
      </c>
      <c r="AF74" s="419">
        <f t="shared" si="750"/>
        <v>11946.59</v>
      </c>
      <c r="AG74" s="419">
        <f t="shared" si="750"/>
        <v>1304.22</v>
      </c>
      <c r="AH74" s="420">
        <f t="shared" si="750"/>
        <v>981.16</v>
      </c>
      <c r="AI74" s="419">
        <f t="shared" si="750"/>
        <v>1328.97</v>
      </c>
      <c r="AJ74" s="419">
        <f t="shared" si="750"/>
        <v>1037.43</v>
      </c>
      <c r="AK74" s="419">
        <f t="shared" si="750"/>
        <v>1188.5900000000001</v>
      </c>
      <c r="AL74" s="419">
        <f t="shared" si="750"/>
        <v>947.41</v>
      </c>
      <c r="AM74" s="419">
        <f t="shared" si="750"/>
        <v>1190.73</v>
      </c>
      <c r="AN74" s="419">
        <f t="shared" si="750"/>
        <v>1037.33</v>
      </c>
      <c r="AO74" s="419">
        <f t="shared" si="750"/>
        <v>1468.21</v>
      </c>
      <c r="AP74" s="419">
        <f t="shared" si="750"/>
        <v>1397.46</v>
      </c>
      <c r="AQ74" s="419">
        <f t="shared" si="750"/>
        <v>1605.18</v>
      </c>
      <c r="AR74" s="419">
        <f t="shared" si="750"/>
        <v>1410.9</v>
      </c>
      <c r="AS74" s="419">
        <f t="shared" si="750"/>
        <v>1709.9</v>
      </c>
      <c r="AT74" s="420">
        <f t="shared" si="750"/>
        <v>1349.01</v>
      </c>
      <c r="AU74" s="419">
        <f t="shared" si="750"/>
        <v>15568.319999999998</v>
      </c>
      <c r="AV74" s="419">
        <f t="shared" si="750"/>
        <v>952.33</v>
      </c>
      <c r="AW74" s="419">
        <f t="shared" si="750"/>
        <v>1163.4199999999998</v>
      </c>
      <c r="AX74" s="419">
        <f t="shared" si="750"/>
        <v>1361.1399999999999</v>
      </c>
      <c r="AY74" s="419">
        <f t="shared" ref="AY74:CD74" si="751">IF(_xlfn.NUMBERVALUE($B$2)&gt;=_xlfn.NUMBERVALUE(AY$9),SUM(AY15:AY23)+AY53,"")</f>
        <v>1180.82</v>
      </c>
      <c r="AZ74" s="419">
        <f t="shared" si="751"/>
        <v>1759.04</v>
      </c>
      <c r="BA74" s="419">
        <f t="shared" si="751"/>
        <v>1417.1</v>
      </c>
      <c r="BB74" s="419">
        <f t="shared" si="751"/>
        <v>20381.349999999999</v>
      </c>
      <c r="BC74" s="419">
        <f t="shared" si="751"/>
        <v>1280.2799999999997</v>
      </c>
      <c r="BD74" s="419">
        <f t="shared" si="751"/>
        <v>1309.79</v>
      </c>
      <c r="BE74" s="419">
        <f t="shared" si="751"/>
        <v>1671.8700000000001</v>
      </c>
      <c r="BF74" s="420">
        <f t="shared" si="751"/>
        <v>1162.55</v>
      </c>
      <c r="BG74" s="419">
        <f t="shared" si="751"/>
        <v>1341.77</v>
      </c>
      <c r="BH74" s="419">
        <f t="shared" si="751"/>
        <v>1374.17</v>
      </c>
      <c r="BI74" s="419">
        <f t="shared" si="751"/>
        <v>1285.2</v>
      </c>
      <c r="BJ74" s="419">
        <f t="shared" si="751"/>
        <v>1343.45</v>
      </c>
      <c r="BK74" s="419">
        <f t="shared" si="751"/>
        <v>1322.5700000000002</v>
      </c>
      <c r="BL74" s="419">
        <f t="shared" si="751"/>
        <v>1592.55</v>
      </c>
      <c r="BM74" s="419">
        <f t="shared" si="751"/>
        <v>1454.58</v>
      </c>
      <c r="BN74" s="419">
        <f t="shared" si="751"/>
        <v>1337.79</v>
      </c>
      <c r="BO74" s="419">
        <f t="shared" si="751"/>
        <v>1298.4499999999998</v>
      </c>
      <c r="BP74" s="419">
        <f t="shared" si="751"/>
        <v>1366.49</v>
      </c>
      <c r="BQ74" s="419">
        <f t="shared" si="751"/>
        <v>1482.72</v>
      </c>
      <c r="BR74" s="420">
        <f t="shared" si="751"/>
        <v>1213.05</v>
      </c>
      <c r="BS74" s="419">
        <f t="shared" si="751"/>
        <v>1519.7300000000002</v>
      </c>
      <c r="BT74" s="419">
        <f t="shared" si="751"/>
        <v>1353.6399999999999</v>
      </c>
      <c r="BU74" s="419">
        <f t="shared" si="751"/>
        <v>1432.44</v>
      </c>
      <c r="BV74" s="419">
        <f t="shared" si="751"/>
        <v>1361.74</v>
      </c>
      <c r="BW74" s="419">
        <f t="shared" si="751"/>
        <v>1413.04</v>
      </c>
      <c r="BX74" s="419">
        <f t="shared" si="751"/>
        <v>1219.04</v>
      </c>
      <c r="BY74" s="419">
        <f t="shared" si="751"/>
        <v>1406.43</v>
      </c>
      <c r="BZ74" s="419">
        <f t="shared" si="751"/>
        <v>1229.04</v>
      </c>
      <c r="CA74" s="419">
        <f t="shared" si="751"/>
        <v>1475.1299999999999</v>
      </c>
      <c r="CB74" s="419">
        <f t="shared" si="751"/>
        <v>1232.04</v>
      </c>
      <c r="CC74" s="419">
        <f t="shared" si="751"/>
        <v>1418.82</v>
      </c>
      <c r="CD74" s="420">
        <f t="shared" si="751"/>
        <v>1230.03</v>
      </c>
      <c r="CE74" s="419">
        <f t="shared" ref="CE74:DJ74" si="752">IF(_xlfn.NUMBERVALUE($B$2)&gt;=_xlfn.NUMBERVALUE(CE$9),SUM(CE15:CE23)+CE53,"")</f>
        <v>1569.73</v>
      </c>
      <c r="CF74" s="419">
        <f t="shared" si="752"/>
        <v>1121.03</v>
      </c>
      <c r="CG74" s="419">
        <f t="shared" si="752"/>
        <v>1419.17</v>
      </c>
      <c r="CH74" s="419">
        <f t="shared" si="752"/>
        <v>1167.69</v>
      </c>
      <c r="CI74" s="419">
        <f t="shared" si="752"/>
        <v>1284.7200000000003</v>
      </c>
      <c r="CJ74" s="419">
        <f t="shared" si="752"/>
        <v>1020.03</v>
      </c>
      <c r="CK74" s="419">
        <f t="shared" si="752"/>
        <v>1307.3200000000002</v>
      </c>
      <c r="CL74" s="419">
        <f t="shared" si="752"/>
        <v>1011.04</v>
      </c>
      <c r="CM74" s="419">
        <f t="shared" si="752"/>
        <v>1408.5099999999998</v>
      </c>
      <c r="CN74" s="419">
        <f t="shared" si="752"/>
        <v>1054.05</v>
      </c>
      <c r="CO74" s="419">
        <f t="shared" si="752"/>
        <v>1374.83</v>
      </c>
      <c r="CP74" s="420">
        <f t="shared" si="752"/>
        <v>1142.05</v>
      </c>
      <c r="CQ74" s="419">
        <f t="shared" si="752"/>
        <v>1266.0900000000001</v>
      </c>
      <c r="CR74" s="419">
        <f t="shared" si="752"/>
        <v>1220.04</v>
      </c>
      <c r="CS74" s="419">
        <f t="shared" si="752"/>
        <v>1522.49</v>
      </c>
      <c r="CT74" s="419">
        <f t="shared" si="752"/>
        <v>1084.42</v>
      </c>
      <c r="CU74" s="419">
        <f t="shared" si="752"/>
        <v>1340.12</v>
      </c>
      <c r="CV74" s="419">
        <f t="shared" si="752"/>
        <v>1203.8499999999999</v>
      </c>
      <c r="CW74" s="419">
        <f t="shared" si="752"/>
        <v>1220.56</v>
      </c>
      <c r="CX74" s="419">
        <f t="shared" si="752"/>
        <v>2499.41</v>
      </c>
      <c r="CY74" s="419">
        <f t="shared" si="752"/>
        <v>1259.96</v>
      </c>
      <c r="CZ74" s="419" t="str">
        <f t="shared" si="752"/>
        <v/>
      </c>
      <c r="DA74" s="419" t="str">
        <f t="shared" si="752"/>
        <v/>
      </c>
      <c r="DB74" s="420" t="str">
        <f t="shared" si="752"/>
        <v/>
      </c>
      <c r="DC74" s="419" t="str">
        <f t="shared" si="752"/>
        <v/>
      </c>
      <c r="DD74" s="419" t="str">
        <f t="shared" si="752"/>
        <v/>
      </c>
      <c r="DE74" s="419" t="str">
        <f t="shared" si="752"/>
        <v/>
      </c>
      <c r="DF74" s="419" t="str">
        <f t="shared" si="752"/>
        <v/>
      </c>
      <c r="DG74" s="419" t="str">
        <f t="shared" si="752"/>
        <v/>
      </c>
      <c r="DH74" s="419" t="str">
        <f t="shared" si="752"/>
        <v/>
      </c>
      <c r="DI74" s="419" t="str">
        <f t="shared" si="752"/>
        <v/>
      </c>
      <c r="DJ74" s="419" t="str">
        <f t="shared" si="752"/>
        <v/>
      </c>
      <c r="DK74" s="419" t="str">
        <f t="shared" ref="DK74:EP74" si="753">IF(_xlfn.NUMBERVALUE($B$2)&gt;=_xlfn.NUMBERVALUE(DK$9),SUM(DK15:DK23)+DK53,"")</f>
        <v/>
      </c>
      <c r="DL74" s="419" t="str">
        <f t="shared" si="753"/>
        <v/>
      </c>
      <c r="DM74" s="419" t="str">
        <f t="shared" si="753"/>
        <v/>
      </c>
      <c r="DN74" s="420" t="str">
        <f t="shared" si="753"/>
        <v/>
      </c>
      <c r="DO74" s="419" t="str">
        <f t="shared" si="753"/>
        <v/>
      </c>
      <c r="DP74" s="419" t="str">
        <f t="shared" si="753"/>
        <v/>
      </c>
      <c r="DQ74" s="419" t="str">
        <f t="shared" si="753"/>
        <v/>
      </c>
      <c r="DR74" s="419" t="str">
        <f t="shared" si="753"/>
        <v/>
      </c>
      <c r="DS74" s="419" t="str">
        <f t="shared" si="753"/>
        <v/>
      </c>
      <c r="DT74" s="419" t="str">
        <f t="shared" si="753"/>
        <v/>
      </c>
      <c r="DU74" s="419" t="str">
        <f t="shared" si="753"/>
        <v/>
      </c>
      <c r="DV74" s="419" t="str">
        <f t="shared" si="753"/>
        <v/>
      </c>
      <c r="DW74" s="419" t="str">
        <f t="shared" si="753"/>
        <v/>
      </c>
      <c r="DX74" s="419" t="str">
        <f t="shared" si="753"/>
        <v/>
      </c>
      <c r="DY74" s="419" t="str">
        <f t="shared" si="753"/>
        <v/>
      </c>
      <c r="DZ74" s="420" t="str">
        <f t="shared" si="753"/>
        <v/>
      </c>
      <c r="EA74" s="419" t="str">
        <f t="shared" si="753"/>
        <v/>
      </c>
      <c r="EB74" s="419" t="str">
        <f t="shared" si="753"/>
        <v/>
      </c>
      <c r="EC74" s="419" t="str">
        <f t="shared" si="753"/>
        <v/>
      </c>
      <c r="ED74" s="419" t="str">
        <f t="shared" si="753"/>
        <v/>
      </c>
      <c r="EE74" s="419" t="str">
        <f t="shared" si="753"/>
        <v/>
      </c>
      <c r="EF74" s="419" t="str">
        <f t="shared" si="753"/>
        <v/>
      </c>
      <c r="EG74" s="419" t="str">
        <f t="shared" si="753"/>
        <v/>
      </c>
      <c r="EH74" s="419" t="str">
        <f t="shared" si="753"/>
        <v/>
      </c>
      <c r="EI74" s="419" t="str">
        <f t="shared" si="753"/>
        <v/>
      </c>
      <c r="EJ74" s="419" t="str">
        <f t="shared" si="753"/>
        <v/>
      </c>
      <c r="EK74" s="419" t="str">
        <f t="shared" si="753"/>
        <v/>
      </c>
      <c r="EL74" s="420" t="str">
        <f t="shared" si="753"/>
        <v/>
      </c>
      <c r="EM74" s="419" t="str">
        <f t="shared" si="753"/>
        <v/>
      </c>
      <c r="EN74" s="419" t="str">
        <f t="shared" si="753"/>
        <v/>
      </c>
      <c r="EO74" s="419" t="str">
        <f t="shared" si="753"/>
        <v/>
      </c>
      <c r="EP74" s="419" t="str">
        <f t="shared" si="753"/>
        <v/>
      </c>
      <c r="EQ74" s="419" t="str">
        <f t="shared" ref="EQ74:FV74" si="754">IF(_xlfn.NUMBERVALUE($B$2)&gt;=_xlfn.NUMBERVALUE(EQ$9),SUM(EQ15:EQ23)+EQ53,"")</f>
        <v/>
      </c>
      <c r="ER74" s="419" t="str">
        <f t="shared" si="754"/>
        <v/>
      </c>
      <c r="ES74" s="419" t="str">
        <f t="shared" si="754"/>
        <v/>
      </c>
      <c r="ET74" s="419" t="str">
        <f t="shared" si="754"/>
        <v/>
      </c>
      <c r="EU74" s="419" t="str">
        <f t="shared" si="754"/>
        <v/>
      </c>
      <c r="EV74" s="419" t="str">
        <f t="shared" si="754"/>
        <v/>
      </c>
      <c r="EW74" s="419" t="str">
        <f t="shared" si="754"/>
        <v/>
      </c>
      <c r="EX74" s="420" t="str">
        <f t="shared" si="754"/>
        <v/>
      </c>
      <c r="EY74" s="419" t="str">
        <f t="shared" si="754"/>
        <v/>
      </c>
      <c r="EZ74" s="419" t="str">
        <f t="shared" si="754"/>
        <v/>
      </c>
      <c r="FA74" s="419" t="str">
        <f t="shared" si="754"/>
        <v/>
      </c>
      <c r="FB74" s="419" t="str">
        <f t="shared" si="754"/>
        <v/>
      </c>
      <c r="FC74" s="419" t="str">
        <f t="shared" si="754"/>
        <v/>
      </c>
      <c r="FD74" s="419" t="str">
        <f t="shared" si="754"/>
        <v/>
      </c>
      <c r="FE74" s="419" t="str">
        <f t="shared" si="754"/>
        <v/>
      </c>
      <c r="FF74" s="419" t="str">
        <f t="shared" si="754"/>
        <v/>
      </c>
      <c r="FG74" s="419" t="str">
        <f t="shared" si="754"/>
        <v/>
      </c>
      <c r="FH74" s="419" t="str">
        <f t="shared" si="754"/>
        <v/>
      </c>
      <c r="FI74" s="419" t="str">
        <f t="shared" si="754"/>
        <v/>
      </c>
      <c r="FJ74" s="420" t="str">
        <f t="shared" si="754"/>
        <v/>
      </c>
      <c r="FK74" s="419" t="str">
        <f t="shared" si="754"/>
        <v/>
      </c>
      <c r="FL74" s="419" t="str">
        <f t="shared" si="754"/>
        <v/>
      </c>
      <c r="FM74" s="419" t="str">
        <f t="shared" si="754"/>
        <v/>
      </c>
      <c r="FN74" s="419" t="str">
        <f t="shared" si="754"/>
        <v/>
      </c>
      <c r="FO74" s="419" t="str">
        <f t="shared" si="754"/>
        <v/>
      </c>
      <c r="FP74" s="419" t="str">
        <f t="shared" si="754"/>
        <v/>
      </c>
      <c r="FQ74" s="419" t="str">
        <f t="shared" si="754"/>
        <v/>
      </c>
      <c r="FR74" s="419" t="str">
        <f t="shared" si="754"/>
        <v/>
      </c>
      <c r="FS74" s="419" t="str">
        <f t="shared" si="754"/>
        <v/>
      </c>
      <c r="FT74" s="419" t="str">
        <f t="shared" si="754"/>
        <v/>
      </c>
      <c r="FU74" s="419" t="str">
        <f t="shared" si="754"/>
        <v/>
      </c>
      <c r="FV74" s="420" t="str">
        <f t="shared" si="754"/>
        <v/>
      </c>
      <c r="FW74" s="419" t="str">
        <f t="shared" ref="FW74:GT74" si="755">IF(_xlfn.NUMBERVALUE($B$2)&gt;=_xlfn.NUMBERVALUE(FW$9),SUM(FW15:FW23)+FW53,"")</f>
        <v/>
      </c>
      <c r="FX74" s="419" t="str">
        <f t="shared" si="755"/>
        <v/>
      </c>
      <c r="FY74" s="419" t="str">
        <f t="shared" si="755"/>
        <v/>
      </c>
      <c r="FZ74" s="419" t="str">
        <f t="shared" si="755"/>
        <v/>
      </c>
      <c r="GA74" s="419" t="str">
        <f t="shared" si="755"/>
        <v/>
      </c>
      <c r="GB74" s="419" t="str">
        <f t="shared" si="755"/>
        <v/>
      </c>
      <c r="GC74" s="419" t="str">
        <f t="shared" si="755"/>
        <v/>
      </c>
      <c r="GD74" s="419" t="str">
        <f t="shared" si="755"/>
        <v/>
      </c>
      <c r="GE74" s="419" t="str">
        <f t="shared" si="755"/>
        <v/>
      </c>
      <c r="GF74" s="419" t="str">
        <f t="shared" si="755"/>
        <v/>
      </c>
      <c r="GG74" s="419" t="str">
        <f t="shared" si="755"/>
        <v/>
      </c>
      <c r="GH74" s="419" t="str">
        <f t="shared" si="755"/>
        <v/>
      </c>
      <c r="GI74" s="419" t="str">
        <f t="shared" si="755"/>
        <v/>
      </c>
      <c r="GJ74" s="419" t="str">
        <f t="shared" si="755"/>
        <v/>
      </c>
      <c r="GK74" s="419" t="str">
        <f t="shared" si="755"/>
        <v/>
      </c>
      <c r="GL74" s="419" t="str">
        <f t="shared" si="755"/>
        <v/>
      </c>
      <c r="GM74" s="419" t="str">
        <f t="shared" si="755"/>
        <v/>
      </c>
      <c r="GN74" s="419" t="str">
        <f t="shared" si="755"/>
        <v/>
      </c>
      <c r="GO74" s="419" t="str">
        <f t="shared" si="755"/>
        <v/>
      </c>
      <c r="GP74" s="419" t="str">
        <f t="shared" si="755"/>
        <v/>
      </c>
      <c r="GQ74" s="419" t="str">
        <f t="shared" si="755"/>
        <v/>
      </c>
      <c r="GR74" s="419" t="str">
        <f t="shared" si="755"/>
        <v/>
      </c>
      <c r="GS74" s="419" t="str">
        <f t="shared" si="755"/>
        <v/>
      </c>
      <c r="GT74" s="419" t="str">
        <f t="shared" si="755"/>
        <v/>
      </c>
    </row>
    <row r="75" spans="1:202" hidden="1">
      <c r="B75" s="51" t="s">
        <v>63</v>
      </c>
      <c r="C75" s="261">
        <f>SUM(V75:AG75)</f>
        <v>21393.170000000002</v>
      </c>
      <c r="D75" s="263">
        <f>SUM(AH75:AS75)</f>
        <v>24310.959999999999</v>
      </c>
      <c r="E75" s="261">
        <f>SUM(AT75:BE75)</f>
        <v>16989.890000000003</v>
      </c>
      <c r="F75" s="263">
        <f>SUM(BF75:BQ75)</f>
        <v>16028.439999999999</v>
      </c>
      <c r="G75" s="263">
        <f>SUM(BR75:CC75)</f>
        <v>18977.82</v>
      </c>
      <c r="H75" s="263">
        <f t="shared" ref="H75:H82" si="756">SUM(CD75:CO75)</f>
        <v>20854.328000000001</v>
      </c>
      <c r="I75" s="1012"/>
      <c r="J75" s="1079"/>
      <c r="K75" s="261">
        <f t="shared" ref="K75:N78" si="757">C75/12</f>
        <v>1782.7641666666668</v>
      </c>
      <c r="L75" s="261">
        <f t="shared" si="757"/>
        <v>2025.9133333333332</v>
      </c>
      <c r="M75" s="261">
        <f t="shared" si="757"/>
        <v>1415.824166666667</v>
      </c>
      <c r="N75" s="261">
        <f t="shared" si="757"/>
        <v>1335.7033333333331</v>
      </c>
      <c r="O75" s="263">
        <f t="shared" ref="O75:O77" si="758">G75/12</f>
        <v>1581.4849999999999</v>
      </c>
      <c r="P75" s="263">
        <f>H75/12</f>
        <v>1737.8606666666667</v>
      </c>
      <c r="Q75" s="1012"/>
      <c r="R75" s="1079"/>
      <c r="S75" s="267">
        <f t="shared" ref="S75:AX75" si="759">IF(_xlfn.NUMBERVALUE($B$2)&gt;=_xlfn.NUMBERVALUE(S$9),SUM(S24:S26)+S62,"")</f>
        <v>854.33999999999992</v>
      </c>
      <c r="T75" s="268">
        <f t="shared" si="759"/>
        <v>964.93</v>
      </c>
      <c r="U75" s="268">
        <f t="shared" si="759"/>
        <v>1754.17</v>
      </c>
      <c r="V75" s="267">
        <f t="shared" si="759"/>
        <v>1921.2199999999998</v>
      </c>
      <c r="W75" s="268">
        <f t="shared" si="759"/>
        <v>1528.61</v>
      </c>
      <c r="X75" s="268">
        <f t="shared" si="759"/>
        <v>1146</v>
      </c>
      <c r="Y75" s="268">
        <f t="shared" si="759"/>
        <v>996.22000000000014</v>
      </c>
      <c r="Z75" s="268">
        <f t="shared" si="759"/>
        <v>694.42000000000007</v>
      </c>
      <c r="AA75" s="268">
        <f t="shared" si="759"/>
        <v>1184.4499999999998</v>
      </c>
      <c r="AB75" s="268">
        <f t="shared" si="759"/>
        <v>1047.04</v>
      </c>
      <c r="AC75" s="268">
        <f t="shared" si="759"/>
        <v>1291.54</v>
      </c>
      <c r="AD75" s="268">
        <f t="shared" si="759"/>
        <v>2089.2200000000003</v>
      </c>
      <c r="AE75" s="268">
        <f t="shared" si="759"/>
        <v>1596.88</v>
      </c>
      <c r="AF75" s="268">
        <f t="shared" si="759"/>
        <v>1641.73</v>
      </c>
      <c r="AG75" s="268">
        <f t="shared" si="759"/>
        <v>6255.84</v>
      </c>
      <c r="AH75" s="267">
        <f t="shared" si="759"/>
        <v>1291.48</v>
      </c>
      <c r="AI75" s="268">
        <f t="shared" si="759"/>
        <v>4041.8099999999995</v>
      </c>
      <c r="AJ75" s="268">
        <f t="shared" si="759"/>
        <v>4559.6099999999997</v>
      </c>
      <c r="AK75" s="268">
        <f t="shared" si="759"/>
        <v>894.39999999999986</v>
      </c>
      <c r="AL75" s="268">
        <f t="shared" si="759"/>
        <v>1088.9400000000003</v>
      </c>
      <c r="AM75" s="268">
        <f t="shared" si="759"/>
        <v>1438.25</v>
      </c>
      <c r="AN75" s="268">
        <f t="shared" si="759"/>
        <v>2025.0300000000002</v>
      </c>
      <c r="AO75" s="268">
        <f t="shared" si="759"/>
        <v>3206.5699999999997</v>
      </c>
      <c r="AP75" s="268">
        <f t="shared" si="759"/>
        <v>1604.3999999999999</v>
      </c>
      <c r="AQ75" s="268">
        <f t="shared" si="759"/>
        <v>1054.54</v>
      </c>
      <c r="AR75" s="268">
        <f t="shared" si="759"/>
        <v>1001.9100000000001</v>
      </c>
      <c r="AS75" s="268">
        <f t="shared" si="759"/>
        <v>2104.02</v>
      </c>
      <c r="AT75" s="267">
        <f t="shared" si="759"/>
        <v>2639.42</v>
      </c>
      <c r="AU75" s="268">
        <f t="shared" si="759"/>
        <v>1313.42</v>
      </c>
      <c r="AV75" s="268">
        <f t="shared" si="759"/>
        <v>1173.6099999999999</v>
      </c>
      <c r="AW75" s="268">
        <f t="shared" si="759"/>
        <v>1725.42</v>
      </c>
      <c r="AX75" s="268">
        <f t="shared" si="759"/>
        <v>1160.1500000000001</v>
      </c>
      <c r="AY75" s="268">
        <f t="shared" ref="AY75:CD75" si="760">IF(_xlfn.NUMBERVALUE($B$2)&gt;=_xlfn.NUMBERVALUE(AY$9),SUM(AY24:AY26)+AY62,"")</f>
        <v>1103.1500000000001</v>
      </c>
      <c r="AZ75" s="268">
        <f t="shared" si="760"/>
        <v>1252.21</v>
      </c>
      <c r="BA75" s="268">
        <f t="shared" si="760"/>
        <v>1568.9499999999998</v>
      </c>
      <c r="BB75" s="268">
        <f t="shared" si="760"/>
        <v>1322.8600000000001</v>
      </c>
      <c r="BC75" s="268">
        <f t="shared" si="760"/>
        <v>991.52000000000021</v>
      </c>
      <c r="BD75" s="268">
        <f t="shared" si="760"/>
        <v>871.15</v>
      </c>
      <c r="BE75" s="268">
        <f t="shared" si="760"/>
        <v>1868.0299999999997</v>
      </c>
      <c r="BF75" s="267">
        <f t="shared" si="760"/>
        <v>1572.6</v>
      </c>
      <c r="BG75" s="268">
        <f t="shared" si="760"/>
        <v>906.99999999999989</v>
      </c>
      <c r="BH75" s="268">
        <f t="shared" si="760"/>
        <v>1174.5300000000002</v>
      </c>
      <c r="BI75" s="268">
        <f t="shared" si="760"/>
        <v>1011.93</v>
      </c>
      <c r="BJ75" s="268">
        <f t="shared" si="760"/>
        <v>1354.4499999999998</v>
      </c>
      <c r="BK75" s="268">
        <f t="shared" si="760"/>
        <v>1230.3999999999999</v>
      </c>
      <c r="BL75" s="268">
        <f t="shared" si="760"/>
        <v>934.00999999999988</v>
      </c>
      <c r="BM75" s="268">
        <f t="shared" si="760"/>
        <v>1711.1</v>
      </c>
      <c r="BN75" s="268">
        <f t="shared" si="760"/>
        <v>2335.25</v>
      </c>
      <c r="BO75" s="268">
        <f t="shared" si="760"/>
        <v>1072.71</v>
      </c>
      <c r="BP75" s="268">
        <f t="shared" si="760"/>
        <v>1125.56</v>
      </c>
      <c r="BQ75" s="269">
        <f t="shared" si="760"/>
        <v>1598.8999999999994</v>
      </c>
      <c r="BR75" s="267">
        <f t="shared" si="760"/>
        <v>2273.0100000000002</v>
      </c>
      <c r="BS75" s="268">
        <f t="shared" si="760"/>
        <v>999.73999999999978</v>
      </c>
      <c r="BT75" s="268">
        <f t="shared" si="760"/>
        <v>1481.1599999999999</v>
      </c>
      <c r="BU75" s="268">
        <f t="shared" si="760"/>
        <v>876.56</v>
      </c>
      <c r="BV75" s="268">
        <f t="shared" si="760"/>
        <v>1197.5099999999995</v>
      </c>
      <c r="BW75" s="268">
        <f t="shared" si="760"/>
        <v>1360.3000000000002</v>
      </c>
      <c r="BX75" s="268">
        <f t="shared" si="760"/>
        <v>1252.1499999999996</v>
      </c>
      <c r="BY75" s="268">
        <f t="shared" si="760"/>
        <v>2193.19</v>
      </c>
      <c r="BZ75" s="268">
        <f t="shared" si="760"/>
        <v>2266.0299999999997</v>
      </c>
      <c r="CA75" s="268">
        <f t="shared" si="760"/>
        <v>-326.32999999999993</v>
      </c>
      <c r="CB75" s="268">
        <f t="shared" si="760"/>
        <v>2998.1800000000003</v>
      </c>
      <c r="CC75" s="268">
        <f t="shared" si="760"/>
        <v>2406.3200000000006</v>
      </c>
      <c r="CD75" s="267">
        <f t="shared" si="760"/>
        <v>1936.71</v>
      </c>
      <c r="CE75" s="268">
        <f t="shared" ref="CE75:DJ75" si="761">IF(_xlfn.NUMBERVALUE($B$2)&gt;=_xlfn.NUMBERVALUE(CE$9),SUM(CE24:CE26)+CE62,"")</f>
        <v>848.99</v>
      </c>
      <c r="CF75" s="268">
        <f t="shared" si="761"/>
        <v>2205.61</v>
      </c>
      <c r="CG75" s="268">
        <f t="shared" si="761"/>
        <v>1467.3399999999997</v>
      </c>
      <c r="CH75" s="268">
        <f t="shared" si="761"/>
        <v>1631.2500000000002</v>
      </c>
      <c r="CI75" s="268">
        <f t="shared" si="761"/>
        <v>1079.6399999999999</v>
      </c>
      <c r="CJ75" s="268">
        <f t="shared" si="761"/>
        <v>1499.9300000000007</v>
      </c>
      <c r="CK75" s="268">
        <f t="shared" si="761"/>
        <v>2340.9480000000003</v>
      </c>
      <c r="CL75" s="268">
        <f t="shared" si="761"/>
        <v>2322.7600000000007</v>
      </c>
      <c r="CM75" s="268">
        <f t="shared" si="761"/>
        <v>1397.78</v>
      </c>
      <c r="CN75" s="268">
        <f t="shared" si="761"/>
        <v>1636.22</v>
      </c>
      <c r="CO75" s="268">
        <f t="shared" si="761"/>
        <v>2487.1499999999996</v>
      </c>
      <c r="CP75" s="267">
        <f t="shared" si="761"/>
        <v>2296.1800000000007</v>
      </c>
      <c r="CQ75" s="268">
        <f t="shared" si="761"/>
        <v>1281.3399999999999</v>
      </c>
      <c r="CR75" s="268">
        <f t="shared" si="761"/>
        <v>1674.2779999999993</v>
      </c>
      <c r="CS75" s="268">
        <f t="shared" si="761"/>
        <v>3195.1299999999997</v>
      </c>
      <c r="CT75" s="268">
        <f t="shared" si="761"/>
        <v>2546.4880000000003</v>
      </c>
      <c r="CU75" s="268">
        <f t="shared" si="761"/>
        <v>3001.8879999999999</v>
      </c>
      <c r="CV75" s="268">
        <f t="shared" si="761"/>
        <v>1907.35</v>
      </c>
      <c r="CW75" s="268">
        <f t="shared" si="761"/>
        <v>4625.49</v>
      </c>
      <c r="CX75" s="268">
        <f t="shared" si="761"/>
        <v>3629.8099999999995</v>
      </c>
      <c r="CY75" s="268">
        <f t="shared" si="761"/>
        <v>2204.83</v>
      </c>
      <c r="CZ75" s="268" t="str">
        <f t="shared" si="761"/>
        <v/>
      </c>
      <c r="DA75" s="268" t="str">
        <f t="shared" si="761"/>
        <v/>
      </c>
      <c r="DB75" s="267" t="str">
        <f t="shared" si="761"/>
        <v/>
      </c>
      <c r="DC75" s="268" t="str">
        <f t="shared" si="761"/>
        <v/>
      </c>
      <c r="DD75" s="268" t="str">
        <f t="shared" si="761"/>
        <v/>
      </c>
      <c r="DE75" s="268" t="str">
        <f t="shared" si="761"/>
        <v/>
      </c>
      <c r="DF75" s="268" t="str">
        <f t="shared" si="761"/>
        <v/>
      </c>
      <c r="DG75" s="268" t="str">
        <f t="shared" si="761"/>
        <v/>
      </c>
      <c r="DH75" s="268" t="str">
        <f t="shared" si="761"/>
        <v/>
      </c>
      <c r="DI75" s="268" t="str">
        <f t="shared" si="761"/>
        <v/>
      </c>
      <c r="DJ75" s="268" t="str">
        <f t="shared" si="761"/>
        <v/>
      </c>
      <c r="DK75" s="268" t="str">
        <f t="shared" ref="DK75:EP75" si="762">IF(_xlfn.NUMBERVALUE($B$2)&gt;=_xlfn.NUMBERVALUE(DK$9),SUM(DK24:DK26)+DK62,"")</f>
        <v/>
      </c>
      <c r="DL75" s="268" t="str">
        <f t="shared" si="762"/>
        <v/>
      </c>
      <c r="DM75" s="268" t="str">
        <f t="shared" si="762"/>
        <v/>
      </c>
      <c r="DN75" s="267" t="str">
        <f t="shared" si="762"/>
        <v/>
      </c>
      <c r="DO75" s="268" t="str">
        <f t="shared" si="762"/>
        <v/>
      </c>
      <c r="DP75" s="268" t="str">
        <f t="shared" si="762"/>
        <v/>
      </c>
      <c r="DQ75" s="268" t="str">
        <f t="shared" si="762"/>
        <v/>
      </c>
      <c r="DR75" s="268" t="str">
        <f t="shared" si="762"/>
        <v/>
      </c>
      <c r="DS75" s="268" t="str">
        <f t="shared" si="762"/>
        <v/>
      </c>
      <c r="DT75" s="268" t="str">
        <f t="shared" si="762"/>
        <v/>
      </c>
      <c r="DU75" s="268" t="str">
        <f t="shared" si="762"/>
        <v/>
      </c>
      <c r="DV75" s="268" t="str">
        <f t="shared" si="762"/>
        <v/>
      </c>
      <c r="DW75" s="268" t="str">
        <f t="shared" si="762"/>
        <v/>
      </c>
      <c r="DX75" s="268" t="str">
        <f t="shared" si="762"/>
        <v/>
      </c>
      <c r="DY75" s="268" t="str">
        <f t="shared" si="762"/>
        <v/>
      </c>
      <c r="DZ75" s="267" t="str">
        <f t="shared" si="762"/>
        <v/>
      </c>
      <c r="EA75" s="268" t="str">
        <f t="shared" si="762"/>
        <v/>
      </c>
      <c r="EB75" s="268" t="str">
        <f t="shared" si="762"/>
        <v/>
      </c>
      <c r="EC75" s="268" t="str">
        <f t="shared" si="762"/>
        <v/>
      </c>
      <c r="ED75" s="268" t="str">
        <f t="shared" si="762"/>
        <v/>
      </c>
      <c r="EE75" s="268" t="str">
        <f t="shared" si="762"/>
        <v/>
      </c>
      <c r="EF75" s="268" t="str">
        <f t="shared" si="762"/>
        <v/>
      </c>
      <c r="EG75" s="268" t="str">
        <f t="shared" si="762"/>
        <v/>
      </c>
      <c r="EH75" s="268" t="str">
        <f t="shared" si="762"/>
        <v/>
      </c>
      <c r="EI75" s="268" t="str">
        <f t="shared" si="762"/>
        <v/>
      </c>
      <c r="EJ75" s="268" t="str">
        <f t="shared" si="762"/>
        <v/>
      </c>
      <c r="EK75" s="268" t="str">
        <f t="shared" si="762"/>
        <v/>
      </c>
      <c r="EL75" s="267" t="str">
        <f t="shared" si="762"/>
        <v/>
      </c>
      <c r="EM75" s="268" t="str">
        <f t="shared" si="762"/>
        <v/>
      </c>
      <c r="EN75" s="268" t="str">
        <f t="shared" si="762"/>
        <v/>
      </c>
      <c r="EO75" s="268" t="str">
        <f t="shared" si="762"/>
        <v/>
      </c>
      <c r="EP75" s="268" t="str">
        <f t="shared" si="762"/>
        <v/>
      </c>
      <c r="EQ75" s="268" t="str">
        <f t="shared" ref="EQ75:FV75" si="763">IF(_xlfn.NUMBERVALUE($B$2)&gt;=_xlfn.NUMBERVALUE(EQ$9),SUM(EQ24:EQ26)+EQ62,"")</f>
        <v/>
      </c>
      <c r="ER75" s="268" t="str">
        <f t="shared" si="763"/>
        <v/>
      </c>
      <c r="ES75" s="268" t="str">
        <f t="shared" si="763"/>
        <v/>
      </c>
      <c r="ET75" s="268" t="str">
        <f t="shared" si="763"/>
        <v/>
      </c>
      <c r="EU75" s="268" t="str">
        <f t="shared" si="763"/>
        <v/>
      </c>
      <c r="EV75" s="268" t="str">
        <f t="shared" si="763"/>
        <v/>
      </c>
      <c r="EW75" s="268" t="str">
        <f t="shared" si="763"/>
        <v/>
      </c>
      <c r="EX75" s="267" t="str">
        <f t="shared" si="763"/>
        <v/>
      </c>
      <c r="EY75" s="268" t="str">
        <f t="shared" si="763"/>
        <v/>
      </c>
      <c r="EZ75" s="268" t="str">
        <f t="shared" si="763"/>
        <v/>
      </c>
      <c r="FA75" s="268" t="str">
        <f t="shared" si="763"/>
        <v/>
      </c>
      <c r="FB75" s="268" t="str">
        <f t="shared" si="763"/>
        <v/>
      </c>
      <c r="FC75" s="268" t="str">
        <f t="shared" si="763"/>
        <v/>
      </c>
      <c r="FD75" s="268" t="str">
        <f t="shared" si="763"/>
        <v/>
      </c>
      <c r="FE75" s="268" t="str">
        <f t="shared" si="763"/>
        <v/>
      </c>
      <c r="FF75" s="268" t="str">
        <f t="shared" si="763"/>
        <v/>
      </c>
      <c r="FG75" s="268" t="str">
        <f t="shared" si="763"/>
        <v/>
      </c>
      <c r="FH75" s="268" t="str">
        <f t="shared" si="763"/>
        <v/>
      </c>
      <c r="FI75" s="268" t="str">
        <f t="shared" si="763"/>
        <v/>
      </c>
      <c r="FJ75" s="267" t="str">
        <f t="shared" si="763"/>
        <v/>
      </c>
      <c r="FK75" s="268" t="str">
        <f t="shared" si="763"/>
        <v/>
      </c>
      <c r="FL75" s="268" t="str">
        <f t="shared" si="763"/>
        <v/>
      </c>
      <c r="FM75" s="268" t="str">
        <f t="shared" si="763"/>
        <v/>
      </c>
      <c r="FN75" s="268" t="str">
        <f t="shared" si="763"/>
        <v/>
      </c>
      <c r="FO75" s="268" t="str">
        <f t="shared" si="763"/>
        <v/>
      </c>
      <c r="FP75" s="268" t="str">
        <f t="shared" si="763"/>
        <v/>
      </c>
      <c r="FQ75" s="268" t="str">
        <f t="shared" si="763"/>
        <v/>
      </c>
      <c r="FR75" s="268" t="str">
        <f t="shared" si="763"/>
        <v/>
      </c>
      <c r="FS75" s="268" t="str">
        <f t="shared" si="763"/>
        <v/>
      </c>
      <c r="FT75" s="268" t="str">
        <f t="shared" si="763"/>
        <v/>
      </c>
      <c r="FU75" s="268" t="str">
        <f t="shared" si="763"/>
        <v/>
      </c>
      <c r="FV75" s="267" t="str">
        <f t="shared" si="763"/>
        <v/>
      </c>
      <c r="FW75" s="268" t="str">
        <f t="shared" ref="FW75:GT75" si="764">IF(_xlfn.NUMBERVALUE($B$2)&gt;=_xlfn.NUMBERVALUE(FW$9),SUM(FW24:FW26)+FW62,"")</f>
        <v/>
      </c>
      <c r="FX75" s="268" t="str">
        <f t="shared" si="764"/>
        <v/>
      </c>
      <c r="FY75" s="268" t="str">
        <f t="shared" si="764"/>
        <v/>
      </c>
      <c r="FZ75" s="268" t="str">
        <f t="shared" si="764"/>
        <v/>
      </c>
      <c r="GA75" s="268" t="str">
        <f t="shared" si="764"/>
        <v/>
      </c>
      <c r="GB75" s="268" t="str">
        <f t="shared" si="764"/>
        <v/>
      </c>
      <c r="GC75" s="268" t="str">
        <f t="shared" si="764"/>
        <v/>
      </c>
      <c r="GD75" s="268" t="str">
        <f t="shared" si="764"/>
        <v/>
      </c>
      <c r="GE75" s="268" t="str">
        <f t="shared" si="764"/>
        <v/>
      </c>
      <c r="GF75" s="268" t="str">
        <f t="shared" si="764"/>
        <v/>
      </c>
      <c r="GG75" s="268" t="str">
        <f t="shared" si="764"/>
        <v/>
      </c>
      <c r="GH75" s="268" t="str">
        <f t="shared" si="764"/>
        <v/>
      </c>
      <c r="GI75" s="268" t="str">
        <f t="shared" si="764"/>
        <v/>
      </c>
      <c r="GJ75" s="268" t="str">
        <f t="shared" si="764"/>
        <v/>
      </c>
      <c r="GK75" s="268" t="str">
        <f t="shared" si="764"/>
        <v/>
      </c>
      <c r="GL75" s="268" t="str">
        <f t="shared" si="764"/>
        <v/>
      </c>
      <c r="GM75" s="268" t="str">
        <f t="shared" si="764"/>
        <v/>
      </c>
      <c r="GN75" s="268" t="str">
        <f t="shared" si="764"/>
        <v/>
      </c>
      <c r="GO75" s="268" t="str">
        <f t="shared" si="764"/>
        <v/>
      </c>
      <c r="GP75" s="268" t="str">
        <f t="shared" si="764"/>
        <v/>
      </c>
      <c r="GQ75" s="268" t="str">
        <f t="shared" si="764"/>
        <v/>
      </c>
      <c r="GR75" s="268" t="str">
        <f t="shared" si="764"/>
        <v/>
      </c>
      <c r="GS75" s="268" t="str">
        <f t="shared" si="764"/>
        <v/>
      </c>
      <c r="GT75" s="268" t="str">
        <f t="shared" si="764"/>
        <v/>
      </c>
    </row>
    <row r="76" spans="1:202" s="444" customFormat="1" hidden="1">
      <c r="B76" s="445" t="s">
        <v>64</v>
      </c>
      <c r="C76" s="338">
        <f>SUM(V76:AG76)</f>
        <v>26686</v>
      </c>
      <c r="D76" s="339">
        <f>SUM(AH76:AS76)</f>
        <v>26628</v>
      </c>
      <c r="E76" s="338">
        <f>SUM(AT76:BE76)</f>
        <v>27484</v>
      </c>
      <c r="F76" s="339">
        <f>SUM(BF76:BQ76)</f>
        <v>27474</v>
      </c>
      <c r="G76" s="339">
        <f>SUM(BR76:CC76)</f>
        <v>30103</v>
      </c>
      <c r="H76" s="339">
        <f>SUM(CD76:CO76)</f>
        <v>30235</v>
      </c>
      <c r="I76" s="421"/>
      <c r="J76" s="1080"/>
      <c r="K76" s="338">
        <f t="shared" si="757"/>
        <v>2223.8333333333335</v>
      </c>
      <c r="L76" s="338">
        <f t="shared" si="757"/>
        <v>2219</v>
      </c>
      <c r="M76" s="338">
        <f t="shared" si="757"/>
        <v>2290.3333333333335</v>
      </c>
      <c r="N76" s="338">
        <f t="shared" si="757"/>
        <v>2289.5</v>
      </c>
      <c r="O76" s="339">
        <f t="shared" si="758"/>
        <v>2508.5833333333335</v>
      </c>
      <c r="P76" s="339">
        <f>H76/12</f>
        <v>2519.5833333333335</v>
      </c>
      <c r="Q76" s="421"/>
      <c r="R76" s="1080"/>
      <c r="S76" s="421">
        <f t="shared" ref="S76:AV76" si="765">IF(_xlfn.NUMBERVALUE($B$2)&gt;=_xlfn.NUMBERVALUE(S$9),S11,"")</f>
        <v>2158</v>
      </c>
      <c r="T76" s="421">
        <f t="shared" si="765"/>
        <v>2222</v>
      </c>
      <c r="U76" s="421">
        <f t="shared" si="765"/>
        <v>2271</v>
      </c>
      <c r="V76" s="422">
        <f t="shared" si="765"/>
        <v>2741</v>
      </c>
      <c r="W76" s="421">
        <f t="shared" si="765"/>
        <v>2166</v>
      </c>
      <c r="X76" s="421">
        <f t="shared" si="765"/>
        <v>2175</v>
      </c>
      <c r="Y76" s="421">
        <f t="shared" si="765"/>
        <v>2158</v>
      </c>
      <c r="Z76" s="421">
        <f t="shared" si="765"/>
        <v>2157</v>
      </c>
      <c r="AA76" s="421">
        <f t="shared" si="765"/>
        <v>2158</v>
      </c>
      <c r="AB76" s="421">
        <f t="shared" si="765"/>
        <v>2156</v>
      </c>
      <c r="AC76" s="421">
        <f t="shared" si="765"/>
        <v>2169</v>
      </c>
      <c r="AD76" s="421">
        <f t="shared" si="765"/>
        <v>2098</v>
      </c>
      <c r="AE76" s="421">
        <f t="shared" si="765"/>
        <v>2167</v>
      </c>
      <c r="AF76" s="421">
        <f t="shared" si="765"/>
        <v>2168</v>
      </c>
      <c r="AG76" s="421">
        <f t="shared" si="765"/>
        <v>2373</v>
      </c>
      <c r="AH76" s="422">
        <f t="shared" si="765"/>
        <v>1827</v>
      </c>
      <c r="AI76" s="421">
        <f t="shared" si="765"/>
        <v>2177</v>
      </c>
      <c r="AJ76" s="421">
        <f t="shared" si="765"/>
        <v>2165</v>
      </c>
      <c r="AK76" s="421">
        <f t="shared" si="765"/>
        <v>2170</v>
      </c>
      <c r="AL76" s="421">
        <f t="shared" si="765"/>
        <v>2227</v>
      </c>
      <c r="AM76" s="421">
        <f t="shared" si="765"/>
        <v>2168</v>
      </c>
      <c r="AN76" s="421">
        <f t="shared" si="765"/>
        <v>2167</v>
      </c>
      <c r="AO76" s="421">
        <f t="shared" si="765"/>
        <v>2706</v>
      </c>
      <c r="AP76" s="421">
        <f t="shared" si="765"/>
        <v>2379</v>
      </c>
      <c r="AQ76" s="421">
        <f t="shared" si="765"/>
        <v>2164</v>
      </c>
      <c r="AR76" s="421">
        <f t="shared" si="765"/>
        <v>2166</v>
      </c>
      <c r="AS76" s="421">
        <f t="shared" si="765"/>
        <v>2312</v>
      </c>
      <c r="AT76" s="422">
        <f t="shared" si="765"/>
        <v>2308</v>
      </c>
      <c r="AU76" s="421">
        <f t="shared" si="765"/>
        <v>2249</v>
      </c>
      <c r="AV76" s="421">
        <f t="shared" si="765"/>
        <v>2238</v>
      </c>
      <c r="AW76" s="421">
        <f t="shared" ref="AW76:CB76" si="766">AW11</f>
        <v>2250</v>
      </c>
      <c r="AX76" s="421">
        <f t="shared" si="766"/>
        <v>2243</v>
      </c>
      <c r="AY76" s="421">
        <f t="shared" si="766"/>
        <v>2314</v>
      </c>
      <c r="AZ76" s="421">
        <f t="shared" si="766"/>
        <v>2242</v>
      </c>
      <c r="BA76" s="421">
        <f t="shared" si="766"/>
        <v>2244</v>
      </c>
      <c r="BB76" s="421">
        <f t="shared" si="766"/>
        <v>2519</v>
      </c>
      <c r="BC76" s="421">
        <f t="shared" si="766"/>
        <v>2238</v>
      </c>
      <c r="BD76" s="421">
        <f t="shared" si="766"/>
        <v>2248</v>
      </c>
      <c r="BE76" s="421">
        <f t="shared" si="766"/>
        <v>2391</v>
      </c>
      <c r="BF76" s="422">
        <f t="shared" si="766"/>
        <v>2078</v>
      </c>
      <c r="BG76" s="421">
        <f t="shared" si="766"/>
        <v>2294</v>
      </c>
      <c r="BH76" s="421">
        <f t="shared" si="766"/>
        <v>2245</v>
      </c>
      <c r="BI76" s="421">
        <f t="shared" si="766"/>
        <v>2251</v>
      </c>
      <c r="BJ76" s="421">
        <f t="shared" si="766"/>
        <v>2250</v>
      </c>
      <c r="BK76" s="421">
        <f t="shared" si="766"/>
        <v>2251</v>
      </c>
      <c r="BL76" s="421">
        <f t="shared" si="766"/>
        <v>2326</v>
      </c>
      <c r="BM76" s="421">
        <f t="shared" si="766"/>
        <v>2327</v>
      </c>
      <c r="BN76" s="421">
        <f t="shared" si="766"/>
        <v>2325</v>
      </c>
      <c r="BO76" s="421">
        <f t="shared" si="766"/>
        <v>2325</v>
      </c>
      <c r="BP76" s="421">
        <f t="shared" si="766"/>
        <v>2327</v>
      </c>
      <c r="BQ76" s="421">
        <f t="shared" si="766"/>
        <v>2475</v>
      </c>
      <c r="BR76" s="422">
        <f t="shared" si="766"/>
        <v>3111</v>
      </c>
      <c r="BS76" s="421">
        <f t="shared" si="766"/>
        <v>2425</v>
      </c>
      <c r="BT76" s="421">
        <f t="shared" si="766"/>
        <v>2373</v>
      </c>
      <c r="BU76" s="421">
        <f t="shared" si="766"/>
        <v>2373</v>
      </c>
      <c r="BV76" s="421">
        <f t="shared" si="766"/>
        <v>2373</v>
      </c>
      <c r="BW76" s="421">
        <f t="shared" si="766"/>
        <v>2385</v>
      </c>
      <c r="BX76" s="421">
        <f t="shared" si="766"/>
        <v>2541</v>
      </c>
      <c r="BY76" s="421">
        <f t="shared" si="766"/>
        <v>2394</v>
      </c>
      <c r="BZ76" s="421">
        <f t="shared" si="766"/>
        <v>2389</v>
      </c>
      <c r="CA76" s="421">
        <f t="shared" si="766"/>
        <v>2538</v>
      </c>
      <c r="CB76" s="421">
        <f t="shared" si="766"/>
        <v>2429</v>
      </c>
      <c r="CC76" s="421">
        <f t="shared" ref="CC76:DH76" si="767">CC11</f>
        <v>2772</v>
      </c>
      <c r="CD76" s="422">
        <f t="shared" si="767"/>
        <v>3117</v>
      </c>
      <c r="CE76" s="421">
        <f t="shared" si="767"/>
        <v>2538</v>
      </c>
      <c r="CF76" s="421">
        <f t="shared" si="767"/>
        <v>2429</v>
      </c>
      <c r="CG76" s="421">
        <f t="shared" si="767"/>
        <v>2506</v>
      </c>
      <c r="CH76" s="421">
        <f t="shared" si="767"/>
        <v>2506</v>
      </c>
      <c r="CI76" s="421">
        <f t="shared" si="767"/>
        <v>2411</v>
      </c>
      <c r="CJ76" s="421">
        <f t="shared" si="767"/>
        <v>2430</v>
      </c>
      <c r="CK76" s="421">
        <f t="shared" si="767"/>
        <v>2367</v>
      </c>
      <c r="CL76" s="421">
        <f t="shared" si="767"/>
        <v>2430</v>
      </c>
      <c r="CM76" s="421">
        <f t="shared" si="767"/>
        <v>2430</v>
      </c>
      <c r="CN76" s="421">
        <f t="shared" si="767"/>
        <v>2461</v>
      </c>
      <c r="CO76" s="421">
        <f t="shared" si="767"/>
        <v>2610</v>
      </c>
      <c r="CP76" s="422">
        <f t="shared" si="767"/>
        <v>3012</v>
      </c>
      <c r="CQ76" s="421">
        <f t="shared" si="767"/>
        <v>2497</v>
      </c>
      <c r="CR76" s="421">
        <f t="shared" si="767"/>
        <v>2486</v>
      </c>
      <c r="CS76" s="421">
        <f t="shared" si="767"/>
        <v>2486</v>
      </c>
      <c r="CT76" s="421">
        <f t="shared" si="767"/>
        <v>2486</v>
      </c>
      <c r="CU76" s="421">
        <f t="shared" si="767"/>
        <v>2636</v>
      </c>
      <c r="CV76" s="421">
        <f t="shared" si="767"/>
        <v>2638</v>
      </c>
      <c r="CW76" s="421">
        <f t="shared" si="767"/>
        <v>3488</v>
      </c>
      <c r="CX76" s="421">
        <f t="shared" si="767"/>
        <v>3229</v>
      </c>
      <c r="CY76" s="421">
        <f t="shared" si="767"/>
        <v>2638</v>
      </c>
      <c r="CZ76" s="421">
        <f t="shared" si="767"/>
        <v>2638</v>
      </c>
      <c r="DA76" s="421">
        <f t="shared" si="767"/>
        <v>2638</v>
      </c>
      <c r="DB76" s="422">
        <f t="shared" si="767"/>
        <v>2638</v>
      </c>
      <c r="DC76" s="421">
        <f t="shared" si="767"/>
        <v>2638</v>
      </c>
      <c r="DD76" s="421">
        <f t="shared" si="767"/>
        <v>2638</v>
      </c>
      <c r="DE76" s="421">
        <f t="shared" si="767"/>
        <v>2638</v>
      </c>
      <c r="DF76" s="421">
        <f t="shared" si="767"/>
        <v>2638</v>
      </c>
      <c r="DG76" s="421">
        <f t="shared" si="767"/>
        <v>2638</v>
      </c>
      <c r="DH76" s="421">
        <f t="shared" si="767"/>
        <v>2638</v>
      </c>
      <c r="DI76" s="421">
        <f t="shared" ref="DI76:EN76" si="768">DI11</f>
        <v>2638</v>
      </c>
      <c r="DJ76" s="421">
        <f t="shared" si="768"/>
        <v>2638</v>
      </c>
      <c r="DK76" s="421">
        <f t="shared" si="768"/>
        <v>2638</v>
      </c>
      <c r="DL76" s="421">
        <f t="shared" si="768"/>
        <v>2638</v>
      </c>
      <c r="DM76" s="421">
        <f t="shared" si="768"/>
        <v>2638</v>
      </c>
      <c r="DN76" s="422">
        <f t="shared" si="768"/>
        <v>2638</v>
      </c>
      <c r="DO76" s="421">
        <f t="shared" si="768"/>
        <v>2638</v>
      </c>
      <c r="DP76" s="421">
        <f t="shared" si="768"/>
        <v>2638</v>
      </c>
      <c r="DQ76" s="421">
        <f t="shared" si="768"/>
        <v>2638</v>
      </c>
      <c r="DR76" s="421">
        <f t="shared" si="768"/>
        <v>2638</v>
      </c>
      <c r="DS76" s="421">
        <f t="shared" si="768"/>
        <v>2638</v>
      </c>
      <c r="DT76" s="421">
        <f t="shared" si="768"/>
        <v>2638</v>
      </c>
      <c r="DU76" s="421">
        <f t="shared" si="768"/>
        <v>2638</v>
      </c>
      <c r="DV76" s="421">
        <f t="shared" si="768"/>
        <v>2638</v>
      </c>
      <c r="DW76" s="421">
        <f t="shared" si="768"/>
        <v>2638</v>
      </c>
      <c r="DX76" s="421">
        <f t="shared" si="768"/>
        <v>2638</v>
      </c>
      <c r="DY76" s="421">
        <f t="shared" si="768"/>
        <v>2638</v>
      </c>
      <c r="DZ76" s="422">
        <f t="shared" si="768"/>
        <v>2638</v>
      </c>
      <c r="EA76" s="421">
        <f t="shared" si="768"/>
        <v>2638</v>
      </c>
      <c r="EB76" s="421">
        <f t="shared" si="768"/>
        <v>2638</v>
      </c>
      <c r="EC76" s="421">
        <f t="shared" si="768"/>
        <v>2638</v>
      </c>
      <c r="ED76" s="421">
        <f t="shared" si="768"/>
        <v>2638</v>
      </c>
      <c r="EE76" s="421">
        <f t="shared" si="768"/>
        <v>2638</v>
      </c>
      <c r="EF76" s="421">
        <f t="shared" si="768"/>
        <v>2638</v>
      </c>
      <c r="EG76" s="421">
        <f t="shared" si="768"/>
        <v>2638</v>
      </c>
      <c r="EH76" s="421">
        <f t="shared" si="768"/>
        <v>2638</v>
      </c>
      <c r="EI76" s="421">
        <f t="shared" si="768"/>
        <v>2638</v>
      </c>
      <c r="EJ76" s="421">
        <f t="shared" si="768"/>
        <v>2638</v>
      </c>
      <c r="EK76" s="421">
        <f t="shared" si="768"/>
        <v>2638</v>
      </c>
      <c r="EL76" s="422">
        <f t="shared" si="768"/>
        <v>2638</v>
      </c>
      <c r="EM76" s="421">
        <f t="shared" si="768"/>
        <v>2638</v>
      </c>
      <c r="EN76" s="421">
        <f t="shared" si="768"/>
        <v>2638</v>
      </c>
      <c r="EO76" s="421">
        <f t="shared" ref="EO76:FT76" si="769">EO11</f>
        <v>2638</v>
      </c>
      <c r="EP76" s="421">
        <f t="shared" si="769"/>
        <v>2638</v>
      </c>
      <c r="EQ76" s="421">
        <f t="shared" si="769"/>
        <v>2638</v>
      </c>
      <c r="ER76" s="421">
        <f t="shared" si="769"/>
        <v>2638</v>
      </c>
      <c r="ES76" s="421">
        <f t="shared" si="769"/>
        <v>2638</v>
      </c>
      <c r="ET76" s="421">
        <f t="shared" si="769"/>
        <v>2638</v>
      </c>
      <c r="EU76" s="421">
        <f t="shared" si="769"/>
        <v>2638</v>
      </c>
      <c r="EV76" s="421">
        <f t="shared" si="769"/>
        <v>2638</v>
      </c>
      <c r="EW76" s="421">
        <f t="shared" si="769"/>
        <v>2638</v>
      </c>
      <c r="EX76" s="422">
        <f t="shared" si="769"/>
        <v>2638</v>
      </c>
      <c r="EY76" s="421">
        <f t="shared" si="769"/>
        <v>2638</v>
      </c>
      <c r="EZ76" s="421">
        <f t="shared" si="769"/>
        <v>2638</v>
      </c>
      <c r="FA76" s="421">
        <f t="shared" si="769"/>
        <v>2638</v>
      </c>
      <c r="FB76" s="421">
        <f t="shared" si="769"/>
        <v>2638</v>
      </c>
      <c r="FC76" s="421">
        <f t="shared" si="769"/>
        <v>2638</v>
      </c>
      <c r="FD76" s="421">
        <f t="shared" si="769"/>
        <v>2638</v>
      </c>
      <c r="FE76" s="421">
        <f t="shared" si="769"/>
        <v>2638</v>
      </c>
      <c r="FF76" s="421">
        <f t="shared" si="769"/>
        <v>2638</v>
      </c>
      <c r="FG76" s="421">
        <f t="shared" si="769"/>
        <v>2638</v>
      </c>
      <c r="FH76" s="421">
        <f t="shared" si="769"/>
        <v>2638</v>
      </c>
      <c r="FI76" s="421">
        <f t="shared" si="769"/>
        <v>2638</v>
      </c>
      <c r="FJ76" s="422">
        <f t="shared" si="769"/>
        <v>2638</v>
      </c>
      <c r="FK76" s="421">
        <f t="shared" si="769"/>
        <v>2638</v>
      </c>
      <c r="FL76" s="421">
        <f t="shared" si="769"/>
        <v>2638</v>
      </c>
      <c r="FM76" s="421">
        <f t="shared" si="769"/>
        <v>2638</v>
      </c>
      <c r="FN76" s="421">
        <f t="shared" si="769"/>
        <v>2638</v>
      </c>
      <c r="FO76" s="421">
        <f t="shared" si="769"/>
        <v>2638</v>
      </c>
      <c r="FP76" s="421">
        <f t="shared" si="769"/>
        <v>2638</v>
      </c>
      <c r="FQ76" s="421">
        <f t="shared" si="769"/>
        <v>2638</v>
      </c>
      <c r="FR76" s="421">
        <f t="shared" si="769"/>
        <v>2638</v>
      </c>
      <c r="FS76" s="421">
        <f t="shared" si="769"/>
        <v>2638</v>
      </c>
      <c r="FT76" s="421">
        <f t="shared" si="769"/>
        <v>2638</v>
      </c>
      <c r="FU76" s="421">
        <f t="shared" ref="FU76:GT76" si="770">FU11</f>
        <v>2638</v>
      </c>
      <c r="FV76" s="422">
        <f t="shared" si="770"/>
        <v>2638</v>
      </c>
      <c r="FW76" s="421">
        <f t="shared" si="770"/>
        <v>2638</v>
      </c>
      <c r="FX76" s="421">
        <f t="shared" si="770"/>
        <v>2638</v>
      </c>
      <c r="FY76" s="421">
        <f t="shared" si="770"/>
        <v>2638</v>
      </c>
      <c r="FZ76" s="421">
        <f t="shared" si="770"/>
        <v>2638</v>
      </c>
      <c r="GA76" s="421">
        <f t="shared" si="770"/>
        <v>2638</v>
      </c>
      <c r="GB76" s="421">
        <f t="shared" si="770"/>
        <v>2638</v>
      </c>
      <c r="GC76" s="421">
        <f t="shared" si="770"/>
        <v>2638</v>
      </c>
      <c r="GD76" s="421">
        <f t="shared" si="770"/>
        <v>2638</v>
      </c>
      <c r="GE76" s="421">
        <f t="shared" si="770"/>
        <v>2638</v>
      </c>
      <c r="GF76" s="421">
        <f t="shared" si="770"/>
        <v>2638</v>
      </c>
      <c r="GG76" s="421">
        <f t="shared" si="770"/>
        <v>2638</v>
      </c>
      <c r="GH76" s="421">
        <f t="shared" si="770"/>
        <v>2638</v>
      </c>
      <c r="GI76" s="421">
        <f t="shared" si="770"/>
        <v>2638</v>
      </c>
      <c r="GJ76" s="421">
        <f t="shared" si="770"/>
        <v>2638</v>
      </c>
      <c r="GK76" s="421">
        <f t="shared" si="770"/>
        <v>2638</v>
      </c>
      <c r="GL76" s="421">
        <f t="shared" si="770"/>
        <v>2638</v>
      </c>
      <c r="GM76" s="421">
        <f t="shared" si="770"/>
        <v>2638</v>
      </c>
      <c r="GN76" s="421">
        <f t="shared" si="770"/>
        <v>2638</v>
      </c>
      <c r="GO76" s="421">
        <f t="shared" si="770"/>
        <v>2638</v>
      </c>
      <c r="GP76" s="421">
        <f t="shared" si="770"/>
        <v>2638</v>
      </c>
      <c r="GQ76" s="421">
        <f t="shared" si="770"/>
        <v>2638</v>
      </c>
      <c r="GR76" s="421">
        <f t="shared" si="770"/>
        <v>2638</v>
      </c>
      <c r="GS76" s="421">
        <f t="shared" si="770"/>
        <v>2638</v>
      </c>
      <c r="GT76" s="421">
        <f t="shared" si="770"/>
        <v>2638</v>
      </c>
    </row>
    <row r="77" spans="1:202" s="444" customFormat="1" hidden="1">
      <c r="B77" s="442" t="s">
        <v>65</v>
      </c>
      <c r="C77" s="262">
        <f>SUM(V77:AG77)</f>
        <v>2170.39</v>
      </c>
      <c r="D77" s="264">
        <f>SUM(AH77:AS77)</f>
        <v>11207</v>
      </c>
      <c r="E77" s="262">
        <f>SUM(AT77:BE77)</f>
        <v>33270.18</v>
      </c>
      <c r="F77" s="264">
        <f>SUM(BF77:BQ77)</f>
        <v>1061.75</v>
      </c>
      <c r="G77" s="264">
        <f>SUM(BR77:CC77)</f>
        <v>3418.67</v>
      </c>
      <c r="H77" s="264">
        <f t="shared" si="756"/>
        <v>2188.06</v>
      </c>
      <c r="I77" s="1013"/>
      <c r="J77" s="1080"/>
      <c r="K77" s="262">
        <f t="shared" si="757"/>
        <v>180.86583333333331</v>
      </c>
      <c r="L77" s="262">
        <f t="shared" si="757"/>
        <v>933.91666666666663</v>
      </c>
      <c r="M77" s="262">
        <f t="shared" si="757"/>
        <v>2772.5149999999999</v>
      </c>
      <c r="N77" s="262">
        <f t="shared" si="757"/>
        <v>88.479166666666671</v>
      </c>
      <c r="O77" s="264">
        <f t="shared" si="758"/>
        <v>284.88916666666665</v>
      </c>
      <c r="P77" s="264">
        <f>H77/12</f>
        <v>182.33833333333334</v>
      </c>
      <c r="Q77" s="1013"/>
      <c r="R77" s="1080"/>
      <c r="S77" s="259">
        <f t="shared" ref="S77:AV77" si="771">IF(_xlfn.NUMBERVALUE($B$2)&gt;=_xlfn.NUMBERVALUE(S$9),S63+S28,"")</f>
        <v>19.3</v>
      </c>
      <c r="T77" s="260">
        <f t="shared" si="771"/>
        <v>0</v>
      </c>
      <c r="U77" s="260">
        <f t="shared" si="771"/>
        <v>200.87</v>
      </c>
      <c r="V77" s="259">
        <f t="shared" si="771"/>
        <v>0</v>
      </c>
      <c r="W77" s="260">
        <f t="shared" si="771"/>
        <v>523.29</v>
      </c>
      <c r="X77" s="260">
        <f t="shared" si="771"/>
        <v>0</v>
      </c>
      <c r="Y77" s="260">
        <f t="shared" si="771"/>
        <v>0</v>
      </c>
      <c r="Z77" s="260">
        <f t="shared" si="771"/>
        <v>180</v>
      </c>
      <c r="AA77" s="260">
        <f t="shared" si="771"/>
        <v>15.99</v>
      </c>
      <c r="AB77" s="260">
        <f t="shared" si="771"/>
        <v>229.99</v>
      </c>
      <c r="AC77" s="260">
        <f t="shared" si="771"/>
        <v>180</v>
      </c>
      <c r="AD77" s="260">
        <f t="shared" si="771"/>
        <v>420</v>
      </c>
      <c r="AE77" s="260">
        <f t="shared" si="771"/>
        <v>210</v>
      </c>
      <c r="AF77" s="260">
        <f t="shared" si="771"/>
        <v>350</v>
      </c>
      <c r="AG77" s="260">
        <f t="shared" si="771"/>
        <v>61.12</v>
      </c>
      <c r="AH77" s="259">
        <f t="shared" si="771"/>
        <v>65</v>
      </c>
      <c r="AI77" s="260">
        <f t="shared" si="771"/>
        <v>4650</v>
      </c>
      <c r="AJ77" s="260">
        <f t="shared" si="771"/>
        <v>630</v>
      </c>
      <c r="AK77" s="260">
        <f t="shared" si="771"/>
        <v>0</v>
      </c>
      <c r="AL77" s="260">
        <f t="shared" si="771"/>
        <v>0</v>
      </c>
      <c r="AM77" s="260">
        <f t="shared" si="771"/>
        <v>250</v>
      </c>
      <c r="AN77" s="260">
        <f t="shared" si="771"/>
        <v>5470</v>
      </c>
      <c r="AO77" s="260">
        <f t="shared" si="771"/>
        <v>0</v>
      </c>
      <c r="AP77" s="260">
        <f t="shared" si="771"/>
        <v>0</v>
      </c>
      <c r="AQ77" s="260">
        <f t="shared" si="771"/>
        <v>0</v>
      </c>
      <c r="AR77" s="260">
        <f t="shared" si="771"/>
        <v>142</v>
      </c>
      <c r="AS77" s="260">
        <f t="shared" si="771"/>
        <v>0</v>
      </c>
      <c r="AT77" s="259">
        <f t="shared" si="771"/>
        <v>14008.97</v>
      </c>
      <c r="AU77" s="260">
        <f t="shared" si="771"/>
        <v>0</v>
      </c>
      <c r="AV77" s="260">
        <f t="shared" si="771"/>
        <v>475.2</v>
      </c>
      <c r="AW77" s="260">
        <f t="shared" ref="AW77:CB77" si="772">IF(_xlfn.NUMBERVALUE($B$2)&gt;=_xlfn.NUMBERVALUE(AW$9),AW63+AW28,0)</f>
        <v>18400</v>
      </c>
      <c r="AX77" s="260">
        <f t="shared" si="772"/>
        <v>0</v>
      </c>
      <c r="AY77" s="260">
        <f t="shared" si="772"/>
        <v>0</v>
      </c>
      <c r="AZ77" s="260">
        <f t="shared" si="772"/>
        <v>200</v>
      </c>
      <c r="BA77" s="260">
        <f t="shared" si="772"/>
        <v>86</v>
      </c>
      <c r="BB77" s="260">
        <f t="shared" si="772"/>
        <v>100.01</v>
      </c>
      <c r="BC77" s="260">
        <f t="shared" si="772"/>
        <v>0</v>
      </c>
      <c r="BD77" s="260">
        <f t="shared" si="772"/>
        <v>0</v>
      </c>
      <c r="BE77" s="260">
        <f t="shared" si="772"/>
        <v>0</v>
      </c>
      <c r="BF77" s="259">
        <f t="shared" si="772"/>
        <v>0.12</v>
      </c>
      <c r="BG77" s="260">
        <f t="shared" si="772"/>
        <v>0</v>
      </c>
      <c r="BH77" s="260">
        <f t="shared" si="772"/>
        <v>150</v>
      </c>
      <c r="BI77" s="260">
        <f t="shared" si="772"/>
        <v>0</v>
      </c>
      <c r="BJ77" s="260">
        <f t="shared" si="772"/>
        <v>250</v>
      </c>
      <c r="BK77" s="260">
        <f t="shared" si="772"/>
        <v>0</v>
      </c>
      <c r="BL77" s="260">
        <f t="shared" si="772"/>
        <v>380</v>
      </c>
      <c r="BM77" s="260">
        <f t="shared" si="772"/>
        <v>281.63</v>
      </c>
      <c r="BN77" s="260">
        <f t="shared" si="772"/>
        <v>0</v>
      </c>
      <c r="BO77" s="260">
        <f t="shared" si="772"/>
        <v>0</v>
      </c>
      <c r="BP77" s="260">
        <f t="shared" si="772"/>
        <v>0</v>
      </c>
      <c r="BQ77" s="260">
        <f t="shared" si="772"/>
        <v>0</v>
      </c>
      <c r="BR77" s="259">
        <f t="shared" si="772"/>
        <v>10.029999999999999</v>
      </c>
      <c r="BS77" s="260">
        <f t="shared" si="772"/>
        <v>0</v>
      </c>
      <c r="BT77" s="260">
        <f t="shared" si="772"/>
        <v>0</v>
      </c>
      <c r="BU77" s="260">
        <f t="shared" si="772"/>
        <v>0</v>
      </c>
      <c r="BV77" s="260">
        <f t="shared" si="772"/>
        <v>125</v>
      </c>
      <c r="BW77" s="260">
        <f t="shared" si="772"/>
        <v>0</v>
      </c>
      <c r="BX77" s="260">
        <f t="shared" si="772"/>
        <v>0</v>
      </c>
      <c r="BY77" s="260">
        <f t="shared" si="772"/>
        <v>255.46</v>
      </c>
      <c r="BZ77" s="260">
        <f t="shared" si="772"/>
        <v>707.21</v>
      </c>
      <c r="CA77" s="260">
        <f t="shared" si="772"/>
        <v>1669</v>
      </c>
      <c r="CB77" s="260">
        <f t="shared" si="772"/>
        <v>377</v>
      </c>
      <c r="CC77" s="264">
        <f t="shared" ref="CC77:DH77" si="773">IF(_xlfn.NUMBERVALUE($B$2)&gt;=_xlfn.NUMBERVALUE(CC$9),CC63+CC28,0)</f>
        <v>274.97000000000003</v>
      </c>
      <c r="CD77" s="259">
        <f t="shared" si="773"/>
        <v>109.63</v>
      </c>
      <c r="CE77" s="260">
        <f t="shared" si="773"/>
        <v>6.99</v>
      </c>
      <c r="CF77" s="260">
        <f t="shared" si="773"/>
        <v>250</v>
      </c>
      <c r="CG77" s="260">
        <f t="shared" si="773"/>
        <v>314</v>
      </c>
      <c r="CH77" s="260">
        <f t="shared" si="773"/>
        <v>180.18</v>
      </c>
      <c r="CI77" s="260">
        <f t="shared" si="773"/>
        <v>0</v>
      </c>
      <c r="CJ77" s="260">
        <f t="shared" si="773"/>
        <v>0</v>
      </c>
      <c r="CK77" s="260">
        <f t="shared" si="773"/>
        <v>480.28</v>
      </c>
      <c r="CL77" s="260">
        <f t="shared" si="773"/>
        <v>225</v>
      </c>
      <c r="CM77" s="260">
        <f t="shared" si="773"/>
        <v>380</v>
      </c>
      <c r="CN77" s="260">
        <f t="shared" si="773"/>
        <v>230</v>
      </c>
      <c r="CO77" s="260">
        <f t="shared" si="773"/>
        <v>11.98</v>
      </c>
      <c r="CP77" s="259">
        <f t="shared" si="773"/>
        <v>150.11000000000001</v>
      </c>
      <c r="CQ77" s="260">
        <f t="shared" si="773"/>
        <v>141</v>
      </c>
      <c r="CR77" s="260">
        <f>IF(_xlfn.NUMBERVALUE($B$2)&gt;=_xlfn.NUMBERVALUE(CR$9),CR63+CR28,0)</f>
        <v>13.85</v>
      </c>
      <c r="CS77" s="260">
        <f>IF(_xlfn.NUMBERVALUE($B$2)&gt;=_xlfn.NUMBERVALUE(CS$9),CS63+CS28,0)</f>
        <v>614.98</v>
      </c>
      <c r="CT77" s="260">
        <f t="shared" si="773"/>
        <v>1.01</v>
      </c>
      <c r="CU77" s="260">
        <f t="shared" si="773"/>
        <v>380</v>
      </c>
      <c r="CV77" s="260">
        <f t="shared" si="773"/>
        <v>69.45</v>
      </c>
      <c r="CW77" s="260">
        <f t="shared" si="773"/>
        <v>2454.6099999999997</v>
      </c>
      <c r="CX77" s="260">
        <f t="shared" si="773"/>
        <v>425.37</v>
      </c>
      <c r="CY77" s="260">
        <f t="shared" si="773"/>
        <v>27.29</v>
      </c>
      <c r="CZ77" s="260">
        <f t="shared" si="773"/>
        <v>0</v>
      </c>
      <c r="DA77" s="260">
        <f t="shared" si="773"/>
        <v>0</v>
      </c>
      <c r="DB77" s="259">
        <f t="shared" si="773"/>
        <v>0</v>
      </c>
      <c r="DC77" s="260">
        <f t="shared" si="773"/>
        <v>0</v>
      </c>
      <c r="DD77" s="260">
        <f t="shared" si="773"/>
        <v>0</v>
      </c>
      <c r="DE77" s="260">
        <f t="shared" si="773"/>
        <v>0</v>
      </c>
      <c r="DF77" s="260">
        <f t="shared" si="773"/>
        <v>0</v>
      </c>
      <c r="DG77" s="260">
        <f t="shared" si="773"/>
        <v>0</v>
      </c>
      <c r="DH77" s="260">
        <f t="shared" si="773"/>
        <v>0</v>
      </c>
      <c r="DI77" s="260">
        <f t="shared" ref="DI77:EN77" si="774">IF(_xlfn.NUMBERVALUE($B$2)&gt;=_xlfn.NUMBERVALUE(DI$9),DI63+DI28,0)</f>
        <v>0</v>
      </c>
      <c r="DJ77" s="260">
        <f t="shared" si="774"/>
        <v>0</v>
      </c>
      <c r="DK77" s="260">
        <f t="shared" si="774"/>
        <v>0</v>
      </c>
      <c r="DL77" s="260">
        <f t="shared" si="774"/>
        <v>0</v>
      </c>
      <c r="DM77" s="260">
        <f t="shared" si="774"/>
        <v>0</v>
      </c>
      <c r="DN77" s="259">
        <f t="shared" si="774"/>
        <v>0</v>
      </c>
      <c r="DO77" s="260">
        <f t="shared" si="774"/>
        <v>0</v>
      </c>
      <c r="DP77" s="260">
        <f t="shared" si="774"/>
        <v>0</v>
      </c>
      <c r="DQ77" s="260">
        <f t="shared" si="774"/>
        <v>0</v>
      </c>
      <c r="DR77" s="260">
        <f t="shared" si="774"/>
        <v>0</v>
      </c>
      <c r="DS77" s="260">
        <f t="shared" si="774"/>
        <v>0</v>
      </c>
      <c r="DT77" s="260">
        <f t="shared" si="774"/>
        <v>0</v>
      </c>
      <c r="DU77" s="260">
        <f t="shared" si="774"/>
        <v>0</v>
      </c>
      <c r="DV77" s="260">
        <f t="shared" si="774"/>
        <v>0</v>
      </c>
      <c r="DW77" s="260">
        <f t="shared" si="774"/>
        <v>0</v>
      </c>
      <c r="DX77" s="260">
        <f t="shared" si="774"/>
        <v>0</v>
      </c>
      <c r="DY77" s="260">
        <f t="shared" si="774"/>
        <v>0</v>
      </c>
      <c r="DZ77" s="259">
        <f t="shared" si="774"/>
        <v>0</v>
      </c>
      <c r="EA77" s="260">
        <f t="shared" si="774"/>
        <v>0</v>
      </c>
      <c r="EB77" s="260">
        <f t="shared" si="774"/>
        <v>0</v>
      </c>
      <c r="EC77" s="260">
        <f t="shared" si="774"/>
        <v>0</v>
      </c>
      <c r="ED77" s="260">
        <f t="shared" si="774"/>
        <v>0</v>
      </c>
      <c r="EE77" s="260">
        <f t="shared" si="774"/>
        <v>0</v>
      </c>
      <c r="EF77" s="260">
        <f t="shared" si="774"/>
        <v>0</v>
      </c>
      <c r="EG77" s="260">
        <f t="shared" si="774"/>
        <v>0</v>
      </c>
      <c r="EH77" s="260">
        <f t="shared" si="774"/>
        <v>0</v>
      </c>
      <c r="EI77" s="260">
        <f t="shared" si="774"/>
        <v>0</v>
      </c>
      <c r="EJ77" s="260">
        <f t="shared" si="774"/>
        <v>0</v>
      </c>
      <c r="EK77" s="260">
        <f t="shared" si="774"/>
        <v>0</v>
      </c>
      <c r="EL77" s="259">
        <f t="shared" si="774"/>
        <v>0</v>
      </c>
      <c r="EM77" s="260">
        <f t="shared" si="774"/>
        <v>0</v>
      </c>
      <c r="EN77" s="260">
        <f t="shared" si="774"/>
        <v>0</v>
      </c>
      <c r="EO77" s="260">
        <f t="shared" ref="EO77:FT77" si="775">IF(_xlfn.NUMBERVALUE($B$2)&gt;=_xlfn.NUMBERVALUE(EO$9),EO63+EO28,0)</f>
        <v>0</v>
      </c>
      <c r="EP77" s="260">
        <f t="shared" si="775"/>
        <v>0</v>
      </c>
      <c r="EQ77" s="260">
        <f t="shared" si="775"/>
        <v>0</v>
      </c>
      <c r="ER77" s="260">
        <f t="shared" si="775"/>
        <v>0</v>
      </c>
      <c r="ES77" s="260">
        <f t="shared" si="775"/>
        <v>0</v>
      </c>
      <c r="ET77" s="260">
        <f t="shared" si="775"/>
        <v>0</v>
      </c>
      <c r="EU77" s="260">
        <f t="shared" si="775"/>
        <v>0</v>
      </c>
      <c r="EV77" s="260">
        <f t="shared" si="775"/>
        <v>0</v>
      </c>
      <c r="EW77" s="260">
        <f t="shared" si="775"/>
        <v>0</v>
      </c>
      <c r="EX77" s="259">
        <f t="shared" si="775"/>
        <v>0</v>
      </c>
      <c r="EY77" s="260">
        <f t="shared" si="775"/>
        <v>0</v>
      </c>
      <c r="EZ77" s="260">
        <f t="shared" si="775"/>
        <v>0</v>
      </c>
      <c r="FA77" s="260">
        <f t="shared" si="775"/>
        <v>0</v>
      </c>
      <c r="FB77" s="260">
        <f t="shared" si="775"/>
        <v>0</v>
      </c>
      <c r="FC77" s="260">
        <f t="shared" si="775"/>
        <v>0</v>
      </c>
      <c r="FD77" s="260">
        <f t="shared" si="775"/>
        <v>0</v>
      </c>
      <c r="FE77" s="260">
        <f t="shared" si="775"/>
        <v>0</v>
      </c>
      <c r="FF77" s="260">
        <f t="shared" si="775"/>
        <v>0</v>
      </c>
      <c r="FG77" s="260">
        <f t="shared" si="775"/>
        <v>0</v>
      </c>
      <c r="FH77" s="260">
        <f t="shared" si="775"/>
        <v>0</v>
      </c>
      <c r="FI77" s="260">
        <f t="shared" si="775"/>
        <v>0</v>
      </c>
      <c r="FJ77" s="259">
        <f t="shared" si="775"/>
        <v>0</v>
      </c>
      <c r="FK77" s="260">
        <f t="shared" si="775"/>
        <v>0</v>
      </c>
      <c r="FL77" s="260">
        <f t="shared" si="775"/>
        <v>0</v>
      </c>
      <c r="FM77" s="260">
        <f t="shared" si="775"/>
        <v>0</v>
      </c>
      <c r="FN77" s="260">
        <f t="shared" si="775"/>
        <v>0</v>
      </c>
      <c r="FO77" s="260">
        <f t="shared" si="775"/>
        <v>0</v>
      </c>
      <c r="FP77" s="260">
        <f t="shared" si="775"/>
        <v>0</v>
      </c>
      <c r="FQ77" s="260">
        <f t="shared" si="775"/>
        <v>0</v>
      </c>
      <c r="FR77" s="260">
        <f t="shared" si="775"/>
        <v>0</v>
      </c>
      <c r="FS77" s="260">
        <f t="shared" si="775"/>
        <v>0</v>
      </c>
      <c r="FT77" s="260">
        <f t="shared" si="775"/>
        <v>0</v>
      </c>
      <c r="FU77" s="260">
        <f t="shared" ref="FU77:GT77" si="776">IF(_xlfn.NUMBERVALUE($B$2)&gt;=_xlfn.NUMBERVALUE(FU$9),FU63+FU28,0)</f>
        <v>0</v>
      </c>
      <c r="FV77" s="259">
        <f t="shared" si="776"/>
        <v>0</v>
      </c>
      <c r="FW77" s="260">
        <f t="shared" si="776"/>
        <v>0</v>
      </c>
      <c r="FX77" s="260">
        <f t="shared" si="776"/>
        <v>0</v>
      </c>
      <c r="FY77" s="260">
        <f t="shared" si="776"/>
        <v>0</v>
      </c>
      <c r="FZ77" s="260">
        <f t="shared" si="776"/>
        <v>0</v>
      </c>
      <c r="GA77" s="260">
        <f t="shared" si="776"/>
        <v>0</v>
      </c>
      <c r="GB77" s="260">
        <f t="shared" si="776"/>
        <v>0</v>
      </c>
      <c r="GC77" s="260">
        <f t="shared" si="776"/>
        <v>0</v>
      </c>
      <c r="GD77" s="260">
        <f t="shared" si="776"/>
        <v>0</v>
      </c>
      <c r="GE77" s="260">
        <f t="shared" si="776"/>
        <v>0</v>
      </c>
      <c r="GF77" s="260">
        <f t="shared" si="776"/>
        <v>0</v>
      </c>
      <c r="GG77" s="260">
        <f t="shared" si="776"/>
        <v>0</v>
      </c>
      <c r="GH77" s="260">
        <f t="shared" si="776"/>
        <v>0</v>
      </c>
      <c r="GI77" s="260">
        <f t="shared" si="776"/>
        <v>0</v>
      </c>
      <c r="GJ77" s="260">
        <f t="shared" si="776"/>
        <v>0</v>
      </c>
      <c r="GK77" s="260">
        <f t="shared" si="776"/>
        <v>0</v>
      </c>
      <c r="GL77" s="260">
        <f t="shared" si="776"/>
        <v>0</v>
      </c>
      <c r="GM77" s="260">
        <f t="shared" si="776"/>
        <v>0</v>
      </c>
      <c r="GN77" s="260">
        <f t="shared" si="776"/>
        <v>0</v>
      </c>
      <c r="GO77" s="260">
        <f t="shared" si="776"/>
        <v>0</v>
      </c>
      <c r="GP77" s="260">
        <f t="shared" si="776"/>
        <v>0</v>
      </c>
      <c r="GQ77" s="260">
        <f t="shared" si="776"/>
        <v>0</v>
      </c>
      <c r="GR77" s="260">
        <f t="shared" si="776"/>
        <v>0</v>
      </c>
      <c r="GS77" s="260">
        <f t="shared" si="776"/>
        <v>0</v>
      </c>
      <c r="GT77" s="260">
        <f t="shared" si="776"/>
        <v>0</v>
      </c>
    </row>
    <row r="78" spans="1:202" s="49" customFormat="1" ht="15.75" hidden="1" customHeight="1">
      <c r="B78" s="340" t="s">
        <v>55</v>
      </c>
      <c r="C78" s="459">
        <f>SUM(V78:AG78)</f>
        <v>-15118.97</v>
      </c>
      <c r="D78" s="460">
        <f>SUM(AH78:AS78)</f>
        <v>-1779.2300000000005</v>
      </c>
      <c r="E78" s="461">
        <f>SUM(AT78:BE78)</f>
        <v>-5630.1799999999967</v>
      </c>
      <c r="F78" s="460">
        <f>SUM(BF78:BQ78)</f>
        <v>-3854.9799999999991</v>
      </c>
      <c r="G78" s="459">
        <f>SUM(BR78:CC78)</f>
        <v>-1730.2899999999995</v>
      </c>
      <c r="H78" s="460">
        <f t="shared" si="756"/>
        <v>-3399.4180000000028</v>
      </c>
      <c r="I78" s="462"/>
      <c r="J78" s="1081"/>
      <c r="K78" s="459">
        <f t="shared" si="757"/>
        <v>-1259.9141666666667</v>
      </c>
      <c r="L78" s="461">
        <f t="shared" si="757"/>
        <v>-148.26916666666671</v>
      </c>
      <c r="M78" s="461">
        <f t="shared" si="757"/>
        <v>-469.18166666666639</v>
      </c>
      <c r="N78" s="461">
        <f t="shared" si="757"/>
        <v>-321.24833333333328</v>
      </c>
      <c r="O78" s="462">
        <f>G78/12</f>
        <v>-144.1908333333333</v>
      </c>
      <c r="P78" s="459">
        <f>H78/12</f>
        <v>-283.28483333333355</v>
      </c>
      <c r="Q78" s="462"/>
      <c r="R78" s="1081"/>
      <c r="S78" s="463">
        <f t="shared" ref="S78:CC78" si="777">IF(_xlfn.NUMBERVALUE($B$2)&gt;=_xlfn.NUMBERVALUE(S$9),(S76+S77)-(S74+S75),"")</f>
        <v>456.07000000000016</v>
      </c>
      <c r="T78" s="463">
        <f t="shared" si="777"/>
        <v>344.57000000000016</v>
      </c>
      <c r="U78" s="463">
        <f t="shared" si="777"/>
        <v>-168.32000000000016</v>
      </c>
      <c r="V78" s="464">
        <f t="shared" si="777"/>
        <v>-11.109999999999673</v>
      </c>
      <c r="W78" s="463">
        <f t="shared" si="777"/>
        <v>2.2100000000000364</v>
      </c>
      <c r="X78" s="463">
        <f t="shared" si="777"/>
        <v>-25.929999999999836</v>
      </c>
      <c r="Y78" s="463">
        <f t="shared" si="777"/>
        <v>356.86999999999989</v>
      </c>
      <c r="Z78" s="463">
        <f t="shared" si="777"/>
        <v>543</v>
      </c>
      <c r="AA78" s="463">
        <f t="shared" si="777"/>
        <v>219.03999999999996</v>
      </c>
      <c r="AB78" s="463">
        <f t="shared" si="777"/>
        <v>587.9699999999998</v>
      </c>
      <c r="AC78" s="463">
        <f t="shared" si="777"/>
        <v>3.8600000000001273</v>
      </c>
      <c r="AD78" s="463">
        <f t="shared" si="777"/>
        <v>-520.75</v>
      </c>
      <c r="AE78" s="463">
        <f t="shared" si="777"/>
        <v>-77.869999999999891</v>
      </c>
      <c r="AF78" s="463">
        <f t="shared" si="777"/>
        <v>-11070.32</v>
      </c>
      <c r="AG78" s="463">
        <f t="shared" si="777"/>
        <v>-5125.9400000000005</v>
      </c>
      <c r="AH78" s="464">
        <f t="shared" si="777"/>
        <v>-380.63999999999987</v>
      </c>
      <c r="AI78" s="463">
        <f t="shared" si="777"/>
        <v>1456.2200000000003</v>
      </c>
      <c r="AJ78" s="463">
        <f t="shared" si="777"/>
        <v>-2802.04</v>
      </c>
      <c r="AK78" s="463">
        <f t="shared" si="777"/>
        <v>87.010000000000218</v>
      </c>
      <c r="AL78" s="463">
        <f t="shared" si="777"/>
        <v>190.64999999999964</v>
      </c>
      <c r="AM78" s="463">
        <f t="shared" si="777"/>
        <v>-210.98000000000002</v>
      </c>
      <c r="AN78" s="463">
        <f t="shared" si="777"/>
        <v>4574.6399999999994</v>
      </c>
      <c r="AO78" s="463">
        <f t="shared" si="777"/>
        <v>-1968.7799999999997</v>
      </c>
      <c r="AP78" s="463">
        <f t="shared" si="777"/>
        <v>-622.85999999999967</v>
      </c>
      <c r="AQ78" s="463">
        <f t="shared" si="777"/>
        <v>-495.72000000000025</v>
      </c>
      <c r="AR78" s="463">
        <f t="shared" si="777"/>
        <v>-104.8100000000004</v>
      </c>
      <c r="AS78" s="463">
        <f t="shared" si="777"/>
        <v>-1501.92</v>
      </c>
      <c r="AT78" s="464">
        <f t="shared" si="777"/>
        <v>12328.539999999999</v>
      </c>
      <c r="AU78" s="463">
        <f t="shared" si="777"/>
        <v>-14632.739999999998</v>
      </c>
      <c r="AV78" s="463">
        <f t="shared" si="777"/>
        <v>587.25999999999976</v>
      </c>
      <c r="AW78" s="463">
        <f t="shared" si="777"/>
        <v>17761.16</v>
      </c>
      <c r="AX78" s="463">
        <f t="shared" si="777"/>
        <v>-278.28999999999996</v>
      </c>
      <c r="AY78" s="463">
        <f t="shared" si="777"/>
        <v>30.029999999999745</v>
      </c>
      <c r="AZ78" s="463">
        <f t="shared" si="777"/>
        <v>-569.25</v>
      </c>
      <c r="BA78" s="463">
        <f t="shared" si="777"/>
        <v>-656.04999999999973</v>
      </c>
      <c r="BB78" s="463">
        <f t="shared" si="777"/>
        <v>-19085.199999999997</v>
      </c>
      <c r="BC78" s="463">
        <f t="shared" si="777"/>
        <v>-33.800000000000182</v>
      </c>
      <c r="BD78" s="463">
        <f t="shared" si="777"/>
        <v>67.059999999999945</v>
      </c>
      <c r="BE78" s="463">
        <f t="shared" si="777"/>
        <v>-1148.8999999999996</v>
      </c>
      <c r="BF78" s="464">
        <f t="shared" si="777"/>
        <v>-657.02999999999975</v>
      </c>
      <c r="BG78" s="463">
        <f t="shared" si="777"/>
        <v>45.230000000000018</v>
      </c>
      <c r="BH78" s="463">
        <f t="shared" si="777"/>
        <v>-153.70000000000027</v>
      </c>
      <c r="BI78" s="463">
        <f t="shared" si="777"/>
        <v>-46.130000000000109</v>
      </c>
      <c r="BJ78" s="463">
        <f t="shared" si="777"/>
        <v>-197.89999999999964</v>
      </c>
      <c r="BK78" s="463">
        <f t="shared" si="777"/>
        <v>-301.97000000000025</v>
      </c>
      <c r="BL78" s="463">
        <f t="shared" si="777"/>
        <v>179.44000000000005</v>
      </c>
      <c r="BM78" s="463">
        <f t="shared" si="777"/>
        <v>-557.04999999999973</v>
      </c>
      <c r="BN78" s="463">
        <f t="shared" si="777"/>
        <v>-1348.04</v>
      </c>
      <c r="BO78" s="463">
        <f t="shared" si="777"/>
        <v>-46.159999999999854</v>
      </c>
      <c r="BP78" s="463">
        <f t="shared" si="777"/>
        <v>-165.05000000000018</v>
      </c>
      <c r="BQ78" s="463">
        <f t="shared" si="777"/>
        <v>-606.61999999999944</v>
      </c>
      <c r="BR78" s="464">
        <f t="shared" si="777"/>
        <v>-365.0300000000002</v>
      </c>
      <c r="BS78" s="463">
        <f t="shared" si="777"/>
        <v>-94.470000000000255</v>
      </c>
      <c r="BT78" s="463">
        <f t="shared" si="777"/>
        <v>-461.79999999999973</v>
      </c>
      <c r="BU78" s="463">
        <f t="shared" si="777"/>
        <v>64</v>
      </c>
      <c r="BV78" s="463">
        <f t="shared" si="777"/>
        <v>-61.249999999999545</v>
      </c>
      <c r="BW78" s="463">
        <f t="shared" si="777"/>
        <v>-388.34000000000015</v>
      </c>
      <c r="BX78" s="463">
        <f t="shared" si="777"/>
        <v>69.8100000000004</v>
      </c>
      <c r="BY78" s="463">
        <f t="shared" si="777"/>
        <v>-950.15999999999985</v>
      </c>
      <c r="BZ78" s="463">
        <f t="shared" si="777"/>
        <v>-398.85999999999967</v>
      </c>
      <c r="CA78" s="463">
        <f t="shared" si="777"/>
        <v>3058.2</v>
      </c>
      <c r="CB78" s="463">
        <f t="shared" si="777"/>
        <v>-1424.2200000000003</v>
      </c>
      <c r="CC78" s="463">
        <f t="shared" si="777"/>
        <v>-778.17000000000007</v>
      </c>
      <c r="CD78" s="464">
        <f>IF(_xlfn.NUMBERVALUE($B$2)&gt;=_xlfn.NUMBERVALUE(CD$9),(CD76+CD77)-(CD74+CD75),"")</f>
        <v>59.890000000000327</v>
      </c>
      <c r="CE78" s="463">
        <f t="shared" ref="CE78:EP78" si="778">IF(_xlfn.NUMBERVALUE($B$2)&gt;=_xlfn.NUMBERVALUE(CE$9),(CE76+CE77)-(CE74+CE75),"")</f>
        <v>126.26999999999953</v>
      </c>
      <c r="CF78" s="463">
        <f t="shared" si="778"/>
        <v>-647.64000000000033</v>
      </c>
      <c r="CG78" s="463">
        <f t="shared" si="778"/>
        <v>-66.509999999999764</v>
      </c>
      <c r="CH78" s="463">
        <f t="shared" si="778"/>
        <v>-112.76000000000067</v>
      </c>
      <c r="CI78" s="463">
        <f t="shared" si="778"/>
        <v>46.639999999999873</v>
      </c>
      <c r="CJ78" s="463">
        <f t="shared" si="778"/>
        <v>-89.960000000000946</v>
      </c>
      <c r="CK78" s="463">
        <f t="shared" si="778"/>
        <v>-800.98800000000074</v>
      </c>
      <c r="CL78" s="463">
        <f t="shared" si="778"/>
        <v>-678.80000000000064</v>
      </c>
      <c r="CM78" s="463">
        <f t="shared" si="778"/>
        <v>3.7100000000000364</v>
      </c>
      <c r="CN78" s="463">
        <f t="shared" si="778"/>
        <v>0.73000000000001819</v>
      </c>
      <c r="CO78" s="463">
        <f t="shared" si="778"/>
        <v>-1239.9999999999995</v>
      </c>
      <c r="CP78" s="464">
        <f t="shared" si="778"/>
        <v>-276.12000000000035</v>
      </c>
      <c r="CQ78" s="463">
        <f t="shared" si="778"/>
        <v>90.569999999999709</v>
      </c>
      <c r="CR78" s="463">
        <f t="shared" si="778"/>
        <v>-394.46799999999939</v>
      </c>
      <c r="CS78" s="463">
        <f t="shared" si="778"/>
        <v>-1616.6399999999999</v>
      </c>
      <c r="CT78" s="463">
        <f t="shared" si="778"/>
        <v>-1143.8980000000001</v>
      </c>
      <c r="CU78" s="463">
        <f t="shared" si="778"/>
        <v>-1326.0079999999998</v>
      </c>
      <c r="CV78" s="463">
        <f t="shared" si="778"/>
        <v>-403.75</v>
      </c>
      <c r="CW78" s="463">
        <f t="shared" si="778"/>
        <v>96.5600000000004</v>
      </c>
      <c r="CX78" s="463">
        <f t="shared" si="778"/>
        <v>-2474.8499999999995</v>
      </c>
      <c r="CY78" s="463">
        <f t="shared" si="778"/>
        <v>-799.5</v>
      </c>
      <c r="CZ78" s="463" t="str">
        <f t="shared" si="778"/>
        <v/>
      </c>
      <c r="DA78" s="463" t="str">
        <f t="shared" si="778"/>
        <v/>
      </c>
      <c r="DB78" s="464" t="str">
        <f t="shared" si="778"/>
        <v/>
      </c>
      <c r="DC78" s="463" t="str">
        <f t="shared" si="778"/>
        <v/>
      </c>
      <c r="DD78" s="463" t="str">
        <f t="shared" si="778"/>
        <v/>
      </c>
      <c r="DE78" s="463" t="str">
        <f t="shared" si="778"/>
        <v/>
      </c>
      <c r="DF78" s="463" t="str">
        <f t="shared" si="778"/>
        <v/>
      </c>
      <c r="DG78" s="463" t="str">
        <f t="shared" si="778"/>
        <v/>
      </c>
      <c r="DH78" s="463" t="str">
        <f t="shared" si="778"/>
        <v/>
      </c>
      <c r="DI78" s="463" t="str">
        <f t="shared" si="778"/>
        <v/>
      </c>
      <c r="DJ78" s="463" t="str">
        <f t="shared" si="778"/>
        <v/>
      </c>
      <c r="DK78" s="463" t="str">
        <f t="shared" si="778"/>
        <v/>
      </c>
      <c r="DL78" s="463" t="str">
        <f t="shared" si="778"/>
        <v/>
      </c>
      <c r="DM78" s="463" t="str">
        <f t="shared" si="778"/>
        <v/>
      </c>
      <c r="DN78" s="464" t="str">
        <f t="shared" si="778"/>
        <v/>
      </c>
      <c r="DO78" s="463" t="str">
        <f t="shared" si="778"/>
        <v/>
      </c>
      <c r="DP78" s="463" t="str">
        <f t="shared" si="778"/>
        <v/>
      </c>
      <c r="DQ78" s="463" t="str">
        <f t="shared" si="778"/>
        <v/>
      </c>
      <c r="DR78" s="463" t="str">
        <f t="shared" si="778"/>
        <v/>
      </c>
      <c r="DS78" s="463" t="str">
        <f t="shared" si="778"/>
        <v/>
      </c>
      <c r="DT78" s="463" t="str">
        <f t="shared" si="778"/>
        <v/>
      </c>
      <c r="DU78" s="463" t="str">
        <f t="shared" si="778"/>
        <v/>
      </c>
      <c r="DV78" s="463" t="str">
        <f t="shared" si="778"/>
        <v/>
      </c>
      <c r="DW78" s="463" t="str">
        <f t="shared" si="778"/>
        <v/>
      </c>
      <c r="DX78" s="463" t="str">
        <f t="shared" si="778"/>
        <v/>
      </c>
      <c r="DY78" s="463" t="str">
        <f t="shared" si="778"/>
        <v/>
      </c>
      <c r="DZ78" s="464" t="str">
        <f t="shared" si="778"/>
        <v/>
      </c>
      <c r="EA78" s="463" t="str">
        <f t="shared" si="778"/>
        <v/>
      </c>
      <c r="EB78" s="463" t="str">
        <f t="shared" si="778"/>
        <v/>
      </c>
      <c r="EC78" s="463" t="str">
        <f t="shared" si="778"/>
        <v/>
      </c>
      <c r="ED78" s="463" t="str">
        <f t="shared" si="778"/>
        <v/>
      </c>
      <c r="EE78" s="463" t="str">
        <f t="shared" si="778"/>
        <v/>
      </c>
      <c r="EF78" s="463" t="str">
        <f t="shared" si="778"/>
        <v/>
      </c>
      <c r="EG78" s="463" t="str">
        <f t="shared" si="778"/>
        <v/>
      </c>
      <c r="EH78" s="463" t="str">
        <f t="shared" si="778"/>
        <v/>
      </c>
      <c r="EI78" s="463" t="str">
        <f t="shared" si="778"/>
        <v/>
      </c>
      <c r="EJ78" s="463" t="str">
        <f t="shared" si="778"/>
        <v/>
      </c>
      <c r="EK78" s="463" t="str">
        <f t="shared" si="778"/>
        <v/>
      </c>
      <c r="EL78" s="464" t="str">
        <f t="shared" si="778"/>
        <v/>
      </c>
      <c r="EM78" s="463" t="str">
        <f t="shared" si="778"/>
        <v/>
      </c>
      <c r="EN78" s="463" t="str">
        <f t="shared" si="778"/>
        <v/>
      </c>
      <c r="EO78" s="463" t="str">
        <f t="shared" si="778"/>
        <v/>
      </c>
      <c r="EP78" s="463" t="str">
        <f t="shared" si="778"/>
        <v/>
      </c>
      <c r="EQ78" s="463" t="str">
        <f t="shared" ref="EQ78:GT78" si="779">IF(_xlfn.NUMBERVALUE($B$2)&gt;=_xlfn.NUMBERVALUE(EQ$9),(EQ76+EQ77)-(EQ74+EQ75),"")</f>
        <v/>
      </c>
      <c r="ER78" s="463" t="str">
        <f t="shared" si="779"/>
        <v/>
      </c>
      <c r="ES78" s="463" t="str">
        <f t="shared" si="779"/>
        <v/>
      </c>
      <c r="ET78" s="463" t="str">
        <f t="shared" si="779"/>
        <v/>
      </c>
      <c r="EU78" s="463" t="str">
        <f t="shared" si="779"/>
        <v/>
      </c>
      <c r="EV78" s="463" t="str">
        <f t="shared" si="779"/>
        <v/>
      </c>
      <c r="EW78" s="463" t="str">
        <f t="shared" si="779"/>
        <v/>
      </c>
      <c r="EX78" s="464" t="str">
        <f t="shared" si="779"/>
        <v/>
      </c>
      <c r="EY78" s="463" t="str">
        <f t="shared" si="779"/>
        <v/>
      </c>
      <c r="EZ78" s="463" t="str">
        <f t="shared" si="779"/>
        <v/>
      </c>
      <c r="FA78" s="463" t="str">
        <f t="shared" si="779"/>
        <v/>
      </c>
      <c r="FB78" s="463" t="str">
        <f t="shared" si="779"/>
        <v/>
      </c>
      <c r="FC78" s="463" t="str">
        <f t="shared" si="779"/>
        <v/>
      </c>
      <c r="FD78" s="463" t="str">
        <f t="shared" si="779"/>
        <v/>
      </c>
      <c r="FE78" s="463" t="str">
        <f t="shared" si="779"/>
        <v/>
      </c>
      <c r="FF78" s="463" t="str">
        <f t="shared" si="779"/>
        <v/>
      </c>
      <c r="FG78" s="463" t="str">
        <f t="shared" si="779"/>
        <v/>
      </c>
      <c r="FH78" s="463" t="str">
        <f t="shared" si="779"/>
        <v/>
      </c>
      <c r="FI78" s="463" t="str">
        <f t="shared" si="779"/>
        <v/>
      </c>
      <c r="FJ78" s="464" t="str">
        <f t="shared" si="779"/>
        <v/>
      </c>
      <c r="FK78" s="463" t="str">
        <f t="shared" si="779"/>
        <v/>
      </c>
      <c r="FL78" s="463" t="str">
        <f t="shared" si="779"/>
        <v/>
      </c>
      <c r="FM78" s="463" t="str">
        <f t="shared" si="779"/>
        <v/>
      </c>
      <c r="FN78" s="463" t="str">
        <f t="shared" si="779"/>
        <v/>
      </c>
      <c r="FO78" s="463" t="str">
        <f t="shared" si="779"/>
        <v/>
      </c>
      <c r="FP78" s="463" t="str">
        <f t="shared" si="779"/>
        <v/>
      </c>
      <c r="FQ78" s="463" t="str">
        <f t="shared" si="779"/>
        <v/>
      </c>
      <c r="FR78" s="463" t="str">
        <f t="shared" si="779"/>
        <v/>
      </c>
      <c r="FS78" s="463" t="str">
        <f t="shared" si="779"/>
        <v/>
      </c>
      <c r="FT78" s="463" t="str">
        <f t="shared" si="779"/>
        <v/>
      </c>
      <c r="FU78" s="463" t="str">
        <f t="shared" si="779"/>
        <v/>
      </c>
      <c r="FV78" s="464" t="str">
        <f t="shared" si="779"/>
        <v/>
      </c>
      <c r="FW78" s="463" t="str">
        <f t="shared" si="779"/>
        <v/>
      </c>
      <c r="FX78" s="463" t="str">
        <f t="shared" si="779"/>
        <v/>
      </c>
      <c r="FY78" s="463" t="str">
        <f t="shared" si="779"/>
        <v/>
      </c>
      <c r="FZ78" s="463" t="str">
        <f t="shared" si="779"/>
        <v/>
      </c>
      <c r="GA78" s="463" t="str">
        <f t="shared" si="779"/>
        <v/>
      </c>
      <c r="GB78" s="463" t="str">
        <f t="shared" si="779"/>
        <v/>
      </c>
      <c r="GC78" s="463" t="str">
        <f t="shared" si="779"/>
        <v/>
      </c>
      <c r="GD78" s="463" t="str">
        <f t="shared" si="779"/>
        <v/>
      </c>
      <c r="GE78" s="463" t="str">
        <f t="shared" si="779"/>
        <v/>
      </c>
      <c r="GF78" s="463" t="str">
        <f t="shared" si="779"/>
        <v/>
      </c>
      <c r="GG78" s="463" t="str">
        <f t="shared" si="779"/>
        <v/>
      </c>
      <c r="GH78" s="463" t="str">
        <f t="shared" si="779"/>
        <v/>
      </c>
      <c r="GI78" s="463" t="str">
        <f t="shared" si="779"/>
        <v/>
      </c>
      <c r="GJ78" s="463" t="str">
        <f t="shared" si="779"/>
        <v/>
      </c>
      <c r="GK78" s="463" t="str">
        <f t="shared" si="779"/>
        <v/>
      </c>
      <c r="GL78" s="463" t="str">
        <f t="shared" si="779"/>
        <v/>
      </c>
      <c r="GM78" s="463" t="str">
        <f t="shared" si="779"/>
        <v/>
      </c>
      <c r="GN78" s="463" t="str">
        <f t="shared" si="779"/>
        <v/>
      </c>
      <c r="GO78" s="463" t="str">
        <f t="shared" si="779"/>
        <v/>
      </c>
      <c r="GP78" s="463" t="str">
        <f t="shared" si="779"/>
        <v/>
      </c>
      <c r="GQ78" s="463" t="str">
        <f t="shared" si="779"/>
        <v/>
      </c>
      <c r="GR78" s="463" t="str">
        <f t="shared" si="779"/>
        <v/>
      </c>
      <c r="GS78" s="463" t="str">
        <f t="shared" si="779"/>
        <v/>
      </c>
      <c r="GT78" s="463" t="str">
        <f t="shared" si="779"/>
        <v/>
      </c>
    </row>
    <row r="79" spans="1:202" ht="15.75" hidden="1" customHeight="1">
      <c r="B79" s="666"/>
      <c r="C79" s="665"/>
      <c r="D79" s="665"/>
      <c r="E79" s="665"/>
      <c r="F79" s="665"/>
      <c r="G79" s="665"/>
      <c r="H79" s="665"/>
      <c r="I79" s="52"/>
      <c r="J79" s="1079"/>
      <c r="K79" s="665"/>
      <c r="L79" s="665"/>
      <c r="M79" s="665"/>
      <c r="N79" s="665"/>
      <c r="O79" s="665"/>
      <c r="P79" s="665"/>
      <c r="Q79" s="52"/>
      <c r="R79" s="1079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</row>
    <row r="80" spans="1:202" ht="15.75" hidden="1" customHeight="1">
      <c r="B80" s="340" t="s">
        <v>66</v>
      </c>
      <c r="C80" s="663">
        <f>SUM(V80:AG80)</f>
        <v>2170.39</v>
      </c>
      <c r="D80" s="448">
        <f>SUM(AH80:AS80)</f>
        <v>11207</v>
      </c>
      <c r="E80" s="423">
        <f>SUM(AT80:BE80)</f>
        <v>33270.18</v>
      </c>
      <c r="F80" s="663">
        <f>SUM(BF80:BQ80)</f>
        <v>1061.75</v>
      </c>
      <c r="G80" s="663">
        <f>SUM(BR80:CC80)</f>
        <v>3418.67</v>
      </c>
      <c r="H80" s="448">
        <f t="shared" si="756"/>
        <v>2188.06</v>
      </c>
      <c r="I80" s="448"/>
      <c r="J80" s="1079"/>
      <c r="K80" s="664">
        <f t="shared" ref="K80:P82" si="780">C80/12</f>
        <v>180.86583333333331</v>
      </c>
      <c r="L80" s="663">
        <f t="shared" si="780"/>
        <v>933.91666666666663</v>
      </c>
      <c r="M80" s="663">
        <f t="shared" si="780"/>
        <v>2772.5149999999999</v>
      </c>
      <c r="N80" s="448">
        <f t="shared" si="780"/>
        <v>88.479166666666671</v>
      </c>
      <c r="O80" s="663">
        <f t="shared" si="780"/>
        <v>284.88916666666665</v>
      </c>
      <c r="P80" s="663">
        <f t="shared" si="780"/>
        <v>182.33833333333334</v>
      </c>
      <c r="Q80" s="448"/>
      <c r="R80" s="1079"/>
      <c r="S80" s="448">
        <f t="shared" ref="S80:AX80" si="781">S28+S63</f>
        <v>19.3</v>
      </c>
      <c r="T80" s="448">
        <f t="shared" si="781"/>
        <v>0</v>
      </c>
      <c r="U80" s="448">
        <f t="shared" si="781"/>
        <v>200.87</v>
      </c>
      <c r="V80" s="423">
        <f t="shared" si="781"/>
        <v>0</v>
      </c>
      <c r="W80" s="448">
        <f t="shared" si="781"/>
        <v>523.29</v>
      </c>
      <c r="X80" s="448">
        <f t="shared" si="781"/>
        <v>0</v>
      </c>
      <c r="Y80" s="448">
        <f t="shared" si="781"/>
        <v>0</v>
      </c>
      <c r="Z80" s="448">
        <f t="shared" si="781"/>
        <v>180</v>
      </c>
      <c r="AA80" s="448">
        <f t="shared" si="781"/>
        <v>15.99</v>
      </c>
      <c r="AB80" s="448">
        <f t="shared" si="781"/>
        <v>229.99</v>
      </c>
      <c r="AC80" s="448">
        <f t="shared" si="781"/>
        <v>180</v>
      </c>
      <c r="AD80" s="448">
        <f t="shared" si="781"/>
        <v>420</v>
      </c>
      <c r="AE80" s="448">
        <f t="shared" si="781"/>
        <v>210</v>
      </c>
      <c r="AF80" s="448">
        <f t="shared" si="781"/>
        <v>350</v>
      </c>
      <c r="AG80" s="448">
        <f t="shared" si="781"/>
        <v>61.12</v>
      </c>
      <c r="AH80" s="423">
        <f t="shared" si="781"/>
        <v>65</v>
      </c>
      <c r="AI80" s="448">
        <f t="shared" si="781"/>
        <v>4650</v>
      </c>
      <c r="AJ80" s="448">
        <f t="shared" si="781"/>
        <v>630</v>
      </c>
      <c r="AK80" s="448">
        <f t="shared" si="781"/>
        <v>0</v>
      </c>
      <c r="AL80" s="448">
        <f t="shared" si="781"/>
        <v>0</v>
      </c>
      <c r="AM80" s="448">
        <f t="shared" si="781"/>
        <v>250</v>
      </c>
      <c r="AN80" s="448">
        <f t="shared" si="781"/>
        <v>5470</v>
      </c>
      <c r="AO80" s="448">
        <f t="shared" si="781"/>
        <v>0</v>
      </c>
      <c r="AP80" s="448">
        <f t="shared" si="781"/>
        <v>0</v>
      </c>
      <c r="AQ80" s="448">
        <f t="shared" si="781"/>
        <v>0</v>
      </c>
      <c r="AR80" s="448">
        <f t="shared" si="781"/>
        <v>142</v>
      </c>
      <c r="AS80" s="448">
        <f t="shared" si="781"/>
        <v>0</v>
      </c>
      <c r="AT80" s="423">
        <f t="shared" si="781"/>
        <v>14008.97</v>
      </c>
      <c r="AU80" s="448">
        <f t="shared" si="781"/>
        <v>0</v>
      </c>
      <c r="AV80" s="448">
        <f t="shared" si="781"/>
        <v>475.2</v>
      </c>
      <c r="AW80" s="448">
        <f t="shared" si="781"/>
        <v>18400</v>
      </c>
      <c r="AX80" s="448">
        <f t="shared" si="781"/>
        <v>0</v>
      </c>
      <c r="AY80" s="448">
        <f t="shared" ref="AY80:CD80" si="782">AY28+AY63</f>
        <v>0</v>
      </c>
      <c r="AZ80" s="448">
        <f t="shared" si="782"/>
        <v>200</v>
      </c>
      <c r="BA80" s="448">
        <f t="shared" si="782"/>
        <v>86</v>
      </c>
      <c r="BB80" s="448">
        <f t="shared" si="782"/>
        <v>100.01</v>
      </c>
      <c r="BC80" s="448">
        <f t="shared" si="782"/>
        <v>0</v>
      </c>
      <c r="BD80" s="448">
        <f t="shared" si="782"/>
        <v>0</v>
      </c>
      <c r="BE80" s="448">
        <f t="shared" si="782"/>
        <v>0</v>
      </c>
      <c r="BF80" s="423">
        <f t="shared" si="782"/>
        <v>0.12</v>
      </c>
      <c r="BG80" s="448">
        <f t="shared" si="782"/>
        <v>0</v>
      </c>
      <c r="BH80" s="448">
        <f t="shared" si="782"/>
        <v>150</v>
      </c>
      <c r="BI80" s="448">
        <f t="shared" si="782"/>
        <v>0</v>
      </c>
      <c r="BJ80" s="448">
        <f t="shared" si="782"/>
        <v>250</v>
      </c>
      <c r="BK80" s="448">
        <f t="shared" si="782"/>
        <v>0</v>
      </c>
      <c r="BL80" s="448">
        <f t="shared" si="782"/>
        <v>380</v>
      </c>
      <c r="BM80" s="448">
        <f t="shared" si="782"/>
        <v>281.63</v>
      </c>
      <c r="BN80" s="448">
        <f t="shared" si="782"/>
        <v>0</v>
      </c>
      <c r="BO80" s="448">
        <f t="shared" si="782"/>
        <v>0</v>
      </c>
      <c r="BP80" s="448">
        <f t="shared" si="782"/>
        <v>0</v>
      </c>
      <c r="BQ80" s="448">
        <f t="shared" si="782"/>
        <v>0</v>
      </c>
      <c r="BR80" s="423">
        <f t="shared" si="782"/>
        <v>10.029999999999999</v>
      </c>
      <c r="BS80" s="448">
        <f t="shared" si="782"/>
        <v>0</v>
      </c>
      <c r="BT80" s="448">
        <f t="shared" si="782"/>
        <v>0</v>
      </c>
      <c r="BU80" s="448">
        <f t="shared" si="782"/>
        <v>0</v>
      </c>
      <c r="BV80" s="448">
        <f t="shared" si="782"/>
        <v>125</v>
      </c>
      <c r="BW80" s="448">
        <f t="shared" si="782"/>
        <v>0</v>
      </c>
      <c r="BX80" s="448">
        <f t="shared" si="782"/>
        <v>0</v>
      </c>
      <c r="BY80" s="448">
        <f t="shared" si="782"/>
        <v>255.46</v>
      </c>
      <c r="BZ80" s="448">
        <f t="shared" si="782"/>
        <v>707.21</v>
      </c>
      <c r="CA80" s="448">
        <f t="shared" si="782"/>
        <v>1669</v>
      </c>
      <c r="CB80" s="448">
        <f t="shared" si="782"/>
        <v>377</v>
      </c>
      <c r="CC80" s="448">
        <f t="shared" si="782"/>
        <v>274.97000000000003</v>
      </c>
      <c r="CD80" s="423">
        <f t="shared" si="782"/>
        <v>109.63</v>
      </c>
      <c r="CE80" s="448">
        <f t="shared" ref="CE80:DJ80" si="783">CE28+CE63</f>
        <v>6.99</v>
      </c>
      <c r="CF80" s="448">
        <f t="shared" si="783"/>
        <v>250</v>
      </c>
      <c r="CG80" s="448">
        <f t="shared" si="783"/>
        <v>314</v>
      </c>
      <c r="CH80" s="448">
        <f t="shared" si="783"/>
        <v>180.18</v>
      </c>
      <c r="CI80" s="448">
        <f t="shared" si="783"/>
        <v>0</v>
      </c>
      <c r="CJ80" s="448">
        <f t="shared" si="783"/>
        <v>0</v>
      </c>
      <c r="CK80" s="448">
        <f t="shared" si="783"/>
        <v>480.28</v>
      </c>
      <c r="CL80" s="448">
        <f t="shared" si="783"/>
        <v>225</v>
      </c>
      <c r="CM80" s="448">
        <f t="shared" si="783"/>
        <v>380</v>
      </c>
      <c r="CN80" s="448">
        <f t="shared" si="783"/>
        <v>230</v>
      </c>
      <c r="CO80" s="448">
        <f t="shared" si="783"/>
        <v>11.98</v>
      </c>
      <c r="CP80" s="423">
        <f t="shared" si="783"/>
        <v>150.11000000000001</v>
      </c>
      <c r="CQ80" s="448">
        <f t="shared" si="783"/>
        <v>141</v>
      </c>
      <c r="CR80" s="448">
        <f>CR28+CR63</f>
        <v>13.85</v>
      </c>
      <c r="CS80" s="448">
        <f>CS28+CS63</f>
        <v>614.98</v>
      </c>
      <c r="CT80" s="448">
        <f t="shared" si="783"/>
        <v>1.01</v>
      </c>
      <c r="CU80" s="448">
        <f t="shared" si="783"/>
        <v>380</v>
      </c>
      <c r="CV80" s="448">
        <f t="shared" si="783"/>
        <v>69.45</v>
      </c>
      <c r="CW80" s="448">
        <f t="shared" si="783"/>
        <v>2454.6099999999997</v>
      </c>
      <c r="CX80" s="448">
        <f t="shared" si="783"/>
        <v>425.37</v>
      </c>
      <c r="CY80" s="448">
        <f t="shared" si="783"/>
        <v>27.29</v>
      </c>
      <c r="CZ80" s="448">
        <f t="shared" si="783"/>
        <v>0</v>
      </c>
      <c r="DA80" s="448">
        <f t="shared" si="783"/>
        <v>0</v>
      </c>
      <c r="DB80" s="423">
        <f t="shared" si="783"/>
        <v>0</v>
      </c>
      <c r="DC80" s="448">
        <f t="shared" si="783"/>
        <v>0</v>
      </c>
      <c r="DD80" s="448">
        <f t="shared" si="783"/>
        <v>0</v>
      </c>
      <c r="DE80" s="448">
        <f t="shared" si="783"/>
        <v>0</v>
      </c>
      <c r="DF80" s="448">
        <f t="shared" si="783"/>
        <v>0</v>
      </c>
      <c r="DG80" s="448">
        <f t="shared" si="783"/>
        <v>0</v>
      </c>
      <c r="DH80" s="448">
        <f t="shared" si="783"/>
        <v>0</v>
      </c>
      <c r="DI80" s="448">
        <f t="shared" si="783"/>
        <v>0</v>
      </c>
      <c r="DJ80" s="448">
        <f t="shared" si="783"/>
        <v>0</v>
      </c>
      <c r="DK80" s="448">
        <f t="shared" ref="DK80:EP80" si="784">DK28+DK63</f>
        <v>0</v>
      </c>
      <c r="DL80" s="448">
        <f t="shared" si="784"/>
        <v>0</v>
      </c>
      <c r="DM80" s="448">
        <f t="shared" si="784"/>
        <v>0</v>
      </c>
      <c r="DN80" s="423">
        <f t="shared" si="784"/>
        <v>0</v>
      </c>
      <c r="DO80" s="448">
        <f t="shared" si="784"/>
        <v>0</v>
      </c>
      <c r="DP80" s="448">
        <f t="shared" si="784"/>
        <v>0</v>
      </c>
      <c r="DQ80" s="448">
        <f t="shared" si="784"/>
        <v>0</v>
      </c>
      <c r="DR80" s="448">
        <f t="shared" si="784"/>
        <v>0</v>
      </c>
      <c r="DS80" s="448">
        <f t="shared" si="784"/>
        <v>0</v>
      </c>
      <c r="DT80" s="448">
        <f t="shared" si="784"/>
        <v>0</v>
      </c>
      <c r="DU80" s="448">
        <f t="shared" si="784"/>
        <v>0</v>
      </c>
      <c r="DV80" s="448">
        <f t="shared" si="784"/>
        <v>0</v>
      </c>
      <c r="DW80" s="448">
        <f t="shared" si="784"/>
        <v>0</v>
      </c>
      <c r="DX80" s="448">
        <f t="shared" si="784"/>
        <v>0</v>
      </c>
      <c r="DY80" s="448">
        <f t="shared" si="784"/>
        <v>0</v>
      </c>
      <c r="DZ80" s="423">
        <f t="shared" si="784"/>
        <v>0</v>
      </c>
      <c r="EA80" s="448">
        <f t="shared" si="784"/>
        <v>0</v>
      </c>
      <c r="EB80" s="448">
        <f t="shared" si="784"/>
        <v>0</v>
      </c>
      <c r="EC80" s="448">
        <f t="shared" si="784"/>
        <v>0</v>
      </c>
      <c r="ED80" s="448">
        <f t="shared" si="784"/>
        <v>0</v>
      </c>
      <c r="EE80" s="448">
        <f t="shared" si="784"/>
        <v>0</v>
      </c>
      <c r="EF80" s="448">
        <f t="shared" si="784"/>
        <v>0</v>
      </c>
      <c r="EG80" s="448">
        <f t="shared" si="784"/>
        <v>0</v>
      </c>
      <c r="EH80" s="448">
        <f t="shared" si="784"/>
        <v>0</v>
      </c>
      <c r="EI80" s="448">
        <f t="shared" si="784"/>
        <v>0</v>
      </c>
      <c r="EJ80" s="448">
        <f t="shared" si="784"/>
        <v>0</v>
      </c>
      <c r="EK80" s="448">
        <f t="shared" si="784"/>
        <v>0</v>
      </c>
      <c r="EL80" s="423">
        <f t="shared" si="784"/>
        <v>0</v>
      </c>
      <c r="EM80" s="448">
        <f t="shared" si="784"/>
        <v>0</v>
      </c>
      <c r="EN80" s="448">
        <f t="shared" si="784"/>
        <v>0</v>
      </c>
      <c r="EO80" s="448">
        <f t="shared" si="784"/>
        <v>0</v>
      </c>
      <c r="EP80" s="448">
        <f t="shared" si="784"/>
        <v>0</v>
      </c>
      <c r="EQ80" s="448">
        <f t="shared" ref="EQ80:FV80" si="785">EQ28+EQ63</f>
        <v>0</v>
      </c>
      <c r="ER80" s="448">
        <f t="shared" si="785"/>
        <v>0</v>
      </c>
      <c r="ES80" s="448">
        <f t="shared" si="785"/>
        <v>0</v>
      </c>
      <c r="ET80" s="448">
        <f t="shared" si="785"/>
        <v>0</v>
      </c>
      <c r="EU80" s="448">
        <f t="shared" si="785"/>
        <v>0</v>
      </c>
      <c r="EV80" s="448">
        <f t="shared" si="785"/>
        <v>0</v>
      </c>
      <c r="EW80" s="448">
        <f t="shared" si="785"/>
        <v>0</v>
      </c>
      <c r="EX80" s="423">
        <f t="shared" si="785"/>
        <v>0</v>
      </c>
      <c r="EY80" s="448">
        <f t="shared" si="785"/>
        <v>0</v>
      </c>
      <c r="EZ80" s="448">
        <f t="shared" si="785"/>
        <v>0</v>
      </c>
      <c r="FA80" s="448">
        <f t="shared" si="785"/>
        <v>0</v>
      </c>
      <c r="FB80" s="448">
        <f t="shared" si="785"/>
        <v>0</v>
      </c>
      <c r="FC80" s="448">
        <f t="shared" si="785"/>
        <v>0</v>
      </c>
      <c r="FD80" s="448">
        <f t="shared" si="785"/>
        <v>0</v>
      </c>
      <c r="FE80" s="448">
        <f t="shared" si="785"/>
        <v>0</v>
      </c>
      <c r="FF80" s="448">
        <f t="shared" si="785"/>
        <v>0</v>
      </c>
      <c r="FG80" s="448">
        <f t="shared" si="785"/>
        <v>0</v>
      </c>
      <c r="FH80" s="448">
        <f t="shared" si="785"/>
        <v>0</v>
      </c>
      <c r="FI80" s="448">
        <f t="shared" si="785"/>
        <v>0</v>
      </c>
      <c r="FJ80" s="423">
        <f t="shared" si="785"/>
        <v>0</v>
      </c>
      <c r="FK80" s="448">
        <f t="shared" si="785"/>
        <v>0</v>
      </c>
      <c r="FL80" s="448">
        <f t="shared" si="785"/>
        <v>0</v>
      </c>
      <c r="FM80" s="448">
        <f t="shared" si="785"/>
        <v>0</v>
      </c>
      <c r="FN80" s="448">
        <f t="shared" si="785"/>
        <v>0</v>
      </c>
      <c r="FO80" s="448">
        <f t="shared" si="785"/>
        <v>0</v>
      </c>
      <c r="FP80" s="448">
        <f t="shared" si="785"/>
        <v>0</v>
      </c>
      <c r="FQ80" s="448">
        <f t="shared" si="785"/>
        <v>0</v>
      </c>
      <c r="FR80" s="448">
        <f t="shared" si="785"/>
        <v>0</v>
      </c>
      <c r="FS80" s="448">
        <f t="shared" si="785"/>
        <v>0</v>
      </c>
      <c r="FT80" s="448">
        <f t="shared" si="785"/>
        <v>0</v>
      </c>
      <c r="FU80" s="448">
        <f t="shared" si="785"/>
        <v>0</v>
      </c>
      <c r="FV80" s="423">
        <f t="shared" si="785"/>
        <v>0</v>
      </c>
      <c r="FW80" s="448">
        <f t="shared" ref="FW80:GT80" si="786">FW28+FW63</f>
        <v>0</v>
      </c>
      <c r="FX80" s="448">
        <f t="shared" si="786"/>
        <v>0</v>
      </c>
      <c r="FY80" s="448">
        <f t="shared" si="786"/>
        <v>0</v>
      </c>
      <c r="FZ80" s="448">
        <f t="shared" si="786"/>
        <v>0</v>
      </c>
      <c r="GA80" s="448">
        <f t="shared" si="786"/>
        <v>0</v>
      </c>
      <c r="GB80" s="448">
        <f t="shared" si="786"/>
        <v>0</v>
      </c>
      <c r="GC80" s="448">
        <f t="shared" si="786"/>
        <v>0</v>
      </c>
      <c r="GD80" s="448">
        <f t="shared" si="786"/>
        <v>0</v>
      </c>
      <c r="GE80" s="448">
        <f t="shared" si="786"/>
        <v>0</v>
      </c>
      <c r="GF80" s="448">
        <f t="shared" si="786"/>
        <v>0</v>
      </c>
      <c r="GG80" s="448">
        <f t="shared" si="786"/>
        <v>0</v>
      </c>
      <c r="GH80" s="448">
        <f t="shared" si="786"/>
        <v>0</v>
      </c>
      <c r="GI80" s="448">
        <f t="shared" si="786"/>
        <v>0</v>
      </c>
      <c r="GJ80" s="448">
        <f t="shared" si="786"/>
        <v>0</v>
      </c>
      <c r="GK80" s="448">
        <f t="shared" si="786"/>
        <v>0</v>
      </c>
      <c r="GL80" s="448">
        <f t="shared" si="786"/>
        <v>0</v>
      </c>
      <c r="GM80" s="448">
        <f t="shared" si="786"/>
        <v>0</v>
      </c>
      <c r="GN80" s="448">
        <f t="shared" si="786"/>
        <v>0</v>
      </c>
      <c r="GO80" s="448">
        <f t="shared" si="786"/>
        <v>0</v>
      </c>
      <c r="GP80" s="448">
        <f t="shared" si="786"/>
        <v>0</v>
      </c>
      <c r="GQ80" s="448">
        <f t="shared" si="786"/>
        <v>0</v>
      </c>
      <c r="GR80" s="448">
        <f t="shared" si="786"/>
        <v>0</v>
      </c>
      <c r="GS80" s="448">
        <f t="shared" si="786"/>
        <v>0</v>
      </c>
      <c r="GT80" s="448">
        <f t="shared" si="786"/>
        <v>0</v>
      </c>
    </row>
    <row r="81" spans="2:202" hidden="1">
      <c r="B81" s="449" t="s">
        <v>67</v>
      </c>
      <c r="C81" s="446">
        <f>SUM(V81:AG81)</f>
        <v>9181.8100000000013</v>
      </c>
      <c r="D81" s="446">
        <f>SUM(AH81:AS81)</f>
        <v>7707.8099999999995</v>
      </c>
      <c r="E81" s="446">
        <f>SUM(AT81:BE81)</f>
        <v>2988.7700000000004</v>
      </c>
      <c r="F81" s="446">
        <f t="shared" ref="F81:F82" si="787">SUM(BF81:BQ81)</f>
        <v>1673.0800000000002</v>
      </c>
      <c r="G81" s="327">
        <f>SUM(BR81:CC81)</f>
        <v>2606.8500000000004</v>
      </c>
      <c r="H81" s="447">
        <f t="shared" si="756"/>
        <v>2155.2600000000002</v>
      </c>
      <c r="I81" s="1014"/>
      <c r="J81" s="1079"/>
      <c r="K81" s="327">
        <f t="shared" si="780"/>
        <v>765.15083333333348</v>
      </c>
      <c r="L81" s="327">
        <f t="shared" si="780"/>
        <v>642.3175</v>
      </c>
      <c r="M81" s="327">
        <f t="shared" si="780"/>
        <v>249.06416666666669</v>
      </c>
      <c r="N81" s="327">
        <f t="shared" si="780"/>
        <v>139.42333333333335</v>
      </c>
      <c r="O81" s="327">
        <f t="shared" si="780"/>
        <v>217.23750000000004</v>
      </c>
      <c r="P81" s="327">
        <f t="shared" si="780"/>
        <v>179.60500000000002</v>
      </c>
      <c r="Q81" s="1014"/>
      <c r="R81" s="1079"/>
      <c r="S81" s="446">
        <f t="shared" ref="S81:AX81" si="788">S26</f>
        <v>0</v>
      </c>
      <c r="T81" s="447">
        <f t="shared" si="788"/>
        <v>25</v>
      </c>
      <c r="U81" s="447">
        <f t="shared" si="788"/>
        <v>687.75</v>
      </c>
      <c r="V81" s="446">
        <f t="shared" si="788"/>
        <v>261.89</v>
      </c>
      <c r="W81" s="447">
        <f t="shared" si="788"/>
        <v>512</v>
      </c>
      <c r="X81" s="447">
        <f t="shared" si="788"/>
        <v>148.80000000000001</v>
      </c>
      <c r="Y81" s="447">
        <f t="shared" si="788"/>
        <v>40</v>
      </c>
      <c r="Z81" s="447">
        <f t="shared" si="788"/>
        <v>142</v>
      </c>
      <c r="AA81" s="447">
        <f t="shared" si="788"/>
        <v>352.5</v>
      </c>
      <c r="AB81" s="447">
        <f t="shared" si="788"/>
        <v>190</v>
      </c>
      <c r="AC81" s="447">
        <f t="shared" si="788"/>
        <v>528.4</v>
      </c>
      <c r="AD81" s="447">
        <f t="shared" si="788"/>
        <v>210</v>
      </c>
      <c r="AE81" s="447">
        <f t="shared" si="788"/>
        <v>698.58</v>
      </c>
      <c r="AF81" s="447">
        <f t="shared" si="788"/>
        <v>672.66000000000008</v>
      </c>
      <c r="AG81" s="447">
        <f t="shared" si="788"/>
        <v>5424.9800000000005</v>
      </c>
      <c r="AH81" s="446">
        <f t="shared" si="788"/>
        <v>40</v>
      </c>
      <c r="AI81" s="447">
        <f t="shared" si="788"/>
        <v>3076.7299999999996</v>
      </c>
      <c r="AJ81" s="447">
        <f t="shared" si="788"/>
        <v>1265.5</v>
      </c>
      <c r="AK81" s="447">
        <f t="shared" si="788"/>
        <v>92.3</v>
      </c>
      <c r="AL81" s="447">
        <f t="shared" si="788"/>
        <v>65.039999999999992</v>
      </c>
      <c r="AM81" s="447">
        <f t="shared" si="788"/>
        <v>0</v>
      </c>
      <c r="AN81" s="447">
        <f t="shared" si="788"/>
        <v>549.81000000000006</v>
      </c>
      <c r="AO81" s="447">
        <f t="shared" si="788"/>
        <v>1249.0999999999999</v>
      </c>
      <c r="AP81" s="447">
        <f t="shared" si="788"/>
        <v>130</v>
      </c>
      <c r="AQ81" s="447">
        <f t="shared" si="788"/>
        <v>232.9</v>
      </c>
      <c r="AR81" s="447">
        <f t="shared" si="788"/>
        <v>179.1</v>
      </c>
      <c r="AS81" s="447">
        <f t="shared" si="788"/>
        <v>827.33</v>
      </c>
      <c r="AT81" s="446">
        <f t="shared" si="788"/>
        <v>1421.01</v>
      </c>
      <c r="AU81" s="447">
        <f t="shared" si="788"/>
        <v>90.41</v>
      </c>
      <c r="AV81" s="447">
        <f t="shared" si="788"/>
        <v>0</v>
      </c>
      <c r="AW81" s="447">
        <f t="shared" si="788"/>
        <v>497.34</v>
      </c>
      <c r="AX81" s="447">
        <f t="shared" si="788"/>
        <v>104.83</v>
      </c>
      <c r="AY81" s="447">
        <f t="shared" ref="AY81:CD81" si="789">AY26</f>
        <v>2</v>
      </c>
      <c r="AZ81" s="447">
        <f t="shared" si="789"/>
        <v>120.5</v>
      </c>
      <c r="BA81" s="447">
        <f t="shared" si="789"/>
        <v>363.4</v>
      </c>
      <c r="BB81" s="447">
        <f t="shared" si="789"/>
        <v>43.48</v>
      </c>
      <c r="BC81" s="447">
        <f t="shared" si="789"/>
        <v>0</v>
      </c>
      <c r="BD81" s="447">
        <f t="shared" si="789"/>
        <v>89.15</v>
      </c>
      <c r="BE81" s="447">
        <f t="shared" si="789"/>
        <v>256.64999999999998</v>
      </c>
      <c r="BF81" s="446">
        <f t="shared" si="789"/>
        <v>356.29</v>
      </c>
      <c r="BG81" s="447">
        <f t="shared" si="789"/>
        <v>0</v>
      </c>
      <c r="BH81" s="447">
        <f t="shared" si="789"/>
        <v>150.5</v>
      </c>
      <c r="BI81" s="447">
        <f t="shared" si="789"/>
        <v>16.8</v>
      </c>
      <c r="BJ81" s="447">
        <f t="shared" si="789"/>
        <v>250</v>
      </c>
      <c r="BK81" s="447">
        <f t="shared" si="789"/>
        <v>0</v>
      </c>
      <c r="BL81" s="447">
        <f t="shared" si="789"/>
        <v>0</v>
      </c>
      <c r="BM81" s="447">
        <f t="shared" si="789"/>
        <v>620.5</v>
      </c>
      <c r="BN81" s="447">
        <f t="shared" si="789"/>
        <v>0</v>
      </c>
      <c r="BO81" s="447">
        <f t="shared" si="789"/>
        <v>75.5</v>
      </c>
      <c r="BP81" s="447">
        <f t="shared" si="789"/>
        <v>78</v>
      </c>
      <c r="BQ81" s="447">
        <f t="shared" si="789"/>
        <v>125.49000000000001</v>
      </c>
      <c r="BR81" s="446">
        <f t="shared" si="789"/>
        <v>373.71999999999997</v>
      </c>
      <c r="BS81" s="447">
        <f t="shared" si="789"/>
        <v>150.5</v>
      </c>
      <c r="BT81" s="447">
        <f t="shared" si="789"/>
        <v>207.78</v>
      </c>
      <c r="BU81" s="447">
        <f t="shared" si="789"/>
        <v>-68</v>
      </c>
      <c r="BV81" s="447">
        <f t="shared" si="789"/>
        <v>79</v>
      </c>
      <c r="BW81" s="447">
        <f t="shared" si="789"/>
        <v>10.199999999999999</v>
      </c>
      <c r="BX81" s="447">
        <f t="shared" si="789"/>
        <v>15.04</v>
      </c>
      <c r="BY81" s="447">
        <f t="shared" si="789"/>
        <v>917.6</v>
      </c>
      <c r="BZ81" s="447">
        <f t="shared" si="789"/>
        <v>0</v>
      </c>
      <c r="CA81" s="447">
        <f t="shared" si="789"/>
        <v>-1516.01</v>
      </c>
      <c r="CB81" s="447">
        <f t="shared" si="789"/>
        <v>1832.38</v>
      </c>
      <c r="CC81" s="447">
        <f t="shared" si="789"/>
        <v>604.64</v>
      </c>
      <c r="CD81" s="446">
        <f t="shared" si="789"/>
        <v>364.40999999999991</v>
      </c>
      <c r="CE81" s="447">
        <f t="shared" ref="CE81:DJ81" si="790">CE26</f>
        <v>26.34</v>
      </c>
      <c r="CF81" s="447">
        <f t="shared" si="790"/>
        <v>637.25</v>
      </c>
      <c r="CG81" s="447">
        <f t="shared" si="790"/>
        <v>532.48</v>
      </c>
      <c r="CH81" s="447">
        <f t="shared" si="790"/>
        <v>4.75</v>
      </c>
      <c r="CI81" s="447">
        <f t="shared" si="790"/>
        <v>0</v>
      </c>
      <c r="CJ81" s="447">
        <f t="shared" si="790"/>
        <v>0</v>
      </c>
      <c r="CK81" s="447">
        <f t="shared" si="790"/>
        <v>48.65</v>
      </c>
      <c r="CL81" s="447">
        <f t="shared" si="790"/>
        <v>80</v>
      </c>
      <c r="CM81" s="447">
        <f t="shared" si="790"/>
        <v>40</v>
      </c>
      <c r="CN81" s="447">
        <f t="shared" si="790"/>
        <v>16.98</v>
      </c>
      <c r="CO81" s="447">
        <f t="shared" si="790"/>
        <v>404.40000000000003</v>
      </c>
      <c r="CP81" s="446">
        <f t="shared" si="790"/>
        <v>291.83999999999997</v>
      </c>
      <c r="CQ81" s="447">
        <f t="shared" si="790"/>
        <v>0</v>
      </c>
      <c r="CR81" s="447">
        <f t="shared" si="790"/>
        <v>72.599999999999994</v>
      </c>
      <c r="CS81" s="447">
        <f t="shared" si="790"/>
        <v>1434.7800000000002</v>
      </c>
      <c r="CT81" s="447">
        <f t="shared" si="790"/>
        <v>201.23000000000002</v>
      </c>
      <c r="CU81" s="447">
        <f t="shared" si="790"/>
        <v>662.62000000000012</v>
      </c>
      <c r="CV81" s="447">
        <f t="shared" si="790"/>
        <v>230.94</v>
      </c>
      <c r="CW81" s="447">
        <f t="shared" si="790"/>
        <v>2423.64</v>
      </c>
      <c r="CX81" s="447">
        <f t="shared" si="790"/>
        <v>802.83999999999992</v>
      </c>
      <c r="CY81" s="447">
        <f t="shared" si="790"/>
        <v>0</v>
      </c>
      <c r="CZ81" s="447">
        <f t="shared" si="790"/>
        <v>0</v>
      </c>
      <c r="DA81" s="447">
        <f t="shared" si="790"/>
        <v>0</v>
      </c>
      <c r="DB81" s="446">
        <f t="shared" si="790"/>
        <v>0</v>
      </c>
      <c r="DC81" s="447">
        <f t="shared" si="790"/>
        <v>0</v>
      </c>
      <c r="DD81" s="447">
        <f t="shared" si="790"/>
        <v>0</v>
      </c>
      <c r="DE81" s="447">
        <f t="shared" si="790"/>
        <v>0</v>
      </c>
      <c r="DF81" s="447">
        <f t="shared" si="790"/>
        <v>0</v>
      </c>
      <c r="DG81" s="447">
        <f t="shared" si="790"/>
        <v>0</v>
      </c>
      <c r="DH81" s="447">
        <f t="shared" si="790"/>
        <v>0</v>
      </c>
      <c r="DI81" s="447">
        <f t="shared" si="790"/>
        <v>0</v>
      </c>
      <c r="DJ81" s="447">
        <f t="shared" si="790"/>
        <v>0</v>
      </c>
      <c r="DK81" s="447">
        <f t="shared" ref="DK81:EP81" si="791">DK26</f>
        <v>0</v>
      </c>
      <c r="DL81" s="447">
        <f t="shared" si="791"/>
        <v>0</v>
      </c>
      <c r="DM81" s="447">
        <f t="shared" si="791"/>
        <v>0</v>
      </c>
      <c r="DN81" s="446">
        <f t="shared" si="791"/>
        <v>0</v>
      </c>
      <c r="DO81" s="447">
        <f t="shared" si="791"/>
        <v>0</v>
      </c>
      <c r="DP81" s="447">
        <f t="shared" si="791"/>
        <v>0</v>
      </c>
      <c r="DQ81" s="447">
        <f t="shared" si="791"/>
        <v>0</v>
      </c>
      <c r="DR81" s="447">
        <f t="shared" si="791"/>
        <v>0</v>
      </c>
      <c r="DS81" s="447">
        <f t="shared" si="791"/>
        <v>0</v>
      </c>
      <c r="DT81" s="447">
        <f t="shared" si="791"/>
        <v>0</v>
      </c>
      <c r="DU81" s="447">
        <f t="shared" si="791"/>
        <v>0</v>
      </c>
      <c r="DV81" s="447">
        <f t="shared" si="791"/>
        <v>0</v>
      </c>
      <c r="DW81" s="447">
        <f t="shared" si="791"/>
        <v>0</v>
      </c>
      <c r="DX81" s="447">
        <f t="shared" si="791"/>
        <v>0</v>
      </c>
      <c r="DY81" s="447">
        <f t="shared" si="791"/>
        <v>0</v>
      </c>
      <c r="DZ81" s="446">
        <f t="shared" si="791"/>
        <v>0</v>
      </c>
      <c r="EA81" s="447">
        <f t="shared" si="791"/>
        <v>0</v>
      </c>
      <c r="EB81" s="447">
        <f t="shared" si="791"/>
        <v>0</v>
      </c>
      <c r="EC81" s="447">
        <f t="shared" si="791"/>
        <v>0</v>
      </c>
      <c r="ED81" s="447">
        <f t="shared" si="791"/>
        <v>0</v>
      </c>
      <c r="EE81" s="447">
        <f t="shared" si="791"/>
        <v>0</v>
      </c>
      <c r="EF81" s="447">
        <f t="shared" si="791"/>
        <v>0</v>
      </c>
      <c r="EG81" s="447">
        <f t="shared" si="791"/>
        <v>0</v>
      </c>
      <c r="EH81" s="447">
        <f t="shared" si="791"/>
        <v>0</v>
      </c>
      <c r="EI81" s="447">
        <f t="shared" si="791"/>
        <v>0</v>
      </c>
      <c r="EJ81" s="447">
        <f t="shared" si="791"/>
        <v>0</v>
      </c>
      <c r="EK81" s="447">
        <f t="shared" si="791"/>
        <v>0</v>
      </c>
      <c r="EL81" s="446">
        <f t="shared" si="791"/>
        <v>0</v>
      </c>
      <c r="EM81" s="447">
        <f t="shared" si="791"/>
        <v>0</v>
      </c>
      <c r="EN81" s="447">
        <f t="shared" si="791"/>
        <v>0</v>
      </c>
      <c r="EO81" s="447">
        <f t="shared" si="791"/>
        <v>0</v>
      </c>
      <c r="EP81" s="447">
        <f t="shared" si="791"/>
        <v>0</v>
      </c>
      <c r="EQ81" s="447">
        <f t="shared" ref="EQ81:FV81" si="792">EQ26</f>
        <v>0</v>
      </c>
      <c r="ER81" s="447">
        <f t="shared" si="792"/>
        <v>0</v>
      </c>
      <c r="ES81" s="447">
        <f t="shared" si="792"/>
        <v>0</v>
      </c>
      <c r="ET81" s="447">
        <f t="shared" si="792"/>
        <v>0</v>
      </c>
      <c r="EU81" s="447">
        <f t="shared" si="792"/>
        <v>0</v>
      </c>
      <c r="EV81" s="447">
        <f t="shared" si="792"/>
        <v>0</v>
      </c>
      <c r="EW81" s="447">
        <f t="shared" si="792"/>
        <v>0</v>
      </c>
      <c r="EX81" s="446">
        <f t="shared" si="792"/>
        <v>0</v>
      </c>
      <c r="EY81" s="447">
        <f t="shared" si="792"/>
        <v>0</v>
      </c>
      <c r="EZ81" s="447">
        <f t="shared" si="792"/>
        <v>0</v>
      </c>
      <c r="FA81" s="447">
        <f t="shared" si="792"/>
        <v>0</v>
      </c>
      <c r="FB81" s="447">
        <f t="shared" si="792"/>
        <v>0</v>
      </c>
      <c r="FC81" s="447">
        <f t="shared" si="792"/>
        <v>0</v>
      </c>
      <c r="FD81" s="447">
        <f t="shared" si="792"/>
        <v>0</v>
      </c>
      <c r="FE81" s="447">
        <f t="shared" si="792"/>
        <v>0</v>
      </c>
      <c r="FF81" s="447">
        <f t="shared" si="792"/>
        <v>0</v>
      </c>
      <c r="FG81" s="447">
        <f t="shared" si="792"/>
        <v>0</v>
      </c>
      <c r="FH81" s="447">
        <f t="shared" si="792"/>
        <v>0</v>
      </c>
      <c r="FI81" s="447">
        <f t="shared" si="792"/>
        <v>0</v>
      </c>
      <c r="FJ81" s="446">
        <f t="shared" si="792"/>
        <v>0</v>
      </c>
      <c r="FK81" s="447">
        <f t="shared" si="792"/>
        <v>0</v>
      </c>
      <c r="FL81" s="447">
        <f t="shared" si="792"/>
        <v>0</v>
      </c>
      <c r="FM81" s="447">
        <f t="shared" si="792"/>
        <v>0</v>
      </c>
      <c r="FN81" s="447">
        <f t="shared" si="792"/>
        <v>0</v>
      </c>
      <c r="FO81" s="447">
        <f t="shared" si="792"/>
        <v>0</v>
      </c>
      <c r="FP81" s="447">
        <f t="shared" si="792"/>
        <v>0</v>
      </c>
      <c r="FQ81" s="447">
        <f t="shared" si="792"/>
        <v>0</v>
      </c>
      <c r="FR81" s="447">
        <f t="shared" si="792"/>
        <v>0</v>
      </c>
      <c r="FS81" s="447">
        <f t="shared" si="792"/>
        <v>0</v>
      </c>
      <c r="FT81" s="447">
        <f t="shared" si="792"/>
        <v>0</v>
      </c>
      <c r="FU81" s="447">
        <f t="shared" si="792"/>
        <v>0</v>
      </c>
      <c r="FV81" s="446">
        <f t="shared" si="792"/>
        <v>0</v>
      </c>
      <c r="FW81" s="447">
        <f t="shared" ref="FW81:GT81" si="793">FW26</f>
        <v>0</v>
      </c>
      <c r="FX81" s="447">
        <f t="shared" si="793"/>
        <v>0</v>
      </c>
      <c r="FY81" s="447">
        <f t="shared" si="793"/>
        <v>0</v>
      </c>
      <c r="FZ81" s="447">
        <f t="shared" si="793"/>
        <v>0</v>
      </c>
      <c r="GA81" s="447">
        <f t="shared" si="793"/>
        <v>0</v>
      </c>
      <c r="GB81" s="447">
        <f t="shared" si="793"/>
        <v>0</v>
      </c>
      <c r="GC81" s="447">
        <f t="shared" si="793"/>
        <v>0</v>
      </c>
      <c r="GD81" s="447">
        <f t="shared" si="793"/>
        <v>0</v>
      </c>
      <c r="GE81" s="447">
        <f t="shared" si="793"/>
        <v>0</v>
      </c>
      <c r="GF81" s="447">
        <f t="shared" si="793"/>
        <v>0</v>
      </c>
      <c r="GG81" s="447">
        <f t="shared" si="793"/>
        <v>0</v>
      </c>
      <c r="GH81" s="447">
        <f t="shared" si="793"/>
        <v>0</v>
      </c>
      <c r="GI81" s="447">
        <f t="shared" si="793"/>
        <v>0</v>
      </c>
      <c r="GJ81" s="447">
        <f t="shared" si="793"/>
        <v>0</v>
      </c>
      <c r="GK81" s="447">
        <f t="shared" si="793"/>
        <v>0</v>
      </c>
      <c r="GL81" s="447">
        <f t="shared" si="793"/>
        <v>0</v>
      </c>
      <c r="GM81" s="447">
        <f t="shared" si="793"/>
        <v>0</v>
      </c>
      <c r="GN81" s="447">
        <f t="shared" si="793"/>
        <v>0</v>
      </c>
      <c r="GO81" s="447">
        <f t="shared" si="793"/>
        <v>0</v>
      </c>
      <c r="GP81" s="447">
        <f t="shared" si="793"/>
        <v>0</v>
      </c>
      <c r="GQ81" s="447">
        <f t="shared" si="793"/>
        <v>0</v>
      </c>
      <c r="GR81" s="447">
        <f t="shared" si="793"/>
        <v>0</v>
      </c>
      <c r="GS81" s="447">
        <f t="shared" si="793"/>
        <v>0</v>
      </c>
      <c r="GT81" s="447">
        <f t="shared" si="793"/>
        <v>0</v>
      </c>
    </row>
    <row r="82" spans="2:202" s="49" customFormat="1" ht="15.75" hidden="1" customHeight="1">
      <c r="B82" s="340" t="s">
        <v>68</v>
      </c>
      <c r="C82" s="459">
        <f>SUM(V82:AG82)</f>
        <v>-7011.420000000001</v>
      </c>
      <c r="D82" s="460">
        <f>SUM(AH82:AS82)</f>
        <v>3499.1900000000005</v>
      </c>
      <c r="E82" s="461">
        <f>SUM(AT82:BE82)</f>
        <v>30281.409999999993</v>
      </c>
      <c r="F82" s="461">
        <f t="shared" si="787"/>
        <v>-611.33000000000004</v>
      </c>
      <c r="G82" s="461">
        <f>SUM(BR82:CC82)</f>
        <v>811.82000000000028</v>
      </c>
      <c r="H82" s="460">
        <f t="shared" si="756"/>
        <v>32.800000000000125</v>
      </c>
      <c r="I82" s="462"/>
      <c r="J82" s="1081"/>
      <c r="K82" s="459">
        <f t="shared" si="780"/>
        <v>-584.28500000000008</v>
      </c>
      <c r="L82" s="461">
        <f t="shared" si="780"/>
        <v>291.59916666666669</v>
      </c>
      <c r="M82" s="461">
        <f t="shared" si="780"/>
        <v>2523.4508333333329</v>
      </c>
      <c r="N82" s="461">
        <f t="shared" si="780"/>
        <v>-50.944166666666668</v>
      </c>
      <c r="O82" s="461">
        <f t="shared" si="780"/>
        <v>67.651666666666685</v>
      </c>
      <c r="P82" s="461">
        <f t="shared" si="780"/>
        <v>2.7333333333333436</v>
      </c>
      <c r="Q82" s="462"/>
      <c r="R82" s="1081"/>
      <c r="S82" s="463">
        <f>S80-S81</f>
        <v>19.3</v>
      </c>
      <c r="T82" s="463">
        <f t="shared" ref="T82:CE82" si="794">T80-T81</f>
        <v>-25</v>
      </c>
      <c r="U82" s="463">
        <f t="shared" si="794"/>
        <v>-486.88</v>
      </c>
      <c r="V82" s="464">
        <f t="shared" si="794"/>
        <v>-261.89</v>
      </c>
      <c r="W82" s="463">
        <f t="shared" si="794"/>
        <v>11.289999999999964</v>
      </c>
      <c r="X82" s="463">
        <f t="shared" si="794"/>
        <v>-148.80000000000001</v>
      </c>
      <c r="Y82" s="463">
        <f t="shared" si="794"/>
        <v>-40</v>
      </c>
      <c r="Z82" s="463">
        <f t="shared" si="794"/>
        <v>38</v>
      </c>
      <c r="AA82" s="463">
        <f t="shared" si="794"/>
        <v>-336.51</v>
      </c>
      <c r="AB82" s="463">
        <f t="shared" si="794"/>
        <v>39.990000000000009</v>
      </c>
      <c r="AC82" s="463">
        <f t="shared" si="794"/>
        <v>-348.4</v>
      </c>
      <c r="AD82" s="463">
        <f t="shared" si="794"/>
        <v>210</v>
      </c>
      <c r="AE82" s="463">
        <f t="shared" si="794"/>
        <v>-488.58000000000004</v>
      </c>
      <c r="AF82" s="463">
        <f t="shared" si="794"/>
        <v>-322.66000000000008</v>
      </c>
      <c r="AG82" s="463">
        <f t="shared" si="794"/>
        <v>-5363.8600000000006</v>
      </c>
      <c r="AH82" s="464">
        <f t="shared" si="794"/>
        <v>25</v>
      </c>
      <c r="AI82" s="463">
        <f t="shared" si="794"/>
        <v>1573.2700000000004</v>
      </c>
      <c r="AJ82" s="463">
        <f t="shared" si="794"/>
        <v>-635.5</v>
      </c>
      <c r="AK82" s="463">
        <f t="shared" si="794"/>
        <v>-92.3</v>
      </c>
      <c r="AL82" s="463">
        <f t="shared" si="794"/>
        <v>-65.039999999999992</v>
      </c>
      <c r="AM82" s="463">
        <f t="shared" si="794"/>
        <v>250</v>
      </c>
      <c r="AN82" s="463">
        <f t="shared" si="794"/>
        <v>4920.1899999999996</v>
      </c>
      <c r="AO82" s="463">
        <f t="shared" si="794"/>
        <v>-1249.0999999999999</v>
      </c>
      <c r="AP82" s="463">
        <f t="shared" si="794"/>
        <v>-130</v>
      </c>
      <c r="AQ82" s="463">
        <f t="shared" si="794"/>
        <v>-232.9</v>
      </c>
      <c r="AR82" s="463">
        <f t="shared" si="794"/>
        <v>-37.099999999999994</v>
      </c>
      <c r="AS82" s="463">
        <f t="shared" si="794"/>
        <v>-827.33</v>
      </c>
      <c r="AT82" s="464">
        <f t="shared" si="794"/>
        <v>12587.96</v>
      </c>
      <c r="AU82" s="463">
        <f t="shared" si="794"/>
        <v>-90.41</v>
      </c>
      <c r="AV82" s="463">
        <f t="shared" si="794"/>
        <v>475.2</v>
      </c>
      <c r="AW82" s="463">
        <f t="shared" si="794"/>
        <v>17902.66</v>
      </c>
      <c r="AX82" s="463">
        <f t="shared" si="794"/>
        <v>-104.83</v>
      </c>
      <c r="AY82" s="463">
        <f t="shared" si="794"/>
        <v>-2</v>
      </c>
      <c r="AZ82" s="463">
        <f t="shared" si="794"/>
        <v>79.5</v>
      </c>
      <c r="BA82" s="463">
        <f t="shared" si="794"/>
        <v>-277.39999999999998</v>
      </c>
      <c r="BB82" s="463">
        <f t="shared" si="794"/>
        <v>56.530000000000008</v>
      </c>
      <c r="BC82" s="463">
        <f t="shared" si="794"/>
        <v>0</v>
      </c>
      <c r="BD82" s="463">
        <f t="shared" si="794"/>
        <v>-89.15</v>
      </c>
      <c r="BE82" s="463">
        <f t="shared" si="794"/>
        <v>-256.64999999999998</v>
      </c>
      <c r="BF82" s="464">
        <f t="shared" si="794"/>
        <v>-356.17</v>
      </c>
      <c r="BG82" s="463">
        <f t="shared" si="794"/>
        <v>0</v>
      </c>
      <c r="BH82" s="463">
        <f t="shared" si="794"/>
        <v>-0.5</v>
      </c>
      <c r="BI82" s="463">
        <f t="shared" si="794"/>
        <v>-16.8</v>
      </c>
      <c r="BJ82" s="463">
        <f t="shared" si="794"/>
        <v>0</v>
      </c>
      <c r="BK82" s="463">
        <f t="shared" si="794"/>
        <v>0</v>
      </c>
      <c r="BL82" s="463">
        <f t="shared" si="794"/>
        <v>380</v>
      </c>
      <c r="BM82" s="463">
        <f t="shared" si="794"/>
        <v>-338.87</v>
      </c>
      <c r="BN82" s="463">
        <f t="shared" si="794"/>
        <v>0</v>
      </c>
      <c r="BO82" s="463">
        <f t="shared" si="794"/>
        <v>-75.5</v>
      </c>
      <c r="BP82" s="463">
        <f t="shared" si="794"/>
        <v>-78</v>
      </c>
      <c r="BQ82" s="463">
        <f t="shared" si="794"/>
        <v>-125.49000000000001</v>
      </c>
      <c r="BR82" s="464">
        <f>BR80-BR81</f>
        <v>-363.69</v>
      </c>
      <c r="BS82" s="463">
        <f t="shared" si="794"/>
        <v>-150.5</v>
      </c>
      <c r="BT82" s="463">
        <f t="shared" si="794"/>
        <v>-207.78</v>
      </c>
      <c r="BU82" s="463">
        <f t="shared" si="794"/>
        <v>68</v>
      </c>
      <c r="BV82" s="463">
        <f t="shared" si="794"/>
        <v>46</v>
      </c>
      <c r="BW82" s="463">
        <f t="shared" si="794"/>
        <v>-10.199999999999999</v>
      </c>
      <c r="BX82" s="463">
        <f t="shared" si="794"/>
        <v>-15.04</v>
      </c>
      <c r="BY82" s="463">
        <f t="shared" si="794"/>
        <v>-662.14</v>
      </c>
      <c r="BZ82" s="463">
        <f t="shared" si="794"/>
        <v>707.21</v>
      </c>
      <c r="CA82" s="463">
        <f t="shared" si="794"/>
        <v>3185.01</v>
      </c>
      <c r="CB82" s="463">
        <f t="shared" si="794"/>
        <v>-1455.38</v>
      </c>
      <c r="CC82" s="463">
        <f t="shared" si="794"/>
        <v>-329.66999999999996</v>
      </c>
      <c r="CD82" s="464">
        <f t="shared" si="794"/>
        <v>-254.77999999999992</v>
      </c>
      <c r="CE82" s="463">
        <f t="shared" si="794"/>
        <v>-19.350000000000001</v>
      </c>
      <c r="CF82" s="463">
        <f t="shared" ref="CF82:EQ82" si="795">CF80-CF81</f>
        <v>-387.25</v>
      </c>
      <c r="CG82" s="463">
        <f t="shared" si="795"/>
        <v>-218.48000000000002</v>
      </c>
      <c r="CH82" s="463">
        <f t="shared" si="795"/>
        <v>175.43</v>
      </c>
      <c r="CI82" s="463">
        <f t="shared" si="795"/>
        <v>0</v>
      </c>
      <c r="CJ82" s="463">
        <f t="shared" si="795"/>
        <v>0</v>
      </c>
      <c r="CK82" s="463">
        <f t="shared" si="795"/>
        <v>431.63</v>
      </c>
      <c r="CL82" s="463">
        <f t="shared" si="795"/>
        <v>145</v>
      </c>
      <c r="CM82" s="463">
        <f t="shared" si="795"/>
        <v>340</v>
      </c>
      <c r="CN82" s="463">
        <f t="shared" si="795"/>
        <v>213.02</v>
      </c>
      <c r="CO82" s="463">
        <f t="shared" si="795"/>
        <v>-392.42</v>
      </c>
      <c r="CP82" s="464">
        <f t="shared" si="795"/>
        <v>-141.72999999999996</v>
      </c>
      <c r="CQ82" s="463">
        <f t="shared" si="795"/>
        <v>141</v>
      </c>
      <c r="CR82" s="463">
        <f t="shared" si="795"/>
        <v>-58.749999999999993</v>
      </c>
      <c r="CS82" s="463">
        <f t="shared" si="795"/>
        <v>-819.80000000000018</v>
      </c>
      <c r="CT82" s="463">
        <f t="shared" si="795"/>
        <v>-200.22000000000003</v>
      </c>
      <c r="CU82" s="463">
        <f t="shared" si="795"/>
        <v>-282.62000000000012</v>
      </c>
      <c r="CV82" s="463">
        <f t="shared" si="795"/>
        <v>-161.49</v>
      </c>
      <c r="CW82" s="463">
        <f t="shared" si="795"/>
        <v>30.9699999999998</v>
      </c>
      <c r="CX82" s="463">
        <f t="shared" si="795"/>
        <v>-377.46999999999991</v>
      </c>
      <c r="CY82" s="463">
        <f t="shared" si="795"/>
        <v>27.29</v>
      </c>
      <c r="CZ82" s="463">
        <f t="shared" si="795"/>
        <v>0</v>
      </c>
      <c r="DA82" s="463">
        <f t="shared" si="795"/>
        <v>0</v>
      </c>
      <c r="DB82" s="464">
        <f t="shared" si="795"/>
        <v>0</v>
      </c>
      <c r="DC82" s="463">
        <f t="shared" si="795"/>
        <v>0</v>
      </c>
      <c r="DD82" s="463">
        <f t="shared" si="795"/>
        <v>0</v>
      </c>
      <c r="DE82" s="463">
        <f t="shared" si="795"/>
        <v>0</v>
      </c>
      <c r="DF82" s="463">
        <f t="shared" si="795"/>
        <v>0</v>
      </c>
      <c r="DG82" s="463">
        <f t="shared" si="795"/>
        <v>0</v>
      </c>
      <c r="DH82" s="463">
        <f t="shared" si="795"/>
        <v>0</v>
      </c>
      <c r="DI82" s="463">
        <f t="shared" si="795"/>
        <v>0</v>
      </c>
      <c r="DJ82" s="463">
        <f t="shared" si="795"/>
        <v>0</v>
      </c>
      <c r="DK82" s="463">
        <f t="shared" si="795"/>
        <v>0</v>
      </c>
      <c r="DL82" s="463">
        <f t="shared" si="795"/>
        <v>0</v>
      </c>
      <c r="DM82" s="463">
        <f t="shared" si="795"/>
        <v>0</v>
      </c>
      <c r="DN82" s="464">
        <f t="shared" si="795"/>
        <v>0</v>
      </c>
      <c r="DO82" s="463">
        <f t="shared" si="795"/>
        <v>0</v>
      </c>
      <c r="DP82" s="463">
        <f t="shared" si="795"/>
        <v>0</v>
      </c>
      <c r="DQ82" s="463">
        <f t="shared" si="795"/>
        <v>0</v>
      </c>
      <c r="DR82" s="463">
        <f t="shared" si="795"/>
        <v>0</v>
      </c>
      <c r="DS82" s="463">
        <f t="shared" si="795"/>
        <v>0</v>
      </c>
      <c r="DT82" s="463">
        <f t="shared" si="795"/>
        <v>0</v>
      </c>
      <c r="DU82" s="463">
        <f t="shared" si="795"/>
        <v>0</v>
      </c>
      <c r="DV82" s="463">
        <f t="shared" si="795"/>
        <v>0</v>
      </c>
      <c r="DW82" s="463">
        <f t="shared" si="795"/>
        <v>0</v>
      </c>
      <c r="DX82" s="463">
        <f t="shared" si="795"/>
        <v>0</v>
      </c>
      <c r="DY82" s="463">
        <f t="shared" si="795"/>
        <v>0</v>
      </c>
      <c r="DZ82" s="464">
        <f t="shared" si="795"/>
        <v>0</v>
      </c>
      <c r="EA82" s="463">
        <f t="shared" si="795"/>
        <v>0</v>
      </c>
      <c r="EB82" s="463">
        <f t="shared" si="795"/>
        <v>0</v>
      </c>
      <c r="EC82" s="463">
        <f t="shared" si="795"/>
        <v>0</v>
      </c>
      <c r="ED82" s="463">
        <f t="shared" si="795"/>
        <v>0</v>
      </c>
      <c r="EE82" s="463">
        <f t="shared" si="795"/>
        <v>0</v>
      </c>
      <c r="EF82" s="463">
        <f t="shared" si="795"/>
        <v>0</v>
      </c>
      <c r="EG82" s="463">
        <f t="shared" si="795"/>
        <v>0</v>
      </c>
      <c r="EH82" s="463">
        <f t="shared" si="795"/>
        <v>0</v>
      </c>
      <c r="EI82" s="463">
        <f t="shared" si="795"/>
        <v>0</v>
      </c>
      <c r="EJ82" s="463">
        <f t="shared" si="795"/>
        <v>0</v>
      </c>
      <c r="EK82" s="463">
        <f t="shared" si="795"/>
        <v>0</v>
      </c>
      <c r="EL82" s="464">
        <f t="shared" si="795"/>
        <v>0</v>
      </c>
      <c r="EM82" s="463">
        <f t="shared" si="795"/>
        <v>0</v>
      </c>
      <c r="EN82" s="463">
        <f t="shared" si="795"/>
        <v>0</v>
      </c>
      <c r="EO82" s="463">
        <f t="shared" si="795"/>
        <v>0</v>
      </c>
      <c r="EP82" s="463">
        <f t="shared" si="795"/>
        <v>0</v>
      </c>
      <c r="EQ82" s="463">
        <f t="shared" si="795"/>
        <v>0</v>
      </c>
      <c r="ER82" s="463">
        <f t="shared" ref="ER82:GT82" si="796">ER80-ER81</f>
        <v>0</v>
      </c>
      <c r="ES82" s="463">
        <f t="shared" si="796"/>
        <v>0</v>
      </c>
      <c r="ET82" s="463">
        <f t="shared" si="796"/>
        <v>0</v>
      </c>
      <c r="EU82" s="463">
        <f t="shared" si="796"/>
        <v>0</v>
      </c>
      <c r="EV82" s="463">
        <f t="shared" si="796"/>
        <v>0</v>
      </c>
      <c r="EW82" s="463">
        <f t="shared" si="796"/>
        <v>0</v>
      </c>
      <c r="EX82" s="464">
        <f t="shared" si="796"/>
        <v>0</v>
      </c>
      <c r="EY82" s="463">
        <f t="shared" si="796"/>
        <v>0</v>
      </c>
      <c r="EZ82" s="463">
        <f t="shared" si="796"/>
        <v>0</v>
      </c>
      <c r="FA82" s="463">
        <f t="shared" si="796"/>
        <v>0</v>
      </c>
      <c r="FB82" s="463">
        <f t="shared" si="796"/>
        <v>0</v>
      </c>
      <c r="FC82" s="463">
        <f t="shared" si="796"/>
        <v>0</v>
      </c>
      <c r="FD82" s="463">
        <f t="shared" si="796"/>
        <v>0</v>
      </c>
      <c r="FE82" s="463">
        <f t="shared" si="796"/>
        <v>0</v>
      </c>
      <c r="FF82" s="463">
        <f t="shared" si="796"/>
        <v>0</v>
      </c>
      <c r="FG82" s="463">
        <f t="shared" si="796"/>
        <v>0</v>
      </c>
      <c r="FH82" s="463">
        <f t="shared" si="796"/>
        <v>0</v>
      </c>
      <c r="FI82" s="463">
        <f t="shared" si="796"/>
        <v>0</v>
      </c>
      <c r="FJ82" s="464">
        <f t="shared" si="796"/>
        <v>0</v>
      </c>
      <c r="FK82" s="463">
        <f t="shared" si="796"/>
        <v>0</v>
      </c>
      <c r="FL82" s="463">
        <f t="shared" si="796"/>
        <v>0</v>
      </c>
      <c r="FM82" s="463">
        <f t="shared" si="796"/>
        <v>0</v>
      </c>
      <c r="FN82" s="463">
        <f t="shared" si="796"/>
        <v>0</v>
      </c>
      <c r="FO82" s="463">
        <f t="shared" si="796"/>
        <v>0</v>
      </c>
      <c r="FP82" s="463">
        <f t="shared" si="796"/>
        <v>0</v>
      </c>
      <c r="FQ82" s="463">
        <f t="shared" si="796"/>
        <v>0</v>
      </c>
      <c r="FR82" s="463">
        <f t="shared" si="796"/>
        <v>0</v>
      </c>
      <c r="FS82" s="463">
        <f t="shared" si="796"/>
        <v>0</v>
      </c>
      <c r="FT82" s="463">
        <f t="shared" si="796"/>
        <v>0</v>
      </c>
      <c r="FU82" s="463">
        <f t="shared" si="796"/>
        <v>0</v>
      </c>
      <c r="FV82" s="464">
        <f t="shared" si="796"/>
        <v>0</v>
      </c>
      <c r="FW82" s="463">
        <f t="shared" si="796"/>
        <v>0</v>
      </c>
      <c r="FX82" s="463">
        <f t="shared" si="796"/>
        <v>0</v>
      </c>
      <c r="FY82" s="463">
        <f t="shared" si="796"/>
        <v>0</v>
      </c>
      <c r="FZ82" s="463">
        <f t="shared" si="796"/>
        <v>0</v>
      </c>
      <c r="GA82" s="463">
        <f t="shared" si="796"/>
        <v>0</v>
      </c>
      <c r="GB82" s="463">
        <f t="shared" si="796"/>
        <v>0</v>
      </c>
      <c r="GC82" s="463">
        <f t="shared" si="796"/>
        <v>0</v>
      </c>
      <c r="GD82" s="463">
        <f t="shared" si="796"/>
        <v>0</v>
      </c>
      <c r="GE82" s="463">
        <f t="shared" si="796"/>
        <v>0</v>
      </c>
      <c r="GF82" s="463">
        <f t="shared" si="796"/>
        <v>0</v>
      </c>
      <c r="GG82" s="463">
        <f t="shared" si="796"/>
        <v>0</v>
      </c>
      <c r="GH82" s="463">
        <f t="shared" si="796"/>
        <v>0</v>
      </c>
      <c r="GI82" s="463">
        <f t="shared" si="796"/>
        <v>0</v>
      </c>
      <c r="GJ82" s="463">
        <f t="shared" si="796"/>
        <v>0</v>
      </c>
      <c r="GK82" s="463">
        <f t="shared" si="796"/>
        <v>0</v>
      </c>
      <c r="GL82" s="463">
        <f t="shared" si="796"/>
        <v>0</v>
      </c>
      <c r="GM82" s="463">
        <f t="shared" si="796"/>
        <v>0</v>
      </c>
      <c r="GN82" s="463">
        <f t="shared" si="796"/>
        <v>0</v>
      </c>
      <c r="GO82" s="463">
        <f t="shared" si="796"/>
        <v>0</v>
      </c>
      <c r="GP82" s="463">
        <f t="shared" si="796"/>
        <v>0</v>
      </c>
      <c r="GQ82" s="463">
        <f t="shared" si="796"/>
        <v>0</v>
      </c>
      <c r="GR82" s="463">
        <f t="shared" si="796"/>
        <v>0</v>
      </c>
      <c r="GS82" s="463">
        <f t="shared" si="796"/>
        <v>0</v>
      </c>
      <c r="GT82" s="463">
        <f t="shared" si="796"/>
        <v>0</v>
      </c>
    </row>
    <row r="83" spans="2:202">
      <c r="J83" s="1079"/>
      <c r="R83" s="1079"/>
    </row>
    <row r="84" spans="2:202">
      <c r="J84" s="1079"/>
      <c r="R84" s="1079"/>
    </row>
    <row r="85" spans="2:202">
      <c r="CM85" s="639"/>
      <c r="CN85" s="639"/>
    </row>
    <row r="86" spans="2:202">
      <c r="CN86" s="639"/>
    </row>
  </sheetData>
  <dataConsolidate/>
  <mergeCells count="3">
    <mergeCell ref="C40:G40"/>
    <mergeCell ref="K10:Q10"/>
    <mergeCell ref="K40:Q40"/>
  </mergeCells>
  <phoneticPr fontId="2" type="noConversion"/>
  <conditionalFormatting sqref="S78:XFD80 B78:I80 K78:Q80">
    <cfRule type="cellIs" dxfId="186" priority="63" operator="lessThan">
      <formula>0</formula>
    </cfRule>
  </conditionalFormatting>
  <conditionalFormatting sqref="C32:I32 K32:Q32">
    <cfRule type="cellIs" dxfId="185" priority="83" operator="greaterThan">
      <formula>0</formula>
    </cfRule>
    <cfRule type="cellIs" dxfId="184" priority="84" operator="lessThan">
      <formula>0</formula>
    </cfRule>
  </conditionalFormatting>
  <conditionalFormatting sqref="S34:EQ35 S33:GT33">
    <cfRule type="cellIs" dxfId="183" priority="55" operator="lessThan">
      <formula>0</formula>
    </cfRule>
  </conditionalFormatting>
  <conditionalFormatting sqref="C33:I34">
    <cfRule type="cellIs" dxfId="182" priority="51" operator="lessThan">
      <formula>0</formula>
    </cfRule>
  </conditionalFormatting>
  <conditionalFormatting sqref="C14:I14">
    <cfRule type="cellIs" dxfId="181" priority="2" operator="greaterThan">
      <formula>0</formula>
    </cfRule>
    <cfRule type="cellIs" dxfId="180" priority="50" operator="lessThan">
      <formula>0</formula>
    </cfRule>
  </conditionalFormatting>
  <conditionalFormatting sqref="C73:I73">
    <cfRule type="expression" dxfId="179" priority="49">
      <formula>AU$8=$U$1</formula>
    </cfRule>
  </conditionalFormatting>
  <conditionalFormatting sqref="S82:XFD82 B82:I82 K82:Q82">
    <cfRule type="cellIs" dxfId="178" priority="41" operator="lessThan">
      <formula>0</formula>
    </cfRule>
  </conditionalFormatting>
  <conditionalFormatting sqref="C9:I9">
    <cfRule type="cellIs" dxfId="177" priority="40" operator="equal">
      <formula>$B$7</formula>
    </cfRule>
  </conditionalFormatting>
  <conditionalFormatting sqref="K33:Q33">
    <cfRule type="expression" dxfId="176" priority="9">
      <formula>INDIRECT("R7C"&amp;COLUMN(),FALSE)=TRUE</formula>
    </cfRule>
    <cfRule type="cellIs" dxfId="175" priority="36" operator="lessThan">
      <formula>0</formula>
    </cfRule>
  </conditionalFormatting>
  <conditionalFormatting sqref="S7:GT33">
    <cfRule type="expression" dxfId="174" priority="27">
      <formula>INDIRECT("R7C"&amp;COLUMN(),FALSE)=TRUE</formula>
    </cfRule>
  </conditionalFormatting>
  <conditionalFormatting sqref="Y39:GT65">
    <cfRule type="expression" dxfId="173" priority="31">
      <formula>INDIRECT("R7C"&amp;COLUMN(),FALSE)=TRUE</formula>
    </cfRule>
  </conditionalFormatting>
  <conditionalFormatting sqref="S69:GT72">
    <cfRule type="expression" dxfId="172" priority="30">
      <formula>INDIRECT("R7C"&amp;COLUMN(),FALSE)=TRUE</formula>
    </cfRule>
  </conditionalFormatting>
  <conditionalFormatting sqref="S74:GT82">
    <cfRule type="expression" dxfId="171" priority="29">
      <formula>INDIRECT("R7C"&amp;COLUMN(),FALSE)=TRUE</formula>
    </cfRule>
  </conditionalFormatting>
  <conditionalFormatting sqref="A72:XFD72">
    <cfRule type="cellIs" dxfId="170" priority="3" operator="greaterThan">
      <formula>0</formula>
    </cfRule>
    <cfRule type="cellIs" dxfId="169" priority="28" operator="lessThan">
      <formula>0</formula>
    </cfRule>
  </conditionalFormatting>
  <conditionalFormatting sqref="C39:I39">
    <cfRule type="expression" dxfId="168" priority="151">
      <formula>INDIRECT("R7C"&amp;COLUMN(),FALSE)=TRUE</formula>
    </cfRule>
  </conditionalFormatting>
  <conditionalFormatting sqref="R6:R10 R29:R35 K7:Q10 K13:GT15 C33:I33 K33:Q33 J33:J41 J5:J15 K11:R12 C29:Q32 C7:I15 S7:GT12 S29:GT33 C16:GT28">
    <cfRule type="expression" dxfId="167" priority="25">
      <formula>INDIRECT("R7C"&amp;COLUMN(),FALSE)=TRUE</formula>
    </cfRule>
  </conditionalFormatting>
  <conditionalFormatting sqref="C7:I8">
    <cfRule type="expression" dxfId="166" priority="26">
      <formula>INDIRECT("R7C"&amp;COLUMN(),FALSE)=TRUE</formula>
    </cfRule>
  </conditionalFormatting>
  <conditionalFormatting sqref="C41:I41 K41:U41 C53:I53 K53:U53 C42:U52 V41:GT53">
    <cfRule type="expression" dxfId="165" priority="24">
      <formula>INDIRECT("R7C"&amp;COLUMN(),FALSE)=TRUE</formula>
    </cfRule>
  </conditionalFormatting>
  <conditionalFormatting sqref="C56:U63 C64:J64 Q64:U64 V56:GT64">
    <cfRule type="expression" dxfId="164" priority="34">
      <formula>INDIRECT("R7C"&amp;COLUMN(),FALSE)=TRUE</formula>
    </cfRule>
  </conditionalFormatting>
  <conditionalFormatting sqref="K7:K8">
    <cfRule type="expression" dxfId="163" priority="23">
      <formula>INDIRECT("R7C"&amp;COLUMN(),FALSE)=TRUE</formula>
    </cfRule>
  </conditionalFormatting>
  <conditionalFormatting sqref="L7:L8">
    <cfRule type="expression" dxfId="162" priority="22">
      <formula>INDIRECT("R7C"&amp;COLUMN(),FALSE)=TRUE</formula>
    </cfRule>
  </conditionalFormatting>
  <conditionalFormatting sqref="M7:M8">
    <cfRule type="expression" dxfId="161" priority="21">
      <formula>INDIRECT("R7C"&amp;COLUMN(),FALSE)=TRUE</formula>
    </cfRule>
  </conditionalFormatting>
  <conditionalFormatting sqref="N7:N8">
    <cfRule type="expression" dxfId="160" priority="20">
      <formula>INDIRECT("R7C"&amp;COLUMN(),FALSE)=TRUE</formula>
    </cfRule>
  </conditionalFormatting>
  <conditionalFormatting sqref="O7:O8">
    <cfRule type="expression" dxfId="159" priority="19">
      <formula>INDIRECT("R7C"&amp;COLUMN(),FALSE)=TRUE</formula>
    </cfRule>
  </conditionalFormatting>
  <conditionalFormatting sqref="P7:P8">
    <cfRule type="expression" dxfId="158" priority="18">
      <formula>INDIRECT("R7C"&amp;COLUMN(),FALSE)=TRUE</formula>
    </cfRule>
  </conditionalFormatting>
  <conditionalFormatting sqref="Q7:Q8">
    <cfRule type="expression" dxfId="157" priority="17">
      <formula>INDIRECT("R7C"&amp;COLUMN(),FALSE)=TRUE</formula>
    </cfRule>
  </conditionalFormatting>
  <conditionalFormatting sqref="K39:Q39">
    <cfRule type="cellIs" dxfId="156" priority="12" operator="equal">
      <formula>$B$7</formula>
    </cfRule>
    <cfRule type="expression" dxfId="155" priority="16">
      <formula>INDIRECT("R7C"&amp;COLUMN(),FALSE)=TRUE</formula>
    </cfRule>
  </conditionalFormatting>
  <conditionalFormatting sqref="K40:Q40">
    <cfRule type="expression" dxfId="154" priority="14">
      <formula>INDIRECT("R7C"&amp;COLUMN(),FALSE)=TRUE</formula>
    </cfRule>
  </conditionalFormatting>
  <conditionalFormatting sqref="K9:Q9">
    <cfRule type="cellIs" dxfId="153" priority="13" operator="equal">
      <formula>$B$7</formula>
    </cfRule>
  </conditionalFormatting>
  <conditionalFormatting sqref="C32:I32">
    <cfRule type="cellIs" dxfId="152" priority="11" operator="equal">
      <formula>$B$7</formula>
    </cfRule>
  </conditionalFormatting>
  <conditionalFormatting sqref="S68:GT68">
    <cfRule type="expression" dxfId="151" priority="8">
      <formula>INDIRECT("R7C"&amp;COLUMN(),FALSE)=TRUE</formula>
    </cfRule>
  </conditionalFormatting>
  <conditionalFormatting sqref="C35:I35">
    <cfRule type="expression" dxfId="150" priority="6">
      <formula>INDIRECT("R7C"&amp;COLUMN(),FALSE)=TRUE</formula>
    </cfRule>
  </conditionalFormatting>
  <conditionalFormatting sqref="A65:XFD65">
    <cfRule type="cellIs" dxfId="149" priority="5" operator="lessThan">
      <formula>0</formula>
    </cfRule>
  </conditionalFormatting>
  <conditionalFormatting sqref="A33:XFD33">
    <cfRule type="cellIs" dxfId="148" priority="4" operator="greaterThan">
      <formula>0</formula>
    </cfRule>
  </conditionalFormatting>
  <conditionalFormatting sqref="K64:P64">
    <cfRule type="expression" dxfId="147" priority="1">
      <formula>INDIRECT("R7C"&amp;COLUMN(),FALSE)=TRUE</formula>
    </cfRule>
  </conditionalFormatting>
  <dataValidations count="2">
    <dataValidation type="list" allowBlank="1" showInputMessage="1" showErrorMessage="1" sqref="AH2:AH6 B2 R2:R5" xr:uid="{BA2CE578-0E03-4A48-8D19-CA1DC66FD151}">
      <formula1>DATA</formula1>
    </dataValidation>
    <dataValidation type="date" operator="equal" allowBlank="1" showInputMessage="1" showErrorMessage="1" sqref="AO9:GT9" xr:uid="{1317797A-A42E-4522-86CB-9BFFDF852590}">
      <formula1>B2</formula1>
    </dataValidation>
  </dataValidations>
  <pageMargins left="0.7" right="0.7" top="0.75" bottom="0.75" header="0.3" footer="0.3"/>
  <pageSetup paperSize="9" orientation="portrait" r:id="rId1"/>
  <ignoredErrors>
    <ignoredError sqref="C18:D18 C19:C21 D25:D26 E20 F20:F22 E22:E23 E25:E26 F28 F24:F25 G20:H20 C16:D16 G24 AK74" formulaRange="1"/>
    <ignoredError sqref="C27:H27 BY53 AI61 AU61 L62:M62 DB11 DN11 DZ11 EL11 E14 AX18 BA18 BO18" formula="1"/>
  </ignoredErrors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734D254-689C-4E92-956A-ED9520DA60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BILANCIO!CD32:CD32</xm:f>
              <xm:sqref>CD32</xm:sqref>
            </x14:sparkline>
            <x14:sparkline>
              <xm:f>BILANCIO!CE32:CE32</xm:f>
              <xm:sqref>CE32</xm:sqref>
            </x14:sparkline>
            <x14:sparkline>
              <xm:f>BILANCIO!CF32:CF32</xm:f>
              <xm:sqref>CF32</xm:sqref>
            </x14:sparkline>
            <x14:sparkline>
              <xm:f>BILANCIO!CG32:CG32</xm:f>
              <xm:sqref>CG32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A6B-F0ED-40DC-B8FE-B432AD8649C3}">
  <sheetPr codeName="Foglio12"/>
  <dimension ref="A1:O125"/>
  <sheetViews>
    <sheetView topLeftCell="A26" zoomScaleNormal="100" workbookViewId="0">
      <selection activeCell="R16" sqref="R16"/>
    </sheetView>
  </sheetViews>
  <sheetFormatPr defaultRowHeight="15"/>
  <cols>
    <col min="1" max="1" width="8.28515625" style="7" bestFit="1" customWidth="1"/>
    <col min="2" max="2" width="6.5703125" bestFit="1" customWidth="1"/>
    <col min="3" max="3" width="5.85546875" bestFit="1" customWidth="1"/>
    <col min="4" max="4" width="18" style="5" bestFit="1" customWidth="1"/>
    <col min="5" max="5" width="17.42578125" style="6" bestFit="1" customWidth="1"/>
    <col min="6" max="6" width="11.140625" style="6" bestFit="1" customWidth="1"/>
    <col min="7" max="7" width="12.85546875" bestFit="1" customWidth="1"/>
    <col min="8" max="8" width="1.85546875" customWidth="1"/>
    <col min="9" max="9" width="7.7109375" bestFit="1" customWidth="1"/>
    <col min="10" max="10" width="15.140625" bestFit="1" customWidth="1"/>
    <col min="11" max="11" width="9.85546875" bestFit="1" customWidth="1"/>
    <col min="12" max="12" width="14.140625" bestFit="1" customWidth="1"/>
    <col min="13" max="13" width="11.140625" bestFit="1" customWidth="1"/>
    <col min="14" max="14" width="17" bestFit="1" customWidth="1"/>
    <col min="15" max="15" width="7.85546875" bestFit="1" customWidth="1"/>
  </cols>
  <sheetData>
    <row r="1" spans="1:15">
      <c r="A1" s="1341" t="s">
        <v>69</v>
      </c>
      <c r="B1" s="1369" t="s">
        <v>70</v>
      </c>
      <c r="C1" s="1369" t="s">
        <v>71</v>
      </c>
      <c r="D1" s="1342" t="s">
        <v>72</v>
      </c>
      <c r="E1" s="1342" t="s">
        <v>73</v>
      </c>
      <c r="F1" s="1342" t="s">
        <v>74</v>
      </c>
      <c r="G1" s="1369" t="s">
        <v>75</v>
      </c>
      <c r="H1" s="1368"/>
      <c r="I1" s="1470" t="s">
        <v>76</v>
      </c>
      <c r="J1" s="1470"/>
      <c r="K1" s="1470"/>
      <c r="L1" s="1470"/>
      <c r="M1" s="1470"/>
      <c r="N1" s="1470"/>
      <c r="O1" s="1470"/>
    </row>
    <row r="2" spans="1:15">
      <c r="A2" s="1339">
        <v>43709</v>
      </c>
      <c r="B2" s="1321">
        <f t="shared" ref="B2:B33" si="0">YEAR(A2)</f>
        <v>2019</v>
      </c>
      <c r="C2" s="1321">
        <f t="shared" ref="C2:C33" si="1">MONTH(A2)</f>
        <v>9</v>
      </c>
      <c r="D2" s="1343">
        <v>0</v>
      </c>
      <c r="E2" s="1344">
        <f>BILANCIO!S58</f>
        <v>340</v>
      </c>
      <c r="F2" s="1344">
        <f>8+2.8+2.8</f>
        <v>13.600000000000001</v>
      </c>
      <c r="G2" s="1345">
        <f t="shared" ref="G2:G33" si="2">D2+E2+F2</f>
        <v>353.6</v>
      </c>
      <c r="I2" s="1346" t="s">
        <v>70</v>
      </c>
      <c r="J2" s="1346" t="s">
        <v>77</v>
      </c>
      <c r="K2" s="1346" t="s">
        <v>74</v>
      </c>
      <c r="L2" s="1346" t="s">
        <v>78</v>
      </c>
      <c r="M2" s="1346" t="s">
        <v>79</v>
      </c>
      <c r="N2" s="1346" t="s">
        <v>80</v>
      </c>
      <c r="O2" s="1346" t="s">
        <v>81</v>
      </c>
    </row>
    <row r="3" spans="1:15">
      <c r="A3" s="1339">
        <v>43739</v>
      </c>
      <c r="B3" s="1321">
        <f t="shared" si="0"/>
        <v>2019</v>
      </c>
      <c r="C3" s="1321">
        <f t="shared" si="1"/>
        <v>10</v>
      </c>
      <c r="D3" s="1343">
        <f>BILANCIO!S24</f>
        <v>0</v>
      </c>
      <c r="E3" s="1344">
        <f>BILANCIO!T58</f>
        <v>490</v>
      </c>
      <c r="F3" s="1344">
        <f>3.2+2.8+4+2.8+4+2.8</f>
        <v>19.600000000000001</v>
      </c>
      <c r="G3" s="1345">
        <f t="shared" si="2"/>
        <v>509.6</v>
      </c>
      <c r="I3" s="1347">
        <v>2019</v>
      </c>
      <c r="J3" s="1340">
        <f t="shared" ref="J3:J13" si="3">SUMIF($B:$B,I3,$E:$E)</f>
        <v>1470</v>
      </c>
      <c r="K3" s="1340">
        <f t="shared" ref="K3:K13" si="4">SUMIF($B:$B,I3,$F:$F)</f>
        <v>58.800000000000004</v>
      </c>
      <c r="L3" s="1340">
        <f t="shared" ref="L3:L13" si="5">SUMIF($B:$B,I3,$D:$D)</f>
        <v>0</v>
      </c>
      <c r="M3" s="1340">
        <f t="shared" ref="M3:M13" si="6">J3+K3+L3</f>
        <v>1528.8</v>
      </c>
      <c r="N3" s="1340" t="s">
        <v>82</v>
      </c>
      <c r="O3" s="1348" t="s">
        <v>82</v>
      </c>
    </row>
    <row r="4" spans="1:15">
      <c r="A4" s="1339">
        <v>43770</v>
      </c>
      <c r="B4" s="1321">
        <f t="shared" si="0"/>
        <v>2019</v>
      </c>
      <c r="C4" s="1321">
        <f t="shared" si="1"/>
        <v>11</v>
      </c>
      <c r="D4" s="1343">
        <f>BILANCIO!T24</f>
        <v>0</v>
      </c>
      <c r="E4" s="1344">
        <f>BILANCIO!U58</f>
        <v>400</v>
      </c>
      <c r="F4" s="1344">
        <f>4+8+4</f>
        <v>16</v>
      </c>
      <c r="G4" s="1345">
        <f t="shared" si="2"/>
        <v>416</v>
      </c>
      <c r="I4" s="1347">
        <v>2020</v>
      </c>
      <c r="J4" s="1340">
        <f t="shared" si="3"/>
        <v>2680</v>
      </c>
      <c r="K4" s="1340">
        <f t="shared" si="4"/>
        <v>103.2</v>
      </c>
      <c r="L4" s="1340">
        <f t="shared" si="5"/>
        <v>0</v>
      </c>
      <c r="M4" s="1340">
        <f t="shared" si="6"/>
        <v>2783.2</v>
      </c>
      <c r="N4" s="1340">
        <f t="shared" ref="N4:N13" si="7">M4-M3</f>
        <v>1254.3999999999999</v>
      </c>
      <c r="O4" s="1348">
        <f t="shared" ref="O4:O13" si="8">IF(M3=0,"-",(M4-M3)/M3)</f>
        <v>0.82051282051282048</v>
      </c>
    </row>
    <row r="5" spans="1:15">
      <c r="A5" s="1339">
        <v>43800</v>
      </c>
      <c r="B5" s="1321">
        <f t="shared" si="0"/>
        <v>2019</v>
      </c>
      <c r="C5" s="1321">
        <f t="shared" si="1"/>
        <v>12</v>
      </c>
      <c r="D5" s="1343">
        <f>BILANCIO!U24</f>
        <v>0</v>
      </c>
      <c r="E5" s="1344">
        <f>BILANCIO!V58</f>
        <v>240</v>
      </c>
      <c r="F5" s="1344">
        <f>3.6+6</f>
        <v>9.6</v>
      </c>
      <c r="G5" s="1345">
        <f t="shared" si="2"/>
        <v>249.6</v>
      </c>
      <c r="I5" s="1347">
        <v>2021</v>
      </c>
      <c r="J5" s="1340">
        <f t="shared" si="3"/>
        <v>3284.91</v>
      </c>
      <c r="K5" s="1340">
        <f t="shared" si="4"/>
        <v>134.04</v>
      </c>
      <c r="L5" s="1340">
        <f t="shared" si="5"/>
        <v>3652</v>
      </c>
      <c r="M5" s="1340">
        <f t="shared" si="6"/>
        <v>7070.95</v>
      </c>
      <c r="N5" s="1340">
        <f t="shared" si="7"/>
        <v>4287.75</v>
      </c>
      <c r="O5" s="1348">
        <f t="shared" si="8"/>
        <v>1.5405827824087381</v>
      </c>
    </row>
    <row r="6" spans="1:15">
      <c r="A6" s="1339">
        <v>43831</v>
      </c>
      <c r="B6" s="1321">
        <f t="shared" si="0"/>
        <v>2020</v>
      </c>
      <c r="C6" s="1321">
        <f t="shared" si="1"/>
        <v>1</v>
      </c>
      <c r="D6" s="1343">
        <f>BILANCIO!V24</f>
        <v>0</v>
      </c>
      <c r="E6" s="1344">
        <f>BILANCIO!W58</f>
        <v>220</v>
      </c>
      <c r="F6" s="1344">
        <f>4.8+4</f>
        <v>8.8000000000000007</v>
      </c>
      <c r="G6" s="1345">
        <f t="shared" si="2"/>
        <v>228.8</v>
      </c>
      <c r="I6" s="1347">
        <v>2022</v>
      </c>
      <c r="J6" s="1340">
        <f t="shared" si="3"/>
        <v>4271.79</v>
      </c>
      <c r="K6" s="1340">
        <f t="shared" si="4"/>
        <v>192.46</v>
      </c>
      <c r="L6" s="1340">
        <f t="shared" si="5"/>
        <v>1980</v>
      </c>
      <c r="M6" s="1340">
        <f t="shared" si="6"/>
        <v>6444.25</v>
      </c>
      <c r="N6" s="1340">
        <f t="shared" si="7"/>
        <v>-626.69999999999982</v>
      </c>
      <c r="O6" s="1348">
        <f t="shared" si="8"/>
        <v>-8.8630240632446816E-2</v>
      </c>
    </row>
    <row r="7" spans="1:15">
      <c r="A7" s="1339">
        <v>43862</v>
      </c>
      <c r="B7" s="1321">
        <f t="shared" si="0"/>
        <v>2020</v>
      </c>
      <c r="C7" s="1321">
        <f t="shared" si="1"/>
        <v>2</v>
      </c>
      <c r="D7" s="1343">
        <f>BILANCIO!W24</f>
        <v>0</v>
      </c>
      <c r="E7" s="1344">
        <f>BILANCIO!X58</f>
        <v>300</v>
      </c>
      <c r="F7" s="1344">
        <f>4+4</f>
        <v>8</v>
      </c>
      <c r="G7" s="1345">
        <f t="shared" si="2"/>
        <v>308</v>
      </c>
      <c r="I7" s="1347">
        <v>2023</v>
      </c>
      <c r="J7" s="1340">
        <f t="shared" si="3"/>
        <v>4930</v>
      </c>
      <c r="K7" s="1340">
        <f t="shared" si="4"/>
        <v>196.90999999999997</v>
      </c>
      <c r="L7" s="1340">
        <f t="shared" si="5"/>
        <v>220</v>
      </c>
      <c r="M7" s="1340">
        <f t="shared" si="6"/>
        <v>5346.91</v>
      </c>
      <c r="N7" s="1340">
        <f t="shared" si="7"/>
        <v>-1097.3400000000001</v>
      </c>
      <c r="O7" s="1348">
        <f t="shared" si="8"/>
        <v>-0.17028203437172676</v>
      </c>
    </row>
    <row r="8" spans="1:15">
      <c r="A8" s="1339">
        <v>43891</v>
      </c>
      <c r="B8" s="1321">
        <f t="shared" si="0"/>
        <v>2020</v>
      </c>
      <c r="C8" s="1321">
        <f t="shared" si="1"/>
        <v>3</v>
      </c>
      <c r="D8" s="1343">
        <f>BILANCIO!X24</f>
        <v>0</v>
      </c>
      <c r="E8" s="1344">
        <f>BILANCIO!Y58</f>
        <v>0</v>
      </c>
      <c r="F8" s="1344"/>
      <c r="G8" s="1345">
        <f t="shared" si="2"/>
        <v>0</v>
      </c>
      <c r="I8" s="1347">
        <v>2024</v>
      </c>
      <c r="J8" s="1340">
        <f t="shared" si="3"/>
        <v>3232.9</v>
      </c>
      <c r="K8" s="1340">
        <f t="shared" si="4"/>
        <v>128.93</v>
      </c>
      <c r="L8" s="1340">
        <f t="shared" si="5"/>
        <v>442</v>
      </c>
      <c r="M8" s="1340">
        <f t="shared" si="6"/>
        <v>3803.83</v>
      </c>
      <c r="N8" s="1340">
        <f t="shared" si="7"/>
        <v>-1543.08</v>
      </c>
      <c r="O8" s="1348">
        <f t="shared" si="8"/>
        <v>-0.28859285082412084</v>
      </c>
    </row>
    <row r="9" spans="1:15">
      <c r="A9" s="1339">
        <v>43922</v>
      </c>
      <c r="B9" s="1321">
        <f t="shared" si="0"/>
        <v>2020</v>
      </c>
      <c r="C9" s="1321">
        <f t="shared" si="1"/>
        <v>4</v>
      </c>
      <c r="D9" s="1343">
        <f>BILANCIO!Y24</f>
        <v>0</v>
      </c>
      <c r="E9" s="1344">
        <f>BILANCIO!Z58</f>
        <v>0</v>
      </c>
      <c r="F9" s="1344"/>
      <c r="G9" s="1345">
        <f t="shared" si="2"/>
        <v>0</v>
      </c>
      <c r="I9" s="1347">
        <v>2025</v>
      </c>
      <c r="J9" s="1340">
        <f t="shared" si="3"/>
        <v>1100</v>
      </c>
      <c r="K9" s="1340">
        <f t="shared" si="4"/>
        <v>42.069999999999993</v>
      </c>
      <c r="L9" s="1340">
        <f t="shared" si="5"/>
        <v>1030</v>
      </c>
      <c r="M9" s="1340">
        <f t="shared" si="6"/>
        <v>2172.0699999999997</v>
      </c>
      <c r="N9" s="1340">
        <f t="shared" si="7"/>
        <v>-1631.7600000000002</v>
      </c>
      <c r="O9" s="1348">
        <f t="shared" si="8"/>
        <v>-0.42897816148460899</v>
      </c>
    </row>
    <row r="10" spans="1:15">
      <c r="A10" s="1339">
        <v>43952</v>
      </c>
      <c r="B10" s="1321">
        <f t="shared" si="0"/>
        <v>2020</v>
      </c>
      <c r="C10" s="1321">
        <f t="shared" si="1"/>
        <v>5</v>
      </c>
      <c r="D10" s="1343">
        <f>BILANCIO!Z24</f>
        <v>0</v>
      </c>
      <c r="E10" s="1344">
        <f>BILANCIO!AA58</f>
        <v>150</v>
      </c>
      <c r="F10" s="1344">
        <v>6</v>
      </c>
      <c r="G10" s="1345">
        <f t="shared" si="2"/>
        <v>156</v>
      </c>
      <c r="I10" s="1347">
        <v>2026</v>
      </c>
      <c r="J10" s="1340">
        <f t="shared" si="3"/>
        <v>80</v>
      </c>
      <c r="K10" s="1340">
        <f t="shared" si="4"/>
        <v>3.2</v>
      </c>
      <c r="L10" s="1340">
        <f t="shared" si="5"/>
        <v>1466</v>
      </c>
      <c r="M10" s="1340">
        <f t="shared" si="6"/>
        <v>1549.2</v>
      </c>
      <c r="N10" s="1340">
        <f t="shared" si="7"/>
        <v>-622.86999999999966</v>
      </c>
      <c r="O10" s="1348">
        <f t="shared" si="8"/>
        <v>-0.28676331794095022</v>
      </c>
    </row>
    <row r="11" spans="1:15">
      <c r="A11" s="1339">
        <v>43983</v>
      </c>
      <c r="B11" s="1321">
        <f t="shared" si="0"/>
        <v>2020</v>
      </c>
      <c r="C11" s="1321">
        <f t="shared" si="1"/>
        <v>6</v>
      </c>
      <c r="D11" s="1343">
        <f>BILANCIO!AA24</f>
        <v>0</v>
      </c>
      <c r="E11" s="1344">
        <f>BILANCIO!AB58</f>
        <v>200</v>
      </c>
      <c r="F11" s="1344">
        <f>4+4</f>
        <v>8</v>
      </c>
      <c r="G11" s="1345">
        <f t="shared" si="2"/>
        <v>208</v>
      </c>
      <c r="I11" s="1347">
        <v>2027</v>
      </c>
      <c r="J11" s="1340">
        <f t="shared" si="3"/>
        <v>0</v>
      </c>
      <c r="K11" s="1340">
        <f t="shared" si="4"/>
        <v>0</v>
      </c>
      <c r="L11" s="1340">
        <f t="shared" si="5"/>
        <v>0</v>
      </c>
      <c r="M11" s="1340">
        <f t="shared" si="6"/>
        <v>0</v>
      </c>
      <c r="N11" s="1340">
        <f t="shared" si="7"/>
        <v>-1549.2</v>
      </c>
      <c r="O11" s="1348">
        <f t="shared" si="8"/>
        <v>-1</v>
      </c>
    </row>
    <row r="12" spans="1:15">
      <c r="A12" s="1339">
        <v>44013</v>
      </c>
      <c r="B12" s="1321">
        <f t="shared" si="0"/>
        <v>2020</v>
      </c>
      <c r="C12" s="1321">
        <f t="shared" si="1"/>
        <v>7</v>
      </c>
      <c r="D12" s="1343">
        <f>BILANCIO!AB24</f>
        <v>0</v>
      </c>
      <c r="E12" s="1344">
        <f>BILANCIO!AC58</f>
        <v>200</v>
      </c>
      <c r="F12" s="1344">
        <f>4+4</f>
        <v>8</v>
      </c>
      <c r="G12" s="1345">
        <f t="shared" si="2"/>
        <v>208</v>
      </c>
      <c r="I12" s="1347">
        <v>2028</v>
      </c>
      <c r="J12" s="1340">
        <f t="shared" si="3"/>
        <v>0</v>
      </c>
      <c r="K12" s="1340">
        <f t="shared" si="4"/>
        <v>0</v>
      </c>
      <c r="L12" s="1340">
        <f t="shared" si="5"/>
        <v>0</v>
      </c>
      <c r="M12" s="1340">
        <f t="shared" si="6"/>
        <v>0</v>
      </c>
      <c r="N12" s="1340">
        <f t="shared" si="7"/>
        <v>0</v>
      </c>
      <c r="O12" s="1348" t="str">
        <f t="shared" si="8"/>
        <v>-</v>
      </c>
    </row>
    <row r="13" spans="1:15">
      <c r="A13" s="1339">
        <v>44044</v>
      </c>
      <c r="B13" s="1321">
        <f t="shared" si="0"/>
        <v>2020</v>
      </c>
      <c r="C13" s="1321">
        <f t="shared" si="1"/>
        <v>8</v>
      </c>
      <c r="D13" s="1343">
        <f>BILANCIO!AC24</f>
        <v>0</v>
      </c>
      <c r="E13" s="1344">
        <f>BILANCIO!AD58</f>
        <v>340</v>
      </c>
      <c r="F13" s="1344">
        <f>2.8+2.8+4+4</f>
        <v>13.6</v>
      </c>
      <c r="G13" s="1345">
        <f t="shared" si="2"/>
        <v>353.6</v>
      </c>
      <c r="I13" s="1347">
        <v>2029</v>
      </c>
      <c r="J13" s="1340">
        <f t="shared" si="3"/>
        <v>0</v>
      </c>
      <c r="K13" s="1340">
        <f t="shared" si="4"/>
        <v>0</v>
      </c>
      <c r="L13" s="1340">
        <f t="shared" si="5"/>
        <v>0</v>
      </c>
      <c r="M13" s="1340">
        <f t="shared" si="6"/>
        <v>0</v>
      </c>
      <c r="N13" s="1340">
        <f t="shared" si="7"/>
        <v>0</v>
      </c>
      <c r="O13" s="1348" t="str">
        <f t="shared" si="8"/>
        <v>-</v>
      </c>
    </row>
    <row r="14" spans="1:15">
      <c r="A14" s="1339">
        <v>44075</v>
      </c>
      <c r="B14" s="1321">
        <f t="shared" si="0"/>
        <v>2020</v>
      </c>
      <c r="C14" s="1321">
        <f t="shared" si="1"/>
        <v>9</v>
      </c>
      <c r="D14" s="1343">
        <f>BILANCIO!AD24</f>
        <v>0</v>
      </c>
      <c r="E14" s="1344">
        <f>BILANCIO!AE58</f>
        <v>350</v>
      </c>
      <c r="F14" s="1344">
        <f>4+4+6</f>
        <v>14</v>
      </c>
      <c r="G14" s="1345">
        <f t="shared" si="2"/>
        <v>364</v>
      </c>
      <c r="I14" s="1349" t="s">
        <v>79</v>
      </c>
      <c r="J14" s="1350">
        <f>SUM(J3:J13)</f>
        <v>21049.600000000002</v>
      </c>
      <c r="K14" s="1350">
        <f>SUM(K3:K13)</f>
        <v>859.6099999999999</v>
      </c>
      <c r="L14" s="1350">
        <f>SUM(L3:L13)</f>
        <v>8790</v>
      </c>
      <c r="M14" s="1350">
        <f>SUM(M3:M13)</f>
        <v>30699.210000000003</v>
      </c>
      <c r="N14" s="1350"/>
      <c r="O14" s="1351"/>
    </row>
    <row r="15" spans="1:15">
      <c r="A15" s="1339">
        <v>44105</v>
      </c>
      <c r="B15" s="1321">
        <f t="shared" si="0"/>
        <v>2020</v>
      </c>
      <c r="C15" s="1321">
        <f t="shared" si="1"/>
        <v>10</v>
      </c>
      <c r="D15" s="1343">
        <f>BILANCIO!AE24</f>
        <v>0</v>
      </c>
      <c r="E15" s="1344">
        <f>BILANCIO!AF58</f>
        <v>340</v>
      </c>
      <c r="F15" s="1344">
        <f>5.6+4+4</f>
        <v>13.6</v>
      </c>
      <c r="G15" s="1345">
        <f t="shared" si="2"/>
        <v>353.6</v>
      </c>
    </row>
    <row r="16" spans="1:15">
      <c r="A16" s="1339">
        <v>44136</v>
      </c>
      <c r="B16" s="1321">
        <f t="shared" si="0"/>
        <v>2020</v>
      </c>
      <c r="C16" s="1321">
        <f t="shared" si="1"/>
        <v>11</v>
      </c>
      <c r="D16" s="1343">
        <f>BILANCIO!AF24</f>
        <v>0</v>
      </c>
      <c r="E16" s="1344">
        <f>BILANCIO!AG58</f>
        <v>430</v>
      </c>
      <c r="F16" s="1344">
        <f>2.8+11.6+2.8</f>
        <v>17.2</v>
      </c>
      <c r="G16" s="1345">
        <f t="shared" si="2"/>
        <v>447.2</v>
      </c>
    </row>
    <row r="17" spans="1:7">
      <c r="A17" s="1339">
        <v>44166</v>
      </c>
      <c r="B17" s="1321">
        <f t="shared" si="0"/>
        <v>2020</v>
      </c>
      <c r="C17" s="1321">
        <f t="shared" si="1"/>
        <v>12</v>
      </c>
      <c r="D17" s="1343">
        <f>BILANCIO!AG24</f>
        <v>0</v>
      </c>
      <c r="E17" s="1344">
        <f>BILANCIO!AH58</f>
        <v>150</v>
      </c>
      <c r="F17" s="1344">
        <v>6</v>
      </c>
      <c r="G17" s="1345">
        <f t="shared" si="2"/>
        <v>156</v>
      </c>
    </row>
    <row r="18" spans="1:7">
      <c r="A18" s="1339">
        <v>44197</v>
      </c>
      <c r="B18" s="1321">
        <f t="shared" si="0"/>
        <v>2021</v>
      </c>
      <c r="C18" s="1321">
        <f t="shared" si="1"/>
        <v>1</v>
      </c>
      <c r="D18" s="1343">
        <f>BILANCIO!AH24</f>
        <v>0</v>
      </c>
      <c r="E18" s="1344">
        <f>BILANCIO!AI58</f>
        <v>100</v>
      </c>
      <c r="F18" s="1344">
        <v>4</v>
      </c>
      <c r="G18" s="1345">
        <f t="shared" si="2"/>
        <v>104</v>
      </c>
    </row>
    <row r="19" spans="1:7">
      <c r="A19" s="1339">
        <v>44228</v>
      </c>
      <c r="B19" s="1321">
        <f t="shared" si="0"/>
        <v>2021</v>
      </c>
      <c r="C19" s="1321">
        <f t="shared" si="1"/>
        <v>2</v>
      </c>
      <c r="D19" s="1343">
        <f>BILANCIO!AI24</f>
        <v>0</v>
      </c>
      <c r="E19" s="1344">
        <f>BILANCIO!AJ58</f>
        <v>390</v>
      </c>
      <c r="F19" s="1344">
        <f>2.8+10+2.8</f>
        <v>15.600000000000001</v>
      </c>
      <c r="G19" s="1345">
        <f t="shared" si="2"/>
        <v>405.6</v>
      </c>
    </row>
    <row r="20" spans="1:7">
      <c r="A20" s="1339">
        <v>44256</v>
      </c>
      <c r="B20" s="1321">
        <f t="shared" si="0"/>
        <v>2021</v>
      </c>
      <c r="C20" s="1321">
        <f t="shared" si="1"/>
        <v>3</v>
      </c>
      <c r="D20" s="1343">
        <f>BILANCIO!AJ24</f>
        <v>2100</v>
      </c>
      <c r="E20" s="1344">
        <f>BILANCIO!AK58</f>
        <v>0</v>
      </c>
      <c r="F20" s="1344"/>
      <c r="G20" s="1345">
        <f t="shared" si="2"/>
        <v>2100</v>
      </c>
    </row>
    <row r="21" spans="1:7">
      <c r="A21" s="1339">
        <v>44287</v>
      </c>
      <c r="B21" s="1321">
        <f t="shared" si="0"/>
        <v>2021</v>
      </c>
      <c r="C21" s="1321">
        <f t="shared" si="1"/>
        <v>4</v>
      </c>
      <c r="D21" s="1343">
        <f>BILANCIO!AK24</f>
        <v>70</v>
      </c>
      <c r="E21" s="1344">
        <f>BILANCIO!AL58</f>
        <v>0</v>
      </c>
      <c r="F21" s="1344"/>
      <c r="G21" s="1345">
        <f t="shared" si="2"/>
        <v>70</v>
      </c>
    </row>
    <row r="22" spans="1:7">
      <c r="A22" s="1339">
        <v>44317</v>
      </c>
      <c r="B22" s="1321">
        <f t="shared" si="0"/>
        <v>2021</v>
      </c>
      <c r="C22" s="1321">
        <f t="shared" si="1"/>
        <v>5</v>
      </c>
      <c r="D22" s="1343">
        <f>BILANCIO!AL24</f>
        <v>0</v>
      </c>
      <c r="E22" s="1344">
        <f>BILANCIO!AM58</f>
        <v>70</v>
      </c>
      <c r="F22" s="1344">
        <v>2.8</v>
      </c>
      <c r="G22" s="1345">
        <f t="shared" si="2"/>
        <v>72.8</v>
      </c>
    </row>
    <row r="23" spans="1:7">
      <c r="A23" s="1339">
        <v>44348</v>
      </c>
      <c r="B23" s="1321">
        <f t="shared" si="0"/>
        <v>2021</v>
      </c>
      <c r="C23" s="1321">
        <f t="shared" si="1"/>
        <v>6</v>
      </c>
      <c r="D23" s="1343">
        <f>BILANCIO!AM24</f>
        <v>170</v>
      </c>
      <c r="E23" s="1344">
        <f>BILANCIO!AN58</f>
        <v>350</v>
      </c>
      <c r="F23" s="1344">
        <f>2.4+2.8+4+2.8+2.07</f>
        <v>14.07</v>
      </c>
      <c r="G23" s="1345">
        <f t="shared" si="2"/>
        <v>534.07000000000005</v>
      </c>
    </row>
    <row r="24" spans="1:7">
      <c r="A24" s="1339">
        <v>44378</v>
      </c>
      <c r="B24" s="1321">
        <f t="shared" si="0"/>
        <v>2021</v>
      </c>
      <c r="C24" s="1321">
        <f t="shared" si="1"/>
        <v>7</v>
      </c>
      <c r="D24" s="1343">
        <f>BILANCIO!AN24</f>
        <v>350</v>
      </c>
      <c r="E24" s="1344">
        <f>BILANCIO!AO58</f>
        <v>540</v>
      </c>
      <c r="F24" s="1344">
        <f>10+10+2.07</f>
        <v>22.07</v>
      </c>
      <c r="G24" s="1345">
        <f t="shared" si="2"/>
        <v>912.07</v>
      </c>
    </row>
    <row r="25" spans="1:7">
      <c r="A25" s="1339">
        <v>44409</v>
      </c>
      <c r="B25" s="1321">
        <f t="shared" si="0"/>
        <v>2021</v>
      </c>
      <c r="C25" s="1321">
        <f t="shared" si="1"/>
        <v>8</v>
      </c>
      <c r="D25" s="1343">
        <f>BILANCIO!AO24</f>
        <v>350</v>
      </c>
      <c r="E25" s="1344">
        <f>BILANCIO!AP58</f>
        <v>250</v>
      </c>
      <c r="F25" s="1344">
        <v>10</v>
      </c>
      <c r="G25" s="1345">
        <f t="shared" si="2"/>
        <v>610</v>
      </c>
    </row>
    <row r="26" spans="1:7">
      <c r="A26" s="1339">
        <v>44440</v>
      </c>
      <c r="B26" s="1321">
        <f t="shared" si="0"/>
        <v>2021</v>
      </c>
      <c r="C26" s="1321">
        <f t="shared" si="1"/>
        <v>9</v>
      </c>
      <c r="D26" s="1343">
        <f>BILANCIO!AP24</f>
        <v>250</v>
      </c>
      <c r="E26" s="1344">
        <f>BILANCIO!AQ58</f>
        <v>260</v>
      </c>
      <c r="F26" s="1344">
        <f>2.07+2.07+2.07+2.07+2.4</f>
        <v>10.68</v>
      </c>
      <c r="G26" s="1345">
        <f t="shared" si="2"/>
        <v>520.67999999999995</v>
      </c>
    </row>
    <row r="27" spans="1:7">
      <c r="A27" s="1339">
        <v>44470</v>
      </c>
      <c r="B27" s="1321">
        <f t="shared" si="0"/>
        <v>2021</v>
      </c>
      <c r="C27" s="1321">
        <f t="shared" si="1"/>
        <v>10</v>
      </c>
      <c r="D27" s="1343">
        <f>BILANCIO!AQ24</f>
        <v>102</v>
      </c>
      <c r="E27" s="1344">
        <f>BILANCIO!AR58</f>
        <v>430</v>
      </c>
      <c r="F27" s="1344">
        <f>2.07+4+4+3.2+2.4+2.07</f>
        <v>17.739999999999998</v>
      </c>
      <c r="G27" s="1345">
        <f t="shared" si="2"/>
        <v>549.74</v>
      </c>
    </row>
    <row r="28" spans="1:7">
      <c r="A28" s="1339">
        <v>44501</v>
      </c>
      <c r="B28" s="1321">
        <f t="shared" si="0"/>
        <v>2021</v>
      </c>
      <c r="C28" s="1321">
        <f t="shared" si="1"/>
        <v>11</v>
      </c>
      <c r="D28" s="1343">
        <f>BILANCIO!AR24</f>
        <v>0</v>
      </c>
      <c r="E28" s="1344">
        <f>BILANCIO!AS58</f>
        <v>444.90999999999997</v>
      </c>
      <c r="F28" s="1344">
        <f>2.4+3.2+2.07+2.07+3.2+4+2.07</f>
        <v>19.010000000000002</v>
      </c>
      <c r="G28" s="1345">
        <f t="shared" si="2"/>
        <v>463.91999999999996</v>
      </c>
    </row>
    <row r="29" spans="1:7">
      <c r="A29" s="1339">
        <v>44531</v>
      </c>
      <c r="B29" s="1321">
        <f t="shared" si="0"/>
        <v>2021</v>
      </c>
      <c r="C29" s="1321">
        <f t="shared" si="1"/>
        <v>12</v>
      </c>
      <c r="D29" s="1343">
        <f>BILANCIO!AS24</f>
        <v>260</v>
      </c>
      <c r="E29" s="1344">
        <f>BILANCIO!AT58</f>
        <v>450</v>
      </c>
      <c r="F29" s="1344">
        <f>2.07+4+2.4+7.2+2.4</f>
        <v>18.07</v>
      </c>
      <c r="G29" s="1345">
        <f t="shared" si="2"/>
        <v>728.07</v>
      </c>
    </row>
    <row r="30" spans="1:7">
      <c r="A30" s="1339">
        <v>44562</v>
      </c>
      <c r="B30" s="1321">
        <f t="shared" si="0"/>
        <v>2022</v>
      </c>
      <c r="C30" s="1321">
        <f t="shared" si="1"/>
        <v>1</v>
      </c>
      <c r="D30" s="1343">
        <f>BILANCIO!AT24</f>
        <v>0</v>
      </c>
      <c r="E30" s="1344">
        <f>BILANCIO!AU58</f>
        <v>400</v>
      </c>
      <c r="F30" s="1344">
        <f>2.4+2.4+2.4+2.4+2.07+2.07+2.07+2.07</f>
        <v>17.88</v>
      </c>
      <c r="G30" s="1345">
        <f t="shared" si="2"/>
        <v>417.88</v>
      </c>
    </row>
    <row r="31" spans="1:7">
      <c r="A31" s="1339">
        <v>44593</v>
      </c>
      <c r="B31" s="1321">
        <f t="shared" si="0"/>
        <v>2022</v>
      </c>
      <c r="C31" s="1321">
        <f t="shared" si="1"/>
        <v>2</v>
      </c>
      <c r="D31" s="1343">
        <f>BILANCIO!AU24</f>
        <v>280</v>
      </c>
      <c r="E31" s="1344">
        <f>BILANCIO!AV58</f>
        <v>250</v>
      </c>
      <c r="F31" s="1344">
        <f>2.4+2.07+2.07+4</f>
        <v>10.54</v>
      </c>
      <c r="G31" s="1345">
        <f t="shared" si="2"/>
        <v>540.54</v>
      </c>
    </row>
    <row r="32" spans="1:7">
      <c r="A32" s="1339">
        <v>44621</v>
      </c>
      <c r="B32" s="1321">
        <f t="shared" si="0"/>
        <v>2022</v>
      </c>
      <c r="C32" s="1321">
        <f t="shared" si="1"/>
        <v>3</v>
      </c>
      <c r="D32" s="1343">
        <f>BILANCIO!AV24</f>
        <v>120</v>
      </c>
      <c r="E32" s="1344">
        <f>BILANCIO!AW58</f>
        <v>387.84000000000003</v>
      </c>
      <c r="F32" s="1344">
        <f>2.07+2.07+2.4+2.07+2.4+4+2.4</f>
        <v>17.41</v>
      </c>
      <c r="G32" s="1345">
        <f t="shared" si="2"/>
        <v>525.25</v>
      </c>
    </row>
    <row r="33" spans="1:7">
      <c r="A33" s="1339">
        <v>44652</v>
      </c>
      <c r="B33" s="1321">
        <f t="shared" si="0"/>
        <v>2022</v>
      </c>
      <c r="C33" s="1321">
        <f t="shared" si="1"/>
        <v>4</v>
      </c>
      <c r="D33" s="1343">
        <f>BILANCIO!AW24</f>
        <v>350</v>
      </c>
      <c r="E33" s="1344">
        <f>BILANCIO!AX58</f>
        <v>40</v>
      </c>
      <c r="F33" s="1344">
        <v>2.0699999999999998</v>
      </c>
      <c r="G33" s="1345">
        <f t="shared" si="2"/>
        <v>392.07</v>
      </c>
    </row>
    <row r="34" spans="1:7">
      <c r="A34" s="1339">
        <v>44682</v>
      </c>
      <c r="B34" s="1321">
        <f t="shared" ref="B34:B65" si="9">YEAR(A34)</f>
        <v>2022</v>
      </c>
      <c r="C34" s="1321">
        <f t="shared" ref="C34:C65" si="10">MONTH(A34)</f>
        <v>5</v>
      </c>
      <c r="D34" s="1343">
        <f>BILANCIO!AX24</f>
        <v>120</v>
      </c>
      <c r="E34" s="1344">
        <f>BILANCIO!AY58</f>
        <v>240</v>
      </c>
      <c r="F34" s="1344">
        <f>2.07+2.07+2.4+2.4+2.07</f>
        <v>11.01</v>
      </c>
      <c r="G34" s="1345">
        <f t="shared" ref="G34:G65" si="11">D34+E34+F34</f>
        <v>371.01</v>
      </c>
    </row>
    <row r="35" spans="1:7">
      <c r="A35" s="1339">
        <v>44713</v>
      </c>
      <c r="B35" s="1321">
        <f t="shared" si="9"/>
        <v>2022</v>
      </c>
      <c r="C35" s="1321">
        <f t="shared" si="10"/>
        <v>6</v>
      </c>
      <c r="D35" s="1343">
        <f>BILANCIO!AY24</f>
        <v>130</v>
      </c>
      <c r="E35" s="1344">
        <f>BILANCIO!AZ58</f>
        <v>533.95000000000005</v>
      </c>
      <c r="F35" s="1344">
        <f>2.4+2.4+2.8+2.07+2.8+4.15+2.07+3.2</f>
        <v>21.889999999999997</v>
      </c>
      <c r="G35" s="1345">
        <f t="shared" si="11"/>
        <v>685.84</v>
      </c>
    </row>
    <row r="36" spans="1:7">
      <c r="A36" s="1339">
        <v>44743</v>
      </c>
      <c r="B36" s="1321">
        <f t="shared" si="9"/>
        <v>2022</v>
      </c>
      <c r="C36" s="1321">
        <f t="shared" si="10"/>
        <v>7</v>
      </c>
      <c r="D36" s="1343">
        <f>BILANCIO!AZ24</f>
        <v>0</v>
      </c>
      <c r="E36" s="1344">
        <f>BILANCIO!BA58</f>
        <v>430</v>
      </c>
      <c r="F36" s="1344">
        <f>2.07+4+2.07+2.07+2.4+2.4+2.07+2.07</f>
        <v>19.150000000000002</v>
      </c>
      <c r="G36" s="1345">
        <f t="shared" si="11"/>
        <v>449.15</v>
      </c>
    </row>
    <row r="37" spans="1:7">
      <c r="A37" s="1339">
        <v>44774</v>
      </c>
      <c r="B37" s="1321">
        <f t="shared" si="9"/>
        <v>2022</v>
      </c>
      <c r="C37" s="1321">
        <f t="shared" si="10"/>
        <v>8</v>
      </c>
      <c r="D37" s="1343">
        <f>BILANCIO!BA24</f>
        <v>180</v>
      </c>
      <c r="E37" s="1344">
        <f>BILANCIO!BB58</f>
        <v>410</v>
      </c>
      <c r="F37" s="1344">
        <f>3.6+2.4+2.4+4.8+3.2</f>
        <v>16.399999999999999</v>
      </c>
      <c r="G37" s="1345">
        <f t="shared" si="11"/>
        <v>606.4</v>
      </c>
    </row>
    <row r="38" spans="1:7">
      <c r="A38" s="1339">
        <v>44805</v>
      </c>
      <c r="B38" s="1321">
        <f t="shared" si="9"/>
        <v>2022</v>
      </c>
      <c r="C38" s="1321">
        <f t="shared" si="10"/>
        <v>9</v>
      </c>
      <c r="D38" s="1343">
        <f>BILANCIO!BB24</f>
        <v>310</v>
      </c>
      <c r="E38" s="1344">
        <f>BILANCIO!BC58</f>
        <v>510</v>
      </c>
      <c r="F38" s="1344">
        <f>2.07+4+4+4+2.8+2.4+2.07</f>
        <v>21.34</v>
      </c>
      <c r="G38" s="1345">
        <f t="shared" si="11"/>
        <v>841.34</v>
      </c>
    </row>
    <row r="39" spans="1:7">
      <c r="A39" s="1339">
        <v>44835</v>
      </c>
      <c r="B39" s="1321">
        <f t="shared" si="9"/>
        <v>2022</v>
      </c>
      <c r="C39" s="1321">
        <f t="shared" si="10"/>
        <v>10</v>
      </c>
      <c r="D39" s="1343">
        <f>BILANCIO!BC24</f>
        <v>0</v>
      </c>
      <c r="E39" s="1344">
        <f>BILANCIO!BD58</f>
        <v>420</v>
      </c>
      <c r="F39" s="1344">
        <f>2.4+2.4+3.2+2.4+2.4+2.07+2.4</f>
        <v>17.27</v>
      </c>
      <c r="G39" s="1345">
        <f t="shared" si="11"/>
        <v>437.27</v>
      </c>
    </row>
    <row r="40" spans="1:7">
      <c r="A40" s="1339">
        <v>44866</v>
      </c>
      <c r="B40" s="1321">
        <f t="shared" si="9"/>
        <v>2022</v>
      </c>
      <c r="C40" s="1321">
        <f t="shared" si="10"/>
        <v>11</v>
      </c>
      <c r="D40" s="1343">
        <f>BILANCIO!BD24</f>
        <v>0</v>
      </c>
      <c r="E40" s="1344">
        <f>BILANCIO!BE58</f>
        <v>550</v>
      </c>
      <c r="F40" s="1344">
        <f>2.07+3.2+2.07+2.07+2.07+2.4+2.4+4+2.07+2.07</f>
        <v>24.42</v>
      </c>
      <c r="G40" s="1345">
        <f t="shared" si="11"/>
        <v>574.41999999999996</v>
      </c>
    </row>
    <row r="41" spans="1:7">
      <c r="A41" s="1339">
        <v>44896</v>
      </c>
      <c r="B41" s="1321">
        <f t="shared" si="9"/>
        <v>2022</v>
      </c>
      <c r="C41" s="1321">
        <f t="shared" si="10"/>
        <v>12</v>
      </c>
      <c r="D41" s="1343">
        <f>BILANCIO!BE24</f>
        <v>490</v>
      </c>
      <c r="E41" s="1344">
        <f>BILANCIO!BF58</f>
        <v>100</v>
      </c>
      <c r="F41" s="1344">
        <f>BILANCIO!BG59</f>
        <v>13.08</v>
      </c>
      <c r="G41" s="1345">
        <f t="shared" si="11"/>
        <v>603.08000000000004</v>
      </c>
    </row>
    <row r="42" spans="1:7">
      <c r="A42" s="1339">
        <v>44927</v>
      </c>
      <c r="B42" s="1321">
        <f t="shared" si="9"/>
        <v>2023</v>
      </c>
      <c r="C42" s="1321">
        <f t="shared" si="10"/>
        <v>1</v>
      </c>
      <c r="D42" s="1343">
        <f>BILANCIO!BF24</f>
        <v>100</v>
      </c>
      <c r="E42" s="1344">
        <f>BILANCIO!BG58</f>
        <v>280</v>
      </c>
      <c r="F42" s="1344">
        <f>BILANCIO!BH59</f>
        <v>18.940000000000001</v>
      </c>
      <c r="G42" s="1345">
        <f t="shared" si="11"/>
        <v>398.94</v>
      </c>
    </row>
    <row r="43" spans="1:7">
      <c r="A43" s="1339">
        <v>44958</v>
      </c>
      <c r="B43" s="1321">
        <f t="shared" si="9"/>
        <v>2023</v>
      </c>
      <c r="C43" s="1321">
        <f t="shared" si="10"/>
        <v>2</v>
      </c>
      <c r="D43" s="1343">
        <f>BILANCIO!BG24</f>
        <v>0</v>
      </c>
      <c r="E43" s="1344">
        <f>BILANCIO!BH58</f>
        <v>450</v>
      </c>
      <c r="F43" s="1344">
        <f>BILANCIO!BI59</f>
        <v>18.47</v>
      </c>
      <c r="G43" s="1345">
        <f t="shared" si="11"/>
        <v>468.47</v>
      </c>
    </row>
    <row r="44" spans="1:7">
      <c r="A44" s="1339">
        <v>44986</v>
      </c>
      <c r="B44" s="1321">
        <f t="shared" si="9"/>
        <v>2023</v>
      </c>
      <c r="C44" s="1321">
        <f t="shared" si="10"/>
        <v>3</v>
      </c>
      <c r="D44" s="1343">
        <f>BILANCIO!BH24</f>
        <v>0</v>
      </c>
      <c r="E44" s="1344">
        <f>BILANCIO!BI58</f>
        <v>460</v>
      </c>
      <c r="F44" s="1344">
        <f>BILANCIO!BJ59</f>
        <v>20.399999999999999</v>
      </c>
      <c r="G44" s="1345">
        <f t="shared" si="11"/>
        <v>480.4</v>
      </c>
    </row>
    <row r="45" spans="1:7">
      <c r="A45" s="1339">
        <v>45017</v>
      </c>
      <c r="B45" s="1321">
        <f t="shared" si="9"/>
        <v>2023</v>
      </c>
      <c r="C45" s="1321">
        <f t="shared" si="10"/>
        <v>4</v>
      </c>
      <c r="D45" s="1343">
        <f>BILANCIO!BI24</f>
        <v>0</v>
      </c>
      <c r="E45" s="1344">
        <f>BILANCIO!BJ58</f>
        <v>510</v>
      </c>
      <c r="F45" s="1344">
        <f>BILANCIO!BK59</f>
        <v>26.609999999999996</v>
      </c>
      <c r="G45" s="1345">
        <f t="shared" si="11"/>
        <v>536.61</v>
      </c>
    </row>
    <row r="46" spans="1:7">
      <c r="A46" s="1339">
        <v>45047</v>
      </c>
      <c r="B46" s="1321">
        <f t="shared" si="9"/>
        <v>2023</v>
      </c>
      <c r="C46" s="1321">
        <f t="shared" si="10"/>
        <v>5</v>
      </c>
      <c r="D46" s="1343">
        <f>BILANCIO!BJ24</f>
        <v>0</v>
      </c>
      <c r="E46" s="1344">
        <f>BILANCIO!BK58</f>
        <v>630</v>
      </c>
      <c r="F46" s="1344">
        <f>BILANCIO!BL59</f>
        <v>10.870000000000001</v>
      </c>
      <c r="G46" s="1345">
        <f t="shared" si="11"/>
        <v>640.87</v>
      </c>
    </row>
    <row r="47" spans="1:7">
      <c r="A47" s="1339">
        <v>45078</v>
      </c>
      <c r="B47" s="1321">
        <f t="shared" si="9"/>
        <v>2023</v>
      </c>
      <c r="C47" s="1321">
        <f t="shared" si="10"/>
        <v>6</v>
      </c>
      <c r="D47" s="1343">
        <f>BILANCIO!BK24</f>
        <v>0</v>
      </c>
      <c r="E47" s="1344">
        <f>BILANCIO!BL58</f>
        <v>260</v>
      </c>
      <c r="F47" s="1344">
        <f>BILANCIO!BM59</f>
        <v>12.14</v>
      </c>
      <c r="G47" s="1345">
        <f t="shared" si="11"/>
        <v>272.14</v>
      </c>
    </row>
    <row r="48" spans="1:7">
      <c r="A48" s="1339">
        <v>45108</v>
      </c>
      <c r="B48" s="1321">
        <f t="shared" si="9"/>
        <v>2023</v>
      </c>
      <c r="C48" s="1321">
        <f t="shared" si="10"/>
        <v>7</v>
      </c>
      <c r="D48" s="1343">
        <f>BILANCIO!BL24</f>
        <v>0</v>
      </c>
      <c r="E48" s="1344">
        <f>BILANCIO!BM58</f>
        <v>290</v>
      </c>
      <c r="F48" s="1344">
        <f>BILANCIO!BN59</f>
        <v>22.799999999999997</v>
      </c>
      <c r="G48" s="1345">
        <f t="shared" si="11"/>
        <v>312.8</v>
      </c>
    </row>
    <row r="49" spans="1:15">
      <c r="A49" s="1339">
        <v>45139</v>
      </c>
      <c r="B49" s="1321">
        <f t="shared" si="9"/>
        <v>2023</v>
      </c>
      <c r="C49" s="1321">
        <f t="shared" si="10"/>
        <v>8</v>
      </c>
      <c r="D49" s="1343">
        <f>BILANCIO!BM24</f>
        <v>0</v>
      </c>
      <c r="E49" s="1344">
        <f>BILANCIO!BN58</f>
        <v>570</v>
      </c>
      <c r="F49" s="1344">
        <f>BILANCIO!BO59</f>
        <v>13.600000000000001</v>
      </c>
      <c r="G49" s="1345">
        <f t="shared" si="11"/>
        <v>583.6</v>
      </c>
    </row>
    <row r="50" spans="1:15">
      <c r="A50" s="1339">
        <v>45170</v>
      </c>
      <c r="B50" s="1321">
        <f t="shared" si="9"/>
        <v>2023</v>
      </c>
      <c r="C50" s="1321">
        <f t="shared" si="10"/>
        <v>9</v>
      </c>
      <c r="D50" s="1343">
        <f>BILANCIO!BN24</f>
        <v>50</v>
      </c>
      <c r="E50" s="1344">
        <f>BILANCIO!BO58</f>
        <v>340</v>
      </c>
      <c r="F50" s="1344">
        <f>BILANCIO!BP59</f>
        <v>10</v>
      </c>
      <c r="G50" s="1345">
        <f t="shared" si="11"/>
        <v>400</v>
      </c>
    </row>
    <row r="51" spans="1:15">
      <c r="A51" s="1339">
        <v>45200</v>
      </c>
      <c r="B51" s="1321">
        <f t="shared" si="9"/>
        <v>2023</v>
      </c>
      <c r="C51" s="1321">
        <f t="shared" si="10"/>
        <v>10</v>
      </c>
      <c r="D51" s="1343">
        <f>BILANCIO!BO24</f>
        <v>0</v>
      </c>
      <c r="E51" s="1344">
        <f>BILANCIO!BP58</f>
        <v>250</v>
      </c>
      <c r="F51" s="1344">
        <f>BILANCIO!BQ59</f>
        <v>17.34</v>
      </c>
      <c r="G51" s="1345">
        <f t="shared" si="11"/>
        <v>267.33999999999997</v>
      </c>
    </row>
    <row r="52" spans="1:15">
      <c r="A52" s="1339">
        <v>45231</v>
      </c>
      <c r="B52" s="1321">
        <f t="shared" si="9"/>
        <v>2023</v>
      </c>
      <c r="C52" s="1321">
        <f t="shared" si="10"/>
        <v>11</v>
      </c>
      <c r="D52" s="1343">
        <f>BILANCIO!BP24</f>
        <v>0</v>
      </c>
      <c r="E52" s="1344">
        <f>BILANCIO!BQ58</f>
        <v>410</v>
      </c>
      <c r="F52" s="1344">
        <f>BILANCIO!BR59</f>
        <v>19.2</v>
      </c>
      <c r="G52" s="1345">
        <f t="shared" si="11"/>
        <v>429.2</v>
      </c>
    </row>
    <row r="53" spans="1:15">
      <c r="A53" s="1339">
        <v>45261</v>
      </c>
      <c r="B53" s="1321">
        <f t="shared" si="9"/>
        <v>2023</v>
      </c>
      <c r="C53" s="1321">
        <f t="shared" si="10"/>
        <v>12</v>
      </c>
      <c r="D53" s="1343">
        <f>BILANCIO!BQ24</f>
        <v>70</v>
      </c>
      <c r="E53" s="1344">
        <f>BILANCIO!BR58</f>
        <v>480</v>
      </c>
      <c r="F53" s="1344">
        <f>BILANCIO!BS59</f>
        <v>6.5399999999999991</v>
      </c>
      <c r="G53" s="1345">
        <f t="shared" si="11"/>
        <v>556.54</v>
      </c>
    </row>
    <row r="54" spans="1:15">
      <c r="A54" s="1339">
        <v>45292</v>
      </c>
      <c r="B54" s="1321">
        <f t="shared" si="9"/>
        <v>2024</v>
      </c>
      <c r="C54" s="1321">
        <f t="shared" si="10"/>
        <v>1</v>
      </c>
      <c r="D54" s="1343">
        <f>BILANCIO!BR24</f>
        <v>0</v>
      </c>
      <c r="E54" s="1344">
        <f>BILANCIO!BS58</f>
        <v>140</v>
      </c>
      <c r="F54" s="1344">
        <f>BILANCIO!BT59</f>
        <v>13.2</v>
      </c>
      <c r="G54" s="1345">
        <f t="shared" si="11"/>
        <v>153.19999999999999</v>
      </c>
    </row>
    <row r="55" spans="1:15">
      <c r="A55" s="1339">
        <v>45323</v>
      </c>
      <c r="B55" s="1321">
        <f t="shared" si="9"/>
        <v>2024</v>
      </c>
      <c r="C55" s="1321">
        <f t="shared" si="10"/>
        <v>2</v>
      </c>
      <c r="D55" s="1343">
        <f>BILANCIO!BS24</f>
        <v>0</v>
      </c>
      <c r="E55" s="1344">
        <f>BILANCIO!BT58</f>
        <v>330</v>
      </c>
      <c r="F55" s="1344">
        <f>BILANCIO!BU59</f>
        <v>8.07</v>
      </c>
      <c r="G55" s="1343">
        <f t="shared" si="11"/>
        <v>338.07</v>
      </c>
      <c r="H55" s="5"/>
      <c r="I55" s="5"/>
      <c r="J55" s="5"/>
      <c r="K55" s="5"/>
      <c r="L55" s="5"/>
      <c r="M55" s="5"/>
      <c r="N55" s="5"/>
      <c r="O55" s="5"/>
    </row>
    <row r="56" spans="1:15">
      <c r="A56" s="1339">
        <v>45352</v>
      </c>
      <c r="B56" s="1321">
        <f t="shared" si="9"/>
        <v>2024</v>
      </c>
      <c r="C56" s="1321">
        <f t="shared" si="10"/>
        <v>3</v>
      </c>
      <c r="D56" s="1343">
        <f>BILANCIO!BT24</f>
        <v>92</v>
      </c>
      <c r="E56" s="1344">
        <f>BILANCIO!BU58</f>
        <v>190</v>
      </c>
      <c r="F56" s="1344">
        <f>BILANCIO!BV59</f>
        <v>9.6</v>
      </c>
      <c r="G56" s="1345">
        <f t="shared" si="11"/>
        <v>291.60000000000002</v>
      </c>
    </row>
    <row r="57" spans="1:15">
      <c r="A57" s="1339">
        <v>45383</v>
      </c>
      <c r="B57" s="1321">
        <f t="shared" si="9"/>
        <v>2024</v>
      </c>
      <c r="C57" s="1321">
        <f t="shared" si="10"/>
        <v>4</v>
      </c>
      <c r="D57" s="1343">
        <f>BILANCIO!BU24</f>
        <v>0</v>
      </c>
      <c r="E57" s="1344">
        <f>BILANCIO!BV58</f>
        <v>240</v>
      </c>
      <c r="F57" s="1344">
        <f>BILANCIO!BW59</f>
        <v>22.509999999999998</v>
      </c>
      <c r="G57" s="1345">
        <f t="shared" si="11"/>
        <v>262.51</v>
      </c>
    </row>
    <row r="58" spans="1:15">
      <c r="A58" s="1339">
        <v>45413</v>
      </c>
      <c r="B58" s="1321">
        <f t="shared" si="9"/>
        <v>2024</v>
      </c>
      <c r="C58" s="1321">
        <f t="shared" si="10"/>
        <v>5</v>
      </c>
      <c r="D58" s="1343">
        <f>BILANCIO!BV24</f>
        <v>0</v>
      </c>
      <c r="E58" s="1344">
        <f>BILANCIO!BW58</f>
        <v>562.9</v>
      </c>
      <c r="F58" s="1344">
        <f>BILANCIO!BX59</f>
        <v>15.600000000000001</v>
      </c>
      <c r="G58" s="1345">
        <f t="shared" si="11"/>
        <v>578.5</v>
      </c>
    </row>
    <row r="59" spans="1:15">
      <c r="A59" s="1339">
        <v>45444</v>
      </c>
      <c r="B59" s="1321">
        <f t="shared" si="9"/>
        <v>2024</v>
      </c>
      <c r="C59" s="1321">
        <f t="shared" si="10"/>
        <v>6</v>
      </c>
      <c r="D59" s="1343">
        <f>BILANCIO!BW24</f>
        <v>70</v>
      </c>
      <c r="E59" s="1344">
        <f>BILANCIO!BX58</f>
        <v>390</v>
      </c>
      <c r="F59" s="1344">
        <f>BILANCIO!BY59</f>
        <v>13.41</v>
      </c>
      <c r="G59" s="1345">
        <f t="shared" si="11"/>
        <v>473.41</v>
      </c>
    </row>
    <row r="60" spans="1:15">
      <c r="A60" s="1339">
        <v>45474</v>
      </c>
      <c r="B60" s="1321">
        <f t="shared" si="9"/>
        <v>2024</v>
      </c>
      <c r="C60" s="1321">
        <f t="shared" si="10"/>
        <v>7</v>
      </c>
      <c r="D60" s="1343">
        <f>BILANCIO!BX24</f>
        <v>0</v>
      </c>
      <c r="E60" s="1344">
        <f>BILANCIO!BY58</f>
        <v>300</v>
      </c>
      <c r="F60" s="1344">
        <f>BILANCIO!BZ59</f>
        <v>16.87</v>
      </c>
      <c r="G60" s="1345">
        <f t="shared" si="11"/>
        <v>316.87</v>
      </c>
    </row>
    <row r="61" spans="1:15">
      <c r="A61" s="1339">
        <v>45505</v>
      </c>
      <c r="B61" s="1321">
        <f t="shared" si="9"/>
        <v>2024</v>
      </c>
      <c r="C61" s="1321">
        <f t="shared" si="10"/>
        <v>8</v>
      </c>
      <c r="D61" s="1343">
        <f>BILANCIO!BY24</f>
        <v>0</v>
      </c>
      <c r="E61" s="1344">
        <f>BILANCIO!BZ58</f>
        <v>410</v>
      </c>
      <c r="F61" s="1344">
        <f>BILANCIO!CA59</f>
        <v>10.47</v>
      </c>
      <c r="G61" s="1345">
        <f t="shared" si="11"/>
        <v>420.47</v>
      </c>
    </row>
    <row r="62" spans="1:15">
      <c r="A62" s="1339">
        <v>45536</v>
      </c>
      <c r="B62" s="1321">
        <f t="shared" si="9"/>
        <v>2024</v>
      </c>
      <c r="C62" s="1321">
        <f t="shared" si="10"/>
        <v>9</v>
      </c>
      <c r="D62" s="1343">
        <f>BILANCIO!BZ24</f>
        <v>70</v>
      </c>
      <c r="E62" s="1344">
        <f>BILANCIO!CA58</f>
        <v>250</v>
      </c>
      <c r="F62" s="1344">
        <f>BILANCIO!CB59</f>
        <v>7.1999999999999993</v>
      </c>
      <c r="G62" s="1345">
        <f t="shared" si="11"/>
        <v>327.2</v>
      </c>
    </row>
    <row r="63" spans="1:15">
      <c r="A63" s="1339">
        <v>45566</v>
      </c>
      <c r="B63" s="1321">
        <f t="shared" si="9"/>
        <v>2024</v>
      </c>
      <c r="C63" s="1321">
        <f t="shared" si="10"/>
        <v>10</v>
      </c>
      <c r="D63" s="1343">
        <f>BILANCIO!CA24</f>
        <v>40</v>
      </c>
      <c r="E63" s="1344">
        <f>BILANCIO!CB58</f>
        <v>180</v>
      </c>
      <c r="F63" s="1344">
        <f>BILANCIO!CC59</f>
        <v>2.4</v>
      </c>
      <c r="G63" s="1345">
        <f t="shared" si="11"/>
        <v>222.4</v>
      </c>
    </row>
    <row r="64" spans="1:15">
      <c r="A64" s="1339">
        <v>45597</v>
      </c>
      <c r="B64" s="1321">
        <f t="shared" si="9"/>
        <v>2024</v>
      </c>
      <c r="C64" s="1321">
        <f t="shared" si="10"/>
        <v>11</v>
      </c>
      <c r="D64" s="1343">
        <f>BILANCIO!CB24</f>
        <v>0</v>
      </c>
      <c r="E64" s="1344">
        <f>BILANCIO!CC58</f>
        <v>60</v>
      </c>
      <c r="F64" s="1344">
        <f>BILANCIO!CD59</f>
        <v>7.1999999999999993</v>
      </c>
      <c r="G64" s="1345">
        <f t="shared" si="11"/>
        <v>67.2</v>
      </c>
    </row>
    <row r="65" spans="1:7">
      <c r="A65" s="1339">
        <v>45627</v>
      </c>
      <c r="B65" s="1321">
        <f t="shared" si="9"/>
        <v>2024</v>
      </c>
      <c r="C65" s="1321">
        <f t="shared" si="10"/>
        <v>12</v>
      </c>
      <c r="D65" s="1343">
        <f>BILANCIO!CC24</f>
        <v>170</v>
      </c>
      <c r="E65" s="1344">
        <f>BILANCIO!CD58</f>
        <v>180</v>
      </c>
      <c r="F65" s="1344">
        <f>BILANCIO!CE$59</f>
        <v>2.4</v>
      </c>
      <c r="G65" s="1345">
        <f t="shared" si="11"/>
        <v>352.4</v>
      </c>
    </row>
    <row r="66" spans="1:7">
      <c r="A66" s="1339">
        <v>45658</v>
      </c>
      <c r="B66" s="1321">
        <f t="shared" ref="B66:B97" si="12">YEAR(A66)</f>
        <v>2025</v>
      </c>
      <c r="C66" s="1321">
        <f t="shared" ref="C66:C97" si="13">MONTH(A66)</f>
        <v>1</v>
      </c>
      <c r="D66" s="1343">
        <f>BILANCIO!CD24</f>
        <v>210</v>
      </c>
      <c r="E66" s="1344">
        <f>BILANCIO!CE58</f>
        <v>60</v>
      </c>
      <c r="F66" s="1344">
        <f>BILANCIO!CF$59</f>
        <v>5.6</v>
      </c>
      <c r="G66" s="1345">
        <f t="shared" ref="G66:G97" si="14">D66+E66+F66</f>
        <v>275.60000000000002</v>
      </c>
    </row>
    <row r="67" spans="1:7">
      <c r="A67" s="1339">
        <v>45689</v>
      </c>
      <c r="B67" s="1321">
        <f t="shared" si="12"/>
        <v>2025</v>
      </c>
      <c r="C67" s="1321">
        <f t="shared" si="13"/>
        <v>2</v>
      </c>
      <c r="D67" s="1343">
        <f>BILANCIO!CE24</f>
        <v>0</v>
      </c>
      <c r="E67" s="1344">
        <f>BILANCIO!CF58</f>
        <v>140</v>
      </c>
      <c r="F67" s="1344">
        <f>BILANCIO!CG$59</f>
        <v>2.4</v>
      </c>
      <c r="G67" s="1345">
        <f t="shared" si="14"/>
        <v>142.4</v>
      </c>
    </row>
    <row r="68" spans="1:7">
      <c r="A68" s="1339">
        <v>45717</v>
      </c>
      <c r="B68" s="1321">
        <f t="shared" si="12"/>
        <v>2025</v>
      </c>
      <c r="C68" s="1321">
        <f t="shared" si="13"/>
        <v>3</v>
      </c>
      <c r="D68" s="1343">
        <f>BILANCIO!CF24</f>
        <v>90</v>
      </c>
      <c r="E68" s="1344">
        <f>BILANCIO!CG58</f>
        <v>60</v>
      </c>
      <c r="F68" s="1344">
        <f>BILANCIO!CH$59</f>
        <v>0</v>
      </c>
      <c r="G68" s="1345">
        <f t="shared" si="14"/>
        <v>150</v>
      </c>
    </row>
    <row r="69" spans="1:7">
      <c r="A69" s="1339">
        <v>45748</v>
      </c>
      <c r="B69" s="1321">
        <f t="shared" si="12"/>
        <v>2025</v>
      </c>
      <c r="C69" s="1321">
        <f t="shared" si="13"/>
        <v>4</v>
      </c>
      <c r="D69" s="1343">
        <f>BILANCIO!CG24</f>
        <v>0</v>
      </c>
      <c r="E69" s="1344">
        <f>BILANCIO!CH58</f>
        <v>0</v>
      </c>
      <c r="F69" s="1344">
        <f>BILANCIO!CI$59</f>
        <v>4.8</v>
      </c>
      <c r="G69" s="1345">
        <f t="shared" si="14"/>
        <v>4.8</v>
      </c>
    </row>
    <row r="70" spans="1:7">
      <c r="A70" s="1339">
        <v>45778</v>
      </c>
      <c r="B70" s="1321">
        <f t="shared" si="12"/>
        <v>2025</v>
      </c>
      <c r="C70" s="1321">
        <f t="shared" si="13"/>
        <v>5</v>
      </c>
      <c r="D70" s="1343">
        <f>BILANCIO!CH$24</f>
        <v>70</v>
      </c>
      <c r="E70" s="1344">
        <f>BILANCIO!CI58</f>
        <v>120</v>
      </c>
      <c r="F70" s="1344">
        <f>BILANCIO!CJ$59</f>
        <v>7.2</v>
      </c>
      <c r="G70" s="1345">
        <f t="shared" si="14"/>
        <v>197.2</v>
      </c>
    </row>
    <row r="71" spans="1:7">
      <c r="A71" s="1339">
        <v>45809</v>
      </c>
      <c r="B71" s="1321">
        <f t="shared" si="12"/>
        <v>2025</v>
      </c>
      <c r="C71" s="1321">
        <f t="shared" si="13"/>
        <v>6</v>
      </c>
      <c r="D71" s="1343">
        <f>BILANCIO!CI$24</f>
        <v>0</v>
      </c>
      <c r="E71" s="1344">
        <f>BILANCIO!CJ58</f>
        <v>180</v>
      </c>
      <c r="F71" s="1344">
        <f>BILANCIO!CK$59</f>
        <v>4.47</v>
      </c>
      <c r="G71" s="1345">
        <f t="shared" si="14"/>
        <v>184.47</v>
      </c>
    </row>
    <row r="72" spans="1:7">
      <c r="A72" s="1339">
        <v>45839</v>
      </c>
      <c r="B72" s="1321">
        <f t="shared" si="12"/>
        <v>2025</v>
      </c>
      <c r="C72" s="1321">
        <f t="shared" si="13"/>
        <v>7</v>
      </c>
      <c r="D72" s="1343">
        <f>BILANCIO!CJ$24</f>
        <v>70</v>
      </c>
      <c r="E72" s="1344">
        <f>BILANCIO!CK58</f>
        <v>100</v>
      </c>
      <c r="F72" s="1344">
        <f>BILANCIO!CL$59</f>
        <v>8.4</v>
      </c>
      <c r="G72" s="1345">
        <f t="shared" si="14"/>
        <v>178.4</v>
      </c>
    </row>
    <row r="73" spans="1:7">
      <c r="A73" s="1339">
        <v>45870</v>
      </c>
      <c r="B73" s="1321">
        <f t="shared" si="12"/>
        <v>2025</v>
      </c>
      <c r="C73" s="1321">
        <f t="shared" si="13"/>
        <v>8</v>
      </c>
      <c r="D73" s="1343">
        <f>BILANCIO!CK$24</f>
        <v>110</v>
      </c>
      <c r="E73" s="1344">
        <f>BILANCIO!CL58</f>
        <v>210</v>
      </c>
      <c r="F73" s="1344">
        <f>BILANCIO!CM$59</f>
        <v>9.1999999999999993</v>
      </c>
      <c r="G73" s="1345">
        <f t="shared" si="14"/>
        <v>329.2</v>
      </c>
    </row>
    <row r="74" spans="1:7">
      <c r="A74" s="1339">
        <v>45901</v>
      </c>
      <c r="B74" s="1321">
        <f t="shared" si="12"/>
        <v>2025</v>
      </c>
      <c r="C74" s="1321">
        <f t="shared" si="13"/>
        <v>9</v>
      </c>
      <c r="D74" s="1343">
        <f>BILANCIO!CL$24</f>
        <v>0</v>
      </c>
      <c r="E74" s="1344">
        <f>BILANCIO!CM58</f>
        <v>230</v>
      </c>
      <c r="F74" s="1344">
        <f>BILANCIO!CN$59</f>
        <v>0</v>
      </c>
      <c r="G74" s="1345">
        <f t="shared" si="14"/>
        <v>230</v>
      </c>
    </row>
    <row r="75" spans="1:7">
      <c r="A75" s="1339">
        <v>45931</v>
      </c>
      <c r="B75" s="1321">
        <f t="shared" si="12"/>
        <v>2025</v>
      </c>
      <c r="C75" s="1321">
        <f t="shared" si="13"/>
        <v>10</v>
      </c>
      <c r="D75" s="1343">
        <f>BILANCIO!CM$24</f>
        <v>140</v>
      </c>
      <c r="E75" s="1344">
        <f>BILANCIO!CN58</f>
        <v>0</v>
      </c>
      <c r="F75" s="1344">
        <f>BILANCIO!CO$59</f>
        <v>0</v>
      </c>
      <c r="G75" s="1345">
        <f t="shared" si="14"/>
        <v>140</v>
      </c>
    </row>
    <row r="76" spans="1:7">
      <c r="A76" s="1339">
        <v>45962</v>
      </c>
      <c r="B76" s="1321">
        <f t="shared" si="12"/>
        <v>2025</v>
      </c>
      <c r="C76" s="1321">
        <f t="shared" si="13"/>
        <v>11</v>
      </c>
      <c r="D76" s="1343">
        <f>BILANCIO!CN$24</f>
        <v>0</v>
      </c>
      <c r="E76" s="1344">
        <f>BILANCIO!CO58</f>
        <v>0</v>
      </c>
      <c r="F76" s="1344">
        <f>BILANCIO!CP$59</f>
        <v>0</v>
      </c>
      <c r="G76" s="1345">
        <f t="shared" si="14"/>
        <v>0</v>
      </c>
    </row>
    <row r="77" spans="1:7">
      <c r="A77" s="1339">
        <v>45992</v>
      </c>
      <c r="B77" s="1321">
        <f t="shared" si="12"/>
        <v>2025</v>
      </c>
      <c r="C77" s="1321">
        <f t="shared" si="13"/>
        <v>12</v>
      </c>
      <c r="D77" s="1343">
        <f>BILANCIO!CO$24</f>
        <v>340</v>
      </c>
      <c r="E77" s="1344">
        <f>BILANCIO!CP58</f>
        <v>0</v>
      </c>
      <c r="F77" s="1344">
        <f>BILANCIO!CQ$59</f>
        <v>0</v>
      </c>
      <c r="G77" s="1345">
        <f t="shared" si="14"/>
        <v>340</v>
      </c>
    </row>
    <row r="78" spans="1:7">
      <c r="A78" s="1339">
        <v>46023</v>
      </c>
      <c r="B78" s="1321">
        <f t="shared" si="12"/>
        <v>2026</v>
      </c>
      <c r="C78" s="1321">
        <f t="shared" si="13"/>
        <v>1</v>
      </c>
      <c r="D78" s="1343">
        <f>BILANCIO!CP$24</f>
        <v>0</v>
      </c>
      <c r="E78" s="1344">
        <f>BILANCIO!CQ58</f>
        <v>0</v>
      </c>
      <c r="F78" s="1344">
        <f>BILANCIO!CR$59</f>
        <v>0</v>
      </c>
      <c r="G78" s="1345">
        <f t="shared" si="14"/>
        <v>0</v>
      </c>
    </row>
    <row r="79" spans="1:7">
      <c r="A79" s="1339">
        <v>46054</v>
      </c>
      <c r="B79" s="1321">
        <f t="shared" si="12"/>
        <v>2026</v>
      </c>
      <c r="C79" s="1321">
        <f t="shared" si="13"/>
        <v>2</v>
      </c>
      <c r="D79" s="1343">
        <f>BILANCIO!CQ$24</f>
        <v>0</v>
      </c>
      <c r="E79" s="1344">
        <f>BILANCIO!CR58</f>
        <v>0</v>
      </c>
      <c r="F79" s="1344">
        <f>BILANCIO!CS$59</f>
        <v>0</v>
      </c>
      <c r="G79" s="1345">
        <f t="shared" si="14"/>
        <v>0</v>
      </c>
    </row>
    <row r="80" spans="1:7">
      <c r="A80" s="1339">
        <v>46082</v>
      </c>
      <c r="B80" s="1321">
        <f t="shared" si="12"/>
        <v>2026</v>
      </c>
      <c r="C80" s="1321">
        <f t="shared" si="13"/>
        <v>3</v>
      </c>
      <c r="D80" s="1343">
        <f>BILANCIO!CR$24</f>
        <v>72</v>
      </c>
      <c r="E80" s="1344">
        <f>BILANCIO!CS58</f>
        <v>0</v>
      </c>
      <c r="F80" s="1344">
        <f>BILANCIO!CT$59</f>
        <v>0</v>
      </c>
      <c r="G80" s="1345">
        <f t="shared" si="14"/>
        <v>72</v>
      </c>
    </row>
    <row r="81" spans="1:7">
      <c r="A81" s="1339">
        <v>46113</v>
      </c>
      <c r="B81" s="1321">
        <f t="shared" si="12"/>
        <v>2026</v>
      </c>
      <c r="C81" s="1321">
        <f t="shared" si="13"/>
        <v>4</v>
      </c>
      <c r="D81" s="1343">
        <f>BILANCIO!CS$24</f>
        <v>80</v>
      </c>
      <c r="E81" s="1344">
        <f>BILANCIO!CT58</f>
        <v>0</v>
      </c>
      <c r="F81" s="1344">
        <f>BILANCIO!CU$59</f>
        <v>0</v>
      </c>
      <c r="G81" s="1345">
        <f t="shared" si="14"/>
        <v>80</v>
      </c>
    </row>
    <row r="82" spans="1:7">
      <c r="A82" s="1339">
        <v>46143</v>
      </c>
      <c r="B82" s="1321">
        <f t="shared" si="12"/>
        <v>2026</v>
      </c>
      <c r="C82" s="1321">
        <f t="shared" si="13"/>
        <v>5</v>
      </c>
      <c r="D82" s="1343">
        <f>BILANCIO!CT$24</f>
        <v>350</v>
      </c>
      <c r="E82" s="1344">
        <f>BILANCIO!CU58</f>
        <v>0</v>
      </c>
      <c r="F82" s="1344">
        <f>BILANCIO!CV$59</f>
        <v>0</v>
      </c>
      <c r="G82" s="1345">
        <f t="shared" si="14"/>
        <v>350</v>
      </c>
    </row>
    <row r="83" spans="1:7">
      <c r="A83" s="1339">
        <v>46174</v>
      </c>
      <c r="B83" s="1321">
        <f t="shared" si="12"/>
        <v>2026</v>
      </c>
      <c r="C83" s="1321">
        <f t="shared" si="13"/>
        <v>6</v>
      </c>
      <c r="D83" s="1343">
        <f>BILANCIO!CU$24</f>
        <v>280</v>
      </c>
      <c r="E83" s="1344">
        <f>BILANCIO!CV58</f>
        <v>0</v>
      </c>
      <c r="F83" s="1344">
        <f>BILANCIO!CW$59</f>
        <v>0</v>
      </c>
      <c r="G83" s="1345">
        <f t="shared" si="14"/>
        <v>280</v>
      </c>
    </row>
    <row r="84" spans="1:7">
      <c r="A84" s="1339">
        <v>46204</v>
      </c>
      <c r="B84" s="1321">
        <f t="shared" si="12"/>
        <v>2026</v>
      </c>
      <c r="C84" s="1321">
        <f t="shared" si="13"/>
        <v>7</v>
      </c>
      <c r="D84" s="1343">
        <f>BILANCIO!CV$24</f>
        <v>70</v>
      </c>
      <c r="E84" s="1344">
        <f>BILANCIO!CW58</f>
        <v>0</v>
      </c>
      <c r="F84" s="1344">
        <f>BILANCIO!CX$59</f>
        <v>3.2</v>
      </c>
      <c r="G84" s="1345">
        <f t="shared" si="14"/>
        <v>73.2</v>
      </c>
    </row>
    <row r="85" spans="1:7">
      <c r="A85" s="1339">
        <v>46235</v>
      </c>
      <c r="B85" s="1321">
        <f t="shared" si="12"/>
        <v>2026</v>
      </c>
      <c r="C85" s="1321">
        <f t="shared" si="13"/>
        <v>8</v>
      </c>
      <c r="D85" s="1343">
        <f>BILANCIO!CW$24</f>
        <v>190</v>
      </c>
      <c r="E85" s="1344">
        <f>BILANCIO!CX58</f>
        <v>80</v>
      </c>
      <c r="F85" s="1344">
        <f>BILANCIO!CY$59</f>
        <v>0</v>
      </c>
      <c r="G85" s="1345">
        <f t="shared" si="14"/>
        <v>270</v>
      </c>
    </row>
    <row r="86" spans="1:7">
      <c r="A86" s="1339">
        <v>46266</v>
      </c>
      <c r="B86" s="1321">
        <f t="shared" si="12"/>
        <v>2026</v>
      </c>
      <c r="C86" s="1321">
        <f t="shared" si="13"/>
        <v>9</v>
      </c>
      <c r="D86" s="1343">
        <f>BILANCIO!CX$24</f>
        <v>424</v>
      </c>
      <c r="E86" s="1344">
        <f>BILANCIO!CY58</f>
        <v>0</v>
      </c>
      <c r="F86" s="1344">
        <f>BILANCIO!CZ$59</f>
        <v>0</v>
      </c>
      <c r="G86" s="1345">
        <f t="shared" si="14"/>
        <v>424</v>
      </c>
    </row>
    <row r="87" spans="1:7">
      <c r="A87" s="1339">
        <v>46296</v>
      </c>
      <c r="B87" s="1321">
        <f t="shared" si="12"/>
        <v>2026</v>
      </c>
      <c r="C87" s="1321">
        <f t="shared" si="13"/>
        <v>10</v>
      </c>
      <c r="D87" s="1343">
        <f>BILANCIO!CY$24</f>
        <v>0</v>
      </c>
      <c r="E87" s="1344">
        <f>BILANCIO!CZ58</f>
        <v>0</v>
      </c>
      <c r="F87" s="1344">
        <f>BILANCIO!DA$59</f>
        <v>0</v>
      </c>
      <c r="G87" s="1345">
        <f t="shared" si="14"/>
        <v>0</v>
      </c>
    </row>
    <row r="88" spans="1:7">
      <c r="A88" s="1339">
        <v>46327</v>
      </c>
      <c r="B88" s="1321">
        <f t="shared" si="12"/>
        <v>2026</v>
      </c>
      <c r="C88" s="1321">
        <f t="shared" si="13"/>
        <v>11</v>
      </c>
      <c r="D88" s="1343">
        <f>BILANCIO!CZ$24</f>
        <v>0</v>
      </c>
      <c r="E88" s="1344">
        <f>BILANCIO!DA58</f>
        <v>0</v>
      </c>
      <c r="F88" s="1344">
        <f>BILANCIO!DB$59</f>
        <v>0</v>
      </c>
      <c r="G88" s="1345">
        <f t="shared" si="14"/>
        <v>0</v>
      </c>
    </row>
    <row r="89" spans="1:7">
      <c r="A89" s="1339">
        <v>46357</v>
      </c>
      <c r="B89" s="1321">
        <f t="shared" si="12"/>
        <v>2026</v>
      </c>
      <c r="C89" s="1321">
        <f t="shared" si="13"/>
        <v>12</v>
      </c>
      <c r="D89" s="1343">
        <f>BILANCIO!DA$24</f>
        <v>0</v>
      </c>
      <c r="E89" s="1344">
        <f>BILANCIO!DB58</f>
        <v>0</v>
      </c>
      <c r="F89" s="1344">
        <f>BILANCIO!DC$59</f>
        <v>0</v>
      </c>
      <c r="G89" s="1345">
        <f t="shared" si="14"/>
        <v>0</v>
      </c>
    </row>
    <row r="90" spans="1:7">
      <c r="A90" s="1339">
        <v>46388</v>
      </c>
      <c r="B90" s="1321">
        <f t="shared" si="12"/>
        <v>2027</v>
      </c>
      <c r="C90" s="1321">
        <f t="shared" si="13"/>
        <v>1</v>
      </c>
      <c r="D90" s="1343">
        <f>BILANCIO!DB$24</f>
        <v>0</v>
      </c>
      <c r="E90" s="1344">
        <f>BILANCIO!DC58</f>
        <v>0</v>
      </c>
      <c r="F90" s="1344">
        <f>BILANCIO!DD$59</f>
        <v>0</v>
      </c>
      <c r="G90" s="1345">
        <f t="shared" si="14"/>
        <v>0</v>
      </c>
    </row>
    <row r="91" spans="1:7">
      <c r="A91" s="1339">
        <v>46419</v>
      </c>
      <c r="B91" s="1321">
        <f t="shared" si="12"/>
        <v>2027</v>
      </c>
      <c r="C91" s="1321">
        <f t="shared" si="13"/>
        <v>2</v>
      </c>
      <c r="D91" s="1343">
        <f>BILANCIO!DC$24</f>
        <v>0</v>
      </c>
      <c r="E91" s="1344">
        <f>BILANCIO!DD58</f>
        <v>0</v>
      </c>
      <c r="F91" s="1344">
        <f>BILANCIO!DE$59</f>
        <v>0</v>
      </c>
      <c r="G91" s="1345">
        <f t="shared" si="14"/>
        <v>0</v>
      </c>
    </row>
    <row r="92" spans="1:7">
      <c r="A92" s="1339">
        <v>46447</v>
      </c>
      <c r="B92" s="1321">
        <f t="shared" si="12"/>
        <v>2027</v>
      </c>
      <c r="C92" s="1321">
        <f t="shared" si="13"/>
        <v>3</v>
      </c>
      <c r="D92" s="1343">
        <f>BILANCIO!DD$24</f>
        <v>0</v>
      </c>
      <c r="E92" s="1344">
        <f>BILANCIO!DE58</f>
        <v>0</v>
      </c>
      <c r="F92" s="1344">
        <f>BILANCIO!DF$59</f>
        <v>0</v>
      </c>
      <c r="G92" s="1345">
        <f t="shared" si="14"/>
        <v>0</v>
      </c>
    </row>
    <row r="93" spans="1:7">
      <c r="A93" s="1339">
        <v>46478</v>
      </c>
      <c r="B93" s="1321">
        <f t="shared" si="12"/>
        <v>2027</v>
      </c>
      <c r="C93" s="1321">
        <f t="shared" si="13"/>
        <v>4</v>
      </c>
      <c r="D93" s="1343">
        <f>BILANCIO!DE$24</f>
        <v>0</v>
      </c>
      <c r="E93" s="1344">
        <f>BILANCIO!DF58</f>
        <v>0</v>
      </c>
      <c r="F93" s="1344">
        <f>BILANCIO!DG$59</f>
        <v>0</v>
      </c>
      <c r="G93" s="1345">
        <f t="shared" si="14"/>
        <v>0</v>
      </c>
    </row>
    <row r="94" spans="1:7">
      <c r="A94" s="1339">
        <v>46508</v>
      </c>
      <c r="B94" s="1321">
        <f t="shared" si="12"/>
        <v>2027</v>
      </c>
      <c r="C94" s="1321">
        <f t="shared" si="13"/>
        <v>5</v>
      </c>
      <c r="D94" s="1343">
        <f>BILANCIO!DF$24</f>
        <v>0</v>
      </c>
      <c r="E94" s="1344">
        <f>BILANCIO!DG58</f>
        <v>0</v>
      </c>
      <c r="F94" s="1344">
        <f>BILANCIO!DH$59</f>
        <v>0</v>
      </c>
      <c r="G94" s="1345">
        <f t="shared" si="14"/>
        <v>0</v>
      </c>
    </row>
    <row r="95" spans="1:7">
      <c r="A95" s="1339">
        <v>46539</v>
      </c>
      <c r="B95" s="1321">
        <f t="shared" si="12"/>
        <v>2027</v>
      </c>
      <c r="C95" s="1321">
        <f t="shared" si="13"/>
        <v>6</v>
      </c>
      <c r="D95" s="1343">
        <f>BILANCIO!DG$24</f>
        <v>0</v>
      </c>
      <c r="E95" s="1344">
        <f>BILANCIO!DH58</f>
        <v>0</v>
      </c>
      <c r="F95" s="1344">
        <f>BILANCIO!DI$59</f>
        <v>0</v>
      </c>
      <c r="G95" s="1345">
        <f t="shared" si="14"/>
        <v>0</v>
      </c>
    </row>
    <row r="96" spans="1:7">
      <c r="A96" s="1339">
        <v>46569</v>
      </c>
      <c r="B96" s="1321">
        <f t="shared" si="12"/>
        <v>2027</v>
      </c>
      <c r="C96" s="1321">
        <f t="shared" si="13"/>
        <v>7</v>
      </c>
      <c r="D96" s="1343">
        <f>BILANCIO!DH$24</f>
        <v>0</v>
      </c>
      <c r="E96" s="1344">
        <f>BILANCIO!DI58</f>
        <v>0</v>
      </c>
      <c r="F96" s="1344">
        <f>BILANCIO!DJ$59</f>
        <v>0</v>
      </c>
      <c r="G96" s="1345">
        <f t="shared" si="14"/>
        <v>0</v>
      </c>
    </row>
    <row r="97" spans="1:7">
      <c r="A97" s="1339">
        <v>46600</v>
      </c>
      <c r="B97" s="1321">
        <f t="shared" si="12"/>
        <v>2027</v>
      </c>
      <c r="C97" s="1321">
        <f t="shared" si="13"/>
        <v>8</v>
      </c>
      <c r="D97" s="1343">
        <f>BILANCIO!DI$24</f>
        <v>0</v>
      </c>
      <c r="E97" s="1344">
        <f>BILANCIO!DJ58</f>
        <v>0</v>
      </c>
      <c r="F97" s="1344">
        <f>BILANCIO!DK$59</f>
        <v>0</v>
      </c>
      <c r="G97" s="1345">
        <f t="shared" si="14"/>
        <v>0</v>
      </c>
    </row>
    <row r="98" spans="1:7">
      <c r="A98" s="1339">
        <v>46631</v>
      </c>
      <c r="B98" s="1321">
        <f t="shared" ref="B98:B125" si="15">YEAR(A98)</f>
        <v>2027</v>
      </c>
      <c r="C98" s="1321">
        <f t="shared" ref="C98:C125" si="16">MONTH(A98)</f>
        <v>9</v>
      </c>
      <c r="D98" s="1343">
        <f>BILANCIO!DJ$24</f>
        <v>0</v>
      </c>
      <c r="E98" s="1344">
        <f>BILANCIO!DK58</f>
        <v>0</v>
      </c>
      <c r="F98" s="1344">
        <f>BILANCIO!DL$59</f>
        <v>0</v>
      </c>
      <c r="G98" s="1345">
        <f t="shared" ref="G98:G125" si="17">D98+E98+F98</f>
        <v>0</v>
      </c>
    </row>
    <row r="99" spans="1:7">
      <c r="A99" s="1339">
        <v>46661</v>
      </c>
      <c r="B99" s="1321">
        <f t="shared" si="15"/>
        <v>2027</v>
      </c>
      <c r="C99" s="1321">
        <f t="shared" si="16"/>
        <v>10</v>
      </c>
      <c r="D99" s="1343">
        <f>BILANCIO!DK$24</f>
        <v>0</v>
      </c>
      <c r="E99" s="1344">
        <f>BILANCIO!DL58</f>
        <v>0</v>
      </c>
      <c r="F99" s="1344">
        <f>BILANCIO!DM$59</f>
        <v>0</v>
      </c>
      <c r="G99" s="1345">
        <f t="shared" si="17"/>
        <v>0</v>
      </c>
    </row>
    <row r="100" spans="1:7">
      <c r="A100" s="1339">
        <v>46692</v>
      </c>
      <c r="B100" s="1321">
        <f t="shared" si="15"/>
        <v>2027</v>
      </c>
      <c r="C100" s="1321">
        <f t="shared" si="16"/>
        <v>11</v>
      </c>
      <c r="D100" s="1343">
        <f>BILANCIO!DL$24</f>
        <v>0</v>
      </c>
      <c r="E100" s="1344">
        <f>BILANCIO!DM58</f>
        <v>0</v>
      </c>
      <c r="F100" s="1344">
        <f>BILANCIO!DN$59</f>
        <v>0</v>
      </c>
      <c r="G100" s="1345">
        <f t="shared" si="17"/>
        <v>0</v>
      </c>
    </row>
    <row r="101" spans="1:7">
      <c r="A101" s="1339">
        <v>46722</v>
      </c>
      <c r="B101" s="1321">
        <f t="shared" si="15"/>
        <v>2027</v>
      </c>
      <c r="C101" s="1321">
        <f t="shared" si="16"/>
        <v>12</v>
      </c>
      <c r="D101" s="1343">
        <f>BILANCIO!DM$24</f>
        <v>0</v>
      </c>
      <c r="E101" s="1344">
        <f>BILANCIO!DN58</f>
        <v>0</v>
      </c>
      <c r="F101" s="1344">
        <f>BILANCIO!DO$59</f>
        <v>0</v>
      </c>
      <c r="G101" s="1345">
        <f t="shared" si="17"/>
        <v>0</v>
      </c>
    </row>
    <row r="102" spans="1:7">
      <c r="A102" s="1339">
        <v>46753</v>
      </c>
      <c r="B102" s="1321">
        <f t="shared" si="15"/>
        <v>2028</v>
      </c>
      <c r="C102" s="1321">
        <f t="shared" si="16"/>
        <v>1</v>
      </c>
      <c r="D102" s="1343">
        <f>BILANCIO!DN$24</f>
        <v>0</v>
      </c>
      <c r="E102" s="1344">
        <f>BILANCIO!DO58</f>
        <v>0</v>
      </c>
      <c r="F102" s="1344">
        <f>BILANCIO!DP$59</f>
        <v>0</v>
      </c>
      <c r="G102" s="1345">
        <f t="shared" si="17"/>
        <v>0</v>
      </c>
    </row>
    <row r="103" spans="1:7">
      <c r="A103" s="1339">
        <v>46784</v>
      </c>
      <c r="B103" s="1321">
        <f t="shared" si="15"/>
        <v>2028</v>
      </c>
      <c r="C103" s="1321">
        <f t="shared" si="16"/>
        <v>2</v>
      </c>
      <c r="D103" s="1343">
        <f>BILANCIO!DO$24</f>
        <v>0</v>
      </c>
      <c r="E103" s="1344">
        <f>BILANCIO!DP58</f>
        <v>0</v>
      </c>
      <c r="F103" s="1344">
        <f>BILANCIO!DQ$59</f>
        <v>0</v>
      </c>
      <c r="G103" s="1345">
        <f t="shared" si="17"/>
        <v>0</v>
      </c>
    </row>
    <row r="104" spans="1:7">
      <c r="A104" s="1339">
        <v>46813</v>
      </c>
      <c r="B104" s="1321">
        <f t="shared" si="15"/>
        <v>2028</v>
      </c>
      <c r="C104" s="1321">
        <f t="shared" si="16"/>
        <v>3</v>
      </c>
      <c r="D104" s="1343">
        <f>BILANCIO!DP$24</f>
        <v>0</v>
      </c>
      <c r="E104" s="1344">
        <f>BILANCIO!DQ58</f>
        <v>0</v>
      </c>
      <c r="F104" s="1344">
        <f>BILANCIO!DR$59</f>
        <v>0</v>
      </c>
      <c r="G104" s="1345">
        <f t="shared" si="17"/>
        <v>0</v>
      </c>
    </row>
    <row r="105" spans="1:7">
      <c r="A105" s="1339">
        <v>46844</v>
      </c>
      <c r="B105" s="1321">
        <f t="shared" si="15"/>
        <v>2028</v>
      </c>
      <c r="C105" s="1321">
        <f t="shared" si="16"/>
        <v>4</v>
      </c>
      <c r="D105" s="1343">
        <f>BILANCIO!DQ$24</f>
        <v>0</v>
      </c>
      <c r="E105" s="1344">
        <f>BILANCIO!DR58</f>
        <v>0</v>
      </c>
      <c r="F105" s="1344">
        <f>BILANCIO!DS$59</f>
        <v>0</v>
      </c>
      <c r="G105" s="1345">
        <f t="shared" si="17"/>
        <v>0</v>
      </c>
    </row>
    <row r="106" spans="1:7">
      <c r="A106" s="1339">
        <v>46874</v>
      </c>
      <c r="B106" s="1321">
        <f t="shared" si="15"/>
        <v>2028</v>
      </c>
      <c r="C106" s="1321">
        <f t="shared" si="16"/>
        <v>5</v>
      </c>
      <c r="D106" s="1343">
        <f>BILANCIO!DR$24</f>
        <v>0</v>
      </c>
      <c r="E106" s="1344">
        <f>BILANCIO!DS58</f>
        <v>0</v>
      </c>
      <c r="F106" s="1344">
        <f>BILANCIO!DT$59</f>
        <v>0</v>
      </c>
      <c r="G106" s="1345">
        <f t="shared" si="17"/>
        <v>0</v>
      </c>
    </row>
    <row r="107" spans="1:7">
      <c r="A107" s="1339">
        <v>46905</v>
      </c>
      <c r="B107" s="1321">
        <f t="shared" si="15"/>
        <v>2028</v>
      </c>
      <c r="C107" s="1321">
        <f t="shared" si="16"/>
        <v>6</v>
      </c>
      <c r="D107" s="1343">
        <f>BILANCIO!DS$24</f>
        <v>0</v>
      </c>
      <c r="E107" s="1344">
        <f>BILANCIO!DT58</f>
        <v>0</v>
      </c>
      <c r="F107" s="1344">
        <f>BILANCIO!DU$59</f>
        <v>0</v>
      </c>
      <c r="G107" s="1345">
        <f t="shared" si="17"/>
        <v>0</v>
      </c>
    </row>
    <row r="108" spans="1:7">
      <c r="A108" s="1339">
        <v>46935</v>
      </c>
      <c r="B108" s="1321">
        <f t="shared" si="15"/>
        <v>2028</v>
      </c>
      <c r="C108" s="1321">
        <f t="shared" si="16"/>
        <v>7</v>
      </c>
      <c r="D108" s="1343">
        <f>BILANCIO!DT$24</f>
        <v>0</v>
      </c>
      <c r="E108" s="1344">
        <f>BILANCIO!DU58</f>
        <v>0</v>
      </c>
      <c r="F108" s="1344">
        <f>BILANCIO!DV$59</f>
        <v>0</v>
      </c>
      <c r="G108" s="1345">
        <f t="shared" si="17"/>
        <v>0</v>
      </c>
    </row>
    <row r="109" spans="1:7">
      <c r="A109" s="1339">
        <v>46966</v>
      </c>
      <c r="B109" s="1321">
        <f t="shared" si="15"/>
        <v>2028</v>
      </c>
      <c r="C109" s="1321">
        <f t="shared" si="16"/>
        <v>8</v>
      </c>
      <c r="D109" s="1343">
        <f>BILANCIO!DU$24</f>
        <v>0</v>
      </c>
      <c r="E109" s="1344">
        <f>BILANCIO!DV58</f>
        <v>0</v>
      </c>
      <c r="F109" s="1344">
        <f>BILANCIO!DW$59</f>
        <v>0</v>
      </c>
      <c r="G109" s="1345">
        <f t="shared" si="17"/>
        <v>0</v>
      </c>
    </row>
    <row r="110" spans="1:7">
      <c r="A110" s="1339">
        <v>46997</v>
      </c>
      <c r="B110" s="1321">
        <f t="shared" si="15"/>
        <v>2028</v>
      </c>
      <c r="C110" s="1321">
        <f t="shared" si="16"/>
        <v>9</v>
      </c>
      <c r="D110" s="1343">
        <f>BILANCIO!DV$24</f>
        <v>0</v>
      </c>
      <c r="E110" s="1344">
        <f>BILANCIO!DW58</f>
        <v>0</v>
      </c>
      <c r="F110" s="1344">
        <f>BILANCIO!DX$59</f>
        <v>0</v>
      </c>
      <c r="G110" s="1345">
        <f t="shared" si="17"/>
        <v>0</v>
      </c>
    </row>
    <row r="111" spans="1:7">
      <c r="A111" s="1339">
        <v>47027</v>
      </c>
      <c r="B111" s="1321">
        <f t="shared" si="15"/>
        <v>2028</v>
      </c>
      <c r="C111" s="1321">
        <f t="shared" si="16"/>
        <v>10</v>
      </c>
      <c r="D111" s="1343">
        <f>BILANCIO!DW$24</f>
        <v>0</v>
      </c>
      <c r="E111" s="1344">
        <f>BILANCIO!DX58</f>
        <v>0</v>
      </c>
      <c r="F111" s="1344">
        <f>BILANCIO!DY$59</f>
        <v>0</v>
      </c>
      <c r="G111" s="1345">
        <f t="shared" si="17"/>
        <v>0</v>
      </c>
    </row>
    <row r="112" spans="1:7">
      <c r="A112" s="1339">
        <v>47058</v>
      </c>
      <c r="B112" s="1321">
        <f t="shared" si="15"/>
        <v>2028</v>
      </c>
      <c r="C112" s="1321">
        <f t="shared" si="16"/>
        <v>11</v>
      </c>
      <c r="D112" s="1343">
        <f>BILANCIO!DX$24</f>
        <v>0</v>
      </c>
      <c r="E112" s="1344">
        <f>BILANCIO!DY58</f>
        <v>0</v>
      </c>
      <c r="F112" s="1344">
        <f>BILANCIO!DZ$59</f>
        <v>0</v>
      </c>
      <c r="G112" s="1345">
        <f t="shared" si="17"/>
        <v>0</v>
      </c>
    </row>
    <row r="113" spans="1:7">
      <c r="A113" s="1339">
        <v>47088</v>
      </c>
      <c r="B113" s="1321">
        <f t="shared" si="15"/>
        <v>2028</v>
      </c>
      <c r="C113" s="1321">
        <f t="shared" si="16"/>
        <v>12</v>
      </c>
      <c r="D113" s="1343">
        <f>BILANCIO!DY$24</f>
        <v>0</v>
      </c>
      <c r="E113" s="1344">
        <f>BILANCIO!DZ58</f>
        <v>0</v>
      </c>
      <c r="F113" s="1344">
        <f>BILANCIO!EA$59</f>
        <v>0</v>
      </c>
      <c r="G113" s="1345">
        <f t="shared" si="17"/>
        <v>0</v>
      </c>
    </row>
    <row r="114" spans="1:7">
      <c r="A114" s="1339">
        <v>47119</v>
      </c>
      <c r="B114" s="1321">
        <f t="shared" si="15"/>
        <v>2029</v>
      </c>
      <c r="C114" s="1321">
        <f t="shared" si="16"/>
        <v>1</v>
      </c>
      <c r="D114" s="1343">
        <f>BILANCIO!DZ$24</f>
        <v>0</v>
      </c>
      <c r="E114" s="1344">
        <f>BILANCIO!EA58</f>
        <v>0</v>
      </c>
      <c r="F114" s="1344">
        <f>BILANCIO!EB$59</f>
        <v>0</v>
      </c>
      <c r="G114" s="1345">
        <f t="shared" si="17"/>
        <v>0</v>
      </c>
    </row>
    <row r="115" spans="1:7">
      <c r="A115" s="1339">
        <v>47150</v>
      </c>
      <c r="B115" s="1321">
        <f t="shared" si="15"/>
        <v>2029</v>
      </c>
      <c r="C115" s="1321">
        <f t="shared" si="16"/>
        <v>2</v>
      </c>
      <c r="D115" s="1343">
        <f>BILANCIO!EA$24</f>
        <v>0</v>
      </c>
      <c r="E115" s="1344">
        <f>BILANCIO!EB58</f>
        <v>0</v>
      </c>
      <c r="F115" s="1344">
        <f>BILANCIO!EC$59</f>
        <v>0</v>
      </c>
      <c r="G115" s="1345">
        <f t="shared" si="17"/>
        <v>0</v>
      </c>
    </row>
    <row r="116" spans="1:7">
      <c r="A116" s="1339">
        <v>47178</v>
      </c>
      <c r="B116" s="1321">
        <f t="shared" si="15"/>
        <v>2029</v>
      </c>
      <c r="C116" s="1321">
        <f t="shared" si="16"/>
        <v>3</v>
      </c>
      <c r="D116" s="1343">
        <f>BILANCIO!EB$24</f>
        <v>0</v>
      </c>
      <c r="E116" s="1344">
        <f>BILANCIO!EC58</f>
        <v>0</v>
      </c>
      <c r="F116" s="1344">
        <f>BILANCIO!ED$59</f>
        <v>0</v>
      </c>
      <c r="G116" s="1345">
        <f t="shared" si="17"/>
        <v>0</v>
      </c>
    </row>
    <row r="117" spans="1:7">
      <c r="A117" s="1339">
        <v>47209</v>
      </c>
      <c r="B117" s="1321">
        <f t="shared" si="15"/>
        <v>2029</v>
      </c>
      <c r="C117" s="1321">
        <f t="shared" si="16"/>
        <v>4</v>
      </c>
      <c r="D117" s="1343">
        <f>BILANCIO!EC$24</f>
        <v>0</v>
      </c>
      <c r="E117" s="1344">
        <f>BILANCIO!ED58</f>
        <v>0</v>
      </c>
      <c r="F117" s="1344">
        <f>BILANCIO!EE$59</f>
        <v>0</v>
      </c>
      <c r="G117" s="1345">
        <f t="shared" si="17"/>
        <v>0</v>
      </c>
    </row>
    <row r="118" spans="1:7">
      <c r="A118" s="1339">
        <v>47239</v>
      </c>
      <c r="B118" s="1321">
        <f t="shared" si="15"/>
        <v>2029</v>
      </c>
      <c r="C118" s="1321">
        <f t="shared" si="16"/>
        <v>5</v>
      </c>
      <c r="D118" s="1343">
        <f>BILANCIO!ED$24</f>
        <v>0</v>
      </c>
      <c r="E118" s="1344">
        <f>BILANCIO!EE58</f>
        <v>0</v>
      </c>
      <c r="F118" s="1344">
        <f>BILANCIO!EF$59</f>
        <v>0</v>
      </c>
      <c r="G118" s="1345">
        <f t="shared" si="17"/>
        <v>0</v>
      </c>
    </row>
    <row r="119" spans="1:7">
      <c r="A119" s="1339">
        <v>47270</v>
      </c>
      <c r="B119" s="1321">
        <f t="shared" si="15"/>
        <v>2029</v>
      </c>
      <c r="C119" s="1321">
        <f t="shared" si="16"/>
        <v>6</v>
      </c>
      <c r="D119" s="1343">
        <f>BILANCIO!EE$24</f>
        <v>0</v>
      </c>
      <c r="E119" s="1344">
        <f>BILANCIO!EF58</f>
        <v>0</v>
      </c>
      <c r="F119" s="1344">
        <f>BILANCIO!EG$59</f>
        <v>0</v>
      </c>
      <c r="G119" s="1345">
        <f t="shared" si="17"/>
        <v>0</v>
      </c>
    </row>
    <row r="120" spans="1:7">
      <c r="A120" s="1339">
        <v>47300</v>
      </c>
      <c r="B120" s="1321">
        <f t="shared" si="15"/>
        <v>2029</v>
      </c>
      <c r="C120" s="1321">
        <f t="shared" si="16"/>
        <v>7</v>
      </c>
      <c r="D120" s="1343">
        <f>BILANCIO!EF$24</f>
        <v>0</v>
      </c>
      <c r="E120" s="1344">
        <f>BILANCIO!EG58</f>
        <v>0</v>
      </c>
      <c r="F120" s="1344">
        <f>BILANCIO!EH$59</f>
        <v>0</v>
      </c>
      <c r="G120" s="1345">
        <f t="shared" si="17"/>
        <v>0</v>
      </c>
    </row>
    <row r="121" spans="1:7">
      <c r="A121" s="1339">
        <v>47331</v>
      </c>
      <c r="B121" s="1321">
        <f t="shared" si="15"/>
        <v>2029</v>
      </c>
      <c r="C121" s="1321">
        <f t="shared" si="16"/>
        <v>8</v>
      </c>
      <c r="D121" s="1343">
        <f>BILANCIO!EG$24</f>
        <v>0</v>
      </c>
      <c r="E121" s="1344">
        <f>BILANCIO!EH58</f>
        <v>0</v>
      </c>
      <c r="F121" s="1344">
        <f>BILANCIO!EI$59</f>
        <v>0</v>
      </c>
      <c r="G121" s="1345">
        <f t="shared" si="17"/>
        <v>0</v>
      </c>
    </row>
    <row r="122" spans="1:7">
      <c r="A122" s="1339">
        <v>47362</v>
      </c>
      <c r="B122" s="1321">
        <f t="shared" si="15"/>
        <v>2029</v>
      </c>
      <c r="C122" s="1321">
        <f t="shared" si="16"/>
        <v>9</v>
      </c>
      <c r="D122" s="1343">
        <f>BILANCIO!EH$24</f>
        <v>0</v>
      </c>
      <c r="E122" s="1344">
        <f>BILANCIO!EI58</f>
        <v>0</v>
      </c>
      <c r="F122" s="1344">
        <f>BILANCIO!EJ$59</f>
        <v>0</v>
      </c>
      <c r="G122" s="1345">
        <f t="shared" si="17"/>
        <v>0</v>
      </c>
    </row>
    <row r="123" spans="1:7">
      <c r="A123" s="1339">
        <v>47392</v>
      </c>
      <c r="B123" s="1321">
        <f t="shared" si="15"/>
        <v>2029</v>
      </c>
      <c r="C123" s="1321">
        <f t="shared" si="16"/>
        <v>10</v>
      </c>
      <c r="D123" s="1343">
        <f>BILANCIO!EI$24</f>
        <v>0</v>
      </c>
      <c r="E123" s="1344">
        <f>BILANCIO!EJ58</f>
        <v>0</v>
      </c>
      <c r="F123" s="1344">
        <f>BILANCIO!EK$59</f>
        <v>0</v>
      </c>
      <c r="G123" s="1345">
        <f t="shared" si="17"/>
        <v>0</v>
      </c>
    </row>
    <row r="124" spans="1:7">
      <c r="A124" s="1339">
        <v>47423</v>
      </c>
      <c r="B124" s="1321">
        <f t="shared" si="15"/>
        <v>2029</v>
      </c>
      <c r="C124" s="1321">
        <f t="shared" si="16"/>
        <v>11</v>
      </c>
      <c r="D124" s="1343">
        <f>BILANCIO!EJ$24</f>
        <v>0</v>
      </c>
      <c r="E124" s="1344">
        <f>BILANCIO!EK58</f>
        <v>0</v>
      </c>
      <c r="F124" s="1344">
        <f>BILANCIO!EL$59</f>
        <v>0</v>
      </c>
      <c r="G124" s="1345">
        <f t="shared" si="17"/>
        <v>0</v>
      </c>
    </row>
    <row r="125" spans="1:7">
      <c r="A125" s="1339">
        <v>47453</v>
      </c>
      <c r="B125" s="1321">
        <f t="shared" si="15"/>
        <v>2029</v>
      </c>
      <c r="C125" s="1321">
        <f t="shared" si="16"/>
        <v>12</v>
      </c>
      <c r="D125" s="1343">
        <f>BILANCIO!EK$24</f>
        <v>0</v>
      </c>
      <c r="E125" s="1344">
        <f>BILANCIO!EK58</f>
        <v>0</v>
      </c>
      <c r="F125" s="1344">
        <f>BILANCIO!EM$59</f>
        <v>0</v>
      </c>
      <c r="G125" s="1345">
        <f t="shared" si="17"/>
        <v>0</v>
      </c>
    </row>
  </sheetData>
  <mergeCells count="1">
    <mergeCell ref="I1:O1"/>
  </mergeCells>
  <dataValidations disablePrompts="1" count="1">
    <dataValidation type="date" operator="equal" allowBlank="1" showInputMessage="1" showErrorMessage="1" sqref="A25:C125" xr:uid="{65F258FF-3A2E-40E7-832C-1FB2E02A88AC}">
      <formula1>XDV22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3EF8-0053-415D-A510-298B8E4B1969}">
  <sheetPr codeName="coloracelle">
    <tabColor theme="9" tint="0.79998168889431442"/>
  </sheetPr>
  <dimension ref="A1:O2797"/>
  <sheetViews>
    <sheetView showGridLines="0" zoomScale="85" zoomScaleNormal="85" workbookViewId="0">
      <pane ySplit="1" topLeftCell="A32" activePane="bottomLeft" state="frozen"/>
      <selection pane="bottomLeft" activeCell="E83" sqref="E42:I83"/>
    </sheetView>
  </sheetViews>
  <sheetFormatPr defaultColWidth="9.140625" defaultRowHeight="15"/>
  <cols>
    <col min="1" max="1" width="45.5703125" style="9" bestFit="1" customWidth="1"/>
    <col min="2" max="2" width="12" style="9" bestFit="1" customWidth="1"/>
    <col min="3" max="3" width="9.5703125" style="9" bestFit="1" customWidth="1"/>
    <col min="4" max="4" width="8.140625" style="9" hidden="1" customWidth="1"/>
    <col min="5" max="5" width="17.28515625" style="9" customWidth="1"/>
    <col min="6" max="6" width="20" style="9" hidden="1" customWidth="1"/>
    <col min="7" max="7" width="32.85546875" style="63" bestFit="1" customWidth="1"/>
    <col min="8" max="8" width="39.28515625" style="63" bestFit="1" customWidth="1"/>
    <col min="9" max="9" width="13.42578125" style="9" bestFit="1" customWidth="1"/>
    <col min="10" max="10" width="32.85546875" style="945" customWidth="1"/>
    <col min="11" max="11" width="32.85546875" style="9" bestFit="1" customWidth="1"/>
    <col min="12" max="12" width="32.85546875" style="9" customWidth="1"/>
    <col min="13" max="13" width="10" style="9" bestFit="1" customWidth="1"/>
    <col min="14" max="14" width="12" style="9" bestFit="1" customWidth="1"/>
    <col min="15" max="15" width="11.42578125" style="9" bestFit="1" customWidth="1"/>
    <col min="16" max="16384" width="9.140625" style="9"/>
  </cols>
  <sheetData>
    <row r="1" spans="1:12">
      <c r="A1" s="53" t="s">
        <v>83</v>
      </c>
      <c r="B1" s="53" t="s">
        <v>71</v>
      </c>
      <c r="C1" s="53" t="s">
        <v>70</v>
      </c>
      <c r="D1" s="53" t="s">
        <v>71</v>
      </c>
      <c r="E1" s="53" t="s">
        <v>84</v>
      </c>
      <c r="F1" s="53" t="s">
        <v>84</v>
      </c>
      <c r="G1" s="1308" t="s">
        <v>83</v>
      </c>
      <c r="H1" s="1308" t="s">
        <v>1247</v>
      </c>
      <c r="I1" s="54" t="s">
        <v>85</v>
      </c>
      <c r="J1" s="942" t="s">
        <v>86</v>
      </c>
      <c r="K1" s="55" t="s">
        <v>87</v>
      </c>
      <c r="L1" s="55" t="s">
        <v>88</v>
      </c>
    </row>
    <row r="2" spans="1:12">
      <c r="A2" s="57" t="s">
        <v>1391</v>
      </c>
      <c r="B2" s="57" t="s">
        <v>240</v>
      </c>
      <c r="C2" s="57">
        <v>2026</v>
      </c>
      <c r="D2" s="58">
        <f>MATCH(B2,{"GENNAIO","FEBBRAIO","MARZO","APRILE","MAGGIO","GIUGNO","LUGLIO","AGOSTO","SETTEMBRE","OTTOBRE","NOVEMBRE","DICEMBRE"},0)</f>
        <v>9</v>
      </c>
      <c r="E2" s="57" t="str">
        <f t="shared" ref="E2" si="0">CONCATENATE(,B2," ",C2)</f>
        <v>SETTEMBRE 2026</v>
      </c>
      <c r="F2" s="57" t="str">
        <f t="shared" ref="F2" si="1">CONCATENATE(D2," ",E2)</f>
        <v>9 SETTEMBRE 2026</v>
      </c>
      <c r="G2" s="1309" t="s">
        <v>94</v>
      </c>
      <c r="H2" s="1309" t="str">
        <f>VLOOKUP(G2,CATEGORIE!$H$3:$I$55,2,FALSE)</f>
        <v>COSTO SVAGHI</v>
      </c>
      <c r="I2" s="59">
        <v>32</v>
      </c>
      <c r="J2" s="940"/>
      <c r="K2" s="59"/>
      <c r="L2" s="59"/>
    </row>
    <row r="3" spans="1:12">
      <c r="A3" s="57" t="s">
        <v>1390</v>
      </c>
      <c r="B3" s="57" t="s">
        <v>240</v>
      </c>
      <c r="C3" s="57">
        <v>2026</v>
      </c>
      <c r="D3" s="58">
        <f>MATCH(B3,{"GENNAIO","FEBBRAIO","MARZO","APRILE","MAGGIO","GIUGNO","LUGLIO","AGOSTO","SETTEMBRE","OTTOBRE","NOVEMBRE","DICEMBRE"},0)</f>
        <v>9</v>
      </c>
      <c r="E3" s="57" t="str">
        <f t="shared" ref="E3" si="2">CONCATENATE(,B3," ",C3)</f>
        <v>SETTEMBRE 2026</v>
      </c>
      <c r="F3" s="57" t="str">
        <f t="shared" ref="F3" si="3">CONCATENATE(D3," ",E3)</f>
        <v>9 SETTEMBRE 2026</v>
      </c>
      <c r="G3" s="1309" t="s">
        <v>94</v>
      </c>
      <c r="H3" s="1309" t="str">
        <f>VLOOKUP(G3,CATEGORIE!$H$3:$I$55,2,FALSE)</f>
        <v>COSTO SVAGHI</v>
      </c>
      <c r="I3" s="59">
        <v>6</v>
      </c>
      <c r="J3" s="940"/>
      <c r="K3" s="59"/>
      <c r="L3" s="59"/>
    </row>
    <row r="4" spans="1:12">
      <c r="A4" s="57" t="s">
        <v>99</v>
      </c>
      <c r="B4" s="57" t="s">
        <v>240</v>
      </c>
      <c r="C4" s="57">
        <v>2026</v>
      </c>
      <c r="D4" s="58">
        <f>MATCH(B4,{"GENNAIO","FEBBRAIO","MARZO","APRILE","MAGGIO","GIUGNO","LUGLIO","AGOSTO","SETTEMBRE","OTTOBRE","NOVEMBRE","DICEMBRE"},0)</f>
        <v>9</v>
      </c>
      <c r="E4" s="57" t="str">
        <f>CONCATENATE(,B4," ",C4)</f>
        <v>SETTEMBRE 2026</v>
      </c>
      <c r="F4" s="57" t="str">
        <f>CONCATENATE(D4," ",E4)</f>
        <v>9 SETTEMBRE 2026</v>
      </c>
      <c r="G4" s="1309" t="s">
        <v>132</v>
      </c>
      <c r="H4" s="1309" t="str">
        <f>VLOOKUP(G4,CATEGORIE!$H$3:$I$55,2,FALSE)</f>
        <v>COSTO CASA</v>
      </c>
      <c r="I4" s="59">
        <v>20</v>
      </c>
      <c r="J4" s="940"/>
      <c r="K4" s="59"/>
      <c r="L4" s="59" t="s">
        <v>1381</v>
      </c>
    </row>
    <row r="5" spans="1:12">
      <c r="A5" s="57" t="s">
        <v>1318</v>
      </c>
      <c r="B5" s="57" t="s">
        <v>240</v>
      </c>
      <c r="C5" s="57">
        <v>2026</v>
      </c>
      <c r="D5" s="58">
        <f>MATCH(B5,{"GENNAIO","FEBBRAIO","MARZO","APRILE","MAGGIO","GIUGNO","LUGLIO","AGOSTO","SETTEMBRE","OTTOBRE","NOVEMBRE","DICEMBRE"},0)</f>
        <v>9</v>
      </c>
      <c r="E5" s="57" t="str">
        <f t="shared" ref="E5" si="4">CONCATENATE(,B5," ",C5)</f>
        <v>SETTEMBRE 2026</v>
      </c>
      <c r="F5" s="57" t="str">
        <f t="shared" ref="F5:F6" si="5">CONCATENATE(D5," ",E5)</f>
        <v>9 SETTEMBRE 2026</v>
      </c>
      <c r="G5" s="1309" t="s">
        <v>91</v>
      </c>
      <c r="H5" s="1309" t="str">
        <f>VLOOKUP(G5,CATEGORIE!$H$3:$I$55,2,FALSE)</f>
        <v>COSTO SOPRAVVIVENZA</v>
      </c>
      <c r="I5" s="59">
        <v>5</v>
      </c>
      <c r="J5" s="940"/>
      <c r="K5" s="59"/>
      <c r="L5" s="59"/>
    </row>
    <row r="6" spans="1:12">
      <c r="A6" s="57" t="s">
        <v>1389</v>
      </c>
      <c r="B6" s="57" t="s">
        <v>240</v>
      </c>
      <c r="C6" s="57">
        <v>2026</v>
      </c>
      <c r="D6" s="58">
        <f>MATCH(B6,{"GENNAIO","FEBBRAIO","MARZO","APRILE","MAGGIO","GIUGNO","LUGLIO","AGOSTO","SETTEMBRE","OTTOBRE","NOVEMBRE","DICEMBRE"},0)</f>
        <v>9</v>
      </c>
      <c r="E6" s="57" t="str">
        <f t="shared" ref="E6" si="6">CONCATENATE(,B6," ",C6)</f>
        <v>SETTEMBRE 2026</v>
      </c>
      <c r="F6" s="57" t="str">
        <f t="shared" si="5"/>
        <v>9 SETTEMBRE 2026</v>
      </c>
      <c r="G6" s="1309" t="s">
        <v>111</v>
      </c>
      <c r="H6" s="1309" t="str">
        <f>VLOOKUP(G6,CATEGORIE!$H$3:$I$55,2,FALSE)</f>
        <v>COSTO MOBILITA'</v>
      </c>
      <c r="I6" s="59">
        <v>0.7</v>
      </c>
      <c r="J6" s="940"/>
      <c r="K6" s="59"/>
      <c r="L6" s="59"/>
    </row>
    <row r="7" spans="1:12">
      <c r="A7" s="57" t="s">
        <v>97</v>
      </c>
      <c r="B7" s="57" t="s">
        <v>240</v>
      </c>
      <c r="C7" s="57">
        <v>2026</v>
      </c>
      <c r="D7" s="58">
        <f>MATCH(B7,{"GENNAIO","FEBBRAIO","MARZO","APRILE","MAGGIO","GIUGNO","LUGLIO","AGOSTO","SETTEMBRE","OTTOBRE","NOVEMBRE","DICEMBRE"},0)</f>
        <v>9</v>
      </c>
      <c r="E7" s="57" t="str">
        <f t="shared" ref="E7" si="7">CONCATENATE(,B7," ",C7)</f>
        <v>SETTEMBRE 2026</v>
      </c>
      <c r="F7" s="57" t="str">
        <f t="shared" ref="F7" si="8">CONCATENATE(D7," ",E7)</f>
        <v>9 SETTEMBRE 2026</v>
      </c>
      <c r="G7" s="1309" t="s">
        <v>789</v>
      </c>
      <c r="H7" s="1309" t="str">
        <f>VLOOKUP(G7,CATEGORIE!$H$3:$I$55,2,FALSE)</f>
        <v>MOVIMENTI CONTO</v>
      </c>
      <c r="I7" s="59">
        <v>30</v>
      </c>
      <c r="J7" s="940"/>
      <c r="K7" s="59" t="s">
        <v>97</v>
      </c>
      <c r="L7" s="59"/>
    </row>
    <row r="8" spans="1:12">
      <c r="A8" s="57" t="s">
        <v>1318</v>
      </c>
      <c r="B8" s="57" t="s">
        <v>240</v>
      </c>
      <c r="C8" s="57">
        <v>2026</v>
      </c>
      <c r="D8" s="58">
        <f>MATCH(B8,{"GENNAIO","FEBBRAIO","MARZO","APRILE","MAGGIO","GIUGNO","LUGLIO","AGOSTO","SETTEMBRE","OTTOBRE","NOVEMBRE","DICEMBRE"},0)</f>
        <v>9</v>
      </c>
      <c r="E8" s="57" t="str">
        <f t="shared" ref="E8" si="9">CONCATENATE(,B8," ",C8)</f>
        <v>SETTEMBRE 2026</v>
      </c>
      <c r="F8" s="57" t="str">
        <f t="shared" ref="F8" si="10">CONCATENATE(D8," ",E8)</f>
        <v>9 SETTEMBRE 2026</v>
      </c>
      <c r="G8" s="1309" t="s">
        <v>91</v>
      </c>
      <c r="H8" s="1309" t="str">
        <f>VLOOKUP(G8,CATEGORIE!$H$3:$I$55,2,FALSE)</f>
        <v>COSTO SOPRAVVIVENZA</v>
      </c>
      <c r="I8" s="59">
        <v>5</v>
      </c>
      <c r="J8" s="940"/>
      <c r="K8" s="59"/>
      <c r="L8" s="59"/>
    </row>
    <row r="9" spans="1:12">
      <c r="A9" s="57" t="s">
        <v>92</v>
      </c>
      <c r="B9" s="57" t="s">
        <v>240</v>
      </c>
      <c r="C9" s="57">
        <v>2026</v>
      </c>
      <c r="D9" s="58">
        <f>MATCH(B9,{"GENNAIO","FEBBRAIO","MARZO","APRILE","MAGGIO","GIUGNO","LUGLIO","AGOSTO","SETTEMBRE","OTTOBRE","NOVEMBRE","DICEMBRE"},0)</f>
        <v>9</v>
      </c>
      <c r="E9" s="57" t="str">
        <f t="shared" ref="E9" si="11">CONCATENATE(,B9," ",C9)</f>
        <v>SETTEMBRE 2026</v>
      </c>
      <c r="F9" s="57" t="str">
        <f t="shared" ref="F9" si="12">CONCATENATE(D9," ",E9)</f>
        <v>9 SETTEMBRE 2026</v>
      </c>
      <c r="G9" s="1309" t="s">
        <v>94</v>
      </c>
      <c r="H9" s="1309" t="str">
        <f>VLOOKUP(G9,CATEGORIE!$H$3:$I$55,2,FALSE)</f>
        <v>COSTO SVAGHI</v>
      </c>
      <c r="I9" s="59">
        <v>14.5</v>
      </c>
      <c r="J9" s="940"/>
      <c r="K9" s="59"/>
      <c r="L9" s="59"/>
    </row>
    <row r="10" spans="1:12">
      <c r="A10" s="57" t="s">
        <v>1318</v>
      </c>
      <c r="B10" s="57" t="s">
        <v>240</v>
      </c>
      <c r="C10" s="57">
        <v>2026</v>
      </c>
      <c r="D10" s="58">
        <f>MATCH(B10,{"GENNAIO","FEBBRAIO","MARZO","APRILE","MAGGIO","GIUGNO","LUGLIO","AGOSTO","SETTEMBRE","OTTOBRE","NOVEMBRE","DICEMBRE"},0)</f>
        <v>9</v>
      </c>
      <c r="E10" s="57" t="str">
        <f t="shared" ref="E10" si="13">CONCATENATE(,B10," ",C10)</f>
        <v>SETTEMBRE 2026</v>
      </c>
      <c r="F10" s="57" t="str">
        <f t="shared" ref="F10" si="14">CONCATENATE(D10," ",E10)</f>
        <v>9 SETTEMBRE 2026</v>
      </c>
      <c r="G10" s="1309" t="s">
        <v>91</v>
      </c>
      <c r="H10" s="1309" t="str">
        <f>VLOOKUP(G10,CATEGORIE!$H$3:$I$55,2,FALSE)</f>
        <v>COSTO SOPRAVVIVENZA</v>
      </c>
      <c r="I10" s="59">
        <v>5</v>
      </c>
      <c r="J10" s="940"/>
      <c r="K10" s="59"/>
      <c r="L10" s="59"/>
    </row>
    <row r="11" spans="1:12">
      <c r="A11" s="57" t="s">
        <v>187</v>
      </c>
      <c r="B11" s="57" t="s">
        <v>240</v>
      </c>
      <c r="C11" s="57">
        <v>2026</v>
      </c>
      <c r="D11" s="58">
        <f>MATCH(B11,{"GENNAIO","FEBBRAIO","MARZO","APRILE","MAGGIO","GIUGNO","LUGLIO","AGOSTO","SETTEMBRE","OTTOBRE","NOVEMBRE","DICEMBRE"},0)</f>
        <v>9</v>
      </c>
      <c r="E11" s="57" t="str">
        <f t="shared" ref="E11" si="15">CONCATENATE(,B11," ",C11)</f>
        <v>SETTEMBRE 2026</v>
      </c>
      <c r="F11" s="57" t="str">
        <f t="shared" ref="F11" si="16">CONCATENATE(D11," ",E11)</f>
        <v>9 SETTEMBRE 2026</v>
      </c>
      <c r="G11" s="1309" t="s">
        <v>188</v>
      </c>
      <c r="H11" s="1309" t="str">
        <f>VLOOKUP(G11,CATEGORIE!$H$3:$I$55,2,FALSE)</f>
        <v>COSTO VACANZE</v>
      </c>
      <c r="I11" s="59">
        <v>324</v>
      </c>
      <c r="J11" s="940"/>
      <c r="K11" s="59"/>
      <c r="L11" s="59" t="s">
        <v>1388</v>
      </c>
    </row>
    <row r="12" spans="1:12">
      <c r="A12" s="57" t="s">
        <v>1318</v>
      </c>
      <c r="B12" s="57" t="s">
        <v>240</v>
      </c>
      <c r="C12" s="57">
        <v>2026</v>
      </c>
      <c r="D12" s="58">
        <f>MATCH(B12,{"GENNAIO","FEBBRAIO","MARZO","APRILE","MAGGIO","GIUGNO","LUGLIO","AGOSTO","SETTEMBRE","OTTOBRE","NOVEMBRE","DICEMBRE"},0)</f>
        <v>9</v>
      </c>
      <c r="E12" s="57" t="str">
        <f t="shared" ref="E12" si="17">CONCATENATE(,B12," ",C12)</f>
        <v>SETTEMBRE 2026</v>
      </c>
      <c r="F12" s="57" t="str">
        <f t="shared" ref="F12" si="18">CONCATENATE(D12," ",E12)</f>
        <v>9 SETTEMBRE 2026</v>
      </c>
      <c r="G12" s="1309" t="s">
        <v>91</v>
      </c>
      <c r="H12" s="1309" t="str">
        <f>VLOOKUP(G12,CATEGORIE!$H$3:$I$55,2,FALSE)</f>
        <v>COSTO SOPRAVVIVENZA</v>
      </c>
      <c r="I12" s="59">
        <v>5</v>
      </c>
      <c r="J12" s="940"/>
      <c r="K12" s="59"/>
      <c r="L12" s="59"/>
    </row>
    <row r="13" spans="1:12">
      <c r="A13" s="57" t="s">
        <v>106</v>
      </c>
      <c r="B13" s="57" t="s">
        <v>240</v>
      </c>
      <c r="C13" s="57">
        <v>2026</v>
      </c>
      <c r="D13" s="58">
        <f>MATCH(B13,{"GENNAIO","FEBBRAIO","MARZO","APRILE","MAGGIO","GIUGNO","LUGLIO","AGOSTO","SETTEMBRE","OTTOBRE","NOVEMBRE","DICEMBRE"},0)</f>
        <v>9</v>
      </c>
      <c r="E13" s="57" t="str">
        <f t="shared" ref="E13" si="19">CONCATENATE(,B13," ",C13)</f>
        <v>SETTEMBRE 2026</v>
      </c>
      <c r="F13" s="57" t="str">
        <f t="shared" ref="F13" si="20">CONCATENATE(D13," ",E13)</f>
        <v>9 SETTEMBRE 2026</v>
      </c>
      <c r="G13" s="1309" t="s">
        <v>107</v>
      </c>
      <c r="H13" s="1309" t="str">
        <f>VLOOKUP(G13,CATEGORIE!$H$3:$I$55,2,FALSE)</f>
        <v>COSTO SOPRAVVIVENZA</v>
      </c>
      <c r="I13" s="59">
        <v>33</v>
      </c>
      <c r="J13" s="940"/>
      <c r="K13" s="59"/>
      <c r="L13" s="59"/>
    </row>
    <row r="14" spans="1:12">
      <c r="A14" s="57" t="s">
        <v>1387</v>
      </c>
      <c r="B14" s="57" t="s">
        <v>240</v>
      </c>
      <c r="C14" s="57">
        <v>2026</v>
      </c>
      <c r="D14" s="58">
        <f>MATCH(B14,{"GENNAIO","FEBBRAIO","MARZO","APRILE","MAGGIO","GIUGNO","LUGLIO","AGOSTO","SETTEMBRE","OTTOBRE","NOVEMBRE","DICEMBRE"},0)</f>
        <v>9</v>
      </c>
      <c r="E14" s="57" t="str">
        <f t="shared" ref="E14" si="21">CONCATENATE(,B14," ",C14)</f>
        <v>SETTEMBRE 2026</v>
      </c>
      <c r="F14" s="57" t="str">
        <f t="shared" ref="F14" si="22">CONCATENATE(D14," ",E14)</f>
        <v>9 SETTEMBRE 2026</v>
      </c>
      <c r="G14" s="1309" t="s">
        <v>94</v>
      </c>
      <c r="H14" s="1309" t="str">
        <f>VLOOKUP(G14,CATEGORIE!$H$3:$I$55,2,FALSE)</f>
        <v>COSTO SVAGHI</v>
      </c>
      <c r="I14" s="59">
        <v>30</v>
      </c>
      <c r="J14" s="940"/>
      <c r="K14" s="59"/>
      <c r="L14" s="59"/>
    </row>
    <row r="15" spans="1:12">
      <c r="A15" s="57" t="s">
        <v>1386</v>
      </c>
      <c r="B15" s="57" t="s">
        <v>240</v>
      </c>
      <c r="C15" s="57">
        <v>2026</v>
      </c>
      <c r="D15" s="58">
        <f>MATCH(B15,{"GENNAIO","FEBBRAIO","MARZO","APRILE","MAGGIO","GIUGNO","LUGLIO","AGOSTO","SETTEMBRE","OTTOBRE","NOVEMBRE","DICEMBRE"},0)</f>
        <v>9</v>
      </c>
      <c r="E15" s="57" t="str">
        <f t="shared" ref="E15" si="23">CONCATENATE(,B15," ",C15)</f>
        <v>SETTEMBRE 2026</v>
      </c>
      <c r="F15" s="57" t="str">
        <f t="shared" ref="F15" si="24">CONCATENATE(D15," ",E15)</f>
        <v>9 SETTEMBRE 2026</v>
      </c>
      <c r="G15" s="1309" t="s">
        <v>94</v>
      </c>
      <c r="H15" s="1309" t="str">
        <f>VLOOKUP(G15,CATEGORIE!$H$3:$I$55,2,FALSE)</f>
        <v>COSTO SVAGHI</v>
      </c>
      <c r="I15" s="59">
        <v>68.5</v>
      </c>
      <c r="J15" s="940"/>
      <c r="K15" s="59"/>
      <c r="L15" s="59"/>
    </row>
    <row r="16" spans="1:12">
      <c r="A16" s="57" t="s">
        <v>130</v>
      </c>
      <c r="B16" s="57" t="s">
        <v>240</v>
      </c>
      <c r="C16" s="57">
        <v>2026</v>
      </c>
      <c r="D16" s="58">
        <f>MATCH(B16,{"GENNAIO","FEBBRAIO","MARZO","APRILE","MAGGIO","GIUGNO","LUGLIO","AGOSTO","SETTEMBRE","OTTOBRE","NOVEMBRE","DICEMBRE"},0)</f>
        <v>9</v>
      </c>
      <c r="E16" s="57" t="str">
        <f t="shared" ref="E16" si="25">CONCATENATE(,B16," ",C16)</f>
        <v>SETTEMBRE 2026</v>
      </c>
      <c r="F16" s="57" t="str">
        <f t="shared" ref="F16" si="26">CONCATENATE(D16," ",E16)</f>
        <v>9 SETTEMBRE 2026</v>
      </c>
      <c r="G16" s="1309" t="s">
        <v>94</v>
      </c>
      <c r="H16" s="1309" t="str">
        <f>VLOOKUP(G16,CATEGORIE!$H$3:$I$55,2,FALSE)</f>
        <v>COSTO SVAGHI</v>
      </c>
      <c r="I16" s="59">
        <v>17</v>
      </c>
      <c r="J16" s="940"/>
      <c r="K16" s="59"/>
      <c r="L16" s="59"/>
    </row>
    <row r="17" spans="1:12">
      <c r="A17" s="57" t="s">
        <v>1318</v>
      </c>
      <c r="B17" s="57" t="s">
        <v>240</v>
      </c>
      <c r="C17" s="57">
        <v>2026</v>
      </c>
      <c r="D17" s="58">
        <f>MATCH(B17,{"GENNAIO","FEBBRAIO","MARZO","APRILE","MAGGIO","GIUGNO","LUGLIO","AGOSTO","SETTEMBRE","OTTOBRE","NOVEMBRE","DICEMBRE"},0)</f>
        <v>9</v>
      </c>
      <c r="E17" s="57" t="str">
        <f t="shared" ref="E17" si="27">CONCATENATE(,B17," ",C17)</f>
        <v>SETTEMBRE 2026</v>
      </c>
      <c r="F17" s="57" t="str">
        <f t="shared" ref="F17" si="28">CONCATENATE(D17," ",E17)</f>
        <v>9 SETTEMBRE 2026</v>
      </c>
      <c r="G17" s="1309" t="s">
        <v>91</v>
      </c>
      <c r="H17" s="1309" t="str">
        <f>VLOOKUP(G17,CATEGORIE!$H$3:$I$55,2,FALSE)</f>
        <v>COSTO SOPRAVVIVENZA</v>
      </c>
      <c r="I17" s="59">
        <v>5</v>
      </c>
      <c r="J17" s="940"/>
      <c r="K17" s="59"/>
      <c r="L17" s="59"/>
    </row>
    <row r="18" spans="1:12" ht="14.25" customHeight="1">
      <c r="A18" s="57" t="s">
        <v>95</v>
      </c>
      <c r="B18" s="57" t="s">
        <v>240</v>
      </c>
      <c r="C18" s="57">
        <v>2026</v>
      </c>
      <c r="D18" s="58">
        <f>MATCH(B18,{"GENNAIO","FEBBRAIO","MARZO","APRILE","MAGGIO","GIUGNO","LUGLIO","AGOSTO","SETTEMBRE","OTTOBRE","NOVEMBRE","DICEMBRE"},0)</f>
        <v>9</v>
      </c>
      <c r="E18" s="57" t="str">
        <f t="shared" ref="E18" si="29">CONCATENATE(,B18," ",C18)</f>
        <v>SETTEMBRE 2026</v>
      </c>
      <c r="F18" s="57" t="str">
        <f t="shared" ref="F18" si="30">CONCATENATE(D18," ",E18)</f>
        <v>9 SETTEMBRE 2026</v>
      </c>
      <c r="G18" s="1309" t="s">
        <v>96</v>
      </c>
      <c r="H18" s="1309" t="str">
        <f>VLOOKUP(G18,CATEGORIE!$H$3:$I$55,2,FALSE)</f>
        <v>COSTO SOPRAVVIVENZA</v>
      </c>
      <c r="I18" s="59">
        <v>37.76</v>
      </c>
      <c r="J18" s="940"/>
      <c r="K18" s="59"/>
      <c r="L18" s="59"/>
    </row>
    <row r="19" spans="1:12" ht="14.25" customHeight="1">
      <c r="A19" s="57" t="s">
        <v>95</v>
      </c>
      <c r="B19" s="57" t="s">
        <v>240</v>
      </c>
      <c r="C19" s="57">
        <v>2026</v>
      </c>
      <c r="D19" s="58">
        <f>MATCH(B19,{"GENNAIO","FEBBRAIO","MARZO","APRILE","MAGGIO","GIUGNO","LUGLIO","AGOSTO","SETTEMBRE","OTTOBRE","NOVEMBRE","DICEMBRE"},0)</f>
        <v>9</v>
      </c>
      <c r="E19" s="57" t="str">
        <f t="shared" ref="E19" si="31">CONCATENATE(,B19," ",C19)</f>
        <v>SETTEMBRE 2026</v>
      </c>
      <c r="F19" s="57" t="str">
        <f t="shared" ref="F19" si="32">CONCATENATE(D19," ",E19)</f>
        <v>9 SETTEMBRE 2026</v>
      </c>
      <c r="G19" s="1309" t="s">
        <v>96</v>
      </c>
      <c r="H19" s="1309" t="str">
        <f>VLOOKUP(G19,CATEGORIE!$H$3:$I$55,2,FALSE)</f>
        <v>COSTO SOPRAVVIVENZA</v>
      </c>
      <c r="I19" s="59">
        <v>13.28</v>
      </c>
      <c r="J19" s="940"/>
      <c r="K19" s="59"/>
      <c r="L19" s="59"/>
    </row>
    <row r="20" spans="1:12">
      <c r="A20" s="57" t="s">
        <v>329</v>
      </c>
      <c r="B20" s="57" t="s">
        <v>240</v>
      </c>
      <c r="C20" s="57">
        <v>2026</v>
      </c>
      <c r="D20" s="58">
        <f>MATCH(B20,{"GENNAIO","FEBBRAIO","MARZO","APRILE","MAGGIO","GIUGNO","LUGLIO","AGOSTO","SETTEMBRE","OTTOBRE","NOVEMBRE","DICEMBRE"},0)</f>
        <v>9</v>
      </c>
      <c r="E20" s="57" t="str">
        <f t="shared" ref="E20" si="33">CONCATENATE(,B20," ",C20)</f>
        <v>SETTEMBRE 2026</v>
      </c>
      <c r="F20" s="57" t="str">
        <f t="shared" ref="F20" si="34">CONCATENATE(D20," ",E20)</f>
        <v>9 SETTEMBRE 2026</v>
      </c>
      <c r="G20" s="1309" t="s">
        <v>94</v>
      </c>
      <c r="H20" s="1309" t="str">
        <f>VLOOKUP(G20,CATEGORIE!$H$3:$I$55,2,FALSE)</f>
        <v>COSTO SVAGHI</v>
      </c>
      <c r="I20" s="59">
        <v>8</v>
      </c>
      <c r="J20" s="940"/>
      <c r="K20" s="59"/>
      <c r="L20" s="59"/>
    </row>
    <row r="21" spans="1:12">
      <c r="A21" s="57" t="s">
        <v>1384</v>
      </c>
      <c r="B21" s="57" t="s">
        <v>240</v>
      </c>
      <c r="C21" s="57">
        <v>2026</v>
      </c>
      <c r="D21" s="58">
        <f>MATCH(B21,{"GENNAIO","FEBBRAIO","MARZO","APRILE","MAGGIO","GIUGNO","LUGLIO","AGOSTO","SETTEMBRE","OTTOBRE","NOVEMBRE","DICEMBRE"},0)</f>
        <v>9</v>
      </c>
      <c r="E21" s="57" t="str">
        <f t="shared" ref="E21" si="35">CONCATENATE(,B21," ",C21)</f>
        <v>SETTEMBRE 2026</v>
      </c>
      <c r="F21" s="57" t="str">
        <f t="shared" ref="F21" si="36">CONCATENATE(D21," ",E21)</f>
        <v>9 SETTEMBRE 2026</v>
      </c>
      <c r="G21" s="1309" t="s">
        <v>94</v>
      </c>
      <c r="H21" s="1309" t="str">
        <f>VLOOKUP(G21,CATEGORIE!$H$3:$I$55,2,FALSE)</f>
        <v>COSTO SVAGHI</v>
      </c>
      <c r="I21" s="59">
        <v>48.5</v>
      </c>
      <c r="J21" s="57"/>
      <c r="K21" s="57"/>
      <c r="L21" s="59"/>
    </row>
    <row r="22" spans="1:12">
      <c r="A22" s="57" t="s">
        <v>99</v>
      </c>
      <c r="B22" s="57" t="s">
        <v>240</v>
      </c>
      <c r="C22" s="57">
        <v>2026</v>
      </c>
      <c r="D22" s="58">
        <f>MATCH(B22,{"GENNAIO","FEBBRAIO","MARZO","APRILE","MAGGIO","GIUGNO","LUGLIO","AGOSTO","SETTEMBRE","OTTOBRE","NOVEMBRE","DICEMBRE"},0)</f>
        <v>9</v>
      </c>
      <c r="E22" s="57" t="str">
        <f t="shared" ref="E22" si="37">CONCATENATE(,B22," ",C22)</f>
        <v>SETTEMBRE 2026</v>
      </c>
      <c r="F22" s="57" t="str">
        <f t="shared" ref="F22" si="38">CONCATENATE(D22," ",E22)</f>
        <v>9 SETTEMBRE 2026</v>
      </c>
      <c r="G22" s="1309" t="s">
        <v>100</v>
      </c>
      <c r="H22" s="1309" t="str">
        <f>VLOOKUP(G22,CATEGORIE!$H$3:$I$55,2,FALSE)</f>
        <v>COSTO SFIZI</v>
      </c>
      <c r="I22" s="59">
        <v>15.95</v>
      </c>
      <c r="J22" s="940"/>
      <c r="K22" s="59"/>
      <c r="L22" s="59" t="s">
        <v>1381</v>
      </c>
    </row>
    <row r="23" spans="1:12">
      <c r="A23" s="57" t="s">
        <v>1318</v>
      </c>
      <c r="B23" s="57" t="s">
        <v>240</v>
      </c>
      <c r="C23" s="57">
        <v>2026</v>
      </c>
      <c r="D23" s="58">
        <f>MATCH(B23,{"GENNAIO","FEBBRAIO","MARZO","APRILE","MAGGIO","GIUGNO","LUGLIO","AGOSTO","SETTEMBRE","OTTOBRE","NOVEMBRE","DICEMBRE"},0)</f>
        <v>9</v>
      </c>
      <c r="E23" s="57" t="str">
        <f t="shared" ref="E23" si="39">CONCATENATE(,B23," ",C23)</f>
        <v>SETTEMBRE 2026</v>
      </c>
      <c r="F23" s="57" t="str">
        <f t="shared" ref="F23" si="40">CONCATENATE(D23," ",E23)</f>
        <v>9 SETTEMBRE 2026</v>
      </c>
      <c r="G23" s="1309" t="s">
        <v>91</v>
      </c>
      <c r="H23" s="1309" t="str">
        <f>VLOOKUP(G23,CATEGORIE!$H$3:$I$55,2,FALSE)</f>
        <v>COSTO SOPRAVVIVENZA</v>
      </c>
      <c r="I23" s="59">
        <v>5</v>
      </c>
      <c r="J23" s="940"/>
      <c r="K23" s="59"/>
      <c r="L23" s="59"/>
    </row>
    <row r="24" spans="1:12">
      <c r="A24" s="57" t="s">
        <v>130</v>
      </c>
      <c r="B24" s="57" t="s">
        <v>240</v>
      </c>
      <c r="C24" s="57">
        <v>2026</v>
      </c>
      <c r="D24" s="58">
        <f>MATCH(B24,{"GENNAIO","FEBBRAIO","MARZO","APRILE","MAGGIO","GIUGNO","LUGLIO","AGOSTO","SETTEMBRE","OTTOBRE","NOVEMBRE","DICEMBRE"},0)</f>
        <v>9</v>
      </c>
      <c r="E24" s="57" t="str">
        <f t="shared" ref="E24" si="41">CONCATENATE(,B24," ",C24)</f>
        <v>SETTEMBRE 2026</v>
      </c>
      <c r="F24" s="57" t="str">
        <f t="shared" ref="F24" si="42">CONCATENATE(D24," ",E24)</f>
        <v>9 SETTEMBRE 2026</v>
      </c>
      <c r="G24" s="1309" t="s">
        <v>94</v>
      </c>
      <c r="H24" s="1309" t="str">
        <f>VLOOKUP(G24,CATEGORIE!$H$3:$I$55,2,FALSE)</f>
        <v>COSTO SVAGHI</v>
      </c>
      <c r="I24" s="59">
        <v>4</v>
      </c>
      <c r="J24" s="940"/>
      <c r="K24" s="59"/>
      <c r="L24" s="59"/>
    </row>
    <row r="25" spans="1:12">
      <c r="A25" s="57" t="s">
        <v>99</v>
      </c>
      <c r="B25" s="57" t="s">
        <v>240</v>
      </c>
      <c r="C25" s="57">
        <v>2026</v>
      </c>
      <c r="D25" s="58">
        <f>MATCH(B25,{"GENNAIO","FEBBRAIO","MARZO","APRILE","MAGGIO","GIUGNO","LUGLIO","AGOSTO","SETTEMBRE","OTTOBRE","NOVEMBRE","DICEMBRE"},0)</f>
        <v>9</v>
      </c>
      <c r="E25" s="57" t="str">
        <f>CONCATENATE(,B25," ",C25)</f>
        <v>SETTEMBRE 2026</v>
      </c>
      <c r="F25" s="57" t="str">
        <f>CONCATENATE(D25," ",E25)</f>
        <v>9 SETTEMBRE 2026</v>
      </c>
      <c r="G25" s="1309" t="s">
        <v>132</v>
      </c>
      <c r="H25" s="1309" t="str">
        <f>VLOOKUP(G25,CATEGORIE!$H$3:$I$55,2,FALSE)</f>
        <v>COSTO CASA</v>
      </c>
      <c r="I25" s="59">
        <v>75.900000000000006</v>
      </c>
      <c r="J25" s="940"/>
      <c r="K25" s="59"/>
      <c r="L25" s="59" t="s">
        <v>1381</v>
      </c>
    </row>
    <row r="26" spans="1:12">
      <c r="A26" s="57" t="s">
        <v>99</v>
      </c>
      <c r="B26" s="57" t="s">
        <v>240</v>
      </c>
      <c r="C26" s="57">
        <v>2026</v>
      </c>
      <c r="D26" s="58">
        <f>MATCH(B26,{"GENNAIO","FEBBRAIO","MARZO","APRILE","MAGGIO","GIUGNO","LUGLIO","AGOSTO","SETTEMBRE","OTTOBRE","NOVEMBRE","DICEMBRE"},0)</f>
        <v>9</v>
      </c>
      <c r="E26" s="57" t="str">
        <f t="shared" ref="E26" si="43">CONCATENATE(,B26," ",C26)</f>
        <v>SETTEMBRE 2026</v>
      </c>
      <c r="F26" s="57" t="str">
        <f t="shared" ref="F26" si="44">CONCATENATE(D26," ",E26)</f>
        <v>9 SETTEMBRE 2026</v>
      </c>
      <c r="G26" s="1309" t="s">
        <v>100</v>
      </c>
      <c r="H26" s="1309" t="str">
        <f>VLOOKUP(G26,CATEGORIE!$H$3:$I$55,2,FALSE)</f>
        <v>COSTO SFIZI</v>
      </c>
      <c r="I26" s="59">
        <v>21.99</v>
      </c>
      <c r="J26" s="940"/>
      <c r="K26" s="59"/>
      <c r="L26" s="59" t="s">
        <v>1385</v>
      </c>
    </row>
    <row r="27" spans="1:12">
      <c r="A27" s="57" t="s">
        <v>99</v>
      </c>
      <c r="B27" s="57" t="s">
        <v>240</v>
      </c>
      <c r="C27" s="57">
        <v>2026</v>
      </c>
      <c r="D27" s="58">
        <f>MATCH(B27,{"GENNAIO","FEBBRAIO","MARZO","APRILE","MAGGIO","GIUGNO","LUGLIO","AGOSTO","SETTEMBRE","OTTOBRE","NOVEMBRE","DICEMBRE"},0)</f>
        <v>9</v>
      </c>
      <c r="E27" s="57" t="str">
        <f t="shared" ref="E27" si="45">CONCATENATE(,B27," ",C27)</f>
        <v>SETTEMBRE 2026</v>
      </c>
      <c r="F27" s="57" t="str">
        <f t="shared" ref="F27" si="46">CONCATENATE(D27," ",E27)</f>
        <v>9 SETTEMBRE 2026</v>
      </c>
      <c r="G27" s="1309" t="s">
        <v>100</v>
      </c>
      <c r="H27" s="1309" t="str">
        <f>VLOOKUP(G27,CATEGORIE!$H$3:$I$55,2,FALSE)</f>
        <v>COSTO SFIZI</v>
      </c>
      <c r="I27" s="59">
        <v>19.989999999999998</v>
      </c>
      <c r="J27" s="940"/>
      <c r="K27" s="59"/>
      <c r="L27" s="59" t="s">
        <v>1381</v>
      </c>
    </row>
    <row r="28" spans="1:12">
      <c r="A28" s="57" t="s">
        <v>99</v>
      </c>
      <c r="B28" s="57" t="s">
        <v>240</v>
      </c>
      <c r="C28" s="57">
        <v>2026</v>
      </c>
      <c r="D28" s="58">
        <f>MATCH(B28,{"GENNAIO","FEBBRAIO","MARZO","APRILE","MAGGIO","GIUGNO","LUGLIO","AGOSTO","SETTEMBRE","OTTOBRE","NOVEMBRE","DICEMBRE"},0)</f>
        <v>9</v>
      </c>
      <c r="E28" s="57" t="str">
        <f t="shared" ref="E28" si="47">CONCATENATE(,B28," ",C28)</f>
        <v>SETTEMBRE 2026</v>
      </c>
      <c r="F28" s="57" t="str">
        <f t="shared" ref="F28" si="48">CONCATENATE(D28," ",E28)</f>
        <v>9 SETTEMBRE 2026</v>
      </c>
      <c r="G28" s="1309" t="s">
        <v>100</v>
      </c>
      <c r="H28" s="1309" t="str">
        <f>VLOOKUP(G28,CATEGORIE!$H$3:$I$55,2,FALSE)</f>
        <v>COSTO SFIZI</v>
      </c>
      <c r="I28" s="59">
        <v>23.99</v>
      </c>
      <c r="J28" s="940"/>
      <c r="K28" s="59"/>
      <c r="L28" s="59" t="s">
        <v>1381</v>
      </c>
    </row>
    <row r="29" spans="1:12">
      <c r="A29" s="57" t="s">
        <v>99</v>
      </c>
      <c r="B29" s="57" t="s">
        <v>240</v>
      </c>
      <c r="C29" s="57">
        <v>2026</v>
      </c>
      <c r="D29" s="58">
        <f>MATCH(B29,{"GENNAIO","FEBBRAIO","MARZO","APRILE","MAGGIO","GIUGNO","LUGLIO","AGOSTO","SETTEMBRE","OTTOBRE","NOVEMBRE","DICEMBRE"},0)</f>
        <v>9</v>
      </c>
      <c r="E29" s="57" t="str">
        <f t="shared" ref="E29" si="49">CONCATENATE(,B29," ",C29)</f>
        <v>SETTEMBRE 2026</v>
      </c>
      <c r="F29" s="57" t="str">
        <f t="shared" ref="F29" si="50">CONCATENATE(D29," ",E29)</f>
        <v>9 SETTEMBRE 2026</v>
      </c>
      <c r="G29" s="1309" t="s">
        <v>100</v>
      </c>
      <c r="H29" s="1309" t="str">
        <f>VLOOKUP(G29,CATEGORIE!$H$3:$I$55,2,FALSE)</f>
        <v>COSTO SFIZI</v>
      </c>
      <c r="I29" s="59">
        <v>19.5</v>
      </c>
      <c r="J29" s="940"/>
      <c r="K29" s="59"/>
      <c r="L29" s="59"/>
    </row>
    <row r="30" spans="1:12">
      <c r="A30" s="57" t="s">
        <v>97</v>
      </c>
      <c r="B30" s="57" t="s">
        <v>240</v>
      </c>
      <c r="C30" s="57">
        <v>2026</v>
      </c>
      <c r="D30" s="58">
        <f>MATCH(B30,{"GENNAIO","FEBBRAIO","MARZO","APRILE","MAGGIO","GIUGNO","LUGLIO","AGOSTO","SETTEMBRE","OTTOBRE","NOVEMBRE","DICEMBRE"},0)</f>
        <v>9</v>
      </c>
      <c r="E30" s="57" t="str">
        <f t="shared" ref="E30" si="51">CONCATENATE(,B30," ",C30)</f>
        <v>SETTEMBRE 2026</v>
      </c>
      <c r="F30" s="57" t="str">
        <f t="shared" ref="F30" si="52">CONCATENATE(D30," ",E30)</f>
        <v>9 SETTEMBRE 2026</v>
      </c>
      <c r="G30" s="1309" t="s">
        <v>789</v>
      </c>
      <c r="H30" s="1309" t="str">
        <f>VLOOKUP(G30,CATEGORIE!$H$3:$I$55,2,FALSE)</f>
        <v>MOVIMENTI CONTO</v>
      </c>
      <c r="I30" s="59">
        <v>600</v>
      </c>
      <c r="J30" s="940"/>
      <c r="K30" s="59" t="s">
        <v>97</v>
      </c>
      <c r="L30" s="59"/>
    </row>
    <row r="31" spans="1:12">
      <c r="A31" s="57" t="s">
        <v>1350</v>
      </c>
      <c r="B31" s="57" t="s">
        <v>240</v>
      </c>
      <c r="C31" s="57">
        <v>2026</v>
      </c>
      <c r="D31" s="58">
        <f>MATCH(B31,{"GENNAIO","FEBBRAIO","MARZO","APRILE","MAGGIO","GIUGNO","LUGLIO","AGOSTO","SETTEMBRE","OTTOBRE","NOVEMBRE","DICEMBRE"},0)</f>
        <v>9</v>
      </c>
      <c r="E31" s="57" t="str">
        <f t="shared" ref="E31" si="53">CONCATENATE(,B31," ",C31)</f>
        <v>SETTEMBRE 2026</v>
      </c>
      <c r="F31" s="57" t="str">
        <f t="shared" ref="F31" si="54">CONCATENATE(D31," ",E31)</f>
        <v>9 SETTEMBRE 2026</v>
      </c>
      <c r="G31" s="1309" t="s">
        <v>132</v>
      </c>
      <c r="H31" s="1309" t="str">
        <f>VLOOKUP(G31,CATEGORIE!$H$3:$I$55,2,FALSE)</f>
        <v>COSTO CASA</v>
      </c>
      <c r="I31" s="59">
        <v>21.23</v>
      </c>
      <c r="J31" s="940"/>
      <c r="K31" s="59"/>
      <c r="L31" s="59" t="s">
        <v>892</v>
      </c>
    </row>
    <row r="32" spans="1:12">
      <c r="A32" s="57" t="s">
        <v>104</v>
      </c>
      <c r="B32" s="57" t="s">
        <v>240</v>
      </c>
      <c r="C32" s="57">
        <v>2026</v>
      </c>
      <c r="D32" s="58">
        <f>MATCH(B32,{"GENNAIO","FEBBRAIO","MARZO","APRILE","MAGGIO","GIUGNO","LUGLIO","AGOSTO","SETTEMBRE","OTTOBRE","NOVEMBRE","DICEMBRE"},0)</f>
        <v>9</v>
      </c>
      <c r="E32" s="57" t="str">
        <f t="shared" ref="E32" si="55">CONCATENATE(,B32," ",C32)</f>
        <v>SETTEMBRE 2026</v>
      </c>
      <c r="F32" s="57" t="str">
        <f t="shared" ref="F32" si="56">CONCATENATE(D32," ",E32)</f>
        <v>9 SETTEMBRE 2026</v>
      </c>
      <c r="G32" s="1309" t="s">
        <v>94</v>
      </c>
      <c r="H32" s="1309" t="str">
        <f>VLOOKUP(G32,CATEGORIE!$H$3:$I$55,2,FALSE)</f>
        <v>COSTO SVAGHI</v>
      </c>
      <c r="I32" s="59">
        <v>39</v>
      </c>
      <c r="J32" s="57"/>
      <c r="K32" s="57"/>
      <c r="L32" s="59"/>
    </row>
    <row r="33" spans="1:12">
      <c r="A33" s="57" t="s">
        <v>102</v>
      </c>
      <c r="B33" s="57" t="s">
        <v>240</v>
      </c>
      <c r="C33" s="57">
        <v>2026</v>
      </c>
      <c r="D33" s="58">
        <f>MATCH(B33,{"GENNAIO","FEBBRAIO","MARZO","APRILE","MAGGIO","GIUGNO","LUGLIO","AGOSTO","SETTEMBRE","OTTOBRE","NOVEMBRE","DICEMBRE"},0)</f>
        <v>9</v>
      </c>
      <c r="E33" s="57" t="str">
        <f t="shared" ref="E33" si="57">CONCATENATE(,B33," ",C33)</f>
        <v>SETTEMBRE 2026</v>
      </c>
      <c r="F33" s="57" t="str">
        <f t="shared" ref="F33" si="58">CONCATENATE(D33," ",E33)</f>
        <v>9 SETTEMBRE 2026</v>
      </c>
      <c r="G33" s="1309" t="s">
        <v>96</v>
      </c>
      <c r="H33" s="1309" t="str">
        <f>VLOOKUP(G33,CATEGORIE!$H$3:$I$55,2,FALSE)</f>
        <v>COSTO SOPRAVVIVENZA</v>
      </c>
      <c r="I33" s="59">
        <v>36.04</v>
      </c>
      <c r="J33" s="940"/>
      <c r="K33" s="59"/>
      <c r="L33" s="59"/>
    </row>
    <row r="34" spans="1:12">
      <c r="A34" s="57" t="s">
        <v>99</v>
      </c>
      <c r="B34" s="57" t="s">
        <v>240</v>
      </c>
      <c r="C34" s="57">
        <v>2026</v>
      </c>
      <c r="D34" s="58">
        <f>MATCH(B34,{"GENNAIO","FEBBRAIO","MARZO","APRILE","MAGGIO","GIUGNO","LUGLIO","AGOSTO","SETTEMBRE","OTTOBRE","NOVEMBRE","DICEMBRE"},0)</f>
        <v>9</v>
      </c>
      <c r="E34" s="57" t="str">
        <f t="shared" ref="E34" si="59">CONCATENATE(,B34," ",C34)</f>
        <v>SETTEMBRE 2026</v>
      </c>
      <c r="F34" s="57" t="str">
        <f t="shared" ref="F34" si="60">CONCATENATE(D34," ",E34)</f>
        <v>9 SETTEMBRE 2026</v>
      </c>
      <c r="G34" s="1309" t="s">
        <v>100</v>
      </c>
      <c r="H34" s="1309" t="str">
        <f>VLOOKUP(G34,CATEGORIE!$H$3:$I$55,2,FALSE)</f>
        <v>COSTO SFIZI</v>
      </c>
      <c r="I34" s="59">
        <v>73.8</v>
      </c>
      <c r="J34" s="940" t="s">
        <v>151</v>
      </c>
      <c r="K34" s="59" t="s">
        <v>99</v>
      </c>
      <c r="L34" s="59" t="s">
        <v>1317</v>
      </c>
    </row>
    <row r="35" spans="1:12">
      <c r="A35" s="57" t="s">
        <v>99</v>
      </c>
      <c r="B35" s="57" t="s">
        <v>240</v>
      </c>
      <c r="C35" s="57">
        <v>2026</v>
      </c>
      <c r="D35" s="58">
        <f>MATCH(B35,{"GENNAIO","FEBBRAIO","MARZO","APRILE","MAGGIO","GIUGNO","LUGLIO","AGOSTO","SETTEMBRE","OTTOBRE","NOVEMBRE","DICEMBRE"},0)</f>
        <v>9</v>
      </c>
      <c r="E35" s="57" t="str">
        <f t="shared" ref="E35" si="61">CONCATENATE(,B35," ",C35)</f>
        <v>SETTEMBRE 2026</v>
      </c>
      <c r="F35" s="57" t="str">
        <f t="shared" ref="F35" si="62">CONCATENATE(D35," ",E35)</f>
        <v>9 SETTEMBRE 2026</v>
      </c>
      <c r="G35" s="1309" t="s">
        <v>100</v>
      </c>
      <c r="H35" s="1309" t="str">
        <f>VLOOKUP(G35,CATEGORIE!$H$3:$I$55,2,FALSE)</f>
        <v>COSTO SFIZI</v>
      </c>
      <c r="I35" s="59">
        <v>45.75</v>
      </c>
      <c r="J35" s="940" t="s">
        <v>197</v>
      </c>
      <c r="K35" s="59" t="s">
        <v>99</v>
      </c>
      <c r="L35" s="59" t="s">
        <v>1344</v>
      </c>
    </row>
    <row r="36" spans="1:12">
      <c r="A36" s="57" t="s">
        <v>99</v>
      </c>
      <c r="B36" s="57" t="s">
        <v>240</v>
      </c>
      <c r="C36" s="57">
        <v>2026</v>
      </c>
      <c r="D36" s="58">
        <f>MATCH(B36,{"GENNAIO","FEBBRAIO","MARZO","APRILE","MAGGIO","GIUGNO","LUGLIO","AGOSTO","SETTEMBRE","OTTOBRE","NOVEMBRE","DICEMBRE"},0)</f>
        <v>9</v>
      </c>
      <c r="E36" s="57" t="str">
        <f t="shared" ref="E36" si="63">CONCATENATE(,B36," ",C36)</f>
        <v>SETTEMBRE 2026</v>
      </c>
      <c r="F36" s="57" t="str">
        <f t="shared" ref="F36" si="64">CONCATENATE(D36," ",E36)</f>
        <v>9 SETTEMBRE 2026</v>
      </c>
      <c r="G36" s="1309" t="s">
        <v>132</v>
      </c>
      <c r="H36" s="1309" t="str">
        <f>VLOOKUP(G36,CATEGORIE!$H$3:$I$55,2,FALSE)</f>
        <v>COSTO CASA</v>
      </c>
      <c r="I36" s="59">
        <v>23.9</v>
      </c>
      <c r="J36" s="940"/>
      <c r="K36" s="59"/>
      <c r="L36" s="59"/>
    </row>
    <row r="37" spans="1:12">
      <c r="A37" s="57" t="s">
        <v>97</v>
      </c>
      <c r="B37" s="57" t="s">
        <v>240</v>
      </c>
      <c r="C37" s="57">
        <v>2026</v>
      </c>
      <c r="D37" s="58">
        <f>MATCH(B37,{"GENNAIO","FEBBRAIO","MARZO","APRILE","MAGGIO","GIUGNO","LUGLIO","AGOSTO","SETTEMBRE","OTTOBRE","NOVEMBRE","DICEMBRE"},0)</f>
        <v>9</v>
      </c>
      <c r="E37" s="57" t="str">
        <f t="shared" ref="E37" si="65">CONCATENATE(,B37," ",C37)</f>
        <v>SETTEMBRE 2026</v>
      </c>
      <c r="F37" s="57" t="str">
        <f t="shared" ref="F37" si="66">CONCATENATE(D37," ",E37)</f>
        <v>9 SETTEMBRE 2026</v>
      </c>
      <c r="G37" s="1309" t="s">
        <v>789</v>
      </c>
      <c r="H37" s="1309" t="str">
        <f>VLOOKUP(G37,CATEGORIE!$H$3:$I$55,2,FALSE)</f>
        <v>MOVIMENTI CONTO</v>
      </c>
      <c r="I37" s="59">
        <v>300</v>
      </c>
      <c r="J37" s="940"/>
      <c r="K37" s="59" t="s">
        <v>97</v>
      </c>
      <c r="L37" s="59"/>
    </row>
    <row r="38" spans="1:12">
      <c r="A38" s="57" t="s">
        <v>99</v>
      </c>
      <c r="B38" s="57" t="s">
        <v>240</v>
      </c>
      <c r="C38" s="57">
        <v>2026</v>
      </c>
      <c r="D38" s="58">
        <f>MATCH(B38,{"GENNAIO","FEBBRAIO","MARZO","APRILE","MAGGIO","GIUGNO","LUGLIO","AGOSTO","SETTEMBRE","OTTOBRE","NOVEMBRE","DICEMBRE"},0)</f>
        <v>9</v>
      </c>
      <c r="E38" s="57" t="str">
        <f t="shared" ref="E38" si="67">CONCATENATE(,B38," ",C38)</f>
        <v>SETTEMBRE 2026</v>
      </c>
      <c r="F38" s="57" t="str">
        <f t="shared" ref="F38" si="68">CONCATENATE(D38," ",E38)</f>
        <v>9 SETTEMBRE 2026</v>
      </c>
      <c r="G38" s="1309" t="s">
        <v>132</v>
      </c>
      <c r="H38" s="1309" t="str">
        <f>VLOOKUP(G38,CATEGORIE!$H$3:$I$55,2,FALSE)</f>
        <v>COSTO CASA</v>
      </c>
      <c r="I38" s="59">
        <v>56.9</v>
      </c>
      <c r="J38" s="940"/>
      <c r="K38" s="59"/>
      <c r="L38" s="59" t="s">
        <v>1381</v>
      </c>
    </row>
    <row r="39" spans="1:12">
      <c r="A39" s="57" t="s">
        <v>338</v>
      </c>
      <c r="B39" s="57" t="s">
        <v>240</v>
      </c>
      <c r="C39" s="57">
        <v>2026</v>
      </c>
      <c r="D39" s="58">
        <f>MATCH(B39,{"GENNAIO","FEBBRAIO","MARZO","APRILE","MAGGIO","GIUGNO","LUGLIO","AGOSTO","SETTEMBRE","OTTOBRE","NOVEMBRE","DICEMBRE"},0)</f>
        <v>9</v>
      </c>
      <c r="E39" s="57" t="str">
        <f t="shared" ref="E39" si="69">CONCATENATE(,B39," ",C39)</f>
        <v>SETTEMBRE 2026</v>
      </c>
      <c r="F39" s="57" t="str">
        <f t="shared" ref="F39" si="70">CONCATENATE(D39," ",E39)</f>
        <v>9 SETTEMBRE 2026</v>
      </c>
      <c r="G39" s="1309" t="s">
        <v>94</v>
      </c>
      <c r="H39" s="1309" t="str">
        <f>VLOOKUP(G39,CATEGORIE!$H$3:$I$55,2,FALSE)</f>
        <v>COSTO SVAGHI</v>
      </c>
      <c r="I39" s="59">
        <v>7</v>
      </c>
      <c r="J39" s="57"/>
      <c r="K39" s="57"/>
      <c r="L39" s="59"/>
    </row>
    <row r="40" spans="1:12">
      <c r="A40" s="57" t="s">
        <v>1318</v>
      </c>
      <c r="B40" s="57" t="s">
        <v>240</v>
      </c>
      <c r="C40" s="57">
        <v>2026</v>
      </c>
      <c r="D40" s="58">
        <f>MATCH(B40,{"GENNAIO","FEBBRAIO","MARZO","APRILE","MAGGIO","GIUGNO","LUGLIO","AGOSTO","SETTEMBRE","OTTOBRE","NOVEMBRE","DICEMBRE"},0)</f>
        <v>9</v>
      </c>
      <c r="E40" s="57" t="str">
        <f t="shared" ref="E40" si="71">CONCATENATE(,B40," ",C40)</f>
        <v>SETTEMBRE 2026</v>
      </c>
      <c r="F40" s="57" t="str">
        <f t="shared" ref="F40" si="72">CONCATENATE(D40," ",E40)</f>
        <v>9 SETTEMBRE 2026</v>
      </c>
      <c r="G40" s="1309" t="s">
        <v>91</v>
      </c>
      <c r="H40" s="1309" t="str">
        <f>VLOOKUP(G40,CATEGORIE!$H$3:$I$55,2,FALSE)</f>
        <v>COSTO SOPRAVVIVENZA</v>
      </c>
      <c r="I40" s="59">
        <v>5</v>
      </c>
      <c r="J40" s="940"/>
      <c r="K40" s="59"/>
      <c r="L40" s="59"/>
    </row>
    <row r="41" spans="1:12">
      <c r="A41" s="57" t="s">
        <v>1325</v>
      </c>
      <c r="B41" s="57" t="s">
        <v>240</v>
      </c>
      <c r="C41" s="57">
        <v>2026</v>
      </c>
      <c r="D41" s="58">
        <f>MATCH(B41,{"GENNAIO","FEBBRAIO","MARZO","APRILE","MAGGIO","GIUGNO","LUGLIO","AGOSTO","SETTEMBRE","OTTOBRE","NOVEMBRE","DICEMBRE"},0)</f>
        <v>9</v>
      </c>
      <c r="E41" s="57" t="str">
        <f t="shared" ref="E41" si="73">CONCATENATE(,B41," ",C41)</f>
        <v>SETTEMBRE 2026</v>
      </c>
      <c r="F41" s="57" t="str">
        <f t="shared" ref="F41" si="74">CONCATENATE(D41," ",E41)</f>
        <v>9 SETTEMBRE 2026</v>
      </c>
      <c r="G41" s="1309" t="s">
        <v>94</v>
      </c>
      <c r="H41" s="1309" t="str">
        <f>VLOOKUP(G41,CATEGORIE!$H$3:$I$55,2,FALSE)</f>
        <v>COSTO SVAGHI</v>
      </c>
      <c r="I41" s="59">
        <v>10.9</v>
      </c>
      <c r="J41" s="57"/>
      <c r="K41" s="57"/>
      <c r="L41" s="59"/>
    </row>
    <row r="42" spans="1:12">
      <c r="A42" s="57" t="s">
        <v>1351</v>
      </c>
      <c r="B42" s="57" t="s">
        <v>261</v>
      </c>
      <c r="C42" s="57">
        <v>2026</v>
      </c>
      <c r="D42" s="58">
        <f>MATCH(B42,{"GENNAIO","FEBBRAIO","MARZO","APRILE","MAGGIO","GIUGNO","LUGLIO","AGOSTO","SETTEMBRE","OTTOBRE","NOVEMBRE","DICEMBRE"},0)</f>
        <v>8</v>
      </c>
      <c r="E42" s="57" t="str">
        <f t="shared" ref="E42" si="75">CONCATENATE(,B42," ",C42)</f>
        <v>AGOSTO 2026</v>
      </c>
      <c r="F42" s="57" t="str">
        <f t="shared" ref="F42" si="76">CONCATENATE(D42," ",E42)</f>
        <v>8 AGOSTO 2026</v>
      </c>
      <c r="G42" s="1309" t="s">
        <v>94</v>
      </c>
      <c r="H42" s="1309" t="str">
        <f>VLOOKUP(G42,CATEGORIE!$H$3:$I$55,2,FALSE)</f>
        <v>COSTO SVAGHI</v>
      </c>
      <c r="I42" s="59">
        <v>5.8</v>
      </c>
      <c r="J42" s="940"/>
      <c r="K42" s="59"/>
      <c r="L42" s="59"/>
    </row>
    <row r="43" spans="1:12">
      <c r="A43" s="57" t="s">
        <v>1318</v>
      </c>
      <c r="B43" s="57" t="s">
        <v>261</v>
      </c>
      <c r="C43" s="57">
        <v>2026</v>
      </c>
      <c r="D43" s="58">
        <f>MATCH(B43,{"GENNAIO","FEBBRAIO","MARZO","APRILE","MAGGIO","GIUGNO","LUGLIO","AGOSTO","SETTEMBRE","OTTOBRE","NOVEMBRE","DICEMBRE"},0)</f>
        <v>8</v>
      </c>
      <c r="E43" s="57" t="str">
        <f t="shared" ref="E43" si="77">CONCATENATE(,B43," ",C43)</f>
        <v>AGOSTO 2026</v>
      </c>
      <c r="F43" s="57" t="str">
        <f t="shared" ref="F43" si="78">CONCATENATE(D43," ",E43)</f>
        <v>8 AGOSTO 2026</v>
      </c>
      <c r="G43" s="1309" t="s">
        <v>91</v>
      </c>
      <c r="H43" s="1309" t="str">
        <f>VLOOKUP(G43,CATEGORIE!$H$3:$I$55,2,FALSE)</f>
        <v>COSTO SOPRAVVIVENZA</v>
      </c>
      <c r="I43" s="59">
        <v>5</v>
      </c>
      <c r="J43" s="940"/>
      <c r="K43" s="59"/>
      <c r="L43" s="59"/>
    </row>
    <row r="44" spans="1:12">
      <c r="A44" s="57" t="s">
        <v>99</v>
      </c>
      <c r="B44" s="57" t="s">
        <v>261</v>
      </c>
      <c r="C44" s="57">
        <v>2026</v>
      </c>
      <c r="D44" s="58">
        <f>MATCH(B44,{"GENNAIO","FEBBRAIO","MARZO","APRILE","MAGGIO","GIUGNO","LUGLIO","AGOSTO","SETTEMBRE","OTTOBRE","NOVEMBRE","DICEMBRE"},0)</f>
        <v>8</v>
      </c>
      <c r="E44" s="57" t="str">
        <f t="shared" ref="E44" si="79">CONCATENATE(,B44," ",C44)</f>
        <v>AGOSTO 2026</v>
      </c>
      <c r="F44" s="57" t="str">
        <f t="shared" ref="F44" si="80">CONCATENATE(D44," ",E44)</f>
        <v>8 AGOSTO 2026</v>
      </c>
      <c r="G44" s="1309" t="s">
        <v>100</v>
      </c>
      <c r="H44" s="1309" t="str">
        <f>VLOOKUP(G44,CATEGORIE!$H$3:$I$55,2,FALSE)</f>
        <v>COSTO SFIZI</v>
      </c>
      <c r="I44" s="59">
        <v>20</v>
      </c>
      <c r="J44" s="940"/>
      <c r="K44" s="59"/>
      <c r="L44" s="59"/>
    </row>
    <row r="45" spans="1:12">
      <c r="A45" s="57" t="s">
        <v>1350</v>
      </c>
      <c r="B45" s="57" t="s">
        <v>261</v>
      </c>
      <c r="C45" s="57">
        <v>2026</v>
      </c>
      <c r="D45" s="58">
        <f>MATCH(B45,{"GENNAIO","FEBBRAIO","MARZO","APRILE","MAGGIO","GIUGNO","LUGLIO","AGOSTO","SETTEMBRE","OTTOBRE","NOVEMBRE","DICEMBRE"},0)</f>
        <v>8</v>
      </c>
      <c r="E45" s="57" t="str">
        <f t="shared" ref="E45" si="81">CONCATENATE(,B45," ",C45)</f>
        <v>AGOSTO 2026</v>
      </c>
      <c r="F45" s="57" t="str">
        <f t="shared" ref="F45" si="82">CONCATENATE(D45," ",E45)</f>
        <v>8 AGOSTO 2026</v>
      </c>
      <c r="G45" s="1309" t="s">
        <v>132</v>
      </c>
      <c r="H45" s="1309" t="str">
        <f>VLOOKUP(G45,CATEGORIE!$H$3:$I$55,2,FALSE)</f>
        <v>COSTO CASA</v>
      </c>
      <c r="I45" s="59">
        <v>92.14</v>
      </c>
      <c r="J45" s="940"/>
      <c r="K45" s="59"/>
      <c r="L45" s="59" t="s">
        <v>911</v>
      </c>
    </row>
    <row r="46" spans="1:12">
      <c r="A46" s="57" t="s">
        <v>99</v>
      </c>
      <c r="B46" s="57" t="s">
        <v>261</v>
      </c>
      <c r="C46" s="57">
        <v>2026</v>
      </c>
      <c r="D46" s="58">
        <f>MATCH(B46,{"GENNAIO","FEBBRAIO","MARZO","APRILE","MAGGIO","GIUGNO","LUGLIO","AGOSTO","SETTEMBRE","OTTOBRE","NOVEMBRE","DICEMBRE"},0)</f>
        <v>8</v>
      </c>
      <c r="E46" s="57" t="str">
        <f t="shared" ref="E46" si="83">CONCATENATE(,B46," ",C46)</f>
        <v>AGOSTO 2026</v>
      </c>
      <c r="F46" s="57" t="str">
        <f t="shared" ref="F46" si="84">CONCATENATE(D46," ",E46)</f>
        <v>8 AGOSTO 2026</v>
      </c>
      <c r="G46" s="1309" t="s">
        <v>100</v>
      </c>
      <c r="H46" s="1309" t="str">
        <f>VLOOKUP(G46,CATEGORIE!$H$3:$I$55,2,FALSE)</f>
        <v>COSTO SFIZI</v>
      </c>
      <c r="I46" s="59">
        <v>10.99</v>
      </c>
      <c r="J46" s="940"/>
      <c r="K46" s="59"/>
      <c r="L46" s="59"/>
    </row>
    <row r="47" spans="1:12">
      <c r="A47" s="57" t="s">
        <v>120</v>
      </c>
      <c r="B47" s="57" t="s">
        <v>261</v>
      </c>
      <c r="C47" s="57">
        <v>2026</v>
      </c>
      <c r="D47" s="58">
        <f>MATCH(B47,{"GENNAIO","FEBBRAIO","MARZO","APRILE","MAGGIO","GIUGNO","LUGLIO","AGOSTO","SETTEMBRE","OTTOBRE","NOVEMBRE","DICEMBRE"},0)</f>
        <v>8</v>
      </c>
      <c r="E47" s="57" t="str">
        <f t="shared" ref="E47" si="85">CONCATENATE(,B47," ",C47)</f>
        <v>AGOSTO 2026</v>
      </c>
      <c r="F47" s="57" t="str">
        <f t="shared" ref="F47" si="86">CONCATENATE(D47," ",E47)</f>
        <v>8 AGOSTO 2026</v>
      </c>
      <c r="G47" s="1309" t="s">
        <v>121</v>
      </c>
      <c r="H47" s="1309" t="str">
        <f>VLOOKUP(G47,CATEGORIE!$H$3:$I$55,2,FALSE)</f>
        <v>COSTO MOBILITA'</v>
      </c>
      <c r="I47" s="59">
        <v>12</v>
      </c>
      <c r="J47" s="940"/>
      <c r="K47" s="59"/>
      <c r="L47" s="59"/>
    </row>
    <row r="48" spans="1:12">
      <c r="A48" s="57" t="s">
        <v>102</v>
      </c>
      <c r="B48" s="57" t="s">
        <v>261</v>
      </c>
      <c r="C48" s="57">
        <v>2026</v>
      </c>
      <c r="D48" s="58">
        <f>MATCH(B48,{"GENNAIO","FEBBRAIO","MARZO","APRILE","MAGGIO","GIUGNO","LUGLIO","AGOSTO","SETTEMBRE","OTTOBRE","NOVEMBRE","DICEMBRE"},0)</f>
        <v>8</v>
      </c>
      <c r="E48" s="57" t="str">
        <f t="shared" ref="E48" si="87">CONCATENATE(,B48," ",C48)</f>
        <v>AGOSTO 2026</v>
      </c>
      <c r="F48" s="57" t="str">
        <f t="shared" ref="F48" si="88">CONCATENATE(D48," ",E48)</f>
        <v>8 AGOSTO 2026</v>
      </c>
      <c r="G48" s="1309" t="s">
        <v>96</v>
      </c>
      <c r="H48" s="1309" t="str">
        <f>VLOOKUP(G48,CATEGORIE!$H$3:$I$55,2,FALSE)</f>
        <v>COSTO SOPRAVVIVENZA</v>
      </c>
      <c r="I48" s="59">
        <v>5.73</v>
      </c>
      <c r="J48" s="940"/>
      <c r="K48" s="59"/>
      <c r="L48" s="59"/>
    </row>
    <row r="49" spans="1:12">
      <c r="A49" s="57" t="s">
        <v>1323</v>
      </c>
      <c r="B49" s="57" t="s">
        <v>261</v>
      </c>
      <c r="C49" s="57">
        <v>2026</v>
      </c>
      <c r="D49" s="58">
        <f>MATCH(B49,{"GENNAIO","FEBBRAIO","MARZO","APRILE","MAGGIO","GIUGNO","LUGLIO","AGOSTO","SETTEMBRE","OTTOBRE","NOVEMBRE","DICEMBRE"},0)</f>
        <v>8</v>
      </c>
      <c r="E49" s="57" t="str">
        <f t="shared" ref="E49" si="89">CONCATENATE(,B49," ",C49)</f>
        <v>AGOSTO 2026</v>
      </c>
      <c r="F49" s="57" t="str">
        <f t="shared" ref="F49:F50" si="90">CONCATENATE(D49," ",E49)</f>
        <v>8 AGOSTO 2026</v>
      </c>
      <c r="G49" s="1309" t="s">
        <v>132</v>
      </c>
      <c r="H49" s="1309" t="str">
        <f>VLOOKUP(G49,CATEGORIE!$H$3:$I$55,2,FALSE)</f>
        <v>COSTO CASA</v>
      </c>
      <c r="I49" s="59">
        <v>1.8</v>
      </c>
      <c r="J49" s="940"/>
      <c r="K49" s="59"/>
      <c r="L49" s="59"/>
    </row>
    <row r="50" spans="1:12">
      <c r="A50" s="57" t="s">
        <v>1371</v>
      </c>
      <c r="B50" s="57" t="s">
        <v>261</v>
      </c>
      <c r="C50" s="57">
        <v>2026</v>
      </c>
      <c r="D50" s="58">
        <f>MATCH(B50,{"GENNAIO","FEBBRAIO","MARZO","APRILE","MAGGIO","GIUGNO","LUGLIO","AGOSTO","SETTEMBRE","OTTOBRE","NOVEMBRE","DICEMBRE"},0)</f>
        <v>8</v>
      </c>
      <c r="E50" s="57" t="str">
        <f t="shared" ref="E50" si="91">CONCATENATE(,B50," ",C50)</f>
        <v>AGOSTO 2026</v>
      </c>
      <c r="F50" s="57" t="str">
        <f t="shared" si="90"/>
        <v>8 AGOSTO 2026</v>
      </c>
      <c r="G50" s="1309" t="s">
        <v>111</v>
      </c>
      <c r="H50" s="1309" t="str">
        <f>VLOOKUP(G50,CATEGORIE!$H$3:$I$55,2,FALSE)</f>
        <v>COSTO MOBILITA'</v>
      </c>
      <c r="I50" s="59">
        <v>0.95</v>
      </c>
      <c r="J50" s="940"/>
      <c r="K50" s="59"/>
      <c r="L50" s="59"/>
    </row>
    <row r="51" spans="1:12">
      <c r="A51" s="57" t="s">
        <v>1370</v>
      </c>
      <c r="B51" s="57" t="s">
        <v>261</v>
      </c>
      <c r="C51" s="57">
        <v>2026</v>
      </c>
      <c r="D51" s="58">
        <f>MATCH(B51,{"GENNAIO","FEBBRAIO","MARZO","APRILE","MAGGIO","GIUGNO","LUGLIO","AGOSTO","SETTEMBRE","OTTOBRE","NOVEMBRE","DICEMBRE"},0)</f>
        <v>8</v>
      </c>
      <c r="E51" s="57" t="str">
        <f t="shared" ref="E51" si="92">CONCATENATE(,B51," ",C51)</f>
        <v>AGOSTO 2026</v>
      </c>
      <c r="F51" s="57" t="str">
        <f t="shared" ref="F51" si="93">CONCATENATE(D51," ",E51)</f>
        <v>8 AGOSTO 2026</v>
      </c>
      <c r="G51" s="1309" t="s">
        <v>94</v>
      </c>
      <c r="H51" s="1309" t="str">
        <f>VLOOKUP(G51,CATEGORIE!$H$3:$I$55,2,FALSE)</f>
        <v>COSTO SVAGHI</v>
      </c>
      <c r="I51" s="59">
        <v>12.5</v>
      </c>
      <c r="J51" s="940"/>
      <c r="K51" s="59"/>
      <c r="L51" s="59" t="s">
        <v>1358</v>
      </c>
    </row>
    <row r="52" spans="1:12">
      <c r="A52" s="57" t="s">
        <v>1369</v>
      </c>
      <c r="B52" s="57" t="s">
        <v>261</v>
      </c>
      <c r="C52" s="57">
        <v>2026</v>
      </c>
      <c r="D52" s="58">
        <f>MATCH(B52,{"GENNAIO","FEBBRAIO","MARZO","APRILE","MAGGIO","GIUGNO","LUGLIO","AGOSTO","SETTEMBRE","OTTOBRE","NOVEMBRE","DICEMBRE"},0)</f>
        <v>8</v>
      </c>
      <c r="E52" s="57" t="str">
        <f t="shared" ref="E52" si="94">CONCATENATE(,B52," ",C52)</f>
        <v>AGOSTO 2026</v>
      </c>
      <c r="F52" s="57" t="str">
        <f t="shared" ref="F52" si="95">CONCATENATE(D52," ",E52)</f>
        <v>8 AGOSTO 2026</v>
      </c>
      <c r="G52" s="1309" t="s">
        <v>94</v>
      </c>
      <c r="H52" s="1309" t="str">
        <f>VLOOKUP(G52,CATEGORIE!$H$3:$I$55,2,FALSE)</f>
        <v>COSTO SVAGHI</v>
      </c>
      <c r="I52" s="59">
        <v>9.6</v>
      </c>
      <c r="J52" s="940"/>
      <c r="K52" s="59"/>
      <c r="L52" s="59" t="s">
        <v>1358</v>
      </c>
    </row>
    <row r="53" spans="1:12" ht="14.25" customHeight="1">
      <c r="A53" s="57" t="s">
        <v>1368</v>
      </c>
      <c r="B53" s="57" t="s">
        <v>261</v>
      </c>
      <c r="C53" s="57">
        <v>2026</v>
      </c>
      <c r="D53" s="58">
        <f>MATCH(B53,{"GENNAIO","FEBBRAIO","MARZO","APRILE","MAGGIO","GIUGNO","LUGLIO","AGOSTO","SETTEMBRE","OTTOBRE","NOVEMBRE","DICEMBRE"},0)</f>
        <v>8</v>
      </c>
      <c r="E53" s="57" t="str">
        <f t="shared" ref="E53" si="96">CONCATENATE(,B53," ",C53)</f>
        <v>AGOSTO 2026</v>
      </c>
      <c r="F53" s="57" t="str">
        <f t="shared" ref="F53" si="97">CONCATENATE(D53," ",E53)</f>
        <v>8 AGOSTO 2026</v>
      </c>
      <c r="G53" s="1309" t="s">
        <v>185</v>
      </c>
      <c r="H53" s="1309" t="str">
        <f>VLOOKUP(G53,CATEGORIE!$H$3:$I$55,2,FALSE)</f>
        <v>COSTO SFIZI</v>
      </c>
      <c r="I53" s="59">
        <v>8.5</v>
      </c>
      <c r="J53" s="940"/>
      <c r="K53" s="59"/>
      <c r="L53" s="59" t="s">
        <v>1358</v>
      </c>
    </row>
    <row r="54" spans="1:12" ht="14.25" customHeight="1">
      <c r="A54" s="57" t="s">
        <v>1367</v>
      </c>
      <c r="B54" s="57" t="s">
        <v>261</v>
      </c>
      <c r="C54" s="57">
        <v>2026</v>
      </c>
      <c r="D54" s="58">
        <f>MATCH(B54,{"GENNAIO","FEBBRAIO","MARZO","APRILE","MAGGIO","GIUGNO","LUGLIO","AGOSTO","SETTEMBRE","OTTOBRE","NOVEMBRE","DICEMBRE"},0)</f>
        <v>8</v>
      </c>
      <c r="E54" s="57" t="str">
        <f t="shared" ref="E54" si="98">CONCATENATE(,B54," ",C54)</f>
        <v>AGOSTO 2026</v>
      </c>
      <c r="F54" s="57" t="str">
        <f t="shared" ref="F54" si="99">CONCATENATE(D54," ",E54)</f>
        <v>8 AGOSTO 2026</v>
      </c>
      <c r="G54" s="1309" t="s">
        <v>185</v>
      </c>
      <c r="H54" s="1309" t="str">
        <f>VLOOKUP(G54,CATEGORIE!$H$3:$I$55,2,FALSE)</f>
        <v>COSTO SFIZI</v>
      </c>
      <c r="I54" s="59">
        <v>10.5</v>
      </c>
      <c r="J54" s="940"/>
      <c r="K54" s="59"/>
      <c r="L54" s="59" t="s">
        <v>1358</v>
      </c>
    </row>
    <row r="55" spans="1:12">
      <c r="A55" s="57" t="s">
        <v>1366</v>
      </c>
      <c r="B55" s="57" t="s">
        <v>261</v>
      </c>
      <c r="C55" s="57">
        <v>2026</v>
      </c>
      <c r="D55" s="58">
        <f>MATCH(B55,{"GENNAIO","FEBBRAIO","MARZO","APRILE","MAGGIO","GIUGNO","LUGLIO","AGOSTO","SETTEMBRE","OTTOBRE","NOVEMBRE","DICEMBRE"},0)</f>
        <v>8</v>
      </c>
      <c r="E55" s="57" t="str">
        <f t="shared" ref="E55" si="100">CONCATENATE(,B55," ",C55)</f>
        <v>AGOSTO 2026</v>
      </c>
      <c r="F55" s="57" t="str">
        <f t="shared" ref="F55" si="101">CONCATENATE(D55," ",E55)</f>
        <v>8 AGOSTO 2026</v>
      </c>
      <c r="G55" s="1309" t="s">
        <v>94</v>
      </c>
      <c r="H55" s="1309" t="str">
        <f>VLOOKUP(G55,CATEGORIE!$H$3:$I$55,2,FALSE)</f>
        <v>COSTO SVAGHI</v>
      </c>
      <c r="I55" s="59">
        <v>20</v>
      </c>
      <c r="J55" s="940"/>
      <c r="K55" s="59"/>
      <c r="L55" s="59" t="s">
        <v>1358</v>
      </c>
    </row>
    <row r="56" spans="1:12">
      <c r="A56" s="57" t="s">
        <v>1365</v>
      </c>
      <c r="B56" s="57" t="s">
        <v>261</v>
      </c>
      <c r="C56" s="57">
        <v>2026</v>
      </c>
      <c r="D56" s="58">
        <f>MATCH(B56,{"GENNAIO","FEBBRAIO","MARZO","APRILE","MAGGIO","GIUGNO","LUGLIO","AGOSTO","SETTEMBRE","OTTOBRE","NOVEMBRE","DICEMBRE"},0)</f>
        <v>8</v>
      </c>
      <c r="E56" s="57" t="str">
        <f t="shared" ref="E56" si="102">CONCATENATE(,B56," ",C56)</f>
        <v>AGOSTO 2026</v>
      </c>
      <c r="F56" s="57" t="str">
        <f t="shared" ref="F56" si="103">CONCATENATE(D56," ",E56)</f>
        <v>8 AGOSTO 2026</v>
      </c>
      <c r="G56" s="1309" t="s">
        <v>94</v>
      </c>
      <c r="H56" s="1309" t="str">
        <f>VLOOKUP(G56,CATEGORIE!$H$3:$I$55,2,FALSE)</f>
        <v>COSTO SVAGHI</v>
      </c>
      <c r="I56" s="59">
        <v>44</v>
      </c>
      <c r="J56" s="940"/>
      <c r="K56" s="59"/>
      <c r="L56" s="59" t="s">
        <v>1358</v>
      </c>
    </row>
    <row r="57" spans="1:12">
      <c r="A57" s="57" t="s">
        <v>1364</v>
      </c>
      <c r="B57" s="57" t="s">
        <v>261</v>
      </c>
      <c r="C57" s="57">
        <v>2026</v>
      </c>
      <c r="D57" s="58">
        <f>MATCH(B57,{"GENNAIO","FEBBRAIO","MARZO","APRILE","MAGGIO","GIUGNO","LUGLIO","AGOSTO","SETTEMBRE","OTTOBRE","NOVEMBRE","DICEMBRE"},0)</f>
        <v>8</v>
      </c>
      <c r="E57" s="57" t="str">
        <f t="shared" ref="E57" si="104">CONCATENATE(,B57," ",C57)</f>
        <v>AGOSTO 2026</v>
      </c>
      <c r="F57" s="57" t="str">
        <f t="shared" ref="F57" si="105">CONCATENATE(D57," ",E57)</f>
        <v>8 AGOSTO 2026</v>
      </c>
      <c r="G57" s="1309" t="s">
        <v>188</v>
      </c>
      <c r="H57" s="1309" t="str">
        <f>VLOOKUP(G57,CATEGORIE!$H$3:$I$55,2,FALSE)</f>
        <v>COSTO VACANZE</v>
      </c>
      <c r="I57" s="59">
        <v>5</v>
      </c>
      <c r="J57" s="940"/>
      <c r="K57" s="59"/>
      <c r="L57" s="59" t="s">
        <v>1358</v>
      </c>
    </row>
    <row r="58" spans="1:12">
      <c r="A58" s="57" t="s">
        <v>1363</v>
      </c>
      <c r="B58" s="57" t="s">
        <v>261</v>
      </c>
      <c r="C58" s="57">
        <v>2026</v>
      </c>
      <c r="D58" s="58">
        <f>MATCH(B58,{"GENNAIO","FEBBRAIO","MARZO","APRILE","MAGGIO","GIUGNO","LUGLIO","AGOSTO","SETTEMBRE","OTTOBRE","NOVEMBRE","DICEMBRE"},0)</f>
        <v>8</v>
      </c>
      <c r="E58" s="57" t="str">
        <f t="shared" ref="E58" si="106">CONCATENATE(,B58," ",C58)</f>
        <v>AGOSTO 2026</v>
      </c>
      <c r="F58" s="57" t="str">
        <f t="shared" ref="F58" si="107">CONCATENATE(D58," ",E58)</f>
        <v>8 AGOSTO 2026</v>
      </c>
      <c r="G58" s="1309" t="s">
        <v>108</v>
      </c>
      <c r="H58" s="1309" t="str">
        <f>VLOOKUP(G58,CATEGORIE!$H$3:$I$55,2,FALSE)</f>
        <v>COSTO SFIZI</v>
      </c>
      <c r="I58" s="59">
        <v>10</v>
      </c>
      <c r="J58" s="940"/>
      <c r="K58" s="59"/>
      <c r="L58" s="59" t="s">
        <v>1358</v>
      </c>
    </row>
    <row r="59" spans="1:12">
      <c r="A59" s="57" t="s">
        <v>1362</v>
      </c>
      <c r="B59" s="57" t="s">
        <v>261</v>
      </c>
      <c r="C59" s="57">
        <v>2026</v>
      </c>
      <c r="D59" s="58">
        <f>MATCH(B59,{"GENNAIO","FEBBRAIO","MARZO","APRILE","MAGGIO","GIUGNO","LUGLIO","AGOSTO","SETTEMBRE","OTTOBRE","NOVEMBRE","DICEMBRE"},0)</f>
        <v>8</v>
      </c>
      <c r="E59" s="57" t="str">
        <f t="shared" ref="E59" si="108">CONCATENATE(,B59," ",C59)</f>
        <v>AGOSTO 2026</v>
      </c>
      <c r="F59" s="57" t="str">
        <f t="shared" ref="F59:F60" si="109">CONCATENATE(D59," ",E59)</f>
        <v>8 AGOSTO 2026</v>
      </c>
      <c r="G59" s="1309" t="s">
        <v>94</v>
      </c>
      <c r="H59" s="1309" t="str">
        <f>VLOOKUP(G59,CATEGORIE!$H$3:$I$55,2,FALSE)</f>
        <v>COSTO SVAGHI</v>
      </c>
      <c r="I59" s="59">
        <v>112</v>
      </c>
      <c r="J59" s="940"/>
      <c r="K59" s="59"/>
      <c r="L59" s="59" t="s">
        <v>1358</v>
      </c>
    </row>
    <row r="60" spans="1:12">
      <c r="A60" s="57" t="s">
        <v>1361</v>
      </c>
      <c r="B60" s="57" t="s">
        <v>261</v>
      </c>
      <c r="C60" s="57">
        <v>2026</v>
      </c>
      <c r="D60" s="58">
        <f>MATCH(B60,{"GENNAIO","FEBBRAIO","MARZO","APRILE","MAGGIO","GIUGNO","LUGLIO","AGOSTO","SETTEMBRE","OTTOBRE","NOVEMBRE","DICEMBRE"},0)</f>
        <v>8</v>
      </c>
      <c r="E60" s="57" t="str">
        <f t="shared" ref="E60" si="110">CONCATENATE(,B60," ",C60)</f>
        <v>AGOSTO 2026</v>
      </c>
      <c r="F60" s="57" t="str">
        <f t="shared" si="109"/>
        <v>8 AGOSTO 2026</v>
      </c>
      <c r="G60" s="1309" t="s">
        <v>111</v>
      </c>
      <c r="H60" s="1309" t="str">
        <f>VLOOKUP(G60,CATEGORIE!$H$3:$I$55,2,FALSE)</f>
        <v>COSTO MOBILITA'</v>
      </c>
      <c r="I60" s="59">
        <v>24</v>
      </c>
      <c r="J60" s="940"/>
      <c r="K60" s="59"/>
      <c r="L60" s="59" t="s">
        <v>1358</v>
      </c>
    </row>
    <row r="61" spans="1:12">
      <c r="A61" s="57" t="s">
        <v>1360</v>
      </c>
      <c r="B61" s="57" t="s">
        <v>261</v>
      </c>
      <c r="C61" s="57">
        <v>2026</v>
      </c>
      <c r="D61" s="58">
        <f>MATCH(B61,{"GENNAIO","FEBBRAIO","MARZO","APRILE","MAGGIO","GIUGNO","LUGLIO","AGOSTO","SETTEMBRE","OTTOBRE","NOVEMBRE","DICEMBRE"},0)</f>
        <v>8</v>
      </c>
      <c r="E61" s="57" t="str">
        <f t="shared" ref="E61" si="111">CONCATENATE(,B61," ",C61)</f>
        <v>AGOSTO 2026</v>
      </c>
      <c r="F61" s="57" t="str">
        <f t="shared" ref="F61" si="112">CONCATENATE(D61," ",E61)</f>
        <v>8 AGOSTO 2026</v>
      </c>
      <c r="G61" s="1309" t="s">
        <v>94</v>
      </c>
      <c r="H61" s="1309" t="str">
        <f>VLOOKUP(G61,CATEGORIE!$H$3:$I$55,2,FALSE)</f>
        <v>COSTO SVAGHI</v>
      </c>
      <c r="I61" s="59">
        <v>11.95</v>
      </c>
      <c r="J61" s="940"/>
      <c r="K61" s="59"/>
      <c r="L61" s="59" t="s">
        <v>1358</v>
      </c>
    </row>
    <row r="62" spans="1:12">
      <c r="A62" s="57" t="s">
        <v>135</v>
      </c>
      <c r="B62" s="57" t="s">
        <v>261</v>
      </c>
      <c r="C62" s="57">
        <v>2026</v>
      </c>
      <c r="D62" s="58">
        <f>MATCH(B62,{"GENNAIO","FEBBRAIO","MARZO","APRILE","MAGGIO","GIUGNO","LUGLIO","AGOSTO","SETTEMBRE","OTTOBRE","NOVEMBRE","DICEMBRE"},0)</f>
        <v>8</v>
      </c>
      <c r="E62" s="57" t="str">
        <f t="shared" ref="E62" si="113">CONCATENATE(,B62," ",C62)</f>
        <v>AGOSTO 2026</v>
      </c>
      <c r="F62" s="57" t="str">
        <f t="shared" ref="F62" si="114">CONCATENATE(D62," ",E62)</f>
        <v>8 AGOSTO 2026</v>
      </c>
      <c r="G62" s="1309" t="s">
        <v>132</v>
      </c>
      <c r="H62" s="1309" t="str">
        <f>VLOOKUP(G62,CATEGORIE!$H$3:$I$55,2,FALSE)</f>
        <v>COSTO CASA</v>
      </c>
      <c r="I62" s="59">
        <v>23.39</v>
      </c>
      <c r="J62" s="940"/>
      <c r="K62" s="59"/>
      <c r="L62" s="59"/>
    </row>
    <row r="63" spans="1:12">
      <c r="A63" s="57" t="s">
        <v>1359</v>
      </c>
      <c r="B63" s="57" t="s">
        <v>261</v>
      </c>
      <c r="C63" s="57">
        <v>2026</v>
      </c>
      <c r="D63" s="58">
        <f>MATCH(B63,{"GENNAIO","FEBBRAIO","MARZO","APRILE","MAGGIO","GIUGNO","LUGLIO","AGOSTO","SETTEMBRE","OTTOBRE","NOVEMBRE","DICEMBRE"},0)</f>
        <v>8</v>
      </c>
      <c r="E63" s="57" t="str">
        <f t="shared" ref="E63" si="115">CONCATENATE(,B63," ",C63)</f>
        <v>AGOSTO 2026</v>
      </c>
      <c r="F63" s="57" t="str">
        <f t="shared" ref="F63" si="116">CONCATENATE(D63," ",E63)</f>
        <v>8 AGOSTO 2026</v>
      </c>
      <c r="G63" s="1309" t="s">
        <v>94</v>
      </c>
      <c r="H63" s="1309" t="str">
        <f>VLOOKUP(G63,CATEGORIE!$H$3:$I$55,2,FALSE)</f>
        <v>COSTO SVAGHI</v>
      </c>
      <c r="I63" s="59">
        <v>11.2</v>
      </c>
      <c r="J63" s="940"/>
      <c r="K63" s="59"/>
      <c r="L63" s="59"/>
    </row>
    <row r="64" spans="1:12">
      <c r="A64" s="57" t="s">
        <v>1322</v>
      </c>
      <c r="B64" s="57" t="s">
        <v>261</v>
      </c>
      <c r="C64" s="57">
        <v>2026</v>
      </c>
      <c r="D64" s="58">
        <f>MATCH(B64,{"GENNAIO","FEBBRAIO","MARZO","APRILE","MAGGIO","GIUGNO","LUGLIO","AGOSTO","SETTEMBRE","OTTOBRE","NOVEMBRE","DICEMBRE"},0)</f>
        <v>8</v>
      </c>
      <c r="E64" s="57" t="str">
        <f t="shared" ref="E64" si="117">CONCATENATE(,B64," ",C64)</f>
        <v>AGOSTO 2026</v>
      </c>
      <c r="F64" s="57" t="str">
        <f t="shared" ref="F64" si="118">CONCATENATE(D64," ",E64)</f>
        <v>8 AGOSTO 2026</v>
      </c>
      <c r="G64" s="1309" t="s">
        <v>94</v>
      </c>
      <c r="H64" s="1309" t="str">
        <f>VLOOKUP(G64,CATEGORIE!$H$3:$I$55,2,FALSE)</f>
        <v>COSTO SVAGHI</v>
      </c>
      <c r="I64" s="59">
        <v>13.4</v>
      </c>
      <c r="J64" s="940"/>
      <c r="K64" s="59"/>
      <c r="L64" s="59"/>
    </row>
    <row r="65" spans="1:12">
      <c r="A65" s="57" t="s">
        <v>1351</v>
      </c>
      <c r="B65" s="57" t="s">
        <v>261</v>
      </c>
      <c r="C65" s="57">
        <v>2026</v>
      </c>
      <c r="D65" s="58">
        <f>MATCH(B65,{"GENNAIO","FEBBRAIO","MARZO","APRILE","MAGGIO","GIUGNO","LUGLIO","AGOSTO","SETTEMBRE","OTTOBRE","NOVEMBRE","DICEMBRE"},0)</f>
        <v>8</v>
      </c>
      <c r="E65" s="57" t="str">
        <f t="shared" ref="E65" si="119">CONCATENATE(,B65," ",C65)</f>
        <v>AGOSTO 2026</v>
      </c>
      <c r="F65" s="57" t="str">
        <f t="shared" ref="F65" si="120">CONCATENATE(D65," ",E65)</f>
        <v>8 AGOSTO 2026</v>
      </c>
      <c r="G65" s="1309" t="s">
        <v>94</v>
      </c>
      <c r="H65" s="1309" t="str">
        <f>VLOOKUP(G65,CATEGORIE!$H$3:$I$55,2,FALSE)</f>
        <v>COSTO SVAGHI</v>
      </c>
      <c r="I65" s="59">
        <v>5.8</v>
      </c>
      <c r="J65" s="940"/>
      <c r="K65" s="59"/>
      <c r="L65" s="59"/>
    </row>
    <row r="66" spans="1:12">
      <c r="A66" s="57" t="s">
        <v>1318</v>
      </c>
      <c r="B66" s="57" t="s">
        <v>261</v>
      </c>
      <c r="C66" s="57">
        <v>2026</v>
      </c>
      <c r="D66" s="58">
        <f>MATCH(B66,{"GENNAIO","FEBBRAIO","MARZO","APRILE","MAGGIO","GIUGNO","LUGLIO","AGOSTO","SETTEMBRE","OTTOBRE","NOVEMBRE","DICEMBRE"},0)</f>
        <v>8</v>
      </c>
      <c r="E66" s="57" t="str">
        <f t="shared" ref="E66" si="121">CONCATENATE(,B66," ",C66)</f>
        <v>AGOSTO 2026</v>
      </c>
      <c r="F66" s="57" t="str">
        <f t="shared" ref="F66" si="122">CONCATENATE(D66," ",E66)</f>
        <v>8 AGOSTO 2026</v>
      </c>
      <c r="G66" s="1309" t="s">
        <v>91</v>
      </c>
      <c r="H66" s="1309" t="str">
        <f>VLOOKUP(G66,CATEGORIE!$H$3:$I$55,2,FALSE)</f>
        <v>COSTO SOPRAVVIVENZA</v>
      </c>
      <c r="I66" s="59">
        <v>5</v>
      </c>
      <c r="J66" s="940"/>
      <c r="K66" s="59"/>
      <c r="L66" s="59"/>
    </row>
    <row r="67" spans="1:12">
      <c r="A67" s="57" t="s">
        <v>187</v>
      </c>
      <c r="B67" s="57" t="s">
        <v>261</v>
      </c>
      <c r="C67" s="57">
        <v>2026</v>
      </c>
      <c r="D67" s="58">
        <f>MATCH(B67,{"GENNAIO","FEBBRAIO","MARZO","APRILE","MAGGIO","GIUGNO","LUGLIO","AGOSTO","SETTEMBRE","OTTOBRE","NOVEMBRE","DICEMBRE"},0)</f>
        <v>8</v>
      </c>
      <c r="E67" s="57" t="str">
        <f t="shared" ref="E67" si="123">CONCATENATE(,B67," ",C67)</f>
        <v>AGOSTO 2026</v>
      </c>
      <c r="F67" s="57" t="str">
        <f t="shared" ref="F67" si="124">CONCATENATE(D67," ",E67)</f>
        <v>8 AGOSTO 2026</v>
      </c>
      <c r="G67" s="1309" t="s">
        <v>188</v>
      </c>
      <c r="H67" s="1309" t="str">
        <f>VLOOKUP(G67,CATEGORIE!$H$3:$I$55,2,FALSE)</f>
        <v>COSTO VACANZE</v>
      </c>
      <c r="I67" s="59">
        <v>1349</v>
      </c>
      <c r="J67" s="940"/>
      <c r="K67" s="59"/>
      <c r="L67" s="59" t="s">
        <v>1358</v>
      </c>
    </row>
    <row r="68" spans="1:12">
      <c r="A68" s="57" t="s">
        <v>99</v>
      </c>
      <c r="B68" s="57" t="s">
        <v>261</v>
      </c>
      <c r="C68" s="57">
        <v>2026</v>
      </c>
      <c r="D68" s="58">
        <f>MATCH(B68,{"GENNAIO","FEBBRAIO","MARZO","APRILE","MAGGIO","GIUGNO","LUGLIO","AGOSTO","SETTEMBRE","OTTOBRE","NOVEMBRE","DICEMBRE"},0)</f>
        <v>8</v>
      </c>
      <c r="E68" s="57" t="str">
        <f t="shared" ref="E68" si="125">CONCATENATE(,B68," ",C68)</f>
        <v>AGOSTO 2026</v>
      </c>
      <c r="F68" s="57" t="str">
        <f t="shared" ref="F68" si="126">CONCATENATE(D68," ",E68)</f>
        <v>8 AGOSTO 2026</v>
      </c>
      <c r="G68" s="1309" t="s">
        <v>100</v>
      </c>
      <c r="H68" s="1309" t="str">
        <f>VLOOKUP(G68,CATEGORIE!$H$3:$I$55,2,FALSE)</f>
        <v>COSTO SFIZI</v>
      </c>
      <c r="I68" s="59">
        <v>73.8</v>
      </c>
      <c r="J68" s="940" t="s">
        <v>167</v>
      </c>
      <c r="K68" s="59" t="s">
        <v>99</v>
      </c>
      <c r="L68" s="59" t="s">
        <v>1317</v>
      </c>
    </row>
    <row r="69" spans="1:12">
      <c r="A69" s="57" t="s">
        <v>99</v>
      </c>
      <c r="B69" s="57" t="s">
        <v>261</v>
      </c>
      <c r="C69" s="57">
        <v>2026</v>
      </c>
      <c r="D69" s="58">
        <f>MATCH(B69,{"GENNAIO","FEBBRAIO","MARZO","APRILE","MAGGIO","GIUGNO","LUGLIO","AGOSTO","SETTEMBRE","OTTOBRE","NOVEMBRE","DICEMBRE"},0)</f>
        <v>8</v>
      </c>
      <c r="E69" s="57" t="str">
        <f t="shared" ref="E69" si="127">CONCATENATE(,B69," ",C69)</f>
        <v>AGOSTO 2026</v>
      </c>
      <c r="F69" s="57" t="str">
        <f t="shared" ref="F69" si="128">CONCATENATE(D69," ",E69)</f>
        <v>8 AGOSTO 2026</v>
      </c>
      <c r="G69" s="1309" t="s">
        <v>100</v>
      </c>
      <c r="H69" s="1309" t="str">
        <f>VLOOKUP(G69,CATEGORIE!$H$3:$I$55,2,FALSE)</f>
        <v>COSTO SFIZI</v>
      </c>
      <c r="I69" s="59">
        <v>20.9</v>
      </c>
      <c r="J69" s="940"/>
      <c r="K69" s="59" t="s">
        <v>99</v>
      </c>
      <c r="L69" s="59"/>
    </row>
    <row r="70" spans="1:12" ht="14.25" customHeight="1">
      <c r="A70" s="57" t="s">
        <v>95</v>
      </c>
      <c r="B70" s="57" t="s">
        <v>261</v>
      </c>
      <c r="C70" s="57">
        <v>2026</v>
      </c>
      <c r="D70" s="58">
        <f>MATCH(B70,{"GENNAIO","FEBBRAIO","MARZO","APRILE","MAGGIO","GIUGNO","LUGLIO","AGOSTO","SETTEMBRE","OTTOBRE","NOVEMBRE","DICEMBRE"},0)</f>
        <v>8</v>
      </c>
      <c r="E70" s="57" t="str">
        <f t="shared" ref="E70" si="129">CONCATENATE(,B70," ",C70)</f>
        <v>AGOSTO 2026</v>
      </c>
      <c r="F70" s="57" t="str">
        <f t="shared" ref="F70" si="130">CONCATENATE(D70," ",E70)</f>
        <v>8 AGOSTO 2026</v>
      </c>
      <c r="G70" s="1309" t="s">
        <v>96</v>
      </c>
      <c r="H70" s="1309" t="str">
        <f>VLOOKUP(G70,CATEGORIE!$H$3:$I$55,2,FALSE)</f>
        <v>COSTO SOPRAVVIVENZA</v>
      </c>
      <c r="I70" s="59">
        <v>17.87</v>
      </c>
      <c r="J70" s="940"/>
      <c r="K70" s="59"/>
      <c r="L70" s="59"/>
    </row>
    <row r="71" spans="1:12">
      <c r="A71" s="57" t="s">
        <v>130</v>
      </c>
      <c r="B71" s="57" t="s">
        <v>261</v>
      </c>
      <c r="C71" s="57">
        <v>2026</v>
      </c>
      <c r="D71" s="58">
        <f>MATCH(B71,{"GENNAIO","FEBBRAIO","MARZO","APRILE","MAGGIO","GIUGNO","LUGLIO","AGOSTO","SETTEMBRE","OTTOBRE","NOVEMBRE","DICEMBRE"},0)</f>
        <v>8</v>
      </c>
      <c r="E71" s="57" t="str">
        <f t="shared" ref="E71" si="131">CONCATENATE(,B71," ",C71)</f>
        <v>AGOSTO 2026</v>
      </c>
      <c r="F71" s="57" t="str">
        <f t="shared" ref="F71" si="132">CONCATENATE(D71," ",E71)</f>
        <v>8 AGOSTO 2026</v>
      </c>
      <c r="G71" s="1309" t="s">
        <v>94</v>
      </c>
      <c r="H71" s="1309" t="str">
        <f>VLOOKUP(G71,CATEGORIE!$H$3:$I$55,2,FALSE)</f>
        <v>COSTO SVAGHI</v>
      </c>
      <c r="I71" s="59">
        <v>39.5</v>
      </c>
      <c r="J71" s="940"/>
      <c r="K71" s="59"/>
      <c r="L71" s="59"/>
    </row>
    <row r="72" spans="1:12">
      <c r="A72" s="57" t="s">
        <v>99</v>
      </c>
      <c r="B72" s="57" t="s">
        <v>261</v>
      </c>
      <c r="C72" s="57">
        <v>2026</v>
      </c>
      <c r="D72" s="58">
        <f>MATCH(B72,{"GENNAIO","FEBBRAIO","MARZO","APRILE","MAGGIO","GIUGNO","LUGLIO","AGOSTO","SETTEMBRE","OTTOBRE","NOVEMBRE","DICEMBRE"},0)</f>
        <v>8</v>
      </c>
      <c r="E72" s="57" t="str">
        <f t="shared" ref="E72" si="133">CONCATENATE(,B72," ",C72)</f>
        <v>AGOSTO 2026</v>
      </c>
      <c r="F72" s="57" t="str">
        <f t="shared" ref="F72" si="134">CONCATENATE(D72," ",E72)</f>
        <v>8 AGOSTO 2026</v>
      </c>
      <c r="G72" s="1309" t="s">
        <v>100</v>
      </c>
      <c r="H72" s="1309" t="str">
        <f>VLOOKUP(G72,CATEGORIE!$H$3:$I$55,2,FALSE)</f>
        <v>COSTO SFIZI</v>
      </c>
      <c r="I72" s="59">
        <v>12</v>
      </c>
      <c r="J72" s="940"/>
      <c r="K72" s="59" t="s">
        <v>99</v>
      </c>
      <c r="L72" s="59"/>
    </row>
    <row r="73" spans="1:12" ht="16.5" customHeight="1">
      <c r="A73" s="57" t="s">
        <v>338</v>
      </c>
      <c r="B73" s="57" t="s">
        <v>261</v>
      </c>
      <c r="C73" s="57">
        <v>2026</v>
      </c>
      <c r="D73" s="58">
        <f>MATCH(B73,{"GENNAIO","FEBBRAIO","MARZO","APRILE","MAGGIO","GIUGNO","LUGLIO","AGOSTO","SETTEMBRE","OTTOBRE","NOVEMBRE","DICEMBRE"},0)</f>
        <v>8</v>
      </c>
      <c r="E73" s="57" t="str">
        <f t="shared" ref="E73" si="135">CONCATENATE(,B73," ",C73)</f>
        <v>AGOSTO 2026</v>
      </c>
      <c r="F73" s="57" t="str">
        <f t="shared" ref="F73" si="136">CONCATENATE(D73," ",E73)</f>
        <v>8 AGOSTO 2026</v>
      </c>
      <c r="G73" s="1309" t="s">
        <v>94</v>
      </c>
      <c r="H73" s="1309" t="str">
        <f>VLOOKUP(G73,CATEGORIE!$H$3:$I$104,2,FALSE)</f>
        <v>COSTO SVAGHI</v>
      </c>
      <c r="I73" s="59">
        <v>9.5</v>
      </c>
      <c r="J73" s="940"/>
      <c r="K73" s="59"/>
      <c r="L73" s="59"/>
    </row>
    <row r="74" spans="1:12" ht="16.5" customHeight="1">
      <c r="A74" s="57" t="s">
        <v>338</v>
      </c>
      <c r="B74" s="57" t="s">
        <v>261</v>
      </c>
      <c r="C74" s="57">
        <v>2026</v>
      </c>
      <c r="D74" s="58">
        <f>MATCH(B74,{"GENNAIO","FEBBRAIO","MARZO","APRILE","MAGGIO","GIUGNO","LUGLIO","AGOSTO","SETTEMBRE","OTTOBRE","NOVEMBRE","DICEMBRE"},0)</f>
        <v>8</v>
      </c>
      <c r="E74" s="57" t="str">
        <f t="shared" ref="E74" si="137">CONCATENATE(,B74," ",C74)</f>
        <v>AGOSTO 2026</v>
      </c>
      <c r="F74" s="57" t="str">
        <f t="shared" ref="F74" si="138">CONCATENATE(D74," ",E74)</f>
        <v>8 AGOSTO 2026</v>
      </c>
      <c r="G74" s="1309" t="s">
        <v>94</v>
      </c>
      <c r="H74" s="1309" t="str">
        <f>VLOOKUP(G74,CATEGORIE!$H$3:$I$104,2,FALSE)</f>
        <v>COSTO SVAGHI</v>
      </c>
      <c r="I74" s="59">
        <v>26</v>
      </c>
      <c r="J74" s="940"/>
      <c r="K74" s="59"/>
      <c r="L74" s="59"/>
    </row>
    <row r="75" spans="1:12">
      <c r="A75" s="57" t="s">
        <v>99</v>
      </c>
      <c r="B75" s="57" t="s">
        <v>261</v>
      </c>
      <c r="C75" s="57">
        <v>2026</v>
      </c>
      <c r="D75" s="58">
        <f>MATCH(B75,{"GENNAIO","FEBBRAIO","MARZO","APRILE","MAGGIO","GIUGNO","LUGLIO","AGOSTO","SETTEMBRE","OTTOBRE","NOVEMBRE","DICEMBRE"},0)</f>
        <v>8</v>
      </c>
      <c r="E75" s="57" t="str">
        <f t="shared" ref="E75" si="139">CONCATENATE(,B75," ",C75)</f>
        <v>AGOSTO 2026</v>
      </c>
      <c r="F75" s="57" t="str">
        <f t="shared" ref="F75" si="140">CONCATENATE(D75," ",E75)</f>
        <v>8 AGOSTO 2026</v>
      </c>
      <c r="G75" s="1309" t="s">
        <v>100</v>
      </c>
      <c r="H75" s="1309" t="str">
        <f>VLOOKUP(G75,CATEGORIE!$H$3:$I$55,2,FALSE)</f>
        <v>COSTO SFIZI</v>
      </c>
      <c r="I75" s="59">
        <v>45.75</v>
      </c>
      <c r="J75" s="940" t="s">
        <v>126</v>
      </c>
      <c r="K75" s="59" t="s">
        <v>99</v>
      </c>
      <c r="L75" s="59" t="s">
        <v>1344</v>
      </c>
    </row>
    <row r="76" spans="1:12">
      <c r="A76" s="57" t="s">
        <v>1350</v>
      </c>
      <c r="B76" s="57" t="s">
        <v>261</v>
      </c>
      <c r="C76" s="57">
        <v>2026</v>
      </c>
      <c r="D76" s="58">
        <f>MATCH(B76,{"GENNAIO","FEBBRAIO","MARZO","APRILE","MAGGIO","GIUGNO","LUGLIO","AGOSTO","SETTEMBRE","OTTOBRE","NOVEMBRE","DICEMBRE"},0)</f>
        <v>8</v>
      </c>
      <c r="E76" s="57" t="str">
        <f t="shared" ref="E76" si="141">CONCATENATE(,B76," ",C76)</f>
        <v>AGOSTO 2026</v>
      </c>
      <c r="F76" s="57" t="str">
        <f t="shared" ref="F76" si="142">CONCATENATE(D76," ",E76)</f>
        <v>8 AGOSTO 2026</v>
      </c>
      <c r="G76" s="1309" t="s">
        <v>132</v>
      </c>
      <c r="H76" s="1309" t="str">
        <f>VLOOKUP(G76,CATEGORIE!$H$3:$I$55,2,FALSE)</f>
        <v>COSTO CASA</v>
      </c>
      <c r="I76" s="59">
        <v>30.25</v>
      </c>
      <c r="J76" s="940"/>
      <c r="K76" s="59"/>
      <c r="L76" s="59" t="s">
        <v>892</v>
      </c>
    </row>
    <row r="77" spans="1:12">
      <c r="A77" s="57" t="s">
        <v>1355</v>
      </c>
      <c r="B77" s="57" t="s">
        <v>261</v>
      </c>
      <c r="C77" s="57">
        <v>2026</v>
      </c>
      <c r="D77" s="58">
        <f>MATCH(B77,{"GENNAIO","FEBBRAIO","MARZO","APRILE","MAGGIO","GIUGNO","LUGLIO","AGOSTO","SETTEMBRE","OTTOBRE","NOVEMBRE","DICEMBRE"},0)</f>
        <v>8</v>
      </c>
      <c r="E77" s="57" t="str">
        <f t="shared" ref="E77" si="143">CONCATENATE(,B77," ",C77)</f>
        <v>AGOSTO 2026</v>
      </c>
      <c r="F77" s="57" t="str">
        <f t="shared" ref="F77" si="144">CONCATENATE(D77," ",E77)</f>
        <v>8 AGOSTO 2026</v>
      </c>
      <c r="G77" s="1309" t="s">
        <v>94</v>
      </c>
      <c r="H77" s="1309" t="str">
        <f>VLOOKUP(G77,CATEGORIE!$H$3:$I$55,2,FALSE)</f>
        <v>COSTO SVAGHI</v>
      </c>
      <c r="I77" s="59">
        <v>15</v>
      </c>
      <c r="J77" s="940"/>
      <c r="K77" s="59"/>
      <c r="L77" s="59"/>
    </row>
    <row r="78" spans="1:12">
      <c r="A78" s="57" t="s">
        <v>1354</v>
      </c>
      <c r="B78" s="57" t="s">
        <v>261</v>
      </c>
      <c r="C78" s="57">
        <v>2026</v>
      </c>
      <c r="D78" s="58">
        <f>MATCH(B78,{"GENNAIO","FEBBRAIO","MARZO","APRILE","MAGGIO","GIUGNO","LUGLIO","AGOSTO","SETTEMBRE","OTTOBRE","NOVEMBRE","DICEMBRE"},0)</f>
        <v>8</v>
      </c>
      <c r="E78" s="57" t="str">
        <f t="shared" ref="E78" si="145">CONCATENATE(,B78," ",C78)</f>
        <v>AGOSTO 2026</v>
      </c>
      <c r="F78" s="57" t="str">
        <f t="shared" ref="F78" si="146">CONCATENATE(D78," ",E78)</f>
        <v>8 AGOSTO 2026</v>
      </c>
      <c r="G78" s="1309" t="s">
        <v>94</v>
      </c>
      <c r="H78" s="1309" t="str">
        <f>VLOOKUP(G78,CATEGORIE!$H$3:$I$55,2,FALSE)</f>
        <v>COSTO SVAGHI</v>
      </c>
      <c r="I78" s="59">
        <v>34</v>
      </c>
      <c r="J78" s="940"/>
      <c r="K78" s="59"/>
      <c r="L78" s="59"/>
    </row>
    <row r="79" spans="1:12" ht="14.25" customHeight="1">
      <c r="A79" s="57" t="s">
        <v>95</v>
      </c>
      <c r="B79" s="57" t="s">
        <v>261</v>
      </c>
      <c r="C79" s="57">
        <v>2026</v>
      </c>
      <c r="D79" s="58">
        <f>MATCH(B79,{"GENNAIO","FEBBRAIO","MARZO","APRILE","MAGGIO","GIUGNO","LUGLIO","AGOSTO","SETTEMBRE","OTTOBRE","NOVEMBRE","DICEMBRE"},0)</f>
        <v>8</v>
      </c>
      <c r="E79" s="57" t="str">
        <f t="shared" ref="E79" si="147">CONCATENATE(,B79," ",C79)</f>
        <v>AGOSTO 2026</v>
      </c>
      <c r="F79" s="57" t="str">
        <f t="shared" ref="F79" si="148">CONCATENATE(D79," ",E79)</f>
        <v>8 AGOSTO 2026</v>
      </c>
      <c r="G79" s="1309" t="s">
        <v>96</v>
      </c>
      <c r="H79" s="1309" t="str">
        <f>VLOOKUP(G79,CATEGORIE!$H$3:$I$55,2,FALSE)</f>
        <v>COSTO SOPRAVVIVENZA</v>
      </c>
      <c r="I79" s="59">
        <v>19.760000000000002</v>
      </c>
      <c r="J79" s="940"/>
      <c r="K79" s="59"/>
      <c r="L79" s="59"/>
    </row>
    <row r="80" spans="1:12">
      <c r="A80" s="57" t="s">
        <v>1322</v>
      </c>
      <c r="B80" s="57" t="s">
        <v>261</v>
      </c>
      <c r="C80" s="57">
        <v>2026</v>
      </c>
      <c r="D80" s="58">
        <f>MATCH(B80,{"GENNAIO","FEBBRAIO","MARZO","APRILE","MAGGIO","GIUGNO","LUGLIO","AGOSTO","SETTEMBRE","OTTOBRE","NOVEMBRE","DICEMBRE"},0)</f>
        <v>8</v>
      </c>
      <c r="E80" s="57" t="str">
        <f t="shared" ref="E80" si="149">CONCATENATE(,B80," ",C80)</f>
        <v>AGOSTO 2026</v>
      </c>
      <c r="F80" s="57" t="str">
        <f t="shared" ref="F80" si="150">CONCATENATE(D80," ",E80)</f>
        <v>8 AGOSTO 2026</v>
      </c>
      <c r="G80" s="1309" t="s">
        <v>94</v>
      </c>
      <c r="H80" s="1309" t="str">
        <f>VLOOKUP(G80,CATEGORIE!$H$3:$I$55,2,FALSE)</f>
        <v>COSTO SVAGHI</v>
      </c>
      <c r="I80" s="59">
        <v>13.4</v>
      </c>
      <c r="J80" s="940"/>
      <c r="K80" s="59"/>
      <c r="L80" s="59"/>
    </row>
    <row r="81" spans="1:12">
      <c r="A81" s="57" t="s">
        <v>135</v>
      </c>
      <c r="B81" s="57" t="s">
        <v>261</v>
      </c>
      <c r="C81" s="57">
        <v>2026</v>
      </c>
      <c r="D81" s="58">
        <f>MATCH(B81,{"GENNAIO","FEBBRAIO","MARZO","APRILE","MAGGIO","GIUGNO","LUGLIO","AGOSTO","SETTEMBRE","OTTOBRE","NOVEMBRE","DICEMBRE"},0)</f>
        <v>8</v>
      </c>
      <c r="E81" s="57" t="str">
        <f t="shared" ref="E81" si="151">CONCATENATE(,B81," ",C81)</f>
        <v>AGOSTO 2026</v>
      </c>
      <c r="F81" s="57" t="str">
        <f t="shared" ref="F81" si="152">CONCATENATE(D81," ",E81)</f>
        <v>8 AGOSTO 2026</v>
      </c>
      <c r="G81" s="1309" t="s">
        <v>132</v>
      </c>
      <c r="H81" s="1309" t="str">
        <f>VLOOKUP(G81,CATEGORIE!$H$3:$I$55,2,FALSE)</f>
        <v>COSTO CASA</v>
      </c>
      <c r="I81" s="59">
        <v>22.68</v>
      </c>
      <c r="J81" s="940"/>
      <c r="K81" s="59"/>
      <c r="L81" s="59"/>
    </row>
    <row r="82" spans="1:12">
      <c r="A82" s="57" t="s">
        <v>1346</v>
      </c>
      <c r="B82" s="57" t="s">
        <v>261</v>
      </c>
      <c r="C82" s="57">
        <v>2026</v>
      </c>
      <c r="D82" s="58">
        <f>MATCH(B82,{"GENNAIO","FEBBRAIO","MARZO","APRILE","MAGGIO","GIUGNO","LUGLIO","AGOSTO","SETTEMBRE","OTTOBRE","NOVEMBRE","DICEMBRE"},0)</f>
        <v>8</v>
      </c>
      <c r="E82" s="57" t="str">
        <f t="shared" ref="E82:E83" si="153">CONCATENATE(,B82," ",C82)</f>
        <v>AGOSTO 2026</v>
      </c>
      <c r="F82" s="57" t="str">
        <f t="shared" ref="F82:F83" si="154">CONCATENATE(D82," ",E82)</f>
        <v>8 AGOSTO 2026</v>
      </c>
      <c r="G82" s="1309" t="s">
        <v>96</v>
      </c>
      <c r="H82" s="1309" t="str">
        <f>VLOOKUP(G82,CATEGORIE!$H$3:$I$55,2,FALSE)</f>
        <v>COSTO SOPRAVVIVENZA</v>
      </c>
      <c r="I82" s="59">
        <v>13.36</v>
      </c>
      <c r="J82" s="940"/>
      <c r="K82" s="59"/>
      <c r="L82" s="59"/>
    </row>
    <row r="83" spans="1:12">
      <c r="A83" s="57" t="s">
        <v>1318</v>
      </c>
      <c r="B83" s="57" t="s">
        <v>261</v>
      </c>
      <c r="C83" s="57">
        <v>2026</v>
      </c>
      <c r="D83" s="58">
        <f>MATCH(B83,{"GENNAIO","FEBBRAIO","MARZO","APRILE","MAGGIO","GIUGNO","LUGLIO","AGOSTO","SETTEMBRE","OTTOBRE","NOVEMBRE","DICEMBRE"},0)</f>
        <v>8</v>
      </c>
      <c r="E83" s="57" t="str">
        <f t="shared" si="153"/>
        <v>AGOSTO 2026</v>
      </c>
      <c r="F83" s="57" t="str">
        <f t="shared" si="154"/>
        <v>8 AGOSTO 2026</v>
      </c>
      <c r="G83" s="1309" t="s">
        <v>91</v>
      </c>
      <c r="H83" s="1309" t="str">
        <f>VLOOKUP(G83,CATEGORIE!$H$3:$I$55,2,FALSE)</f>
        <v>COSTO SOPRAVVIVENZA</v>
      </c>
      <c r="I83" s="59">
        <v>5</v>
      </c>
      <c r="J83" s="940"/>
      <c r="K83" s="59"/>
      <c r="L83" s="59"/>
    </row>
    <row r="84" spans="1:12">
      <c r="A84" s="57" t="s">
        <v>99</v>
      </c>
      <c r="B84" s="57" t="s">
        <v>288</v>
      </c>
      <c r="C84" s="57">
        <v>2026</v>
      </c>
      <c r="D84" s="58">
        <f>MATCH(B84,{"GENNAIO","FEBBRAIO","MARZO","APRILE","MAGGIO","GIUGNO","LUGLIO","AGOSTO","SETTEMBRE","OTTOBRE","NOVEMBRE","DICEMBRE"},0)</f>
        <v>7</v>
      </c>
      <c r="E84" s="57" t="str">
        <f t="shared" ref="E84" si="155">CONCATENATE(,B84," ",C84)</f>
        <v>LUGLIO 2026</v>
      </c>
      <c r="F84" s="57" t="str">
        <f t="shared" ref="F84" si="156">CONCATENATE(D84," ",E84)</f>
        <v>7 LUGLIO 2026</v>
      </c>
      <c r="G84" s="1309" t="s">
        <v>100</v>
      </c>
      <c r="H84" s="1309" t="str">
        <f>VLOOKUP(G84,CATEGORIE!$H$3:$I$55,2,FALSE)</f>
        <v>COSTO SFIZI</v>
      </c>
      <c r="I84" s="59">
        <v>20</v>
      </c>
      <c r="J84" s="940"/>
      <c r="K84" s="59" t="s">
        <v>99</v>
      </c>
      <c r="L84" s="59"/>
    </row>
    <row r="85" spans="1:12">
      <c r="A85" s="57" t="s">
        <v>1353</v>
      </c>
      <c r="B85" s="57" t="s">
        <v>288</v>
      </c>
      <c r="C85" s="57">
        <v>2026</v>
      </c>
      <c r="D85" s="58">
        <f>MATCH(B85,{"GENNAIO","FEBBRAIO","MARZO","APRILE","MAGGIO","GIUGNO","LUGLIO","AGOSTO","SETTEMBRE","OTTOBRE","NOVEMBRE","DICEMBRE"},0)</f>
        <v>7</v>
      </c>
      <c r="E85" s="57" t="str">
        <f t="shared" ref="E85" si="157">CONCATENATE(,B85," ",C85)</f>
        <v>LUGLIO 2026</v>
      </c>
      <c r="F85" s="57" t="str">
        <f t="shared" ref="F85" si="158">CONCATENATE(D85," ",E85)</f>
        <v>7 LUGLIO 2026</v>
      </c>
      <c r="G85" s="1309" t="s">
        <v>94</v>
      </c>
      <c r="H85" s="1309" t="str">
        <f>VLOOKUP(G85,CATEGORIE!$H$3:$I$55,2,FALSE)</f>
        <v>COSTO SVAGHI</v>
      </c>
      <c r="I85" s="59">
        <v>40</v>
      </c>
      <c r="J85" s="940"/>
      <c r="K85" s="59"/>
      <c r="L85" s="59" t="s">
        <v>1345</v>
      </c>
    </row>
    <row r="86" spans="1:12">
      <c r="A86" s="57" t="s">
        <v>1353</v>
      </c>
      <c r="B86" s="57" t="s">
        <v>288</v>
      </c>
      <c r="C86" s="57">
        <v>2026</v>
      </c>
      <c r="D86" s="58">
        <f>MATCH(B86,{"GENNAIO","FEBBRAIO","MARZO","APRILE","MAGGIO","GIUGNO","LUGLIO","AGOSTO","SETTEMBRE","OTTOBRE","NOVEMBRE","DICEMBRE"},0)</f>
        <v>7</v>
      </c>
      <c r="E86" s="57" t="str">
        <f t="shared" ref="E86" si="159">CONCATENATE(,B86," ",C86)</f>
        <v>LUGLIO 2026</v>
      </c>
      <c r="F86" s="57" t="str">
        <f t="shared" ref="F86" si="160">CONCATENATE(D86," ",E86)</f>
        <v>7 LUGLIO 2026</v>
      </c>
      <c r="G86" s="1309" t="s">
        <v>94</v>
      </c>
      <c r="H86" s="1309" t="str">
        <f>VLOOKUP(G86,CATEGORIE!$H$3:$I$55,2,FALSE)</f>
        <v>COSTO SVAGHI</v>
      </c>
      <c r="I86" s="59">
        <v>50</v>
      </c>
      <c r="J86" s="940"/>
      <c r="K86" s="59"/>
      <c r="L86" s="59" t="s">
        <v>1345</v>
      </c>
    </row>
    <row r="87" spans="1:12">
      <c r="A87" s="57" t="s">
        <v>1353</v>
      </c>
      <c r="B87" s="57" t="s">
        <v>288</v>
      </c>
      <c r="C87" s="57">
        <v>2026</v>
      </c>
      <c r="D87" s="58">
        <f>MATCH(B87,{"GENNAIO","FEBBRAIO","MARZO","APRILE","MAGGIO","GIUGNO","LUGLIO","AGOSTO","SETTEMBRE","OTTOBRE","NOVEMBRE","DICEMBRE"},0)</f>
        <v>7</v>
      </c>
      <c r="E87" s="57" t="str">
        <f t="shared" ref="E87" si="161">CONCATENATE(,B87," ",C87)</f>
        <v>LUGLIO 2026</v>
      </c>
      <c r="F87" s="57" t="str">
        <f t="shared" ref="F87:F88" si="162">CONCATENATE(D87," ",E87)</f>
        <v>7 LUGLIO 2026</v>
      </c>
      <c r="G87" s="1309" t="s">
        <v>94</v>
      </c>
      <c r="H87" s="1309" t="str">
        <f>VLOOKUP(G87,CATEGORIE!$H$3:$I$55,2,FALSE)</f>
        <v>COSTO SVAGHI</v>
      </c>
      <c r="I87" s="59">
        <v>50</v>
      </c>
      <c r="J87" s="940"/>
      <c r="K87" s="59"/>
      <c r="L87" s="59" t="s">
        <v>1345</v>
      </c>
    </row>
    <row r="88" spans="1:12">
      <c r="A88" s="57" t="s">
        <v>160</v>
      </c>
      <c r="B88" s="57" t="s">
        <v>288</v>
      </c>
      <c r="C88" s="57">
        <v>2026</v>
      </c>
      <c r="D88" s="58">
        <f>MATCH(B88,{"GENNAIO","FEBBRAIO","MARZO","APRILE","MAGGIO","GIUGNO","LUGLIO","AGOSTO","SETTEMBRE","OTTOBRE","NOVEMBRE","DICEMBRE"},0)</f>
        <v>7</v>
      </c>
      <c r="E88" s="57" t="str">
        <f t="shared" ref="E88" si="163">CONCATENATE(,B88," ",C88)</f>
        <v>LUGLIO 2026</v>
      </c>
      <c r="F88" s="57" t="str">
        <f t="shared" si="162"/>
        <v>7 LUGLIO 2026</v>
      </c>
      <c r="G88" s="1309" t="s">
        <v>111</v>
      </c>
      <c r="H88" s="1309" t="str">
        <f>VLOOKUP(G88,CATEGORIE!$H$3:$I$55,2,FALSE)</f>
        <v>COSTO MOBILITA'</v>
      </c>
      <c r="I88" s="59">
        <v>20</v>
      </c>
      <c r="J88" s="940"/>
      <c r="K88" s="59"/>
      <c r="L88" s="59" t="s">
        <v>1345</v>
      </c>
    </row>
    <row r="89" spans="1:12">
      <c r="A89" s="57" t="s">
        <v>1350</v>
      </c>
      <c r="B89" s="57" t="s">
        <v>288</v>
      </c>
      <c r="C89" s="57">
        <v>2026</v>
      </c>
      <c r="D89" s="58">
        <f>MATCH(B89,{"GENNAIO","FEBBRAIO","MARZO","APRILE","MAGGIO","GIUGNO","LUGLIO","AGOSTO","SETTEMBRE","OTTOBRE","NOVEMBRE","DICEMBRE"},0)</f>
        <v>7</v>
      </c>
      <c r="E89" s="57" t="str">
        <f t="shared" ref="E89" si="164">CONCATENATE(,B89," ",C89)</f>
        <v>LUGLIO 2026</v>
      </c>
      <c r="F89" s="57" t="str">
        <f t="shared" ref="F89" si="165">CONCATENATE(D89," ",E89)</f>
        <v>7 LUGLIO 2026</v>
      </c>
      <c r="G89" s="1309" t="s">
        <v>132</v>
      </c>
      <c r="H89" s="1309" t="str">
        <f>VLOOKUP(G89,CATEGORIE!$H$3:$I$55,2,FALSE)</f>
        <v>COSTO CASA</v>
      </c>
      <c r="I89" s="59">
        <v>90.27</v>
      </c>
      <c r="J89" s="940"/>
      <c r="K89" s="59"/>
      <c r="L89" s="59" t="s">
        <v>911</v>
      </c>
    </row>
    <row r="90" spans="1:12">
      <c r="A90" s="57" t="s">
        <v>99</v>
      </c>
      <c r="B90" s="57" t="s">
        <v>288</v>
      </c>
      <c r="C90" s="57">
        <v>2026</v>
      </c>
      <c r="D90" s="58">
        <f>MATCH(B90,{"GENNAIO","FEBBRAIO","MARZO","APRILE","MAGGIO","GIUGNO","LUGLIO","AGOSTO","SETTEMBRE","OTTOBRE","NOVEMBRE","DICEMBRE"},0)</f>
        <v>7</v>
      </c>
      <c r="E90" s="57" t="str">
        <f t="shared" ref="E90" si="166">CONCATENATE(,B90," ",C90)</f>
        <v>LUGLIO 2026</v>
      </c>
      <c r="F90" s="57" t="str">
        <f t="shared" ref="F90" si="167">CONCATENATE(D90," ",E90)</f>
        <v>7 LUGLIO 2026</v>
      </c>
      <c r="G90" s="1309" t="s">
        <v>100</v>
      </c>
      <c r="H90" s="1309" t="str">
        <f>VLOOKUP(G90,CATEGORIE!$H$3:$I$55,2,FALSE)</f>
        <v>COSTO SFIZI</v>
      </c>
      <c r="I90" s="59">
        <v>13.99</v>
      </c>
      <c r="J90" s="940"/>
      <c r="K90" s="59" t="s">
        <v>99</v>
      </c>
      <c r="L90" s="59"/>
    </row>
    <row r="91" spans="1:12">
      <c r="A91" s="57" t="s">
        <v>1346</v>
      </c>
      <c r="B91" s="57" t="s">
        <v>288</v>
      </c>
      <c r="C91" s="57">
        <v>2026</v>
      </c>
      <c r="D91" s="58">
        <f>MATCH(B91,{"GENNAIO","FEBBRAIO","MARZO","APRILE","MAGGIO","GIUGNO","LUGLIO","AGOSTO","SETTEMBRE","OTTOBRE","NOVEMBRE","DICEMBRE"},0)</f>
        <v>7</v>
      </c>
      <c r="E91" s="57" t="str">
        <f t="shared" ref="E91" si="168">CONCATENATE(,B91," ",C91)</f>
        <v>LUGLIO 2026</v>
      </c>
      <c r="F91" s="57" t="str">
        <f t="shared" ref="F91" si="169">CONCATENATE(D91," ",E91)</f>
        <v>7 LUGLIO 2026</v>
      </c>
      <c r="G91" s="1309" t="s">
        <v>96</v>
      </c>
      <c r="H91" s="1309" t="str">
        <f>VLOOKUP(G91,CATEGORIE!$H$3:$I$55,2,FALSE)</f>
        <v>COSTO SOPRAVVIVENZA</v>
      </c>
      <c r="I91" s="59">
        <v>18.760000000000002</v>
      </c>
      <c r="J91" s="940"/>
      <c r="K91" s="59"/>
      <c r="L91" s="59"/>
    </row>
    <row r="92" spans="1:12">
      <c r="A92" s="57" t="s">
        <v>1352</v>
      </c>
      <c r="B92" s="57" t="s">
        <v>288</v>
      </c>
      <c r="C92" s="57">
        <v>2026</v>
      </c>
      <c r="D92" s="58">
        <f>MATCH(B92,{"GENNAIO","FEBBRAIO","MARZO","APRILE","MAGGIO","GIUGNO","LUGLIO","AGOSTO","SETTEMBRE","OTTOBRE","NOVEMBRE","DICEMBRE"},0)</f>
        <v>7</v>
      </c>
      <c r="E92" s="57" t="str">
        <f t="shared" ref="E92" si="170">CONCATENATE(,B92," ",C92)</f>
        <v>LUGLIO 2026</v>
      </c>
      <c r="F92" s="57" t="str">
        <f t="shared" ref="F92" si="171">CONCATENATE(D92," ",E92)</f>
        <v>7 LUGLIO 2026</v>
      </c>
      <c r="G92" s="1309" t="s">
        <v>94</v>
      </c>
      <c r="H92" s="1309" t="str">
        <f>VLOOKUP(G92,CATEGORIE!$H$3:$I$55,2,FALSE)</f>
        <v>COSTO SVAGHI</v>
      </c>
      <c r="I92" s="59">
        <v>48.5</v>
      </c>
      <c r="J92" s="940"/>
      <c r="K92" s="59"/>
      <c r="L92" s="59"/>
    </row>
    <row r="93" spans="1:12">
      <c r="A93" s="57" t="s">
        <v>1351</v>
      </c>
      <c r="B93" s="57" t="s">
        <v>288</v>
      </c>
      <c r="C93" s="57">
        <v>2026</v>
      </c>
      <c r="D93" s="58">
        <f>MATCH(B93,{"GENNAIO","FEBBRAIO","MARZO","APRILE","MAGGIO","GIUGNO","LUGLIO","AGOSTO","SETTEMBRE","OTTOBRE","NOVEMBRE","DICEMBRE"},0)</f>
        <v>7</v>
      </c>
      <c r="E93" s="57" t="str">
        <f t="shared" ref="E93" si="172">CONCATENATE(,B93," ",C93)</f>
        <v>LUGLIO 2026</v>
      </c>
      <c r="F93" s="57" t="str">
        <f t="shared" ref="F93" si="173">CONCATENATE(D93," ",E93)</f>
        <v>7 LUGLIO 2026</v>
      </c>
      <c r="G93" s="1309" t="s">
        <v>94</v>
      </c>
      <c r="H93" s="1309" t="str">
        <f>VLOOKUP(G93,CATEGORIE!$H$3:$I$55,2,FALSE)</f>
        <v>COSTO SVAGHI</v>
      </c>
      <c r="I93" s="59">
        <v>5.8</v>
      </c>
      <c r="J93" s="940"/>
      <c r="K93" s="59"/>
      <c r="L93" s="59"/>
    </row>
    <row r="94" spans="1:12">
      <c r="A94" s="57" t="s">
        <v>1318</v>
      </c>
      <c r="B94" s="57" t="s">
        <v>288</v>
      </c>
      <c r="C94" s="57">
        <v>2026</v>
      </c>
      <c r="D94" s="58">
        <f>MATCH(B94,{"GENNAIO","FEBBRAIO","MARZO","APRILE","MAGGIO","GIUGNO","LUGLIO","AGOSTO","SETTEMBRE","OTTOBRE","NOVEMBRE","DICEMBRE"},0)</f>
        <v>7</v>
      </c>
      <c r="E94" s="57" t="str">
        <f t="shared" ref="E94" si="174">CONCATENATE(,B94," ",C94)</f>
        <v>LUGLIO 2026</v>
      </c>
      <c r="F94" s="57" t="str">
        <f t="shared" ref="F94" si="175">CONCATENATE(D94," ",E94)</f>
        <v>7 LUGLIO 2026</v>
      </c>
      <c r="G94" s="1309" t="s">
        <v>91</v>
      </c>
      <c r="H94" s="1309" t="str">
        <f>VLOOKUP(G94,CATEGORIE!$H$3:$I$55,2,FALSE)</f>
        <v>COSTO SOPRAVVIVENZA</v>
      </c>
      <c r="I94" s="59">
        <v>5</v>
      </c>
      <c r="J94" s="940"/>
      <c r="K94" s="59"/>
      <c r="L94" s="59"/>
    </row>
    <row r="95" spans="1:12">
      <c r="A95" s="57" t="s">
        <v>1346</v>
      </c>
      <c r="B95" s="57" t="s">
        <v>288</v>
      </c>
      <c r="C95" s="57">
        <v>2026</v>
      </c>
      <c r="D95" s="58">
        <f>MATCH(B95,{"GENNAIO","FEBBRAIO","MARZO","APRILE","MAGGIO","GIUGNO","LUGLIO","AGOSTO","SETTEMBRE","OTTOBRE","NOVEMBRE","DICEMBRE"},0)</f>
        <v>7</v>
      </c>
      <c r="E95" s="57" t="str">
        <f t="shared" ref="E95" si="176">CONCATENATE(,B95," ",C95)</f>
        <v>LUGLIO 2026</v>
      </c>
      <c r="F95" s="57" t="str">
        <f t="shared" ref="F95" si="177">CONCATENATE(D95," ",E95)</f>
        <v>7 LUGLIO 2026</v>
      </c>
      <c r="G95" s="1309" t="s">
        <v>96</v>
      </c>
      <c r="H95" s="1309" t="str">
        <f>VLOOKUP(G95,CATEGORIE!$H$3:$I$55,2,FALSE)</f>
        <v>COSTO SOPRAVVIVENZA</v>
      </c>
      <c r="I95" s="59">
        <v>3.97</v>
      </c>
      <c r="J95" s="940"/>
      <c r="K95" s="59"/>
      <c r="L95" s="59"/>
    </row>
    <row r="96" spans="1:12">
      <c r="A96" s="57" t="s">
        <v>1323</v>
      </c>
      <c r="B96" s="57" t="s">
        <v>288</v>
      </c>
      <c r="C96" s="57">
        <v>2026</v>
      </c>
      <c r="D96" s="58">
        <f>MATCH(B96,{"GENNAIO","FEBBRAIO","MARZO","APRILE","MAGGIO","GIUGNO","LUGLIO","AGOSTO","SETTEMBRE","OTTOBRE","NOVEMBRE","DICEMBRE"},0)</f>
        <v>7</v>
      </c>
      <c r="E96" s="57" t="str">
        <f t="shared" ref="E96" si="178">CONCATENATE(,B96," ",C96)</f>
        <v>LUGLIO 2026</v>
      </c>
      <c r="F96" s="57" t="str">
        <f t="shared" ref="F96" si="179">CONCATENATE(D96," ",E96)</f>
        <v>7 LUGLIO 2026</v>
      </c>
      <c r="G96" s="1309" t="s">
        <v>132</v>
      </c>
      <c r="H96" s="1309" t="str">
        <f>VLOOKUP(G96,CATEGORIE!$H$3:$I$55,2,FALSE)</f>
        <v>COSTO CASA</v>
      </c>
      <c r="I96" s="59">
        <v>6.1</v>
      </c>
      <c r="J96" s="940"/>
      <c r="K96" s="59"/>
      <c r="L96" s="59"/>
    </row>
    <row r="97" spans="1:12" ht="14.25" customHeight="1">
      <c r="A97" s="57" t="s">
        <v>95</v>
      </c>
      <c r="B97" s="57" t="s">
        <v>288</v>
      </c>
      <c r="C97" s="57">
        <v>2026</v>
      </c>
      <c r="D97" s="58">
        <f>MATCH(B97,{"GENNAIO","FEBBRAIO","MARZO","APRILE","MAGGIO","GIUGNO","LUGLIO","AGOSTO","SETTEMBRE","OTTOBRE","NOVEMBRE","DICEMBRE"},0)</f>
        <v>7</v>
      </c>
      <c r="E97" s="57" t="str">
        <f t="shared" ref="E97" si="180">CONCATENATE(,B97," ",C97)</f>
        <v>LUGLIO 2026</v>
      </c>
      <c r="F97" s="57" t="str">
        <f t="shared" ref="F97" si="181">CONCATENATE(D97," ",E97)</f>
        <v>7 LUGLIO 2026</v>
      </c>
      <c r="G97" s="1309" t="s">
        <v>96</v>
      </c>
      <c r="H97" s="1309" t="str">
        <f>VLOOKUP(G97,CATEGORIE!$H$3:$I$55,2,FALSE)</f>
        <v>COSTO SOPRAVVIVENZA</v>
      </c>
      <c r="I97" s="59">
        <v>6.47</v>
      </c>
      <c r="J97" s="940"/>
      <c r="K97" s="59"/>
      <c r="L97" s="59"/>
    </row>
    <row r="98" spans="1:12">
      <c r="A98" s="57" t="s">
        <v>1325</v>
      </c>
      <c r="B98" s="57" t="s">
        <v>288</v>
      </c>
      <c r="C98" s="57">
        <v>2026</v>
      </c>
      <c r="D98" s="58">
        <f>MATCH(B98,{"GENNAIO","FEBBRAIO","MARZO","APRILE","MAGGIO","GIUGNO","LUGLIO","AGOSTO","SETTEMBRE","OTTOBRE","NOVEMBRE","DICEMBRE"},0)</f>
        <v>7</v>
      </c>
      <c r="E98" s="57" t="str">
        <f t="shared" ref="E98" si="182">CONCATENATE(,B98," ",C98)</f>
        <v>LUGLIO 2026</v>
      </c>
      <c r="F98" s="57" t="str">
        <f t="shared" ref="F98" si="183">CONCATENATE(D98," ",E98)</f>
        <v>7 LUGLIO 2026</v>
      </c>
      <c r="G98" s="1309" t="s">
        <v>94</v>
      </c>
      <c r="H98" s="1309" t="str">
        <f>VLOOKUP(G98,CATEGORIE!$H$3:$I$55,2,FALSE)</f>
        <v>COSTO SVAGHI</v>
      </c>
      <c r="I98" s="59">
        <v>11.9</v>
      </c>
      <c r="J98" s="57"/>
      <c r="K98" s="57"/>
      <c r="L98" s="59"/>
    </row>
    <row r="99" spans="1:12">
      <c r="A99" s="57" t="s">
        <v>1343</v>
      </c>
      <c r="B99" s="57" t="s">
        <v>288</v>
      </c>
      <c r="C99" s="57">
        <v>2026</v>
      </c>
      <c r="D99" s="58">
        <f>MATCH(B99,{"GENNAIO","FEBBRAIO","MARZO","APRILE","MAGGIO","GIUGNO","LUGLIO","AGOSTO","SETTEMBRE","OTTOBRE","NOVEMBRE","DICEMBRE"},0)</f>
        <v>7</v>
      </c>
      <c r="E99" s="57" t="str">
        <f t="shared" ref="E99" si="184">CONCATENATE(,B99," ",C99)</f>
        <v>LUGLIO 2026</v>
      </c>
      <c r="F99" s="57" t="str">
        <f t="shared" ref="F99" si="185">CONCATENATE(D99," ",E99)</f>
        <v>7 LUGLIO 2026</v>
      </c>
      <c r="G99" s="1309" t="s">
        <v>163</v>
      </c>
      <c r="H99" s="1309" t="str">
        <f>VLOOKUP(G99,CATEGORIE!$H$3:$I$55,2,FALSE)</f>
        <v>COSTO SVAGHI</v>
      </c>
      <c r="I99" s="59">
        <v>14.49</v>
      </c>
      <c r="J99" s="940"/>
      <c r="K99" s="59"/>
      <c r="L99" s="59"/>
    </row>
    <row r="100" spans="1:12">
      <c r="A100" s="57" t="s">
        <v>97</v>
      </c>
      <c r="B100" s="57" t="s">
        <v>288</v>
      </c>
      <c r="C100" s="57">
        <v>2026</v>
      </c>
      <c r="D100" s="58">
        <f>MATCH(B100,{"GENNAIO","FEBBRAIO","MARZO","APRILE","MAGGIO","GIUGNO","LUGLIO","AGOSTO","SETTEMBRE","OTTOBRE","NOVEMBRE","DICEMBRE"},0)</f>
        <v>7</v>
      </c>
      <c r="E100" s="57" t="str">
        <f t="shared" ref="E100" si="186">CONCATENATE(,B100," ",C100)</f>
        <v>LUGLIO 2026</v>
      </c>
      <c r="F100" s="57" t="str">
        <f t="shared" ref="F100" si="187">CONCATENATE(D100," ",E100)</f>
        <v>7 LUGLIO 2026</v>
      </c>
      <c r="G100" s="1309" t="s">
        <v>789</v>
      </c>
      <c r="H100" s="1309" t="str">
        <f>VLOOKUP(G100,CATEGORIE!$H$3:$I$55,2,FALSE)</f>
        <v>MOVIMENTI CONTO</v>
      </c>
      <c r="I100" s="59">
        <v>50</v>
      </c>
      <c r="J100" s="940"/>
      <c r="K100" s="59" t="s">
        <v>97</v>
      </c>
      <c r="L100" s="59"/>
    </row>
    <row r="101" spans="1:12">
      <c r="A101" s="57" t="s">
        <v>1349</v>
      </c>
      <c r="B101" s="57" t="s">
        <v>288</v>
      </c>
      <c r="C101" s="57">
        <v>2026</v>
      </c>
      <c r="D101" s="58">
        <f>MATCH(B101,{"GENNAIO","FEBBRAIO","MARZO","APRILE","MAGGIO","GIUGNO","LUGLIO","AGOSTO","SETTEMBRE","OTTOBRE","NOVEMBRE","DICEMBRE"},0)</f>
        <v>7</v>
      </c>
      <c r="E101" s="57" t="str">
        <f t="shared" ref="E101" si="188">CONCATENATE(,B101," ",C101)</f>
        <v>LUGLIO 2026</v>
      </c>
      <c r="F101" s="57" t="str">
        <f t="shared" ref="F101" si="189">CONCATENATE(D101," ",E101)</f>
        <v>7 LUGLIO 2026</v>
      </c>
      <c r="G101" s="1309" t="s">
        <v>94</v>
      </c>
      <c r="H101" s="1309" t="str">
        <f>VLOOKUP(G101,CATEGORIE!$H$3:$I$55,2,FALSE)</f>
        <v>COSTO SVAGHI</v>
      </c>
      <c r="I101" s="59">
        <v>6.5</v>
      </c>
      <c r="J101" s="940"/>
      <c r="K101" s="59"/>
      <c r="L101" s="59"/>
    </row>
    <row r="102" spans="1:12">
      <c r="A102" s="57" t="s">
        <v>464</v>
      </c>
      <c r="B102" s="57" t="s">
        <v>288</v>
      </c>
      <c r="C102" s="57">
        <v>2026</v>
      </c>
      <c r="D102" s="58">
        <f>MATCH(B102,{"GENNAIO","FEBBRAIO","MARZO","APRILE","MAGGIO","GIUGNO","LUGLIO","AGOSTO","SETTEMBRE","OTTOBRE","NOVEMBRE","DICEMBRE"},0)</f>
        <v>7</v>
      </c>
      <c r="E102" s="57" t="str">
        <f t="shared" ref="E102" si="190">CONCATENATE(,B102," ",C102)</f>
        <v>LUGLIO 2026</v>
      </c>
      <c r="F102" s="57" t="str">
        <f t="shared" ref="F102" si="191">CONCATENATE(D102," ",E102)</f>
        <v>7 LUGLIO 2026</v>
      </c>
      <c r="G102" s="1309" t="s">
        <v>94</v>
      </c>
      <c r="H102" s="1309" t="str">
        <f>VLOOKUP(G102,CATEGORIE!$H$3:$I$55,2,FALSE)</f>
        <v>COSTO SVAGHI</v>
      </c>
      <c r="I102" s="59">
        <v>23</v>
      </c>
      <c r="J102" s="940"/>
      <c r="K102" s="59"/>
      <c r="L102" s="59"/>
    </row>
    <row r="103" spans="1:12">
      <c r="A103" s="57" t="s">
        <v>310</v>
      </c>
      <c r="B103" s="57" t="s">
        <v>288</v>
      </c>
      <c r="C103" s="57">
        <v>2026</v>
      </c>
      <c r="D103" s="58">
        <f>MATCH(B103,{"GENNAIO","FEBBRAIO","MARZO","APRILE","MAGGIO","GIUGNO","LUGLIO","AGOSTO","SETTEMBRE","OTTOBRE","NOVEMBRE","DICEMBRE"},0)</f>
        <v>7</v>
      </c>
      <c r="E103" s="57" t="str">
        <f t="shared" ref="E103" si="192">CONCATENATE(,B103," ",C103)</f>
        <v>LUGLIO 2026</v>
      </c>
      <c r="F103" s="57" t="str">
        <f t="shared" ref="F103" si="193">CONCATENATE(D103," ",E103)</f>
        <v>7 LUGLIO 2026</v>
      </c>
      <c r="G103" s="1309" t="s">
        <v>94</v>
      </c>
      <c r="H103" s="1309" t="str">
        <f>VLOOKUP(G103,CATEGORIE!$H$3:$I$55,2,FALSE)</f>
        <v>COSTO SVAGHI</v>
      </c>
      <c r="I103" s="59">
        <v>5</v>
      </c>
      <c r="J103" s="940"/>
      <c r="K103" s="59"/>
      <c r="L103" s="59"/>
    </row>
    <row r="104" spans="1:12">
      <c r="A104" s="57" t="s">
        <v>310</v>
      </c>
      <c r="B104" s="57" t="s">
        <v>288</v>
      </c>
      <c r="C104" s="57">
        <v>2026</v>
      </c>
      <c r="D104" s="58">
        <f>MATCH(B104,{"GENNAIO","FEBBRAIO","MARZO","APRILE","MAGGIO","GIUGNO","LUGLIO","AGOSTO","SETTEMBRE","OTTOBRE","NOVEMBRE","DICEMBRE"},0)</f>
        <v>7</v>
      </c>
      <c r="E104" s="57" t="str">
        <f t="shared" ref="E104" si="194">CONCATENATE(,B104," ",C104)</f>
        <v>LUGLIO 2026</v>
      </c>
      <c r="F104" s="57" t="str">
        <f t="shared" ref="F104" si="195">CONCATENATE(D104," ",E104)</f>
        <v>7 LUGLIO 2026</v>
      </c>
      <c r="G104" s="1309" t="s">
        <v>94</v>
      </c>
      <c r="H104" s="1309" t="str">
        <f>VLOOKUP(G104,CATEGORIE!$H$3:$I$55,2,FALSE)</f>
        <v>COSTO SVAGHI</v>
      </c>
      <c r="I104" s="59">
        <v>60</v>
      </c>
      <c r="J104" s="940"/>
      <c r="K104" s="59"/>
      <c r="L104" s="59"/>
    </row>
    <row r="105" spans="1:12">
      <c r="A105" s="57" t="s">
        <v>1348</v>
      </c>
      <c r="B105" s="57" t="s">
        <v>288</v>
      </c>
      <c r="C105" s="57">
        <v>2026</v>
      </c>
      <c r="D105" s="58">
        <f>MATCH(B105,{"GENNAIO","FEBBRAIO","MARZO","APRILE","MAGGIO","GIUGNO","LUGLIO","AGOSTO","SETTEMBRE","OTTOBRE","NOVEMBRE","DICEMBRE"},0)</f>
        <v>7</v>
      </c>
      <c r="E105" s="57" t="str">
        <f t="shared" ref="E105" si="196">CONCATENATE(,B105," ",C105)</f>
        <v>LUGLIO 2026</v>
      </c>
      <c r="F105" s="57" t="str">
        <f t="shared" ref="F105" si="197">CONCATENATE(D105," ",E105)</f>
        <v>7 LUGLIO 2026</v>
      </c>
      <c r="G105" s="1309" t="s">
        <v>185</v>
      </c>
      <c r="H105" s="1309" t="str">
        <f>VLOOKUP(G105,CATEGORIE!$H$3:$I$55,2,FALSE)</f>
        <v>COSTO SFIZI</v>
      </c>
      <c r="I105" s="59">
        <v>34.9</v>
      </c>
      <c r="J105" s="940"/>
      <c r="K105" s="59"/>
      <c r="L105" s="59"/>
    </row>
    <row r="106" spans="1:12">
      <c r="A106" s="57" t="s">
        <v>298</v>
      </c>
      <c r="B106" s="57" t="s">
        <v>288</v>
      </c>
      <c r="C106" s="57">
        <v>2026</v>
      </c>
      <c r="D106" s="58">
        <f>MATCH(B106,{"GENNAIO","FEBBRAIO","MARZO","APRILE","MAGGIO","GIUGNO","LUGLIO","AGOSTO","SETTEMBRE","OTTOBRE","NOVEMBRE","DICEMBRE"},0)</f>
        <v>7</v>
      </c>
      <c r="E106" s="57" t="str">
        <f t="shared" ref="E106" si="198">CONCATENATE(,B106," ",C106)</f>
        <v>LUGLIO 2026</v>
      </c>
      <c r="F106" s="57" t="str">
        <f t="shared" ref="F106" si="199">CONCATENATE(D106," ",E106)</f>
        <v>7 LUGLIO 2026</v>
      </c>
      <c r="G106" s="1309" t="s">
        <v>185</v>
      </c>
      <c r="H106" s="1309" t="str">
        <f>VLOOKUP(G106,CATEGORIE!$H$3:$I$55,2,FALSE)</f>
        <v>COSTO SFIZI</v>
      </c>
      <c r="I106" s="59">
        <v>23.99</v>
      </c>
      <c r="J106" s="940"/>
      <c r="K106" s="59"/>
      <c r="L106" s="59"/>
    </row>
    <row r="107" spans="1:12">
      <c r="A107" s="57" t="s">
        <v>1347</v>
      </c>
      <c r="B107" s="57" t="s">
        <v>288</v>
      </c>
      <c r="C107" s="57">
        <v>2026</v>
      </c>
      <c r="D107" s="58">
        <f>MATCH(B107,{"GENNAIO","FEBBRAIO","MARZO","APRILE","MAGGIO","GIUGNO","LUGLIO","AGOSTO","SETTEMBRE","OTTOBRE","NOVEMBRE","DICEMBRE"},0)</f>
        <v>7</v>
      </c>
      <c r="E107" s="57" t="str">
        <f t="shared" ref="E107" si="200">CONCATENATE(,B107," ",C107)</f>
        <v>LUGLIO 2026</v>
      </c>
      <c r="F107" s="57" t="str">
        <f t="shared" ref="F107" si="201">CONCATENATE(D107," ",E107)</f>
        <v>7 LUGLIO 2026</v>
      </c>
      <c r="G107" s="1309" t="s">
        <v>94</v>
      </c>
      <c r="H107" s="1309" t="str">
        <f>VLOOKUP(G107,CATEGORIE!$H$3:$I$55,2,FALSE)</f>
        <v>COSTO SVAGHI</v>
      </c>
      <c r="I107" s="59">
        <v>10.3</v>
      </c>
      <c r="J107" s="940"/>
      <c r="K107" s="59"/>
      <c r="L107" s="59"/>
    </row>
    <row r="108" spans="1:12">
      <c r="A108" s="57" t="s">
        <v>99</v>
      </c>
      <c r="B108" s="57" t="s">
        <v>288</v>
      </c>
      <c r="C108" s="57">
        <v>2026</v>
      </c>
      <c r="D108" s="58">
        <f>MATCH(B108,{"GENNAIO","FEBBRAIO","MARZO","APRILE","MAGGIO","GIUGNO","LUGLIO","AGOSTO","SETTEMBRE","OTTOBRE","NOVEMBRE","DICEMBRE"},0)</f>
        <v>7</v>
      </c>
      <c r="E108" s="57" t="str">
        <f t="shared" ref="E108" si="202">CONCATENATE(,B108," ",C108)</f>
        <v>LUGLIO 2026</v>
      </c>
      <c r="F108" s="57" t="str">
        <f t="shared" ref="F108" si="203">CONCATENATE(D108," ",E108)</f>
        <v>7 LUGLIO 2026</v>
      </c>
      <c r="G108" s="1309" t="s">
        <v>100</v>
      </c>
      <c r="H108" s="1309" t="str">
        <f>VLOOKUP(G108,CATEGORIE!$H$3:$I$55,2,FALSE)</f>
        <v>COSTO SFIZI</v>
      </c>
      <c r="I108" s="59">
        <v>52.79</v>
      </c>
      <c r="J108" s="940"/>
      <c r="K108" s="59" t="s">
        <v>99</v>
      </c>
      <c r="L108" s="59"/>
    </row>
    <row r="109" spans="1:12">
      <c r="A109" s="57" t="s">
        <v>1322</v>
      </c>
      <c r="B109" s="57" t="s">
        <v>288</v>
      </c>
      <c r="C109" s="57">
        <v>2026</v>
      </c>
      <c r="D109" s="58">
        <f>MATCH(B109,{"GENNAIO","FEBBRAIO","MARZO","APRILE","MAGGIO","GIUGNO","LUGLIO","AGOSTO","SETTEMBRE","OTTOBRE","NOVEMBRE","DICEMBRE"},0)</f>
        <v>7</v>
      </c>
      <c r="E109" s="57" t="str">
        <f t="shared" ref="E109" si="204">CONCATENATE(,B109," ",C109)</f>
        <v>LUGLIO 2026</v>
      </c>
      <c r="F109" s="57" t="str">
        <f t="shared" ref="F109" si="205">CONCATENATE(D109," ",E109)</f>
        <v>7 LUGLIO 2026</v>
      </c>
      <c r="G109" s="1309" t="s">
        <v>94</v>
      </c>
      <c r="H109" s="1309" t="str">
        <f>VLOOKUP(G109,CATEGORIE!$H$3:$I$55,2,FALSE)</f>
        <v>COSTO SVAGHI</v>
      </c>
      <c r="I109" s="59">
        <v>11.4</v>
      </c>
      <c r="J109" s="940"/>
      <c r="K109" s="59"/>
      <c r="L109" s="59"/>
    </row>
    <row r="110" spans="1:12">
      <c r="A110" s="57" t="s">
        <v>99</v>
      </c>
      <c r="B110" s="57" t="s">
        <v>288</v>
      </c>
      <c r="C110" s="57">
        <v>2026</v>
      </c>
      <c r="D110" s="58">
        <f>MATCH(B110,{"GENNAIO","FEBBRAIO","MARZO","APRILE","MAGGIO","GIUGNO","LUGLIO","AGOSTO","SETTEMBRE","OTTOBRE","NOVEMBRE","DICEMBRE"},0)</f>
        <v>7</v>
      </c>
      <c r="E110" s="57" t="str">
        <f t="shared" ref="E110" si="206">CONCATENATE(,B110," ",C110)</f>
        <v>LUGLIO 2026</v>
      </c>
      <c r="F110" s="57" t="str">
        <f t="shared" ref="F110" si="207">CONCATENATE(D110," ",E110)</f>
        <v>7 LUGLIO 2026</v>
      </c>
      <c r="G110" s="1309" t="s">
        <v>108</v>
      </c>
      <c r="H110" s="1309" t="str">
        <f>VLOOKUP(G110,CATEGORIE!$H$3:$I$55,2,FALSE)</f>
        <v>COSTO SFIZI</v>
      </c>
      <c r="I110" s="59">
        <v>23.42</v>
      </c>
      <c r="J110" s="940"/>
      <c r="K110" s="59"/>
      <c r="L110" s="59"/>
    </row>
    <row r="111" spans="1:12">
      <c r="A111" s="57" t="s">
        <v>1346</v>
      </c>
      <c r="B111" s="57" t="s">
        <v>288</v>
      </c>
      <c r="C111" s="57">
        <v>2026</v>
      </c>
      <c r="D111" s="58">
        <f>MATCH(B111,{"GENNAIO","FEBBRAIO","MARZO","APRILE","MAGGIO","GIUGNO","LUGLIO","AGOSTO","SETTEMBRE","OTTOBRE","NOVEMBRE","DICEMBRE"},0)</f>
        <v>7</v>
      </c>
      <c r="E111" s="57" t="str">
        <f t="shared" ref="E111" si="208">CONCATENATE(,B111," ",C111)</f>
        <v>LUGLIO 2026</v>
      </c>
      <c r="F111" s="57" t="str">
        <f t="shared" ref="F111" si="209">CONCATENATE(D111," ",E111)</f>
        <v>7 LUGLIO 2026</v>
      </c>
      <c r="G111" s="1309" t="s">
        <v>96</v>
      </c>
      <c r="H111" s="1309" t="str">
        <f>VLOOKUP(G111,CATEGORIE!$H$3:$I$55,2,FALSE)</f>
        <v>COSTO SOPRAVVIVENZA</v>
      </c>
      <c r="I111" s="59">
        <v>8.94</v>
      </c>
      <c r="J111" s="940"/>
      <c r="K111" s="59"/>
      <c r="L111" s="59"/>
    </row>
    <row r="112" spans="1:12">
      <c r="A112" s="57" t="s">
        <v>1318</v>
      </c>
      <c r="B112" s="57" t="s">
        <v>288</v>
      </c>
      <c r="C112" s="57">
        <v>2026</v>
      </c>
      <c r="D112" s="58">
        <f>MATCH(B112,{"GENNAIO","FEBBRAIO","MARZO","APRILE","MAGGIO","GIUGNO","LUGLIO","AGOSTO","SETTEMBRE","OTTOBRE","NOVEMBRE","DICEMBRE"},0)</f>
        <v>7</v>
      </c>
      <c r="E112" s="57" t="str">
        <f t="shared" ref="E112" si="210">CONCATENATE(,B112," ",C112)</f>
        <v>LUGLIO 2026</v>
      </c>
      <c r="F112" s="57" t="str">
        <f t="shared" ref="F112" si="211">CONCATENATE(D112," ",E112)</f>
        <v>7 LUGLIO 2026</v>
      </c>
      <c r="G112" s="1309" t="s">
        <v>91</v>
      </c>
      <c r="H112" s="1309" t="str">
        <f>VLOOKUP(G112,CATEGORIE!$H$3:$I$55,2,FALSE)</f>
        <v>COSTO SOPRAVVIVENZA</v>
      </c>
      <c r="I112" s="59">
        <v>5</v>
      </c>
      <c r="J112" s="940"/>
      <c r="K112" s="59"/>
      <c r="L112" s="59"/>
    </row>
    <row r="113" spans="1:12">
      <c r="A113" s="57" t="s">
        <v>99</v>
      </c>
      <c r="B113" s="57" t="s">
        <v>288</v>
      </c>
      <c r="C113" s="57">
        <v>2026</v>
      </c>
      <c r="D113" s="58">
        <f>MATCH(B113,{"GENNAIO","FEBBRAIO","MARZO","APRILE","MAGGIO","GIUGNO","LUGLIO","AGOSTO","SETTEMBRE","OTTOBRE","NOVEMBRE","DICEMBRE"},0)</f>
        <v>7</v>
      </c>
      <c r="E113" s="57" t="str">
        <f t="shared" ref="E113" si="212">CONCATENATE(,B113," ",C113)</f>
        <v>LUGLIO 2026</v>
      </c>
      <c r="F113" s="57" t="str">
        <f t="shared" ref="F113" si="213">CONCATENATE(D113," ",E113)</f>
        <v>7 LUGLIO 2026</v>
      </c>
      <c r="G113" s="1309" t="s">
        <v>108</v>
      </c>
      <c r="H113" s="1309" t="str">
        <f>VLOOKUP(G113,CATEGORIE!$H$3:$I$55,2,FALSE)</f>
        <v>COSTO SFIZI</v>
      </c>
      <c r="I113" s="59">
        <v>72</v>
      </c>
      <c r="J113" s="940"/>
      <c r="K113" s="59" t="s">
        <v>99</v>
      </c>
      <c r="L113" s="59"/>
    </row>
    <row r="114" spans="1:12">
      <c r="A114" s="57" t="s">
        <v>464</v>
      </c>
      <c r="B114" s="57" t="s">
        <v>288</v>
      </c>
      <c r="C114" s="57">
        <v>2026</v>
      </c>
      <c r="D114" s="58">
        <f>MATCH(B114,{"GENNAIO","FEBBRAIO","MARZO","APRILE","MAGGIO","GIUGNO","LUGLIO","AGOSTO","SETTEMBRE","OTTOBRE","NOVEMBRE","DICEMBRE"},0)</f>
        <v>7</v>
      </c>
      <c r="E114" s="57" t="str">
        <f t="shared" ref="E114" si="214">CONCATENATE(,B114," ",C114)</f>
        <v>LUGLIO 2026</v>
      </c>
      <c r="F114" s="57" t="str">
        <f t="shared" ref="F114" si="215">CONCATENATE(D114," ",E114)</f>
        <v>7 LUGLIO 2026</v>
      </c>
      <c r="G114" s="1309" t="s">
        <v>94</v>
      </c>
      <c r="H114" s="1309" t="str">
        <f>VLOOKUP(G114,CATEGORIE!$H$3:$I$55,2,FALSE)</f>
        <v>COSTO SVAGHI</v>
      </c>
      <c r="I114" s="59">
        <v>20.3</v>
      </c>
      <c r="J114" s="940"/>
      <c r="K114" s="59"/>
      <c r="L114" s="59"/>
    </row>
    <row r="115" spans="1:12">
      <c r="A115" s="57" t="s">
        <v>528</v>
      </c>
      <c r="B115" s="57" t="s">
        <v>288</v>
      </c>
      <c r="C115" s="57">
        <v>2026</v>
      </c>
      <c r="D115" s="58">
        <f>MATCH(B115,{"GENNAIO","FEBBRAIO","MARZO","APRILE","MAGGIO","GIUGNO","LUGLIO","AGOSTO","SETTEMBRE","OTTOBRE","NOVEMBRE","DICEMBRE"},0)</f>
        <v>7</v>
      </c>
      <c r="E115" s="57" t="str">
        <f t="shared" ref="E115" si="216">CONCATENATE(,B115," ",C115)</f>
        <v>LUGLIO 2026</v>
      </c>
      <c r="F115" s="57" t="str">
        <f t="shared" ref="F115" si="217">CONCATENATE(D115," ",E115)</f>
        <v>7 LUGLIO 2026</v>
      </c>
      <c r="G115" s="1309" t="s">
        <v>94</v>
      </c>
      <c r="H115" s="1309" t="str">
        <f>VLOOKUP(G115,CATEGORIE!$H$3:$I$55,2,FALSE)</f>
        <v>COSTO SVAGHI</v>
      </c>
      <c r="I115" s="59">
        <v>33.5</v>
      </c>
      <c r="J115" s="940"/>
      <c r="K115" s="59"/>
      <c r="L115" s="59"/>
    </row>
    <row r="116" spans="1:12">
      <c r="A116" s="57" t="s">
        <v>130</v>
      </c>
      <c r="B116" s="57" t="s">
        <v>288</v>
      </c>
      <c r="C116" s="57">
        <v>2026</v>
      </c>
      <c r="D116" s="58">
        <f>MATCH(B116,{"GENNAIO","FEBBRAIO","MARZO","APRILE","MAGGIO","GIUGNO","LUGLIO","AGOSTO","SETTEMBRE","OTTOBRE","NOVEMBRE","DICEMBRE"},0)</f>
        <v>7</v>
      </c>
      <c r="E116" s="57" t="str">
        <f t="shared" ref="E116" si="218">CONCATENATE(,B116," ",C116)</f>
        <v>LUGLIO 2026</v>
      </c>
      <c r="F116" s="57" t="str">
        <f t="shared" ref="F116" si="219">CONCATENATE(D116," ",E116)</f>
        <v>7 LUGLIO 2026</v>
      </c>
      <c r="G116" s="1309" t="s">
        <v>94</v>
      </c>
      <c r="H116" s="1309" t="str">
        <f>VLOOKUP(G116,CATEGORIE!$H$3:$I$55,2,FALSE)</f>
        <v>COSTO SVAGHI</v>
      </c>
      <c r="I116" s="59">
        <v>13.5</v>
      </c>
      <c r="J116" s="940"/>
      <c r="K116" s="59"/>
      <c r="L116" s="59"/>
    </row>
    <row r="117" spans="1:12">
      <c r="A117" s="57" t="s">
        <v>187</v>
      </c>
      <c r="B117" s="57" t="s">
        <v>288</v>
      </c>
      <c r="C117" s="57">
        <v>2026</v>
      </c>
      <c r="D117" s="58">
        <f>MATCH(B117,{"GENNAIO","FEBBRAIO","MARZO","APRILE","MAGGIO","GIUGNO","LUGLIO","AGOSTO","SETTEMBRE","OTTOBRE","NOVEMBRE","DICEMBRE"},0)</f>
        <v>7</v>
      </c>
      <c r="E117" s="57" t="str">
        <f t="shared" ref="E117" si="220">CONCATENATE(,B117," ",C117)</f>
        <v>LUGLIO 2026</v>
      </c>
      <c r="F117" s="57" t="str">
        <f t="shared" ref="F117" si="221">CONCATENATE(D117," ",E117)</f>
        <v>7 LUGLIO 2026</v>
      </c>
      <c r="G117" s="1309" t="s">
        <v>188</v>
      </c>
      <c r="H117" s="1309" t="str">
        <f>VLOOKUP(G117,CATEGORIE!$H$3:$I$104,2,FALSE)</f>
        <v>COSTO VACANZE</v>
      </c>
      <c r="I117" s="59">
        <v>758.33</v>
      </c>
      <c r="J117" s="940"/>
      <c r="K117" s="59"/>
      <c r="L117" s="59" t="s">
        <v>1345</v>
      </c>
    </row>
    <row r="118" spans="1:12">
      <c r="A118" s="57" t="s">
        <v>533</v>
      </c>
      <c r="B118" s="57" t="s">
        <v>288</v>
      </c>
      <c r="C118" s="57">
        <v>2026</v>
      </c>
      <c r="D118" s="58">
        <f>MATCH(B118,{"GENNAIO","FEBBRAIO","MARZO","APRILE","MAGGIO","GIUGNO","LUGLIO","AGOSTO","SETTEMBRE","OTTOBRE","NOVEMBRE","DICEMBRE"},0)</f>
        <v>7</v>
      </c>
      <c r="E118" s="57" t="str">
        <f t="shared" ref="E118" si="222">CONCATENATE(,B118," ",C118)</f>
        <v>LUGLIO 2026</v>
      </c>
      <c r="F118" s="57" t="str">
        <f t="shared" ref="F118" si="223">CONCATENATE(D118," ",E118)</f>
        <v>7 LUGLIO 2026</v>
      </c>
      <c r="G118" s="1309" t="s">
        <v>94</v>
      </c>
      <c r="H118" s="1309" t="str">
        <f>VLOOKUP(G118,CATEGORIE!$H$3:$I$55,2,FALSE)</f>
        <v>COSTO SVAGHI</v>
      </c>
      <c r="I118" s="59">
        <v>3.5</v>
      </c>
      <c r="J118" s="57"/>
      <c r="K118" s="57"/>
      <c r="L118" s="59"/>
    </row>
    <row r="119" spans="1:12">
      <c r="A119" s="57" t="s">
        <v>533</v>
      </c>
      <c r="B119" s="57" t="s">
        <v>288</v>
      </c>
      <c r="C119" s="57">
        <v>2026</v>
      </c>
      <c r="D119" s="58">
        <f>MATCH(B119,{"GENNAIO","FEBBRAIO","MARZO","APRILE","MAGGIO","GIUGNO","LUGLIO","AGOSTO","SETTEMBRE","OTTOBRE","NOVEMBRE","DICEMBRE"},0)</f>
        <v>7</v>
      </c>
      <c r="E119" s="57" t="str">
        <f t="shared" ref="E119" si="224">CONCATENATE(,B119," ",C119)</f>
        <v>LUGLIO 2026</v>
      </c>
      <c r="F119" s="57" t="str">
        <f t="shared" ref="F119" si="225">CONCATENATE(D119," ",E119)</f>
        <v>7 LUGLIO 2026</v>
      </c>
      <c r="G119" s="1309" t="s">
        <v>94</v>
      </c>
      <c r="H119" s="1309" t="str">
        <f>VLOOKUP(G119,CATEGORIE!$H$3:$I$55,2,FALSE)</f>
        <v>COSTO SVAGHI</v>
      </c>
      <c r="I119" s="59">
        <v>5.8</v>
      </c>
      <c r="J119" s="57"/>
      <c r="K119" s="57"/>
      <c r="L119" s="59"/>
    </row>
    <row r="120" spans="1:12">
      <c r="A120" s="57" t="s">
        <v>524</v>
      </c>
      <c r="B120" s="57" t="s">
        <v>288</v>
      </c>
      <c r="C120" s="57">
        <v>2026</v>
      </c>
      <c r="D120" s="58">
        <f>MATCH(B120,{"GENNAIO","FEBBRAIO","MARZO","APRILE","MAGGIO","GIUGNO","LUGLIO","AGOSTO","SETTEMBRE","OTTOBRE","NOVEMBRE","DICEMBRE"},0)</f>
        <v>7</v>
      </c>
      <c r="E120" s="57" t="str">
        <f t="shared" ref="E120" si="226">CONCATENATE(,B120," ",C120)</f>
        <v>LUGLIO 2026</v>
      </c>
      <c r="F120" s="57" t="str">
        <f t="shared" ref="F120" si="227">CONCATENATE(D120," ",E120)</f>
        <v>7 LUGLIO 2026</v>
      </c>
      <c r="G120" s="1309" t="s">
        <v>94</v>
      </c>
      <c r="H120" s="1309" t="str">
        <f>VLOOKUP(G120,CATEGORIE!$H$3:$I$55,2,FALSE)</f>
        <v>COSTO SVAGHI</v>
      </c>
      <c r="I120" s="59">
        <v>37</v>
      </c>
      <c r="J120" s="57"/>
      <c r="K120" s="57"/>
      <c r="L120" s="59"/>
    </row>
    <row r="121" spans="1:12">
      <c r="A121" s="57" t="s">
        <v>92</v>
      </c>
      <c r="B121" s="57" t="s">
        <v>288</v>
      </c>
      <c r="C121" s="57">
        <v>2026</v>
      </c>
      <c r="D121" s="58">
        <f>MATCH(B121,{"GENNAIO","FEBBRAIO","MARZO","APRILE","MAGGIO","GIUGNO","LUGLIO","AGOSTO","SETTEMBRE","OTTOBRE","NOVEMBRE","DICEMBRE"},0)</f>
        <v>7</v>
      </c>
      <c r="E121" s="57" t="str">
        <f t="shared" ref="E121" si="228">CONCATENATE(,B121," ",C121)</f>
        <v>LUGLIO 2026</v>
      </c>
      <c r="F121" s="57" t="str">
        <f t="shared" ref="F121" si="229">CONCATENATE(D121," ",E121)</f>
        <v>7 LUGLIO 2026</v>
      </c>
      <c r="G121" s="1309" t="s">
        <v>94</v>
      </c>
      <c r="H121" s="1309" t="str">
        <f>VLOOKUP(G121,CATEGORIE!$H$3:$I$55,2,FALSE)</f>
        <v>COSTO SVAGHI</v>
      </c>
      <c r="I121" s="59">
        <v>24</v>
      </c>
      <c r="J121" s="57"/>
      <c r="K121" s="57"/>
      <c r="L121" s="59"/>
    </row>
    <row r="122" spans="1:12">
      <c r="A122" s="57" t="s">
        <v>99</v>
      </c>
      <c r="B122" s="57" t="s">
        <v>288</v>
      </c>
      <c r="C122" s="57">
        <v>2026</v>
      </c>
      <c r="D122" s="58">
        <f>MATCH(B122,{"GENNAIO","FEBBRAIO","MARZO","APRILE","MAGGIO","GIUGNO","LUGLIO","AGOSTO","SETTEMBRE","OTTOBRE","NOVEMBRE","DICEMBRE"},0)</f>
        <v>7</v>
      </c>
      <c r="E122" s="57" t="str">
        <f t="shared" ref="E122" si="230">CONCATENATE(,B122," ",C122)</f>
        <v>LUGLIO 2026</v>
      </c>
      <c r="F122" s="57" t="str">
        <f t="shared" ref="F122" si="231">CONCATENATE(D122," ",E122)</f>
        <v>7 LUGLIO 2026</v>
      </c>
      <c r="G122" s="1309" t="s">
        <v>100</v>
      </c>
      <c r="H122" s="1309" t="str">
        <f>VLOOKUP(G122,CATEGORIE!$H$3:$I$55,2,FALSE)</f>
        <v>COSTO SFIZI</v>
      </c>
      <c r="I122" s="59">
        <v>73.8</v>
      </c>
      <c r="J122" s="940" t="s">
        <v>197</v>
      </c>
      <c r="K122" s="59" t="s">
        <v>99</v>
      </c>
      <c r="L122" s="59" t="s">
        <v>1317</v>
      </c>
    </row>
    <row r="123" spans="1:12">
      <c r="A123" s="57" t="s">
        <v>99</v>
      </c>
      <c r="B123" s="57" t="s">
        <v>288</v>
      </c>
      <c r="C123" s="57">
        <v>2026</v>
      </c>
      <c r="D123" s="58">
        <f>MATCH(B123,{"GENNAIO","FEBBRAIO","MARZO","APRILE","MAGGIO","GIUGNO","LUGLIO","AGOSTO","SETTEMBRE","OTTOBRE","NOVEMBRE","DICEMBRE"},0)</f>
        <v>7</v>
      </c>
      <c r="E123" s="57" t="str">
        <f t="shared" ref="E123" si="232">CONCATENATE(,B123," ",C123)</f>
        <v>LUGLIO 2026</v>
      </c>
      <c r="F123" s="57" t="str">
        <f t="shared" ref="F123" si="233">CONCATENATE(D123," ",E123)</f>
        <v>7 LUGLIO 2026</v>
      </c>
      <c r="G123" s="1309" t="s">
        <v>100</v>
      </c>
      <c r="H123" s="1309" t="str">
        <f>VLOOKUP(G123,CATEGORIE!$H$3:$I$55,2,FALSE)</f>
        <v>COSTO SFIZI</v>
      </c>
      <c r="I123" s="59">
        <v>45.75</v>
      </c>
      <c r="J123" s="940" t="s">
        <v>145</v>
      </c>
      <c r="K123" s="59" t="s">
        <v>99</v>
      </c>
      <c r="L123" s="59" t="s">
        <v>1344</v>
      </c>
    </row>
    <row r="124" spans="1:12">
      <c r="A124" s="57" t="s">
        <v>95</v>
      </c>
      <c r="B124" s="57" t="s">
        <v>288</v>
      </c>
      <c r="C124" s="57">
        <v>2026</v>
      </c>
      <c r="D124" s="58">
        <f>MATCH(B124,{"GENNAIO","FEBBRAIO","MARZO","APRILE","MAGGIO","GIUGNO","LUGLIO","AGOSTO","SETTEMBRE","OTTOBRE","NOVEMBRE","DICEMBRE"},0)</f>
        <v>7</v>
      </c>
      <c r="E124" s="57" t="str">
        <f t="shared" ref="E124" si="234">CONCATENATE(,B124," ",C124)</f>
        <v>LUGLIO 2026</v>
      </c>
      <c r="F124" s="57" t="str">
        <f t="shared" ref="F124" si="235">CONCATENATE(D124," ",E124)</f>
        <v>7 LUGLIO 2026</v>
      </c>
      <c r="G124" s="1309" t="s">
        <v>96</v>
      </c>
      <c r="H124" s="1309" t="str">
        <f>VLOOKUP(G124,CATEGORIE!$H$3:$I$55,2,FALSE)</f>
        <v>COSTO SOPRAVVIVENZA</v>
      </c>
      <c r="I124" s="59">
        <v>17.420000000000002</v>
      </c>
      <c r="J124" s="940"/>
      <c r="K124" s="59"/>
      <c r="L124" s="59"/>
    </row>
    <row r="125" spans="1:12">
      <c r="A125" s="57" t="s">
        <v>1318</v>
      </c>
      <c r="B125" s="57" t="s">
        <v>288</v>
      </c>
      <c r="C125" s="57">
        <v>2026</v>
      </c>
      <c r="D125" s="58">
        <f>MATCH(B125,{"GENNAIO","FEBBRAIO","MARZO","APRILE","MAGGIO","GIUGNO","LUGLIO","AGOSTO","SETTEMBRE","OTTOBRE","NOVEMBRE","DICEMBRE"},0)</f>
        <v>7</v>
      </c>
      <c r="E125" s="57" t="str">
        <f t="shared" ref="E125" si="236">CONCATENATE(,B125," ",C125)</f>
        <v>LUGLIO 2026</v>
      </c>
      <c r="F125" s="57" t="str">
        <f t="shared" ref="F125" si="237">CONCATENATE(D125," ",E125)</f>
        <v>7 LUGLIO 2026</v>
      </c>
      <c r="G125" s="1309" t="s">
        <v>91</v>
      </c>
      <c r="H125" s="1309" t="str">
        <f>VLOOKUP(G125,CATEGORIE!$H$3:$I$55,2,FALSE)</f>
        <v>COSTO SOPRAVVIVENZA</v>
      </c>
      <c r="I125" s="59">
        <v>5</v>
      </c>
      <c r="J125" s="940"/>
      <c r="K125" s="59"/>
      <c r="L125" s="59"/>
    </row>
    <row r="126" spans="1:12">
      <c r="A126" s="57" t="s">
        <v>1343</v>
      </c>
      <c r="B126" s="57" t="s">
        <v>288</v>
      </c>
      <c r="C126" s="57">
        <v>2026</v>
      </c>
      <c r="D126" s="58">
        <f>MATCH(B126,{"GENNAIO","FEBBRAIO","MARZO","APRILE","MAGGIO","GIUGNO","LUGLIO","AGOSTO","SETTEMBRE","OTTOBRE","NOVEMBRE","DICEMBRE"},0)</f>
        <v>7</v>
      </c>
      <c r="E126" s="57" t="str">
        <f t="shared" ref="E126" si="238">CONCATENATE(,B126," ",C126)</f>
        <v>LUGLIO 2026</v>
      </c>
      <c r="F126" s="57" t="str">
        <f t="shared" ref="F126" si="239">CONCATENATE(D126," ",E126)</f>
        <v>7 LUGLIO 2026</v>
      </c>
      <c r="G126" s="1309" t="s">
        <v>163</v>
      </c>
      <c r="H126" s="1309" t="str">
        <f>VLOOKUP(G126,CATEGORIE!$H$3:$I$55,2,FALSE)</f>
        <v>COSTO SVAGHI</v>
      </c>
      <c r="I126" s="59">
        <v>14.49</v>
      </c>
      <c r="J126" s="940"/>
      <c r="K126" s="59"/>
      <c r="L126" s="59"/>
    </row>
    <row r="127" spans="1:12">
      <c r="A127" s="57" t="s">
        <v>102</v>
      </c>
      <c r="B127" s="57" t="s">
        <v>288</v>
      </c>
      <c r="C127" s="57">
        <v>2026</v>
      </c>
      <c r="D127" s="58">
        <f>MATCH(B127,{"GENNAIO","FEBBRAIO","MARZO","APRILE","MAGGIO","GIUGNO","LUGLIO","AGOSTO","SETTEMBRE","OTTOBRE","NOVEMBRE","DICEMBRE"},0)</f>
        <v>7</v>
      </c>
      <c r="E127" s="57" t="str">
        <f t="shared" ref="E127" si="240">CONCATENATE(,B127," ",C127)</f>
        <v>LUGLIO 2026</v>
      </c>
      <c r="F127" s="57" t="str">
        <f t="shared" ref="F127:F128" si="241">CONCATENATE(D127," ",E127)</f>
        <v>7 LUGLIO 2026</v>
      </c>
      <c r="G127" s="1309" t="s">
        <v>96</v>
      </c>
      <c r="H127" s="1309" t="str">
        <f>VLOOKUP(G127,CATEGORIE!$H$3:$I$55,2,FALSE)</f>
        <v>COSTO SOPRAVVIVENZA</v>
      </c>
      <c r="I127" s="59">
        <v>30.84</v>
      </c>
      <c r="J127" s="940"/>
      <c r="K127" s="59"/>
      <c r="L127" s="59"/>
    </row>
    <row r="128" spans="1:12">
      <c r="A128" s="57" t="s">
        <v>160</v>
      </c>
      <c r="B128" s="57" t="s">
        <v>288</v>
      </c>
      <c r="C128" s="57">
        <v>2026</v>
      </c>
      <c r="D128" s="58">
        <f>MATCH(B128,{"GENNAIO","FEBBRAIO","MARZO","APRILE","MAGGIO","GIUGNO","LUGLIO","AGOSTO","SETTEMBRE","OTTOBRE","NOVEMBRE","DICEMBRE"},0)</f>
        <v>7</v>
      </c>
      <c r="E128" s="57" t="str">
        <f t="shared" ref="E128" si="242">CONCATENATE(,B128," ",C128)</f>
        <v>LUGLIO 2026</v>
      </c>
      <c r="F128" s="57" t="str">
        <f t="shared" si="241"/>
        <v>7 LUGLIO 2026</v>
      </c>
      <c r="G128" s="1309" t="s">
        <v>111</v>
      </c>
      <c r="H128" s="1309" t="str">
        <f>VLOOKUP(G128,CATEGORIE!$H$3:$I$55,2,FALSE)</f>
        <v>COSTO MOBILITA'</v>
      </c>
      <c r="I128" s="59">
        <v>2.2000000000000002</v>
      </c>
      <c r="J128" s="940"/>
      <c r="K128" s="59"/>
      <c r="L128" s="59"/>
    </row>
    <row r="129" spans="1:12">
      <c r="A129" s="57" t="s">
        <v>131</v>
      </c>
      <c r="B129" s="57" t="s">
        <v>288</v>
      </c>
      <c r="C129" s="57">
        <v>2026</v>
      </c>
      <c r="D129" s="58">
        <f>MATCH(B129,{"GENNAIO","FEBBRAIO","MARZO","APRILE","MAGGIO","GIUGNO","LUGLIO","AGOSTO","SETTEMBRE","OTTOBRE","NOVEMBRE","DICEMBRE"},0)</f>
        <v>7</v>
      </c>
      <c r="E129" s="57" t="str">
        <f t="shared" ref="E129:E132" si="243">CONCATENATE(,B129," ",C129)</f>
        <v>LUGLIO 2026</v>
      </c>
      <c r="F129" s="57" t="str">
        <f t="shared" ref="F129:F132" si="244">CONCATENATE(D129," ",E129)</f>
        <v>7 LUGLIO 2026</v>
      </c>
      <c r="G129" s="1309" t="s">
        <v>132</v>
      </c>
      <c r="H129" s="1309" t="str">
        <f>VLOOKUP(G129,CATEGORIE!$H$3:$I$55,2,FALSE)</f>
        <v>COSTO CASA</v>
      </c>
      <c r="I129" s="59">
        <v>60.6</v>
      </c>
      <c r="J129" s="940"/>
      <c r="K129" s="59"/>
      <c r="L129" s="59"/>
    </row>
    <row r="130" spans="1:12">
      <c r="A130" s="57" t="s">
        <v>155</v>
      </c>
      <c r="B130" s="57" t="s">
        <v>288</v>
      </c>
      <c r="C130" s="57">
        <v>2026</v>
      </c>
      <c r="D130" s="58">
        <f>MATCH(B130,{"GENNAIO","FEBBRAIO","MARZO","APRILE","MAGGIO","GIUGNO","LUGLIO","AGOSTO","SETTEMBRE","OTTOBRE","NOVEMBRE","DICEMBRE"},0)</f>
        <v>7</v>
      </c>
      <c r="E130" s="57" t="str">
        <f t="shared" ref="E130" si="245">CONCATENATE(,B130," ",C130)</f>
        <v>LUGLIO 2026</v>
      </c>
      <c r="F130" s="57" t="str">
        <f t="shared" ref="F130" si="246">CONCATENATE(D130," ",E130)</f>
        <v>7 LUGLIO 2026</v>
      </c>
      <c r="G130" s="1309" t="s">
        <v>94</v>
      </c>
      <c r="H130" s="1309" t="str">
        <f>VLOOKUP(G130,CATEGORIE!$H$3:$I$55,2,FALSE)</f>
        <v>COSTO SVAGHI</v>
      </c>
      <c r="I130" s="59">
        <v>10.4</v>
      </c>
      <c r="J130" s="940"/>
      <c r="K130" s="59"/>
      <c r="L130" s="59"/>
    </row>
    <row r="131" spans="1:12">
      <c r="A131" s="57" t="s">
        <v>176</v>
      </c>
      <c r="B131" s="57" t="s">
        <v>288</v>
      </c>
      <c r="C131" s="57">
        <v>2026</v>
      </c>
      <c r="D131" s="58">
        <f>MATCH(B131,{"GENNAIO","FEBBRAIO","MARZO","APRILE","MAGGIO","GIUGNO","LUGLIO","AGOSTO","SETTEMBRE","OTTOBRE","NOVEMBRE","DICEMBRE"},0)</f>
        <v>7</v>
      </c>
      <c r="E131" s="57" t="str">
        <f t="shared" ref="E131" si="247">CONCATENATE(,B131," ",C131)</f>
        <v>LUGLIO 2026</v>
      </c>
      <c r="F131" s="57" t="str">
        <f t="shared" ref="F131" si="248">CONCATENATE(D131," ",E131)</f>
        <v>7 LUGLIO 2026</v>
      </c>
      <c r="G131" s="1309" t="s">
        <v>96</v>
      </c>
      <c r="H131" s="1309" t="str">
        <f>VLOOKUP(G131,CATEGORIE!$H$3:$I$55,2,FALSE)</f>
        <v>COSTO SOPRAVVIVENZA</v>
      </c>
      <c r="I131" s="59">
        <v>22.83</v>
      </c>
      <c r="J131" s="940"/>
      <c r="K131" s="59"/>
      <c r="L131" s="59"/>
    </row>
    <row r="132" spans="1:12">
      <c r="A132" s="57" t="s">
        <v>1350</v>
      </c>
      <c r="B132" s="57" t="s">
        <v>314</v>
      </c>
      <c r="C132" s="57">
        <v>2026</v>
      </c>
      <c r="D132" s="58">
        <f>MATCH(B132,{"GENNAIO","FEBBRAIO","MARZO","APRILE","MAGGIO","GIUGNO","LUGLIO","AGOSTO","SETTEMBRE","OTTOBRE","NOVEMBRE","DICEMBRE"},0)</f>
        <v>6</v>
      </c>
      <c r="E132" s="57" t="str">
        <f t="shared" si="243"/>
        <v>GIUGNO 2026</v>
      </c>
      <c r="F132" s="57" t="str">
        <f t="shared" si="244"/>
        <v>6 GIUGNO 2026</v>
      </c>
      <c r="G132" s="1309" t="s">
        <v>132</v>
      </c>
      <c r="H132" s="1309" t="str">
        <f>VLOOKUP(G132,CATEGORIE!$H$3:$I$55,2,FALSE)</f>
        <v>COSTO CASA</v>
      </c>
      <c r="I132" s="59">
        <v>69.45</v>
      </c>
      <c r="J132" s="940"/>
      <c r="K132" s="59"/>
      <c r="L132" s="59" t="s">
        <v>911</v>
      </c>
    </row>
    <row r="133" spans="1:12">
      <c r="A133" s="57" t="s">
        <v>1318</v>
      </c>
      <c r="B133" s="57" t="s">
        <v>314</v>
      </c>
      <c r="C133" s="57">
        <v>2026</v>
      </c>
      <c r="D133" s="58">
        <f>MATCH(B133,{"GENNAIO","FEBBRAIO","MARZO","APRILE","MAGGIO","GIUGNO","LUGLIO","AGOSTO","SETTEMBRE","OTTOBRE","NOVEMBRE","DICEMBRE"},0)</f>
        <v>6</v>
      </c>
      <c r="E133" s="57" t="str">
        <f t="shared" ref="E133" si="249">CONCATENATE(,B133," ",C133)</f>
        <v>GIUGNO 2026</v>
      </c>
      <c r="F133" s="57" t="str">
        <f t="shared" ref="F133" si="250">CONCATENATE(D133," ",E133)</f>
        <v>6 GIUGNO 2026</v>
      </c>
      <c r="G133" s="1309" t="s">
        <v>91</v>
      </c>
      <c r="H133" s="1309" t="str">
        <f>VLOOKUP(G133,CATEGORIE!$H$3:$I$55,2,FALSE)</f>
        <v>COSTO SOPRAVVIVENZA</v>
      </c>
      <c r="I133" s="59">
        <v>5</v>
      </c>
      <c r="J133" s="940"/>
      <c r="K133" s="59"/>
      <c r="L133" s="59"/>
    </row>
    <row r="134" spans="1:12">
      <c r="A134" s="57" t="s">
        <v>99</v>
      </c>
      <c r="B134" s="57" t="s">
        <v>314</v>
      </c>
      <c r="C134" s="57">
        <v>2026</v>
      </c>
      <c r="D134" s="58">
        <f>MATCH(B134,{"GENNAIO","FEBBRAIO","MARZO","APRILE","MAGGIO","GIUGNO","LUGLIO","AGOSTO","SETTEMBRE","OTTOBRE","NOVEMBRE","DICEMBRE"},0)</f>
        <v>6</v>
      </c>
      <c r="E134" s="57" t="str">
        <f t="shared" ref="E134" si="251">CONCATENATE(,B134," ",C134)</f>
        <v>GIUGNO 2026</v>
      </c>
      <c r="F134" s="57" t="str">
        <f t="shared" ref="F134" si="252">CONCATENATE(D134," ",E134)</f>
        <v>6 GIUGNO 2026</v>
      </c>
      <c r="G134" s="1309" t="s">
        <v>100</v>
      </c>
      <c r="H134" s="1309" t="str">
        <f>VLOOKUP(G134,CATEGORIE!$H$3:$I$55,2,FALSE)</f>
        <v>COSTO SFIZI</v>
      </c>
      <c r="I134" s="59">
        <v>20</v>
      </c>
      <c r="J134" s="940"/>
      <c r="K134" s="59" t="s">
        <v>99</v>
      </c>
      <c r="L134" s="59"/>
    </row>
    <row r="135" spans="1:12">
      <c r="A135" s="57" t="s">
        <v>95</v>
      </c>
      <c r="B135" s="57" t="s">
        <v>314</v>
      </c>
      <c r="C135" s="57">
        <v>2026</v>
      </c>
      <c r="D135" s="58">
        <f>MATCH(B135,{"GENNAIO","FEBBRAIO","MARZO","APRILE","MAGGIO","GIUGNO","LUGLIO","AGOSTO","SETTEMBRE","OTTOBRE","NOVEMBRE","DICEMBRE"},0)</f>
        <v>6</v>
      </c>
      <c r="E135" s="57" t="str">
        <f t="shared" ref="E135" si="253">CONCATENATE(,B135," ",C135)</f>
        <v>GIUGNO 2026</v>
      </c>
      <c r="F135" s="57" t="str">
        <f t="shared" ref="F135" si="254">CONCATENATE(D135," ",E135)</f>
        <v>6 GIUGNO 2026</v>
      </c>
      <c r="G135" s="1309" t="s">
        <v>96</v>
      </c>
      <c r="H135" s="1309" t="str">
        <f>VLOOKUP(G135,CATEGORIE!$H$3:$I$55,2,FALSE)</f>
        <v>COSTO SOPRAVVIVENZA</v>
      </c>
      <c r="I135" s="59">
        <v>13.29</v>
      </c>
      <c r="J135" s="940"/>
      <c r="K135" s="59"/>
      <c r="L135" s="59"/>
    </row>
    <row r="136" spans="1:12">
      <c r="A136" s="57" t="s">
        <v>464</v>
      </c>
      <c r="B136" s="57" t="s">
        <v>314</v>
      </c>
      <c r="C136" s="57">
        <v>2026</v>
      </c>
      <c r="D136" s="58">
        <f>MATCH(B136,{"GENNAIO","FEBBRAIO","MARZO","APRILE","MAGGIO","GIUGNO","LUGLIO","AGOSTO","SETTEMBRE","OTTOBRE","NOVEMBRE","DICEMBRE"},0)</f>
        <v>6</v>
      </c>
      <c r="E136" s="57" t="str">
        <f t="shared" ref="E136:E137" si="255">CONCATENATE(,B136," ",C136)</f>
        <v>GIUGNO 2026</v>
      </c>
      <c r="F136" s="57" t="str">
        <f t="shared" ref="F136:F137" si="256">CONCATENATE(D136," ",E136)</f>
        <v>6 GIUGNO 2026</v>
      </c>
      <c r="G136" s="1309" t="s">
        <v>94</v>
      </c>
      <c r="H136" s="1309" t="str">
        <f>VLOOKUP(G136,CATEGORIE!$H$3:$I$55,2,FALSE)</f>
        <v>COSTO SVAGHI</v>
      </c>
      <c r="I136" s="59">
        <v>11</v>
      </c>
      <c r="J136" s="940"/>
      <c r="K136" s="59"/>
      <c r="L136" s="59"/>
    </row>
    <row r="137" spans="1:12">
      <c r="A137" s="57" t="s">
        <v>99</v>
      </c>
      <c r="B137" s="57" t="s">
        <v>314</v>
      </c>
      <c r="C137" s="57">
        <v>2026</v>
      </c>
      <c r="D137" s="58">
        <f>MATCH(B137,{"GENNAIO","FEBBRAIO","MARZO","APRILE","MAGGIO","GIUGNO","LUGLIO","AGOSTO","SETTEMBRE","OTTOBRE","NOVEMBRE","DICEMBRE"},0)</f>
        <v>6</v>
      </c>
      <c r="E137" s="57" t="str">
        <f t="shared" si="255"/>
        <v>GIUGNO 2026</v>
      </c>
      <c r="F137" s="57" t="str">
        <f t="shared" si="256"/>
        <v>6 GIUGNO 2026</v>
      </c>
      <c r="G137" s="1309" t="s">
        <v>100</v>
      </c>
      <c r="H137" s="1309" t="str">
        <f>VLOOKUP(G137,CATEGORIE!$H$3:$I$55,2,FALSE)</f>
        <v>COSTO SFIZI</v>
      </c>
      <c r="I137" s="59">
        <v>17.09</v>
      </c>
      <c r="J137" s="940"/>
      <c r="K137" s="59" t="s">
        <v>99</v>
      </c>
      <c r="L137" s="59"/>
    </row>
    <row r="138" spans="1:12">
      <c r="A138" s="57" t="s">
        <v>99</v>
      </c>
      <c r="B138" s="57" t="s">
        <v>314</v>
      </c>
      <c r="C138" s="57">
        <v>2026</v>
      </c>
      <c r="D138" s="58">
        <f>MATCH(B138,{"GENNAIO","FEBBRAIO","MARZO","APRILE","MAGGIO","GIUGNO","LUGLIO","AGOSTO","SETTEMBRE","OTTOBRE","NOVEMBRE","DICEMBRE"},0)</f>
        <v>6</v>
      </c>
      <c r="E138" s="57" t="str">
        <f t="shared" ref="E138" si="257">CONCATENATE(,B138," ",C138)</f>
        <v>GIUGNO 2026</v>
      </c>
      <c r="F138" s="57" t="str">
        <f t="shared" ref="F138" si="258">CONCATENATE(D138," ",E138)</f>
        <v>6 GIUGNO 2026</v>
      </c>
      <c r="G138" s="1309" t="s">
        <v>108</v>
      </c>
      <c r="H138" s="1309" t="str">
        <f>VLOOKUP(G138,CATEGORIE!$H$3:$I$55,2,FALSE)</f>
        <v>COSTO SFIZI</v>
      </c>
      <c r="I138" s="59">
        <v>18</v>
      </c>
      <c r="J138" s="940"/>
      <c r="K138" s="59" t="s">
        <v>99</v>
      </c>
      <c r="L138" s="59"/>
    </row>
    <row r="139" spans="1:12">
      <c r="A139" s="57" t="s">
        <v>97</v>
      </c>
      <c r="B139" s="57" t="s">
        <v>314</v>
      </c>
      <c r="C139" s="57">
        <v>2026</v>
      </c>
      <c r="D139" s="58">
        <f>MATCH(B139,{"GENNAIO","FEBBRAIO","MARZO","APRILE","MAGGIO","GIUGNO","LUGLIO","AGOSTO","SETTEMBRE","OTTOBRE","NOVEMBRE","DICEMBRE"},0)</f>
        <v>6</v>
      </c>
      <c r="E139" s="57" t="str">
        <f t="shared" ref="E139" si="259">CONCATENATE(,B139," ",C139)</f>
        <v>GIUGNO 2026</v>
      </c>
      <c r="F139" s="57" t="str">
        <f t="shared" ref="F139" si="260">CONCATENATE(D139," ",E139)</f>
        <v>6 GIUGNO 2026</v>
      </c>
      <c r="G139" s="1309" t="s">
        <v>789</v>
      </c>
      <c r="H139" s="1309" t="str">
        <f>VLOOKUP(G139,CATEGORIE!$H$3:$I$55,2,FALSE)</f>
        <v>MOVIMENTI CONTO</v>
      </c>
      <c r="I139" s="59">
        <v>15</v>
      </c>
      <c r="J139" s="940"/>
      <c r="K139" s="59" t="s">
        <v>97</v>
      </c>
      <c r="L139" s="59"/>
    </row>
    <row r="140" spans="1:12">
      <c r="A140" s="57" t="s">
        <v>1318</v>
      </c>
      <c r="B140" s="57" t="s">
        <v>314</v>
      </c>
      <c r="C140" s="57">
        <v>2026</v>
      </c>
      <c r="D140" s="58">
        <f>MATCH(B140,{"GENNAIO","FEBBRAIO","MARZO","APRILE","MAGGIO","GIUGNO","LUGLIO","AGOSTO","SETTEMBRE","OTTOBRE","NOVEMBRE","DICEMBRE"},0)</f>
        <v>6</v>
      </c>
      <c r="E140" s="57" t="str">
        <f t="shared" ref="E140" si="261">CONCATENATE(,B140," ",C140)</f>
        <v>GIUGNO 2026</v>
      </c>
      <c r="F140" s="57" t="str">
        <f t="shared" ref="F140" si="262">CONCATENATE(D140," ",E140)</f>
        <v>6 GIUGNO 2026</v>
      </c>
      <c r="G140" s="1309" t="s">
        <v>91</v>
      </c>
      <c r="H140" s="1309" t="str">
        <f>VLOOKUP(G140,CATEGORIE!$H$3:$I$55,2,FALSE)</f>
        <v>COSTO SOPRAVVIVENZA</v>
      </c>
      <c r="I140" s="59">
        <v>5</v>
      </c>
      <c r="J140" s="940"/>
      <c r="K140" s="59"/>
      <c r="L140" s="59"/>
    </row>
    <row r="141" spans="1:12">
      <c r="A141" s="57" t="s">
        <v>97</v>
      </c>
      <c r="B141" s="57" t="s">
        <v>314</v>
      </c>
      <c r="C141" s="57">
        <v>2026</v>
      </c>
      <c r="D141" s="58">
        <f>MATCH(B141,{"GENNAIO","FEBBRAIO","MARZO","APRILE","MAGGIO","GIUGNO","LUGLIO","AGOSTO","SETTEMBRE","OTTOBRE","NOVEMBRE","DICEMBRE"},0)</f>
        <v>6</v>
      </c>
      <c r="E141" s="57" t="str">
        <f t="shared" ref="E141" si="263">CONCATENATE(,B141," ",C141)</f>
        <v>GIUGNO 2026</v>
      </c>
      <c r="F141" s="57" t="str">
        <f t="shared" ref="F141" si="264">CONCATENATE(D141," ",E141)</f>
        <v>6 GIUGNO 2026</v>
      </c>
      <c r="G141" s="1309" t="s">
        <v>789</v>
      </c>
      <c r="H141" s="1309" t="str">
        <f>VLOOKUP(G141,CATEGORIE!$H$3:$I$55,2,FALSE)</f>
        <v>MOVIMENTI CONTO</v>
      </c>
      <c r="I141" s="59">
        <v>80</v>
      </c>
      <c r="J141" s="940"/>
      <c r="K141" s="59" t="s">
        <v>97</v>
      </c>
      <c r="L141" s="59"/>
    </row>
    <row r="142" spans="1:12">
      <c r="A142" s="57" t="s">
        <v>120</v>
      </c>
      <c r="B142" s="57" t="s">
        <v>314</v>
      </c>
      <c r="C142" s="57">
        <v>2026</v>
      </c>
      <c r="D142" s="58">
        <f>MATCH(B142,{"GENNAIO","FEBBRAIO","MARZO","APRILE","MAGGIO","GIUGNO","LUGLIO","AGOSTO","SETTEMBRE","OTTOBRE","NOVEMBRE","DICEMBRE"},0)</f>
        <v>6</v>
      </c>
      <c r="E142" s="57" t="str">
        <f t="shared" ref="E142" si="265">CONCATENATE(,B142," ",C142)</f>
        <v>GIUGNO 2026</v>
      </c>
      <c r="F142" s="57" t="str">
        <f t="shared" ref="F142" si="266">CONCATENATE(D142," ",E142)</f>
        <v>6 GIUGNO 2026</v>
      </c>
      <c r="G142" s="1309" t="s">
        <v>121</v>
      </c>
      <c r="H142" s="1309" t="str">
        <f>VLOOKUP(G142,CATEGORIE!$H$3:$I$55,2,FALSE)</f>
        <v>COSTO MOBILITA'</v>
      </c>
      <c r="I142" s="59">
        <v>10</v>
      </c>
      <c r="J142" s="940"/>
      <c r="K142" s="59"/>
      <c r="L142" s="59"/>
    </row>
    <row r="143" spans="1:12">
      <c r="A143" s="57" t="s">
        <v>99</v>
      </c>
      <c r="B143" s="57" t="s">
        <v>314</v>
      </c>
      <c r="C143" s="57">
        <v>2026</v>
      </c>
      <c r="D143" s="58">
        <f>MATCH(B143,{"GENNAIO","FEBBRAIO","MARZO","APRILE","MAGGIO","GIUGNO","LUGLIO","AGOSTO","SETTEMBRE","OTTOBRE","NOVEMBRE","DICEMBRE"},0)</f>
        <v>6</v>
      </c>
      <c r="E143" s="57" t="str">
        <f t="shared" ref="E143" si="267">CONCATENATE(,B143," ",C143)</f>
        <v>GIUGNO 2026</v>
      </c>
      <c r="F143" s="57" t="str">
        <f t="shared" ref="F143" si="268">CONCATENATE(D143," ",E143)</f>
        <v>6 GIUGNO 2026</v>
      </c>
      <c r="G143" s="1309" t="s">
        <v>108</v>
      </c>
      <c r="H143" s="1309" t="str">
        <f>VLOOKUP(G143,CATEGORIE!$H$3:$I$55,2,FALSE)</f>
        <v>COSTO SFIZI</v>
      </c>
      <c r="I143" s="59">
        <v>21.6</v>
      </c>
      <c r="J143" s="940"/>
      <c r="K143" s="59" t="s">
        <v>99</v>
      </c>
      <c r="L143" s="59"/>
    </row>
    <row r="144" spans="1:12">
      <c r="A144" s="57" t="s">
        <v>1338</v>
      </c>
      <c r="B144" s="57" t="s">
        <v>314</v>
      </c>
      <c r="C144" s="57">
        <v>2026</v>
      </c>
      <c r="D144" s="58">
        <f>MATCH(B144,{"GENNAIO","FEBBRAIO","MARZO","APRILE","MAGGIO","GIUGNO","LUGLIO","AGOSTO","SETTEMBRE","OTTOBRE","NOVEMBRE","DICEMBRE"},0)</f>
        <v>6</v>
      </c>
      <c r="E144" s="57" t="str">
        <f t="shared" ref="E144" si="269">CONCATENATE(,B144," ",C144)</f>
        <v>GIUGNO 2026</v>
      </c>
      <c r="F144" s="57" t="str">
        <f t="shared" ref="F144" si="270">CONCATENATE(D144," ",E144)</f>
        <v>6 GIUGNO 2026</v>
      </c>
      <c r="G144" s="1309" t="s">
        <v>94</v>
      </c>
      <c r="H144" s="1309" t="str">
        <f>VLOOKUP(G144,CATEGORIE!$H$3:$I$55,2,FALSE)</f>
        <v>COSTO SVAGHI</v>
      </c>
      <c r="I144" s="59">
        <v>25</v>
      </c>
      <c r="J144" s="940"/>
      <c r="K144" s="59"/>
      <c r="L144" s="59"/>
    </row>
    <row r="145" spans="1:12">
      <c r="A145" s="57" t="s">
        <v>1338</v>
      </c>
      <c r="B145" s="57" t="s">
        <v>314</v>
      </c>
      <c r="C145" s="57">
        <v>2026</v>
      </c>
      <c r="D145" s="58">
        <f>MATCH(B145,{"GENNAIO","FEBBRAIO","MARZO","APRILE","MAGGIO","GIUGNO","LUGLIO","AGOSTO","SETTEMBRE","OTTOBRE","NOVEMBRE","DICEMBRE"},0)</f>
        <v>6</v>
      </c>
      <c r="E145" s="57" t="str">
        <f t="shared" ref="E145" si="271">CONCATENATE(,B145," ",C145)</f>
        <v>GIUGNO 2026</v>
      </c>
      <c r="F145" s="57" t="str">
        <f t="shared" ref="F145" si="272">CONCATENATE(D145," ",E145)</f>
        <v>6 GIUGNO 2026</v>
      </c>
      <c r="G145" s="1309" t="s">
        <v>94</v>
      </c>
      <c r="H145" s="1309" t="str">
        <f>VLOOKUP(G145,CATEGORIE!$H$3:$I$55,2,FALSE)</f>
        <v>COSTO SVAGHI</v>
      </c>
      <c r="I145" s="59">
        <v>5</v>
      </c>
      <c r="J145" s="940"/>
      <c r="K145" s="59"/>
      <c r="L145" s="59"/>
    </row>
    <row r="146" spans="1:12">
      <c r="A146" s="57" t="s">
        <v>1338</v>
      </c>
      <c r="B146" s="57" t="s">
        <v>314</v>
      </c>
      <c r="C146" s="57">
        <v>2026</v>
      </c>
      <c r="D146" s="58">
        <f>MATCH(B146,{"GENNAIO","FEBBRAIO","MARZO","APRILE","MAGGIO","GIUGNO","LUGLIO","AGOSTO","SETTEMBRE","OTTOBRE","NOVEMBRE","DICEMBRE"},0)</f>
        <v>6</v>
      </c>
      <c r="E146" s="57" t="str">
        <f t="shared" ref="E146" si="273">CONCATENATE(,B146," ",C146)</f>
        <v>GIUGNO 2026</v>
      </c>
      <c r="F146" s="57" t="str">
        <f t="shared" ref="F146" si="274">CONCATENATE(D146," ",E146)</f>
        <v>6 GIUGNO 2026</v>
      </c>
      <c r="G146" s="1309" t="s">
        <v>94</v>
      </c>
      <c r="H146" s="1309" t="str">
        <f>VLOOKUP(G146,CATEGORIE!$H$3:$I$55,2,FALSE)</f>
        <v>COSTO SVAGHI</v>
      </c>
      <c r="I146" s="59">
        <v>55</v>
      </c>
      <c r="J146" s="940"/>
      <c r="K146" s="59"/>
      <c r="L146" s="59"/>
    </row>
    <row r="147" spans="1:12">
      <c r="A147" s="57" t="s">
        <v>166</v>
      </c>
      <c r="B147" s="57" t="s">
        <v>314</v>
      </c>
      <c r="C147" s="57">
        <v>2026</v>
      </c>
      <c r="D147" s="58">
        <f>MATCH(B147,{"GENNAIO","FEBBRAIO","MARZO","APRILE","MAGGIO","GIUGNO","LUGLIO","AGOSTO","SETTEMBRE","OTTOBRE","NOVEMBRE","DICEMBRE"},0)</f>
        <v>6</v>
      </c>
      <c r="E147" s="57" t="str">
        <f t="shared" ref="E147" si="275">CONCATENATE(,B147," ",C147)</f>
        <v>GIUGNO 2026</v>
      </c>
      <c r="F147" s="57" t="str">
        <f t="shared" ref="F147" si="276">CONCATENATE(D147," ",E147)</f>
        <v>6 GIUGNO 2026</v>
      </c>
      <c r="G147" s="1309" t="s">
        <v>94</v>
      </c>
      <c r="H147" s="1309" t="str">
        <f>VLOOKUP(G147,CATEGORIE!$H$3:$I$55,2,FALSE)</f>
        <v>COSTO SVAGHI</v>
      </c>
      <c r="I147" s="59">
        <v>24.9</v>
      </c>
      <c r="J147" s="940"/>
      <c r="K147" s="59"/>
      <c r="L147" s="59"/>
    </row>
    <row r="148" spans="1:12">
      <c r="A148" s="57" t="s">
        <v>166</v>
      </c>
      <c r="B148" s="57" t="s">
        <v>314</v>
      </c>
      <c r="C148" s="57">
        <v>2026</v>
      </c>
      <c r="D148" s="58">
        <f>MATCH(B148,{"GENNAIO","FEBBRAIO","MARZO","APRILE","MAGGIO","GIUGNO","LUGLIO","AGOSTO","SETTEMBRE","OTTOBRE","NOVEMBRE","DICEMBRE"},0)</f>
        <v>6</v>
      </c>
      <c r="E148" s="57" t="str">
        <f t="shared" ref="E148" si="277">CONCATENATE(,B148," ",C148)</f>
        <v>GIUGNO 2026</v>
      </c>
      <c r="F148" s="57" t="str">
        <f t="shared" ref="F148" si="278">CONCATENATE(D148," ",E148)</f>
        <v>6 GIUGNO 2026</v>
      </c>
      <c r="G148" s="1309" t="s">
        <v>94</v>
      </c>
      <c r="H148" s="1309" t="str">
        <f>VLOOKUP(G148,CATEGORIE!$H$3:$I$55,2,FALSE)</f>
        <v>COSTO SVAGHI</v>
      </c>
      <c r="I148" s="59">
        <v>9.3000000000000007</v>
      </c>
      <c r="J148" s="940"/>
      <c r="K148" s="59"/>
      <c r="L148" s="59"/>
    </row>
    <row r="149" spans="1:12">
      <c r="A149" s="57" t="s">
        <v>1318</v>
      </c>
      <c r="B149" s="57" t="s">
        <v>314</v>
      </c>
      <c r="C149" s="57">
        <v>2026</v>
      </c>
      <c r="D149" s="58">
        <f>MATCH(B149,{"GENNAIO","FEBBRAIO","MARZO","APRILE","MAGGIO","GIUGNO","LUGLIO","AGOSTO","SETTEMBRE","OTTOBRE","NOVEMBRE","DICEMBRE"},0)</f>
        <v>6</v>
      </c>
      <c r="E149" s="57" t="str">
        <f t="shared" ref="E149" si="279">CONCATENATE(,B149," ",C149)</f>
        <v>GIUGNO 2026</v>
      </c>
      <c r="F149" s="57" t="str">
        <f t="shared" ref="F149" si="280">CONCATENATE(D149," ",E149)</f>
        <v>6 GIUGNO 2026</v>
      </c>
      <c r="G149" s="1309" t="s">
        <v>91</v>
      </c>
      <c r="H149" s="1309" t="str">
        <f>VLOOKUP(G149,CATEGORIE!$H$3:$I$55,2,FALSE)</f>
        <v>COSTO SOPRAVVIVENZA</v>
      </c>
      <c r="I149" s="59">
        <v>5</v>
      </c>
      <c r="J149" s="940"/>
      <c r="K149" s="59"/>
      <c r="L149" s="59"/>
    </row>
    <row r="150" spans="1:12">
      <c r="A150" s="57" t="s">
        <v>1337</v>
      </c>
      <c r="B150" s="57" t="s">
        <v>314</v>
      </c>
      <c r="C150" s="57">
        <v>2026</v>
      </c>
      <c r="D150" s="58">
        <f>MATCH(B150,{"GENNAIO","FEBBRAIO","MARZO","APRILE","MAGGIO","GIUGNO","LUGLIO","AGOSTO","SETTEMBRE","OTTOBRE","NOVEMBRE","DICEMBRE"},0)</f>
        <v>6</v>
      </c>
      <c r="E150" s="57" t="str">
        <f t="shared" ref="E150" si="281">CONCATENATE(,B150," ",C150)</f>
        <v>GIUGNO 2026</v>
      </c>
      <c r="F150" s="57" t="str">
        <f t="shared" ref="F150" si="282">CONCATENATE(D150," ",E150)</f>
        <v>6 GIUGNO 2026</v>
      </c>
      <c r="G150" s="1309" t="s">
        <v>94</v>
      </c>
      <c r="H150" s="1309" t="str">
        <f>VLOOKUP(G150,CATEGORIE!$H$3:$I$55,2,FALSE)</f>
        <v>COSTO SVAGHI</v>
      </c>
      <c r="I150" s="59">
        <v>2.15</v>
      </c>
      <c r="J150" s="940"/>
      <c r="K150" s="59"/>
      <c r="L150" s="59"/>
    </row>
    <row r="151" spans="1:12">
      <c r="A151" s="57" t="s">
        <v>327</v>
      </c>
      <c r="B151" s="57" t="s">
        <v>314</v>
      </c>
      <c r="C151" s="57">
        <v>2026</v>
      </c>
      <c r="D151" s="58">
        <f>MATCH(B151,{"GENNAIO","FEBBRAIO","MARZO","APRILE","MAGGIO","GIUGNO","LUGLIO","AGOSTO","SETTEMBRE","OTTOBRE","NOVEMBRE","DICEMBRE"},0)</f>
        <v>6</v>
      </c>
      <c r="E151" s="57" t="str">
        <f t="shared" ref="E151" si="283">CONCATENATE(,B151," ",C151)</f>
        <v>GIUGNO 2026</v>
      </c>
      <c r="F151" s="57" t="str">
        <f t="shared" ref="F151" si="284">CONCATENATE(D151," ",E151)</f>
        <v>6 GIUGNO 2026</v>
      </c>
      <c r="G151" s="1309" t="s">
        <v>94</v>
      </c>
      <c r="H151" s="1309" t="str">
        <f>VLOOKUP(G151,CATEGORIE!$H$3:$I$104,2,FALSE)</f>
        <v>COSTO SVAGHI</v>
      </c>
      <c r="I151" s="59">
        <v>28</v>
      </c>
      <c r="J151" s="940"/>
      <c r="K151" s="59"/>
      <c r="L151" s="59" t="s">
        <v>328</v>
      </c>
    </row>
    <row r="152" spans="1:12">
      <c r="A152" s="57" t="s">
        <v>1336</v>
      </c>
      <c r="B152" s="57" t="s">
        <v>314</v>
      </c>
      <c r="C152" s="57">
        <v>2026</v>
      </c>
      <c r="D152" s="58">
        <f>MATCH(B152,{"GENNAIO","FEBBRAIO","MARZO","APRILE","MAGGIO","GIUGNO","LUGLIO","AGOSTO","SETTEMBRE","OTTOBRE","NOVEMBRE","DICEMBRE"},0)</f>
        <v>6</v>
      </c>
      <c r="E152" s="57" t="str">
        <f t="shared" ref="E152" si="285">CONCATENATE(,B152," ",C152)</f>
        <v>GIUGNO 2026</v>
      </c>
      <c r="F152" s="57" t="str">
        <f t="shared" ref="F152" si="286">CONCATENATE(D152," ",E152)</f>
        <v>6 GIUGNO 2026</v>
      </c>
      <c r="G152" s="1309" t="s">
        <v>94</v>
      </c>
      <c r="H152" s="1309" t="str">
        <f>VLOOKUP(G152,CATEGORIE!$H$3:$I$55,2,FALSE)</f>
        <v>COSTO SVAGHI</v>
      </c>
      <c r="I152" s="59">
        <v>20</v>
      </c>
      <c r="J152" s="940"/>
      <c r="K152" s="59"/>
      <c r="L152" s="59" t="s">
        <v>328</v>
      </c>
    </row>
    <row r="153" spans="1:12">
      <c r="A153" s="57" t="s">
        <v>327</v>
      </c>
      <c r="B153" s="57" t="s">
        <v>314</v>
      </c>
      <c r="C153" s="57">
        <v>2026</v>
      </c>
      <c r="D153" s="58">
        <f>MATCH(B153,{"GENNAIO","FEBBRAIO","MARZO","APRILE","MAGGIO","GIUGNO","LUGLIO","AGOSTO","SETTEMBRE","OTTOBRE","NOVEMBRE","DICEMBRE"},0)</f>
        <v>6</v>
      </c>
      <c r="E153" s="57" t="str">
        <f t="shared" ref="E153" si="287">CONCATENATE(,B153," ",C153)</f>
        <v>GIUGNO 2026</v>
      </c>
      <c r="F153" s="57" t="str">
        <f t="shared" ref="F153" si="288">CONCATENATE(D153," ",E153)</f>
        <v>6 GIUGNO 2026</v>
      </c>
      <c r="G153" s="1309" t="s">
        <v>94</v>
      </c>
      <c r="H153" s="1309" t="str">
        <f>VLOOKUP(G153,CATEGORIE!$H$3:$I$104,2,FALSE)</f>
        <v>COSTO SVAGHI</v>
      </c>
      <c r="I153" s="59">
        <v>16</v>
      </c>
      <c r="J153" s="940"/>
      <c r="K153" s="59"/>
      <c r="L153" s="59" t="s">
        <v>328</v>
      </c>
    </row>
    <row r="154" spans="1:12">
      <c r="A154" s="57" t="s">
        <v>130</v>
      </c>
      <c r="B154" s="57" t="s">
        <v>314</v>
      </c>
      <c r="C154" s="57">
        <v>2026</v>
      </c>
      <c r="D154" s="58">
        <f>MATCH(B154,{"GENNAIO","FEBBRAIO","MARZO","APRILE","MAGGIO","GIUGNO","LUGLIO","AGOSTO","SETTEMBRE","OTTOBRE","NOVEMBRE","DICEMBRE"},0)</f>
        <v>6</v>
      </c>
      <c r="E154" s="57" t="str">
        <f t="shared" ref="E154" si="289">CONCATENATE(,B154," ",C154)</f>
        <v>GIUGNO 2026</v>
      </c>
      <c r="F154" s="57" t="str">
        <f t="shared" ref="F154" si="290">CONCATENATE(D154," ",E154)</f>
        <v>6 GIUGNO 2026</v>
      </c>
      <c r="G154" s="1309" t="s">
        <v>94</v>
      </c>
      <c r="H154" s="1309" t="str">
        <f>VLOOKUP(G154,CATEGORIE!$H$3:$I$55,2,FALSE)</f>
        <v>COSTO SVAGHI</v>
      </c>
      <c r="I154" s="59">
        <v>6</v>
      </c>
      <c r="J154" s="940"/>
      <c r="K154" s="59"/>
      <c r="L154" s="59"/>
    </row>
    <row r="155" spans="1:12">
      <c r="A155" s="57" t="s">
        <v>327</v>
      </c>
      <c r="B155" s="57" t="s">
        <v>314</v>
      </c>
      <c r="C155" s="57">
        <v>2026</v>
      </c>
      <c r="D155" s="58">
        <f>MATCH(B155,{"GENNAIO","FEBBRAIO","MARZO","APRILE","MAGGIO","GIUGNO","LUGLIO","AGOSTO","SETTEMBRE","OTTOBRE","NOVEMBRE","DICEMBRE"},0)</f>
        <v>6</v>
      </c>
      <c r="E155" s="57" t="str">
        <f t="shared" ref="E155" si="291">CONCATENATE(,B155," ",C155)</f>
        <v>GIUGNO 2026</v>
      </c>
      <c r="F155" s="57" t="str">
        <f t="shared" ref="F155" si="292">CONCATENATE(D155," ",E155)</f>
        <v>6 GIUGNO 2026</v>
      </c>
      <c r="G155" s="1309" t="s">
        <v>94</v>
      </c>
      <c r="H155" s="1309" t="str">
        <f>VLOOKUP(G155,CATEGORIE!$H$3:$I$104,2,FALSE)</f>
        <v>COSTO SVAGHI</v>
      </c>
      <c r="I155" s="59">
        <v>12</v>
      </c>
      <c r="J155" s="940"/>
      <c r="K155" s="59"/>
      <c r="L155" s="59" t="s">
        <v>328</v>
      </c>
    </row>
    <row r="156" spans="1:12">
      <c r="A156" s="57" t="s">
        <v>95</v>
      </c>
      <c r="B156" s="57" t="s">
        <v>314</v>
      </c>
      <c r="C156" s="57">
        <v>2026</v>
      </c>
      <c r="D156" s="58">
        <f>MATCH(B156,{"GENNAIO","FEBBRAIO","MARZO","APRILE","MAGGIO","GIUGNO","LUGLIO","AGOSTO","SETTEMBRE","OTTOBRE","NOVEMBRE","DICEMBRE"},0)</f>
        <v>6</v>
      </c>
      <c r="E156" s="57" t="str">
        <f t="shared" ref="E156" si="293">CONCATENATE(,B156," ",C156)</f>
        <v>GIUGNO 2026</v>
      </c>
      <c r="F156" s="57" t="str">
        <f t="shared" ref="F156" si="294">CONCATENATE(D156," ",E156)</f>
        <v>6 GIUGNO 2026</v>
      </c>
      <c r="G156" s="1309" t="s">
        <v>96</v>
      </c>
      <c r="H156" s="1309" t="str">
        <f>VLOOKUP(G156,CATEGORIE!$H$3:$I$55,2,FALSE)</f>
        <v>COSTO SOPRAVVIVENZA</v>
      </c>
      <c r="I156" s="59">
        <v>13.19</v>
      </c>
      <c r="J156" s="940"/>
      <c r="K156" s="59"/>
      <c r="L156" s="59"/>
    </row>
    <row r="157" spans="1:12">
      <c r="A157" s="57" t="s">
        <v>102</v>
      </c>
      <c r="B157" s="57" t="s">
        <v>314</v>
      </c>
      <c r="C157" s="57">
        <v>2026</v>
      </c>
      <c r="D157" s="58">
        <f>MATCH(B157,{"GENNAIO","FEBBRAIO","MARZO","APRILE","MAGGIO","GIUGNO","LUGLIO","AGOSTO","SETTEMBRE","OTTOBRE","NOVEMBRE","DICEMBRE"},0)</f>
        <v>6</v>
      </c>
      <c r="E157" s="57" t="str">
        <f t="shared" ref="E157" si="295">CONCATENATE(,B157," ",C157)</f>
        <v>GIUGNO 2026</v>
      </c>
      <c r="F157" s="57" t="str">
        <f t="shared" ref="F157" si="296">CONCATENATE(D157," ",E157)</f>
        <v>6 GIUGNO 2026</v>
      </c>
      <c r="G157" s="1309" t="s">
        <v>96</v>
      </c>
      <c r="H157" s="1309" t="str">
        <f>VLOOKUP(G157,CATEGORIE!$H$3:$I$55,2,FALSE)</f>
        <v>COSTO SOPRAVVIVENZA</v>
      </c>
      <c r="I157" s="59">
        <v>31.8</v>
      </c>
      <c r="J157" s="940"/>
      <c r="K157" s="59"/>
      <c r="L157" s="59"/>
    </row>
    <row r="158" spans="1:12">
      <c r="A158" s="57" t="s">
        <v>95</v>
      </c>
      <c r="B158" s="57" t="s">
        <v>314</v>
      </c>
      <c r="C158" s="57">
        <v>2026</v>
      </c>
      <c r="D158" s="58">
        <f>MATCH(B158,{"GENNAIO","FEBBRAIO","MARZO","APRILE","MAGGIO","GIUGNO","LUGLIO","AGOSTO","SETTEMBRE","OTTOBRE","NOVEMBRE","DICEMBRE"},0)</f>
        <v>6</v>
      </c>
      <c r="E158" s="57" t="str">
        <f t="shared" ref="E158" si="297">CONCATENATE(,B158," ",C158)</f>
        <v>GIUGNO 2026</v>
      </c>
      <c r="F158" s="57" t="str">
        <f t="shared" ref="F158" si="298">CONCATENATE(D158," ",E158)</f>
        <v>6 GIUGNO 2026</v>
      </c>
      <c r="G158" s="1309" t="s">
        <v>96</v>
      </c>
      <c r="H158" s="1309" t="str">
        <f>VLOOKUP(G158,CATEGORIE!$H$3:$I$55,2,FALSE)</f>
        <v>COSTO SOPRAVVIVENZA</v>
      </c>
      <c r="I158" s="59">
        <v>4.99</v>
      </c>
      <c r="J158" s="940"/>
      <c r="K158" s="59"/>
      <c r="L158" s="59"/>
    </row>
    <row r="159" spans="1:12">
      <c r="A159" s="57" t="s">
        <v>1318</v>
      </c>
      <c r="B159" s="57" t="s">
        <v>314</v>
      </c>
      <c r="C159" s="57">
        <v>2026</v>
      </c>
      <c r="D159" s="58">
        <f>MATCH(B159,{"GENNAIO","FEBBRAIO","MARZO","APRILE","MAGGIO","GIUGNO","LUGLIO","AGOSTO","SETTEMBRE","OTTOBRE","NOVEMBRE","DICEMBRE"},0)</f>
        <v>6</v>
      </c>
      <c r="E159" s="57" t="str">
        <f t="shared" ref="E159" si="299">CONCATENATE(,B159," ",C159)</f>
        <v>GIUGNO 2026</v>
      </c>
      <c r="F159" s="57" t="str">
        <f t="shared" ref="F159" si="300">CONCATENATE(D159," ",E159)</f>
        <v>6 GIUGNO 2026</v>
      </c>
      <c r="G159" s="1309" t="s">
        <v>91</v>
      </c>
      <c r="H159" s="1309" t="str">
        <f>VLOOKUP(G159,CATEGORIE!$H$3:$I$55,2,FALSE)</f>
        <v>COSTO SOPRAVVIVENZA</v>
      </c>
      <c r="I159" s="59">
        <v>5</v>
      </c>
      <c r="J159" s="940"/>
      <c r="K159" s="59"/>
      <c r="L159" s="59"/>
    </row>
    <row r="160" spans="1:12">
      <c r="A160" s="57" t="s">
        <v>120</v>
      </c>
      <c r="B160" s="57" t="s">
        <v>314</v>
      </c>
      <c r="C160" s="57">
        <v>2026</v>
      </c>
      <c r="D160" s="58">
        <f>MATCH(B160,{"GENNAIO","FEBBRAIO","MARZO","APRILE","MAGGIO","GIUGNO","LUGLIO","AGOSTO","SETTEMBRE","OTTOBRE","NOVEMBRE","DICEMBRE"},0)</f>
        <v>6</v>
      </c>
      <c r="E160" s="57" t="str">
        <f t="shared" ref="E160" si="301">CONCATENATE(,B160," ",C160)</f>
        <v>GIUGNO 2026</v>
      </c>
      <c r="F160" s="57" t="str">
        <f t="shared" ref="F160" si="302">CONCATENATE(D160," ",E160)</f>
        <v>6 GIUGNO 2026</v>
      </c>
      <c r="G160" s="1309" t="s">
        <v>121</v>
      </c>
      <c r="H160" s="1309" t="str">
        <f>VLOOKUP(G160,CATEGORIE!$H$3:$I$55,2,FALSE)</f>
        <v>COSTO MOBILITA'</v>
      </c>
      <c r="I160" s="59">
        <v>8</v>
      </c>
      <c r="J160" s="940"/>
      <c r="K160" s="59"/>
      <c r="L160" s="59"/>
    </row>
    <row r="161" spans="1:12">
      <c r="A161" s="57" t="s">
        <v>135</v>
      </c>
      <c r="B161" s="57" t="s">
        <v>314</v>
      </c>
      <c r="C161" s="57">
        <v>2026</v>
      </c>
      <c r="D161" s="58">
        <f>MATCH(B161,{"GENNAIO","FEBBRAIO","MARZO","APRILE","MAGGIO","GIUGNO","LUGLIO","AGOSTO","SETTEMBRE","OTTOBRE","NOVEMBRE","DICEMBRE"},0)</f>
        <v>6</v>
      </c>
      <c r="E161" s="57" t="str">
        <f t="shared" ref="E161" si="303">CONCATENATE(,B161," ",C161)</f>
        <v>GIUGNO 2026</v>
      </c>
      <c r="F161" s="57" t="str">
        <f t="shared" ref="F161" si="304">CONCATENATE(D161," ",E161)</f>
        <v>6 GIUGNO 2026</v>
      </c>
      <c r="G161" s="1309" t="s">
        <v>132</v>
      </c>
      <c r="H161" s="1309" t="str">
        <f>VLOOKUP(G161,CATEGORIE!$H$3:$I$55,2,FALSE)</f>
        <v>COSTO CASA</v>
      </c>
      <c r="I161" s="59">
        <v>14.08</v>
      </c>
      <c r="J161" s="940"/>
      <c r="K161" s="59"/>
      <c r="L161" s="59"/>
    </row>
    <row r="162" spans="1:12">
      <c r="A162" s="57" t="s">
        <v>289</v>
      </c>
      <c r="B162" s="57" t="s">
        <v>314</v>
      </c>
      <c r="C162" s="57">
        <v>2026</v>
      </c>
      <c r="D162" s="58">
        <f>MATCH(B162,{"GENNAIO","FEBBRAIO","MARZO","APRILE","MAGGIO","GIUGNO","LUGLIO","AGOSTO","SETTEMBRE","OTTOBRE","NOVEMBRE","DICEMBRE"},0)</f>
        <v>6</v>
      </c>
      <c r="E162" s="57" t="str">
        <f t="shared" ref="E162" si="305">CONCATENATE(,B162," ",C162)</f>
        <v>GIUGNO 2026</v>
      </c>
      <c r="F162" s="57" t="str">
        <f t="shared" ref="F162" si="306">CONCATENATE(D162," ",E162)</f>
        <v>6 GIUGNO 2026</v>
      </c>
      <c r="G162" s="1309" t="s">
        <v>108</v>
      </c>
      <c r="H162" s="1309" t="str">
        <f>VLOOKUP(G162,CATEGORIE!$H$3:$I$55,2,FALSE)</f>
        <v>COSTO SFIZI</v>
      </c>
      <c r="I162" s="59">
        <v>67</v>
      </c>
      <c r="J162" s="940"/>
      <c r="K162" s="59"/>
      <c r="L162" s="59"/>
    </row>
    <row r="163" spans="1:12">
      <c r="A163" s="57" t="s">
        <v>1335</v>
      </c>
      <c r="B163" s="57" t="s">
        <v>314</v>
      </c>
      <c r="C163" s="57">
        <v>2026</v>
      </c>
      <c r="D163" s="58">
        <f>MATCH(B163,{"GENNAIO","FEBBRAIO","MARZO","APRILE","MAGGIO","GIUGNO","LUGLIO","AGOSTO","SETTEMBRE","OTTOBRE","NOVEMBRE","DICEMBRE"},0)</f>
        <v>6</v>
      </c>
      <c r="E163" s="57" t="str">
        <f t="shared" ref="E163" si="307">CONCATENATE(,B163," ",C163)</f>
        <v>GIUGNO 2026</v>
      </c>
      <c r="F163" s="57" t="str">
        <f t="shared" ref="F163" si="308">CONCATENATE(D163," ",E163)</f>
        <v>6 GIUGNO 2026</v>
      </c>
      <c r="G163" s="1309" t="s">
        <v>108</v>
      </c>
      <c r="H163" s="1309" t="str">
        <f>VLOOKUP(G163,CATEGORIE!$H$3:$I$55,2,FALSE)</f>
        <v>COSTO SFIZI</v>
      </c>
      <c r="I163" s="59">
        <v>199</v>
      </c>
      <c r="J163" s="940"/>
      <c r="K163" s="59"/>
      <c r="L163" s="59"/>
    </row>
    <row r="164" spans="1:12">
      <c r="A164" s="57" t="s">
        <v>229</v>
      </c>
      <c r="B164" s="57" t="s">
        <v>314</v>
      </c>
      <c r="C164" s="57">
        <v>2026</v>
      </c>
      <c r="D164" s="58">
        <f>MATCH(B164,{"GENNAIO","FEBBRAIO","MARZO","APRILE","MAGGIO","GIUGNO","LUGLIO","AGOSTO","SETTEMBRE","OTTOBRE","NOVEMBRE","DICEMBRE"},0)</f>
        <v>6</v>
      </c>
      <c r="E164" s="57" t="str">
        <f t="shared" ref="E164" si="309">CONCATENATE(,B164," ",C164)</f>
        <v>GIUGNO 2026</v>
      </c>
      <c r="F164" s="57" t="str">
        <f t="shared" ref="F164" si="310">CONCATENATE(D164," ",E164)</f>
        <v>6 GIUGNO 2026</v>
      </c>
      <c r="G164" s="1309" t="s">
        <v>163</v>
      </c>
      <c r="H164" s="1309" t="str">
        <f>VLOOKUP(G164,CATEGORIE!$H$3:$I$55,2,FALSE)</f>
        <v>COSTO SVAGHI</v>
      </c>
      <c r="I164" s="59">
        <v>6.82</v>
      </c>
      <c r="J164" s="940"/>
      <c r="K164" s="59" t="s">
        <v>112</v>
      </c>
      <c r="L164" s="59" t="s">
        <v>1334</v>
      </c>
    </row>
    <row r="165" spans="1:12">
      <c r="A165" s="57" t="s">
        <v>95</v>
      </c>
      <c r="B165" s="57" t="s">
        <v>314</v>
      </c>
      <c r="C165" s="57">
        <v>2026</v>
      </c>
      <c r="D165" s="58">
        <f>MATCH(B165,{"GENNAIO","FEBBRAIO","MARZO","APRILE","MAGGIO","GIUGNO","LUGLIO","AGOSTO","SETTEMBRE","OTTOBRE","NOVEMBRE","DICEMBRE"},0)</f>
        <v>6</v>
      </c>
      <c r="E165" s="57" t="str">
        <f t="shared" ref="E165" si="311">CONCATENATE(,B165," ",C165)</f>
        <v>GIUGNO 2026</v>
      </c>
      <c r="F165" s="57" t="str">
        <f t="shared" ref="F165" si="312">CONCATENATE(D165," ",E165)</f>
        <v>6 GIUGNO 2026</v>
      </c>
      <c r="G165" s="1309" t="s">
        <v>96</v>
      </c>
      <c r="H165" s="1309" t="str">
        <f>VLOOKUP(G165,CATEGORIE!$H$3:$I$55,2,FALSE)</f>
        <v>COSTO SOPRAVVIVENZA</v>
      </c>
      <c r="I165" s="59">
        <v>30.81</v>
      </c>
      <c r="J165" s="940"/>
      <c r="K165" s="59"/>
      <c r="L165" s="59"/>
    </row>
    <row r="166" spans="1:12">
      <c r="A166" s="57" t="s">
        <v>1333</v>
      </c>
      <c r="B166" s="57" t="s">
        <v>314</v>
      </c>
      <c r="C166" s="57">
        <v>2026</v>
      </c>
      <c r="D166" s="58">
        <f>MATCH(B166,{"GENNAIO","FEBBRAIO","MARZO","APRILE","MAGGIO","GIUGNO","LUGLIO","AGOSTO","SETTEMBRE","OTTOBRE","NOVEMBRE","DICEMBRE"},0)</f>
        <v>6</v>
      </c>
      <c r="E166" s="57" t="str">
        <f t="shared" ref="E166" si="313">CONCATENATE(,B166," ",C166)</f>
        <v>GIUGNO 2026</v>
      </c>
      <c r="F166" s="57" t="str">
        <f t="shared" ref="F166" si="314">CONCATENATE(D166," ",E166)</f>
        <v>6 GIUGNO 2026</v>
      </c>
      <c r="G166" s="1309" t="s">
        <v>94</v>
      </c>
      <c r="H166" s="1309" t="str">
        <f>VLOOKUP(G166,CATEGORIE!$H$3:$I$55,2,FALSE)</f>
        <v>COSTO SVAGHI</v>
      </c>
      <c r="I166" s="59">
        <v>2.5</v>
      </c>
      <c r="J166" s="57"/>
      <c r="K166" s="57"/>
      <c r="L166" s="59" t="s">
        <v>1326</v>
      </c>
    </row>
    <row r="167" spans="1:12">
      <c r="A167" s="57" t="s">
        <v>1332</v>
      </c>
      <c r="B167" s="57" t="s">
        <v>314</v>
      </c>
      <c r="C167" s="57">
        <v>2026</v>
      </c>
      <c r="D167" s="58">
        <f>MATCH(B167,{"GENNAIO","FEBBRAIO","MARZO","APRILE","MAGGIO","GIUGNO","LUGLIO","AGOSTO","SETTEMBRE","OTTOBRE","NOVEMBRE","DICEMBRE"},0)</f>
        <v>6</v>
      </c>
      <c r="E167" s="57" t="str">
        <f t="shared" ref="E167" si="315">CONCATENATE(,B167," ",C167)</f>
        <v>GIUGNO 2026</v>
      </c>
      <c r="F167" s="57" t="str">
        <f t="shared" ref="F167" si="316">CONCATENATE(D167," ",E167)</f>
        <v>6 GIUGNO 2026</v>
      </c>
      <c r="G167" s="1309" t="s">
        <v>94</v>
      </c>
      <c r="H167" s="1309" t="str">
        <f>VLOOKUP(G167,CATEGORIE!$H$3:$I$55,2,FALSE)</f>
        <v>COSTO SVAGHI</v>
      </c>
      <c r="I167" s="59">
        <v>42</v>
      </c>
      <c r="J167" s="57"/>
      <c r="K167" s="57"/>
      <c r="L167" s="59" t="s">
        <v>1326</v>
      </c>
    </row>
    <row r="168" spans="1:12">
      <c r="A168" s="57" t="s">
        <v>187</v>
      </c>
      <c r="B168" s="57" t="s">
        <v>314</v>
      </c>
      <c r="C168" s="57">
        <v>2026</v>
      </c>
      <c r="D168" s="58">
        <f>MATCH(B168,{"GENNAIO","FEBBRAIO","MARZO","APRILE","MAGGIO","GIUGNO","LUGLIO","AGOSTO","SETTEMBRE","OTTOBRE","NOVEMBRE","DICEMBRE"},0)</f>
        <v>6</v>
      </c>
      <c r="E168" s="57" t="str">
        <f t="shared" ref="E168" si="317">CONCATENATE(,B168," ",C168)</f>
        <v>GIUGNO 2026</v>
      </c>
      <c r="F168" s="57" t="str">
        <f t="shared" ref="F168" si="318">CONCATENATE(D168," ",E168)</f>
        <v>6 GIUGNO 2026</v>
      </c>
      <c r="G168" s="1309" t="s">
        <v>163</v>
      </c>
      <c r="H168" s="1309" t="str">
        <f>VLOOKUP(G168,CATEGORIE!$H$3:$I$55,2,FALSE)</f>
        <v>COSTO SVAGHI</v>
      </c>
      <c r="I168" s="59">
        <v>56</v>
      </c>
      <c r="J168" s="940"/>
      <c r="K168" s="59"/>
      <c r="L168" s="59" t="s">
        <v>1326</v>
      </c>
    </row>
    <row r="169" spans="1:12">
      <c r="A169" s="57" t="s">
        <v>229</v>
      </c>
      <c r="B169" s="57" t="s">
        <v>314</v>
      </c>
      <c r="C169" s="57">
        <v>2026</v>
      </c>
      <c r="D169" s="58">
        <f>MATCH(B169,{"GENNAIO","FEBBRAIO","MARZO","APRILE","MAGGIO","GIUGNO","LUGLIO","AGOSTO","SETTEMBRE","OTTOBRE","NOVEMBRE","DICEMBRE"},0)</f>
        <v>6</v>
      </c>
      <c r="E169" s="57" t="str">
        <f t="shared" ref="E169" si="319">CONCATENATE(,B169," ",C169)</f>
        <v>GIUGNO 2026</v>
      </c>
      <c r="F169" s="57" t="str">
        <f t="shared" ref="F169" si="320">CONCATENATE(D169," ",E169)</f>
        <v>6 GIUGNO 2026</v>
      </c>
      <c r="G169" s="1309" t="s">
        <v>163</v>
      </c>
      <c r="H169" s="1309" t="str">
        <f>VLOOKUP(G169,CATEGORIE!$H$3:$I$55,2,FALSE)</f>
        <v>COSTO SVAGHI</v>
      </c>
      <c r="I169" s="59">
        <v>19.09</v>
      </c>
      <c r="J169" s="940"/>
      <c r="K169" s="59" t="s">
        <v>112</v>
      </c>
      <c r="L169" s="59" t="s">
        <v>1331</v>
      </c>
    </row>
    <row r="170" spans="1:12">
      <c r="A170" s="57" t="s">
        <v>97</v>
      </c>
      <c r="B170" s="57" t="s">
        <v>314</v>
      </c>
      <c r="C170" s="57">
        <v>2026</v>
      </c>
      <c r="D170" s="58">
        <f>MATCH(B170,{"GENNAIO","FEBBRAIO","MARZO","APRILE","MAGGIO","GIUGNO","LUGLIO","AGOSTO","SETTEMBRE","OTTOBRE","NOVEMBRE","DICEMBRE"},0)</f>
        <v>6</v>
      </c>
      <c r="E170" s="57" t="str">
        <f t="shared" ref="E170" si="321">CONCATENATE(,B170," ",C170)</f>
        <v>GIUGNO 2026</v>
      </c>
      <c r="F170" s="57" t="str">
        <f t="shared" ref="F170" si="322">CONCATENATE(D170," ",E170)</f>
        <v>6 GIUGNO 2026</v>
      </c>
      <c r="G170" s="1309" t="s">
        <v>789</v>
      </c>
      <c r="H170" s="1309" t="str">
        <f>VLOOKUP(G170,CATEGORIE!$H$3:$I$55,2,FALSE)</f>
        <v>MOVIMENTI CONTO</v>
      </c>
      <c r="I170" s="59">
        <v>80</v>
      </c>
      <c r="J170" s="940"/>
      <c r="K170" s="59" t="s">
        <v>97</v>
      </c>
      <c r="L170" s="59"/>
    </row>
    <row r="171" spans="1:12">
      <c r="A171" s="57" t="s">
        <v>97</v>
      </c>
      <c r="B171" s="57" t="s">
        <v>314</v>
      </c>
      <c r="C171" s="57">
        <v>2026</v>
      </c>
      <c r="D171" s="58">
        <f>MATCH(B171,{"GENNAIO","FEBBRAIO","MARZO","APRILE","MAGGIO","GIUGNO","LUGLIO","AGOSTO","SETTEMBRE","OTTOBRE","NOVEMBRE","DICEMBRE"},0)</f>
        <v>6</v>
      </c>
      <c r="E171" s="57" t="str">
        <f t="shared" ref="E171" si="323">CONCATENATE(,B171," ",C171)</f>
        <v>GIUGNO 2026</v>
      </c>
      <c r="F171" s="57" t="str">
        <f t="shared" ref="F171" si="324">CONCATENATE(D171," ",E171)</f>
        <v>6 GIUGNO 2026</v>
      </c>
      <c r="G171" s="1309" t="s">
        <v>789</v>
      </c>
      <c r="H171" s="1309" t="str">
        <f>VLOOKUP(G171,CATEGORIE!$H$3:$I$55,2,FALSE)</f>
        <v>MOVIMENTI CONTO</v>
      </c>
      <c r="I171" s="59">
        <v>130</v>
      </c>
      <c r="J171" s="940"/>
      <c r="K171" s="59" t="s">
        <v>97</v>
      </c>
      <c r="L171" s="59"/>
    </row>
    <row r="172" spans="1:12">
      <c r="A172" s="57" t="s">
        <v>99</v>
      </c>
      <c r="B172" s="57" t="s">
        <v>314</v>
      </c>
      <c r="C172" s="57">
        <v>2026</v>
      </c>
      <c r="D172" s="58">
        <f>MATCH(B172,{"GENNAIO","FEBBRAIO","MARZO","APRILE","MAGGIO","GIUGNO","LUGLIO","AGOSTO","SETTEMBRE","OTTOBRE","NOVEMBRE","DICEMBRE"},0)</f>
        <v>6</v>
      </c>
      <c r="E172" s="57" t="str">
        <f t="shared" ref="E172" si="325">CONCATENATE(,B172," ",C172)</f>
        <v>GIUGNO 2026</v>
      </c>
      <c r="F172" s="57" t="str">
        <f t="shared" ref="F172" si="326">CONCATENATE(D172," ",E172)</f>
        <v>6 GIUGNO 2026</v>
      </c>
      <c r="G172" s="1309" t="s">
        <v>100</v>
      </c>
      <c r="H172" s="1309" t="s">
        <v>744</v>
      </c>
      <c r="I172" s="59">
        <v>59.99</v>
      </c>
      <c r="J172" s="940"/>
      <c r="K172" s="59" t="s">
        <v>99</v>
      </c>
      <c r="L172" s="59" t="s">
        <v>1330</v>
      </c>
    </row>
    <row r="173" spans="1:12">
      <c r="A173" s="57" t="s">
        <v>99</v>
      </c>
      <c r="B173" s="57" t="s">
        <v>314</v>
      </c>
      <c r="C173" s="57">
        <v>2026</v>
      </c>
      <c r="D173" s="58">
        <f>MATCH(B173,{"GENNAIO","FEBBRAIO","MARZO","APRILE","MAGGIO","GIUGNO","LUGLIO","AGOSTO","SETTEMBRE","OTTOBRE","NOVEMBRE","DICEMBRE"},0)</f>
        <v>6</v>
      </c>
      <c r="E173" s="57" t="str">
        <f t="shared" ref="E173" si="327">CONCATENATE(,B173," ",C173)</f>
        <v>GIUGNO 2026</v>
      </c>
      <c r="F173" s="57" t="str">
        <f t="shared" ref="F173" si="328">CONCATENATE(D173," ",E173)</f>
        <v>6 GIUGNO 2026</v>
      </c>
      <c r="G173" s="1309" t="s">
        <v>100</v>
      </c>
      <c r="H173" s="1309" t="s">
        <v>739</v>
      </c>
      <c r="I173" s="59">
        <v>193.97</v>
      </c>
      <c r="J173" s="940"/>
      <c r="K173" s="59" t="s">
        <v>99</v>
      </c>
      <c r="L173" s="59" t="s">
        <v>1329</v>
      </c>
    </row>
    <row r="174" spans="1:12">
      <c r="A174" s="57" t="s">
        <v>99</v>
      </c>
      <c r="B174" s="57" t="s">
        <v>314</v>
      </c>
      <c r="C174" s="57">
        <v>2026</v>
      </c>
      <c r="D174" s="58">
        <f>MATCH(B174,{"GENNAIO","FEBBRAIO","MARZO","APRILE","MAGGIO","GIUGNO","LUGLIO","AGOSTO","SETTEMBRE","OTTOBRE","NOVEMBRE","DICEMBRE"},0)</f>
        <v>6</v>
      </c>
      <c r="E174" s="57" t="str">
        <f t="shared" ref="E174" si="329">CONCATENATE(,B174," ",C174)</f>
        <v>GIUGNO 2026</v>
      </c>
      <c r="F174" s="57" t="str">
        <f t="shared" ref="F174" si="330">CONCATENATE(D174," ",E174)</f>
        <v>6 GIUGNO 2026</v>
      </c>
      <c r="G174" s="1309" t="s">
        <v>100</v>
      </c>
      <c r="H174" s="1309" t="str">
        <f>VLOOKUP(G174,CATEGORIE!$H$3:$I$55,2,FALSE)</f>
        <v>COSTO SFIZI</v>
      </c>
      <c r="I174" s="59">
        <v>73.8</v>
      </c>
      <c r="J174" s="940" t="s">
        <v>126</v>
      </c>
      <c r="K174" s="59" t="s">
        <v>99</v>
      </c>
      <c r="L174" s="59" t="s">
        <v>1317</v>
      </c>
    </row>
    <row r="175" spans="1:12">
      <c r="A175" s="57" t="s">
        <v>99</v>
      </c>
      <c r="B175" s="57" t="s">
        <v>314</v>
      </c>
      <c r="C175" s="57">
        <v>2026</v>
      </c>
      <c r="D175" s="58">
        <f>MATCH(B175,{"GENNAIO","FEBBRAIO","MARZO","APRILE","MAGGIO","GIUGNO","LUGLIO","AGOSTO","SETTEMBRE","OTTOBRE","NOVEMBRE","DICEMBRE"},0)</f>
        <v>6</v>
      </c>
      <c r="E175" s="57" t="str">
        <f t="shared" ref="E175:E176" si="331">CONCATENATE(,B175," ",C175)</f>
        <v>GIUGNO 2026</v>
      </c>
      <c r="F175" s="57" t="str">
        <f t="shared" ref="F175:F176" si="332">CONCATENATE(D175," ",E175)</f>
        <v>6 GIUGNO 2026</v>
      </c>
      <c r="G175" s="1309" t="s">
        <v>100</v>
      </c>
      <c r="H175" s="1309" t="str">
        <f>VLOOKUP(G175,CATEGORIE!$H$3:$I$55,2,FALSE)</f>
        <v>COSTO SFIZI</v>
      </c>
      <c r="I175" s="59">
        <v>35.79</v>
      </c>
      <c r="J175" s="940" t="s">
        <v>151</v>
      </c>
      <c r="K175" s="59" t="s">
        <v>99</v>
      </c>
      <c r="L175" s="59" t="s">
        <v>127</v>
      </c>
    </row>
    <row r="176" spans="1:12">
      <c r="A176" s="57" t="s">
        <v>99</v>
      </c>
      <c r="B176" s="57" t="s">
        <v>314</v>
      </c>
      <c r="C176" s="57">
        <v>2026</v>
      </c>
      <c r="D176" s="58">
        <f>MATCH(B176,{"GENNAIO","FEBBRAIO","MARZO","APRILE","MAGGIO","GIUGNO","LUGLIO","AGOSTO","SETTEMBRE","OTTOBRE","NOVEMBRE","DICEMBRE"},0)</f>
        <v>6</v>
      </c>
      <c r="E176" s="57" t="str">
        <f t="shared" si="331"/>
        <v>GIUGNO 2026</v>
      </c>
      <c r="F176" s="57" t="str">
        <f t="shared" si="332"/>
        <v>6 GIUGNO 2026</v>
      </c>
      <c r="G176" s="1309" t="s">
        <v>100</v>
      </c>
      <c r="H176" s="1309" t="str">
        <f>VLOOKUP(G176,CATEGORIE!$H$3:$I$55,2,FALSE)</f>
        <v>COSTO SFIZI</v>
      </c>
      <c r="I176" s="59">
        <v>38.799999999999997</v>
      </c>
      <c r="J176" s="940" t="s">
        <v>151</v>
      </c>
      <c r="K176" s="59" t="s">
        <v>99</v>
      </c>
      <c r="L176" s="59" t="s">
        <v>128</v>
      </c>
    </row>
    <row r="177" spans="1:12">
      <c r="A177" s="57" t="s">
        <v>1327</v>
      </c>
      <c r="B177" s="57" t="s">
        <v>333</v>
      </c>
      <c r="C177" s="57">
        <v>2026</v>
      </c>
      <c r="D177" s="58">
        <f>MATCH(B177,{"GENNAIO","FEBBRAIO","MARZO","APRILE","MAGGIO","GIUGNO","LUGLIO","AGOSTO","SETTEMBRE","OTTOBRE","NOVEMBRE","DICEMBRE"},0)</f>
        <v>5</v>
      </c>
      <c r="E177" s="57" t="str">
        <f t="shared" ref="E177" si="333">CONCATENATE(,B177," ",C177)</f>
        <v>MAGGIO 2026</v>
      </c>
      <c r="F177" s="57" t="str">
        <f t="shared" ref="F177" si="334">CONCATENATE(D177," ",E177)</f>
        <v>5 MAGGIO 2026</v>
      </c>
      <c r="G177" s="1309" t="s">
        <v>111</v>
      </c>
      <c r="H177" s="1309" t="str">
        <f>VLOOKUP(G177,CATEGORIE!$H$3:$I$55,2,FALSE)</f>
        <v>COSTO MOBILITA'</v>
      </c>
      <c r="I177" s="59">
        <v>41.95</v>
      </c>
      <c r="J177" s="940"/>
      <c r="K177" s="59"/>
      <c r="L177" s="59" t="s">
        <v>1326</v>
      </c>
    </row>
    <row r="178" spans="1:12">
      <c r="A178" s="57" t="s">
        <v>1318</v>
      </c>
      <c r="B178" s="57" t="s">
        <v>333</v>
      </c>
      <c r="C178" s="57">
        <v>2026</v>
      </c>
      <c r="D178" s="58">
        <f>MATCH(B178,{"GENNAIO","FEBBRAIO","MARZO","APRILE","MAGGIO","GIUGNO","LUGLIO","AGOSTO","SETTEMBRE","OTTOBRE","NOVEMBRE","DICEMBRE"},0)</f>
        <v>5</v>
      </c>
      <c r="E178" s="57" t="str">
        <f t="shared" ref="E178" si="335">CONCATENATE(,B178," ",C178)</f>
        <v>MAGGIO 2026</v>
      </c>
      <c r="F178" s="57" t="str">
        <f t="shared" ref="F178" si="336">CONCATENATE(D178," ",E178)</f>
        <v>5 MAGGIO 2026</v>
      </c>
      <c r="G178" s="1309" t="s">
        <v>91</v>
      </c>
      <c r="H178" s="1309" t="str">
        <f>VLOOKUP(G178,CATEGORIE!$H$3:$I$55,2,FALSE)</f>
        <v>COSTO SOPRAVVIVENZA</v>
      </c>
      <c r="I178" s="59">
        <v>5</v>
      </c>
      <c r="J178" s="940"/>
      <c r="K178" s="59"/>
      <c r="L178" s="59"/>
    </row>
    <row r="179" spans="1:12">
      <c r="A179" s="57" t="s">
        <v>187</v>
      </c>
      <c r="B179" s="57" t="s">
        <v>333</v>
      </c>
      <c r="C179" s="57">
        <v>2026</v>
      </c>
      <c r="D179" s="58">
        <f>MATCH(B179,{"GENNAIO","FEBBRAIO","MARZO","APRILE","MAGGIO","GIUGNO","LUGLIO","AGOSTO","SETTEMBRE","OTTOBRE","NOVEMBRE","DICEMBRE"},0)</f>
        <v>5</v>
      </c>
      <c r="E179" s="57" t="str">
        <f t="shared" ref="E179" si="337">CONCATENATE(,B179," ",C179)</f>
        <v>MAGGIO 2026</v>
      </c>
      <c r="F179" s="57" t="str">
        <f t="shared" ref="F179" si="338">CONCATENATE(D179," ",E179)</f>
        <v>5 MAGGIO 2026</v>
      </c>
      <c r="G179" s="1309" t="s">
        <v>188</v>
      </c>
      <c r="H179" s="1309" t="str">
        <f>VLOOKUP(G179,CATEGORIE!$H$3:$I$55,2,FALSE)</f>
        <v>COSTO VACANZE</v>
      </c>
      <c r="I179" s="59">
        <v>339.78</v>
      </c>
      <c r="J179" s="940"/>
      <c r="K179" s="59"/>
      <c r="L179" s="59" t="s">
        <v>1326</v>
      </c>
    </row>
    <row r="180" spans="1:12">
      <c r="A180" s="57" t="s">
        <v>97</v>
      </c>
      <c r="B180" s="57" t="s">
        <v>333</v>
      </c>
      <c r="C180" s="57">
        <v>2026</v>
      </c>
      <c r="D180" s="58">
        <f>MATCH(B180,{"GENNAIO","FEBBRAIO","MARZO","APRILE","MAGGIO","GIUGNO","LUGLIO","AGOSTO","SETTEMBRE","OTTOBRE","NOVEMBRE","DICEMBRE"},0)</f>
        <v>5</v>
      </c>
      <c r="E180" s="57" t="str">
        <f t="shared" ref="E180" si="339">CONCATENATE(,B180," ",C180)</f>
        <v>MAGGIO 2026</v>
      </c>
      <c r="F180" s="57" t="str">
        <f t="shared" ref="F180" si="340">CONCATENATE(D180," ",E180)</f>
        <v>5 MAGGIO 2026</v>
      </c>
      <c r="G180" s="1309" t="s">
        <v>789</v>
      </c>
      <c r="H180" s="1309" t="str">
        <f>VLOOKUP(G180,CATEGORIE!$H$3:$I$55,2,FALSE)</f>
        <v>MOVIMENTI CONTO</v>
      </c>
      <c r="I180" s="59">
        <v>100</v>
      </c>
      <c r="J180" s="940"/>
      <c r="K180" s="59" t="s">
        <v>97</v>
      </c>
      <c r="L180" s="59"/>
    </row>
    <row r="181" spans="1:12">
      <c r="A181" s="57" t="s">
        <v>156</v>
      </c>
      <c r="B181" s="57" t="s">
        <v>333</v>
      </c>
      <c r="C181" s="57">
        <v>2026</v>
      </c>
      <c r="D181" s="58">
        <f>MATCH(B181,{"GENNAIO","FEBBRAIO","MARZO","APRILE","MAGGIO","GIUGNO","LUGLIO","AGOSTO","SETTEMBRE","OTTOBRE","NOVEMBRE","DICEMBRE"},0)</f>
        <v>5</v>
      </c>
      <c r="E181" s="57" t="str">
        <f t="shared" ref="E181" si="341">CONCATENATE(,B181," ",C181)</f>
        <v>MAGGIO 2026</v>
      </c>
      <c r="F181" s="57" t="str">
        <f t="shared" ref="F181" si="342">CONCATENATE(D181," ",E181)</f>
        <v>5 MAGGIO 2026</v>
      </c>
      <c r="G181" s="1309" t="s">
        <v>96</v>
      </c>
      <c r="H181" s="1309" t="str">
        <f>VLOOKUP(G181,CATEGORIE!$H$3:$I$55,2,FALSE)</f>
        <v>COSTO SOPRAVVIVENZA</v>
      </c>
      <c r="I181" s="59">
        <v>4.57</v>
      </c>
      <c r="J181" s="940"/>
      <c r="K181" s="59"/>
      <c r="L181" s="59"/>
    </row>
    <row r="182" spans="1:12">
      <c r="A182" s="57" t="s">
        <v>120</v>
      </c>
      <c r="B182" s="57" t="s">
        <v>333</v>
      </c>
      <c r="C182" s="57">
        <v>2026</v>
      </c>
      <c r="D182" s="58">
        <f>MATCH(B182,{"GENNAIO","FEBBRAIO","MARZO","APRILE","MAGGIO","GIUGNO","LUGLIO","AGOSTO","SETTEMBRE","OTTOBRE","NOVEMBRE","DICEMBRE"},0)</f>
        <v>5</v>
      </c>
      <c r="E182" s="57" t="str">
        <f t="shared" ref="E182" si="343">CONCATENATE(,B182," ",C182)</f>
        <v>MAGGIO 2026</v>
      </c>
      <c r="F182" s="57" t="str">
        <f t="shared" ref="F182" si="344">CONCATENATE(D182," ",E182)</f>
        <v>5 MAGGIO 2026</v>
      </c>
      <c r="G182" s="1309" t="s">
        <v>121</v>
      </c>
      <c r="H182" s="1309" t="str">
        <f>VLOOKUP(G182,CATEGORIE!$H$3:$I$55,2,FALSE)</f>
        <v>COSTO MOBILITA'</v>
      </c>
      <c r="I182" s="59">
        <v>10</v>
      </c>
      <c r="J182" s="940"/>
      <c r="K182" s="59"/>
      <c r="L182" s="59"/>
    </row>
    <row r="183" spans="1:12">
      <c r="A183" s="57" t="s">
        <v>1325</v>
      </c>
      <c r="B183" s="57" t="s">
        <v>333</v>
      </c>
      <c r="C183" s="57">
        <v>2026</v>
      </c>
      <c r="D183" s="58">
        <f>MATCH(B183,{"GENNAIO","FEBBRAIO","MARZO","APRILE","MAGGIO","GIUGNO","LUGLIO","AGOSTO","SETTEMBRE","OTTOBRE","NOVEMBRE","DICEMBRE"},0)</f>
        <v>5</v>
      </c>
      <c r="E183" s="57" t="str">
        <f t="shared" ref="E183" si="345">CONCATENATE(,B183," ",C183)</f>
        <v>MAGGIO 2026</v>
      </c>
      <c r="F183" s="57" t="str">
        <f t="shared" ref="F183" si="346">CONCATENATE(D183," ",E183)</f>
        <v>5 MAGGIO 2026</v>
      </c>
      <c r="G183" s="1309" t="s">
        <v>94</v>
      </c>
      <c r="H183" s="1309" t="str">
        <f>VLOOKUP(G183,CATEGORIE!$H$3:$I$55,2,FALSE)</f>
        <v>COSTO SVAGHI</v>
      </c>
      <c r="I183" s="59">
        <v>11.4</v>
      </c>
      <c r="J183" s="57"/>
      <c r="K183" s="57"/>
      <c r="L183" s="59"/>
    </row>
    <row r="184" spans="1:12">
      <c r="A184" s="57" t="s">
        <v>1318</v>
      </c>
      <c r="B184" s="57" t="s">
        <v>333</v>
      </c>
      <c r="C184" s="57">
        <v>2026</v>
      </c>
      <c r="D184" s="58">
        <f>MATCH(B184,{"GENNAIO","FEBBRAIO","MARZO","APRILE","MAGGIO","GIUGNO","LUGLIO","AGOSTO","SETTEMBRE","OTTOBRE","NOVEMBRE","DICEMBRE"},0)</f>
        <v>5</v>
      </c>
      <c r="E184" s="57" t="str">
        <f t="shared" ref="E184" si="347">CONCATENATE(,B184," ",C184)</f>
        <v>MAGGIO 2026</v>
      </c>
      <c r="F184" s="57" t="str">
        <f t="shared" ref="F184" si="348">CONCATENATE(D184," ",E184)</f>
        <v>5 MAGGIO 2026</v>
      </c>
      <c r="G184" s="1309" t="s">
        <v>91</v>
      </c>
      <c r="H184" s="1309" t="str">
        <f>VLOOKUP(G184,CATEGORIE!$H$3:$I$55,2,FALSE)</f>
        <v>COSTO SOPRAVVIVENZA</v>
      </c>
      <c r="I184" s="59">
        <v>5</v>
      </c>
      <c r="J184" s="940"/>
      <c r="K184" s="59"/>
      <c r="L184" s="59"/>
    </row>
    <row r="185" spans="1:12">
      <c r="A185" s="57" t="s">
        <v>1318</v>
      </c>
      <c r="B185" s="57" t="s">
        <v>333</v>
      </c>
      <c r="C185" s="57">
        <v>2026</v>
      </c>
      <c r="D185" s="58">
        <f>MATCH(B185,{"GENNAIO","FEBBRAIO","MARZO","APRILE","MAGGIO","GIUGNO","LUGLIO","AGOSTO","SETTEMBRE","OTTOBRE","NOVEMBRE","DICEMBRE"},0)</f>
        <v>5</v>
      </c>
      <c r="E185" s="57" t="str">
        <f t="shared" ref="E185" si="349">CONCATENATE(,B185," ",C185)</f>
        <v>MAGGIO 2026</v>
      </c>
      <c r="F185" s="57" t="str">
        <f t="shared" ref="F185" si="350">CONCATENATE(D185," ",E185)</f>
        <v>5 MAGGIO 2026</v>
      </c>
      <c r="G185" s="1309" t="s">
        <v>91</v>
      </c>
      <c r="H185" s="1309" t="str">
        <f>VLOOKUP(G185,CATEGORIE!$H$3:$I$55,2,FALSE)</f>
        <v>COSTO SOPRAVVIVENZA</v>
      </c>
      <c r="I185" s="59">
        <v>5</v>
      </c>
      <c r="J185" s="940"/>
      <c r="K185" s="59"/>
      <c r="L185" s="59"/>
    </row>
    <row r="186" spans="1:12">
      <c r="A186" s="57" t="s">
        <v>97</v>
      </c>
      <c r="B186" s="57" t="s">
        <v>333</v>
      </c>
      <c r="C186" s="57">
        <v>2026</v>
      </c>
      <c r="D186" s="58">
        <f>MATCH(B186,{"GENNAIO","FEBBRAIO","MARZO","APRILE","MAGGIO","GIUGNO","LUGLIO","AGOSTO","SETTEMBRE","OTTOBRE","NOVEMBRE","DICEMBRE"},0)</f>
        <v>5</v>
      </c>
      <c r="E186" s="57" t="str">
        <f t="shared" ref="E186" si="351">CONCATENATE(,B186," ",C186)</f>
        <v>MAGGIO 2026</v>
      </c>
      <c r="F186" s="57" t="str">
        <f t="shared" ref="F186" si="352">CONCATENATE(D186," ",E186)</f>
        <v>5 MAGGIO 2026</v>
      </c>
      <c r="G186" s="1309" t="s">
        <v>789</v>
      </c>
      <c r="H186" s="1309" t="str">
        <f>VLOOKUP(G186,CATEGORIE!$H$3:$I$55,2,FALSE)</f>
        <v>MOVIMENTI CONTO</v>
      </c>
      <c r="I186" s="59">
        <v>20</v>
      </c>
      <c r="J186" s="940"/>
      <c r="K186" s="59" t="s">
        <v>97</v>
      </c>
      <c r="L186" s="59"/>
    </row>
    <row r="187" spans="1:12">
      <c r="A187" s="57" t="s">
        <v>97</v>
      </c>
      <c r="B187" s="57" t="s">
        <v>333</v>
      </c>
      <c r="C187" s="57">
        <v>2026</v>
      </c>
      <c r="D187" s="58">
        <f>MATCH(B187,{"GENNAIO","FEBBRAIO","MARZO","APRILE","MAGGIO","GIUGNO","LUGLIO","AGOSTO","SETTEMBRE","OTTOBRE","NOVEMBRE","DICEMBRE"},0)</f>
        <v>5</v>
      </c>
      <c r="E187" s="57" t="str">
        <f t="shared" ref="E187" si="353">CONCATENATE(,B187," ",C187)</f>
        <v>MAGGIO 2026</v>
      </c>
      <c r="F187" s="57" t="str">
        <f t="shared" ref="F187" si="354">CONCATENATE(D187," ",E187)</f>
        <v>5 MAGGIO 2026</v>
      </c>
      <c r="G187" s="1309" t="s">
        <v>789</v>
      </c>
      <c r="H187" s="1309" t="str">
        <f>VLOOKUP(G187,CATEGORIE!$H$3:$I$55,2,FALSE)</f>
        <v>MOVIMENTI CONTO</v>
      </c>
      <c r="I187" s="59">
        <v>100</v>
      </c>
      <c r="J187" s="940"/>
      <c r="K187" s="59" t="s">
        <v>97</v>
      </c>
      <c r="L187" s="59"/>
    </row>
    <row r="188" spans="1:12">
      <c r="A188" s="57" t="s">
        <v>1324</v>
      </c>
      <c r="B188" s="57" t="s">
        <v>333</v>
      </c>
      <c r="C188" s="57">
        <v>2026</v>
      </c>
      <c r="D188" s="58">
        <f>MATCH(B188,{"GENNAIO","FEBBRAIO","MARZO","APRILE","MAGGIO","GIUGNO","LUGLIO","AGOSTO","SETTEMBRE","OTTOBRE","NOVEMBRE","DICEMBRE"},0)</f>
        <v>5</v>
      </c>
      <c r="E188" s="57" t="str">
        <f t="shared" ref="E188" si="355">CONCATENATE(,B188," ",C188)</f>
        <v>MAGGIO 2026</v>
      </c>
      <c r="F188" s="57" t="str">
        <f t="shared" ref="F188:F192" si="356">CONCATENATE(D188," ",E188)</f>
        <v>5 MAGGIO 2026</v>
      </c>
      <c r="G188" s="1309" t="s">
        <v>94</v>
      </c>
      <c r="H188" s="1309" t="str">
        <f>VLOOKUP(G188,CATEGORIE!$H$3:$I$55,2,FALSE)</f>
        <v>COSTO SVAGHI</v>
      </c>
      <c r="I188" s="59">
        <v>8.5</v>
      </c>
      <c r="J188" s="57"/>
      <c r="K188" s="57"/>
      <c r="L188" s="59"/>
    </row>
    <row r="189" spans="1:12">
      <c r="A189" s="57" t="s">
        <v>160</v>
      </c>
      <c r="B189" s="57" t="s">
        <v>333</v>
      </c>
      <c r="C189" s="57">
        <v>2026</v>
      </c>
      <c r="D189" s="58">
        <f>MATCH(B189,{"GENNAIO","FEBBRAIO","MARZO","APRILE","MAGGIO","GIUGNO","LUGLIO","AGOSTO","SETTEMBRE","OTTOBRE","NOVEMBRE","DICEMBRE"},0)</f>
        <v>5</v>
      </c>
      <c r="E189" s="57" t="str">
        <f t="shared" ref="E189" si="357">CONCATENATE(,B189," ",C189)</f>
        <v>MAGGIO 2026</v>
      </c>
      <c r="F189" s="57" t="str">
        <f t="shared" si="356"/>
        <v>5 MAGGIO 2026</v>
      </c>
      <c r="G189" s="1309" t="s">
        <v>111</v>
      </c>
      <c r="H189" s="1309" t="str">
        <f>VLOOKUP(G189,CATEGORIE!$H$3:$I$55,2,FALSE)</f>
        <v>COSTO MOBILITA'</v>
      </c>
      <c r="I189" s="59">
        <v>1.7</v>
      </c>
      <c r="J189" s="940"/>
      <c r="K189" s="59"/>
      <c r="L189" s="59"/>
    </row>
    <row r="190" spans="1:12">
      <c r="A190" s="57" t="s">
        <v>1323</v>
      </c>
      <c r="B190" s="57" t="s">
        <v>333</v>
      </c>
      <c r="C190" s="57">
        <v>2026</v>
      </c>
      <c r="D190" s="58">
        <f>MATCH(B190,{"GENNAIO","FEBBRAIO","MARZO","APRILE","MAGGIO","GIUGNO","LUGLIO","AGOSTO","SETTEMBRE","OTTOBRE","NOVEMBRE","DICEMBRE"},0)</f>
        <v>5</v>
      </c>
      <c r="E190" s="57" t="str">
        <f t="shared" ref="E190" si="358">CONCATENATE(,B190," ",C190)</f>
        <v>MAGGIO 2026</v>
      </c>
      <c r="F190" s="57" t="str">
        <f t="shared" ref="F190" si="359">CONCATENATE(D190," ",E190)</f>
        <v>5 MAGGIO 2026</v>
      </c>
      <c r="G190" s="1309" t="s">
        <v>132</v>
      </c>
      <c r="H190" s="1309" t="str">
        <f>VLOOKUP(G190,CATEGORIE!$H$3:$I$55,2,FALSE)</f>
        <v>COSTO CASA</v>
      </c>
      <c r="I190" s="59">
        <v>3.5</v>
      </c>
      <c r="J190" s="940"/>
      <c r="K190" s="59"/>
      <c r="L190" s="59"/>
    </row>
    <row r="191" spans="1:12">
      <c r="A191" s="57" t="s">
        <v>160</v>
      </c>
      <c r="B191" s="57" t="s">
        <v>333</v>
      </c>
      <c r="C191" s="57">
        <v>2026</v>
      </c>
      <c r="D191" s="58">
        <f>MATCH(B191,{"GENNAIO","FEBBRAIO","MARZO","APRILE","MAGGIO","GIUGNO","LUGLIO","AGOSTO","SETTEMBRE","OTTOBRE","NOVEMBRE","DICEMBRE"},0)</f>
        <v>5</v>
      </c>
      <c r="E191" s="57" t="str">
        <f t="shared" ref="E191" si="360">CONCATENATE(,B191," ",C191)</f>
        <v>MAGGIO 2026</v>
      </c>
      <c r="F191" s="57" t="str">
        <f t="shared" si="356"/>
        <v>5 MAGGIO 2026</v>
      </c>
      <c r="G191" s="1309" t="s">
        <v>111</v>
      </c>
      <c r="H191" s="1309" t="str">
        <f>VLOOKUP(G191,CATEGORIE!$H$3:$I$55,2,FALSE)</f>
        <v>COSTO MOBILITA'</v>
      </c>
      <c r="I191" s="59">
        <v>1.7</v>
      </c>
      <c r="J191" s="940"/>
      <c r="K191" s="59"/>
      <c r="L191" s="59"/>
    </row>
    <row r="192" spans="1:12">
      <c r="A192" s="57" t="s">
        <v>160</v>
      </c>
      <c r="B192" s="57" t="s">
        <v>333</v>
      </c>
      <c r="C192" s="57">
        <v>2026</v>
      </c>
      <c r="D192" s="58">
        <f>MATCH(B192,{"GENNAIO","FEBBRAIO","MARZO","APRILE","MAGGIO","GIUGNO","LUGLIO","AGOSTO","SETTEMBRE","OTTOBRE","NOVEMBRE","DICEMBRE"},0)</f>
        <v>5</v>
      </c>
      <c r="E192" s="57" t="str">
        <f t="shared" ref="E192" si="361">CONCATENATE(,B192," ",C192)</f>
        <v>MAGGIO 2026</v>
      </c>
      <c r="F192" s="57" t="str">
        <f t="shared" si="356"/>
        <v>5 MAGGIO 2026</v>
      </c>
      <c r="G192" s="1309" t="s">
        <v>111</v>
      </c>
      <c r="H192" s="1309" t="str">
        <f>VLOOKUP(G192,CATEGORIE!$H$3:$I$55,2,FALSE)</f>
        <v>COSTO MOBILITA'</v>
      </c>
      <c r="I192" s="59">
        <v>1.4</v>
      </c>
      <c r="J192" s="940"/>
      <c r="K192" s="59"/>
      <c r="L192" s="59"/>
    </row>
    <row r="193" spans="1:12">
      <c r="A193" s="57" t="s">
        <v>507</v>
      </c>
      <c r="B193" s="57" t="s">
        <v>333</v>
      </c>
      <c r="C193" s="57">
        <v>2026</v>
      </c>
      <c r="D193" s="58">
        <f>MATCH(B193,{"GENNAIO","FEBBRAIO","MARZO","APRILE","MAGGIO","GIUGNO","LUGLIO","AGOSTO","SETTEMBRE","OTTOBRE","NOVEMBRE","DICEMBRE"},0)</f>
        <v>5</v>
      </c>
      <c r="E193" s="57" t="str">
        <f t="shared" ref="E193:E194" si="362">CONCATENATE(,B193," ",C193)</f>
        <v>MAGGIO 2026</v>
      </c>
      <c r="F193" s="57" t="str">
        <f t="shared" ref="F193:F194" si="363">CONCATENATE(D193," ",E193)</f>
        <v>5 MAGGIO 2026</v>
      </c>
      <c r="G193" s="1309" t="s">
        <v>94</v>
      </c>
      <c r="H193" s="1309" t="str">
        <f>VLOOKUP(G193,CATEGORIE!$H$3:$I$55,2,FALSE)</f>
        <v>COSTO SVAGHI</v>
      </c>
      <c r="I193" s="59">
        <v>39</v>
      </c>
      <c r="J193" s="57"/>
      <c r="K193" s="57"/>
      <c r="L193" s="59"/>
    </row>
    <row r="194" spans="1:12">
      <c r="A194" s="57" t="s">
        <v>99</v>
      </c>
      <c r="B194" s="57" t="s">
        <v>333</v>
      </c>
      <c r="C194" s="57">
        <v>2026</v>
      </c>
      <c r="D194" s="58">
        <f>MATCH(B194,{"GENNAIO","FEBBRAIO","MARZO","APRILE","MAGGIO","GIUGNO","LUGLIO","AGOSTO","SETTEMBRE","OTTOBRE","NOVEMBRE","DICEMBRE"},0)</f>
        <v>5</v>
      </c>
      <c r="E194" s="57" t="str">
        <f t="shared" si="362"/>
        <v>MAGGIO 2026</v>
      </c>
      <c r="F194" s="57" t="str">
        <f t="shared" si="363"/>
        <v>5 MAGGIO 2026</v>
      </c>
      <c r="G194" s="1309" t="s">
        <v>100</v>
      </c>
      <c r="H194" s="1309" t="str">
        <f>VLOOKUP(G194,CATEGORIE!$H$3:$I$55,2,FALSE)</f>
        <v>COSTO SFIZI</v>
      </c>
      <c r="I194" s="59">
        <v>38.700000000000003</v>
      </c>
      <c r="J194" s="940"/>
      <c r="K194" s="59"/>
      <c r="L194" s="59" t="s">
        <v>1328</v>
      </c>
    </row>
    <row r="195" spans="1:12">
      <c r="A195" s="57" t="s">
        <v>1318</v>
      </c>
      <c r="B195" s="57" t="s">
        <v>333</v>
      </c>
      <c r="C195" s="57">
        <v>2026</v>
      </c>
      <c r="D195" s="58">
        <f>MATCH(B195,{"GENNAIO","FEBBRAIO","MARZO","APRILE","MAGGIO","GIUGNO","LUGLIO","AGOSTO","SETTEMBRE","OTTOBRE","NOVEMBRE","DICEMBRE"},0)</f>
        <v>5</v>
      </c>
      <c r="E195" s="57" t="str">
        <f t="shared" ref="E195" si="364">CONCATENATE(,B195," ",C195)</f>
        <v>MAGGIO 2026</v>
      </c>
      <c r="F195" s="57" t="str">
        <f t="shared" ref="F195" si="365">CONCATENATE(D195," ",E195)</f>
        <v>5 MAGGIO 2026</v>
      </c>
      <c r="G195" s="1309" t="s">
        <v>91</v>
      </c>
      <c r="H195" s="1309" t="str">
        <f>VLOOKUP(G195,CATEGORIE!$H$3:$I$55,2,FALSE)</f>
        <v>COSTO SOPRAVVIVENZA</v>
      </c>
      <c r="I195" s="59">
        <v>5</v>
      </c>
      <c r="J195" s="940"/>
      <c r="K195" s="59"/>
      <c r="L195" s="59"/>
    </row>
    <row r="196" spans="1:12">
      <c r="A196" s="57" t="s">
        <v>95</v>
      </c>
      <c r="B196" s="57" t="s">
        <v>333</v>
      </c>
      <c r="C196" s="57">
        <v>2026</v>
      </c>
      <c r="D196" s="58">
        <f>MATCH(B196,{"GENNAIO","FEBBRAIO","MARZO","APRILE","MAGGIO","GIUGNO","LUGLIO","AGOSTO","SETTEMBRE","OTTOBRE","NOVEMBRE","DICEMBRE"},0)</f>
        <v>5</v>
      </c>
      <c r="E196" s="57" t="str">
        <f t="shared" ref="E196" si="366">CONCATENATE(,B196," ",C196)</f>
        <v>MAGGIO 2026</v>
      </c>
      <c r="F196" s="57" t="str">
        <f t="shared" ref="F196:F200" si="367">CONCATENATE(D196," ",E196)</f>
        <v>5 MAGGIO 2026</v>
      </c>
      <c r="G196" s="1309" t="s">
        <v>96</v>
      </c>
      <c r="H196" s="1309" t="str">
        <f>VLOOKUP(G196,CATEGORIE!$H$3:$I$55,2,FALSE)</f>
        <v>COSTO SOPRAVVIVENZA</v>
      </c>
      <c r="I196" s="59">
        <v>30.17</v>
      </c>
      <c r="J196" s="940"/>
      <c r="K196" s="59"/>
      <c r="L196" s="59"/>
    </row>
    <row r="197" spans="1:12">
      <c r="A197" s="57" t="s">
        <v>1322</v>
      </c>
      <c r="B197" s="57" t="s">
        <v>333</v>
      </c>
      <c r="C197" s="57">
        <v>2026</v>
      </c>
      <c r="D197" s="58">
        <f>MATCH(B197,{"GENNAIO","FEBBRAIO","MARZO","APRILE","MAGGIO","GIUGNO","LUGLIO","AGOSTO","SETTEMBRE","OTTOBRE","NOVEMBRE","DICEMBRE"},0)</f>
        <v>5</v>
      </c>
      <c r="E197" s="57" t="str">
        <f t="shared" ref="E197" si="368">CONCATENATE(,B197," ",C197)</f>
        <v>MAGGIO 2026</v>
      </c>
      <c r="F197" s="57" t="str">
        <f t="shared" si="367"/>
        <v>5 MAGGIO 2026</v>
      </c>
      <c r="G197" s="1309" t="s">
        <v>94</v>
      </c>
      <c r="H197" s="1309" t="str">
        <f>VLOOKUP(G197,CATEGORIE!$H$3:$I$55,2,FALSE)</f>
        <v>COSTO SVAGHI</v>
      </c>
      <c r="I197" s="59">
        <v>14.4</v>
      </c>
      <c r="J197" s="57"/>
      <c r="K197" s="57"/>
      <c r="L197" s="59"/>
    </row>
    <row r="198" spans="1:12">
      <c r="A198" s="57" t="s">
        <v>160</v>
      </c>
      <c r="B198" s="57" t="s">
        <v>333</v>
      </c>
      <c r="C198" s="57">
        <v>2026</v>
      </c>
      <c r="D198" s="58">
        <f>MATCH(B198,{"GENNAIO","FEBBRAIO","MARZO","APRILE","MAGGIO","GIUGNO","LUGLIO","AGOSTO","SETTEMBRE","OTTOBRE","NOVEMBRE","DICEMBRE"},0)</f>
        <v>5</v>
      </c>
      <c r="E198" s="57" t="str">
        <f t="shared" ref="E198" si="369">CONCATENATE(,B198," ",C198)</f>
        <v>MAGGIO 2026</v>
      </c>
      <c r="F198" s="57" t="str">
        <f t="shared" si="367"/>
        <v>5 MAGGIO 2026</v>
      </c>
      <c r="G198" s="1309" t="s">
        <v>111</v>
      </c>
      <c r="H198" s="1309" t="str">
        <f>VLOOKUP(G198,CATEGORIE!$H$3:$I$55,2,FALSE)</f>
        <v>COSTO MOBILITA'</v>
      </c>
      <c r="I198" s="59">
        <v>3.3</v>
      </c>
      <c r="J198" s="940"/>
      <c r="K198" s="59"/>
      <c r="L198" s="59"/>
    </row>
    <row r="199" spans="1:12">
      <c r="A199" s="57" t="s">
        <v>160</v>
      </c>
      <c r="B199" s="57" t="s">
        <v>333</v>
      </c>
      <c r="C199" s="57">
        <v>2026</v>
      </c>
      <c r="D199" s="58">
        <f>MATCH(B199,{"GENNAIO","FEBBRAIO","MARZO","APRILE","MAGGIO","GIUGNO","LUGLIO","AGOSTO","SETTEMBRE","OTTOBRE","NOVEMBRE","DICEMBRE"},0)</f>
        <v>5</v>
      </c>
      <c r="E199" s="57" t="str">
        <f t="shared" ref="E199" si="370">CONCATENATE(,B199," ",C199)</f>
        <v>MAGGIO 2026</v>
      </c>
      <c r="F199" s="57" t="str">
        <f t="shared" si="367"/>
        <v>5 MAGGIO 2026</v>
      </c>
      <c r="G199" s="1309" t="s">
        <v>111</v>
      </c>
      <c r="H199" s="1309" t="str">
        <f>VLOOKUP(G199,CATEGORIE!$H$3:$I$55,2,FALSE)</f>
        <v>COSTO MOBILITA'</v>
      </c>
      <c r="I199" s="59">
        <v>1.7</v>
      </c>
      <c r="J199" s="940"/>
      <c r="K199" s="59"/>
      <c r="L199" s="59"/>
    </row>
    <row r="200" spans="1:12">
      <c r="A200" s="57" t="s">
        <v>99</v>
      </c>
      <c r="B200" s="57" t="s">
        <v>333</v>
      </c>
      <c r="C200" s="57">
        <v>2026</v>
      </c>
      <c r="D200" s="58">
        <f>MATCH(B200,{"GENNAIO","FEBBRAIO","MARZO","APRILE","MAGGIO","GIUGNO","LUGLIO","AGOSTO","SETTEMBRE","OTTOBRE","NOVEMBRE","DICEMBRE"},0)</f>
        <v>5</v>
      </c>
      <c r="E200" s="57" t="str">
        <f t="shared" ref="E200" si="371">CONCATENATE(,B200," ",C200)</f>
        <v>MAGGIO 2026</v>
      </c>
      <c r="F200" s="57" t="str">
        <f t="shared" si="367"/>
        <v>5 MAGGIO 2026</v>
      </c>
      <c r="G200" s="1309" t="s">
        <v>100</v>
      </c>
      <c r="H200" s="1309" t="str">
        <f>VLOOKUP(G200,CATEGORIE!$H$3:$I$55,2,FALSE)</f>
        <v>COSTO SFIZI</v>
      </c>
      <c r="I200" s="59">
        <v>6.99</v>
      </c>
      <c r="J200" s="940"/>
      <c r="K200" s="59"/>
      <c r="L200" s="59" t="s">
        <v>1317</v>
      </c>
    </row>
    <row r="201" spans="1:12">
      <c r="A201" s="57" t="s">
        <v>1318</v>
      </c>
      <c r="B201" s="57" t="s">
        <v>333</v>
      </c>
      <c r="C201" s="57">
        <v>2026</v>
      </c>
      <c r="D201" s="58">
        <f>MATCH(B201,{"GENNAIO","FEBBRAIO","MARZO","APRILE","MAGGIO","GIUGNO","LUGLIO","AGOSTO","SETTEMBRE","OTTOBRE","NOVEMBRE","DICEMBRE"},0)</f>
        <v>5</v>
      </c>
      <c r="E201" s="57" t="str">
        <f t="shared" ref="E201" si="372">CONCATENATE(,B201," ",C201)</f>
        <v>MAGGIO 2026</v>
      </c>
      <c r="F201" s="57" t="str">
        <f t="shared" ref="F201" si="373">CONCATENATE(D201," ",E201)</f>
        <v>5 MAGGIO 2026</v>
      </c>
      <c r="G201" s="1309" t="s">
        <v>91</v>
      </c>
      <c r="H201" s="1309" t="str">
        <f>VLOOKUP(G201,CATEGORIE!$H$3:$I$55,2,FALSE)</f>
        <v>COSTO SOPRAVVIVENZA</v>
      </c>
      <c r="I201" s="59">
        <v>5</v>
      </c>
      <c r="J201" s="940"/>
      <c r="K201" s="59"/>
      <c r="L201" s="59"/>
    </row>
    <row r="202" spans="1:12">
      <c r="A202" s="57" t="s">
        <v>1321</v>
      </c>
      <c r="B202" s="57" t="s">
        <v>333</v>
      </c>
      <c r="C202" s="57">
        <v>2026</v>
      </c>
      <c r="D202" s="58">
        <f>MATCH(B202,{"GENNAIO","FEBBRAIO","MARZO","APRILE","MAGGIO","GIUGNO","LUGLIO","AGOSTO","SETTEMBRE","OTTOBRE","NOVEMBRE","DICEMBRE"},0)</f>
        <v>5</v>
      </c>
      <c r="E202" s="57" t="str">
        <f t="shared" ref="E202" si="374">CONCATENATE(,B202," ",C202)</f>
        <v>MAGGIO 2026</v>
      </c>
      <c r="F202" s="57" t="str">
        <f t="shared" ref="F202" si="375">CONCATENATE(D202," ",E202)</f>
        <v>5 MAGGIO 2026</v>
      </c>
      <c r="G202" s="1309" t="s">
        <v>108</v>
      </c>
      <c r="H202" s="1309" t="str">
        <f>VLOOKUP(G202,CATEGORIE!$H$3:$I$55,2,FALSE)</f>
        <v>COSTO SFIZI</v>
      </c>
      <c r="I202" s="59">
        <v>75.2</v>
      </c>
      <c r="J202" s="940"/>
      <c r="K202" s="59"/>
      <c r="L202" s="59" t="s">
        <v>346</v>
      </c>
    </row>
    <row r="203" spans="1:12">
      <c r="A203" s="57" t="s">
        <v>1320</v>
      </c>
      <c r="B203" s="57" t="s">
        <v>333</v>
      </c>
      <c r="C203" s="57">
        <v>2026</v>
      </c>
      <c r="D203" s="58">
        <f>MATCH(B203,{"GENNAIO","FEBBRAIO","MARZO","APRILE","MAGGIO","GIUGNO","LUGLIO","AGOSTO","SETTEMBRE","OTTOBRE","NOVEMBRE","DICEMBRE"},0)</f>
        <v>5</v>
      </c>
      <c r="E203" s="57" t="str">
        <f t="shared" ref="E203" si="376">CONCATENATE(,B203," ",C203)</f>
        <v>MAGGIO 2026</v>
      </c>
      <c r="F203" s="57" t="str">
        <f t="shared" ref="F203" si="377">CONCATENATE(D203," ",E203)</f>
        <v>5 MAGGIO 2026</v>
      </c>
      <c r="G203" s="1309" t="s">
        <v>108</v>
      </c>
      <c r="H203" s="1309" t="str">
        <f>VLOOKUP(G203,CATEGORIE!$H$3:$I$55,2,FALSE)</f>
        <v>COSTO SFIZI</v>
      </c>
      <c r="I203" s="59">
        <v>45</v>
      </c>
      <c r="J203" s="940"/>
      <c r="K203" s="59"/>
      <c r="L203" s="59" t="s">
        <v>346</v>
      </c>
    </row>
    <row r="204" spans="1:12">
      <c r="A204" s="57" t="s">
        <v>1319</v>
      </c>
      <c r="B204" s="57" t="s">
        <v>333</v>
      </c>
      <c r="C204" s="57">
        <v>2026</v>
      </c>
      <c r="D204" s="58">
        <f>MATCH(B204,{"GENNAIO","FEBBRAIO","MARZO","APRILE","MAGGIO","GIUGNO","LUGLIO","AGOSTO","SETTEMBRE","OTTOBRE","NOVEMBRE","DICEMBRE"},0)</f>
        <v>5</v>
      </c>
      <c r="E204" s="57" t="str">
        <f t="shared" ref="E204" si="378">CONCATENATE(,B204," ",C204)</f>
        <v>MAGGIO 2026</v>
      </c>
      <c r="F204" s="57" t="str">
        <f t="shared" ref="F204" si="379">CONCATENATE(D204," ",E204)</f>
        <v>5 MAGGIO 2026</v>
      </c>
      <c r="G204" s="1309" t="s">
        <v>185</v>
      </c>
      <c r="H204" s="1309" t="str">
        <f>VLOOKUP(G204,CATEGORIE!$H$3:$I$55,2,FALSE)</f>
        <v>COSTO SFIZI</v>
      </c>
      <c r="I204" s="59">
        <v>50.31</v>
      </c>
      <c r="J204" s="940"/>
      <c r="K204" s="59"/>
      <c r="L204" s="59" t="s">
        <v>346</v>
      </c>
    </row>
    <row r="205" spans="1:12">
      <c r="A205" s="57" t="s">
        <v>1318</v>
      </c>
      <c r="B205" s="57" t="s">
        <v>333</v>
      </c>
      <c r="C205" s="57">
        <v>2026</v>
      </c>
      <c r="D205" s="58">
        <f>MATCH(B205,{"GENNAIO","FEBBRAIO","MARZO","APRILE","MAGGIO","GIUGNO","LUGLIO","AGOSTO","SETTEMBRE","OTTOBRE","NOVEMBRE","DICEMBRE"},0)</f>
        <v>5</v>
      </c>
      <c r="E205" s="57" t="str">
        <f t="shared" ref="E205" si="380">CONCATENATE(,B205," ",C205)</f>
        <v>MAGGIO 2026</v>
      </c>
      <c r="F205" s="57" t="str">
        <f t="shared" ref="F205" si="381">CONCATENATE(D205," ",E205)</f>
        <v>5 MAGGIO 2026</v>
      </c>
      <c r="G205" s="1309" t="s">
        <v>91</v>
      </c>
      <c r="H205" s="1309" t="str">
        <f>VLOOKUP(G205,CATEGORIE!$H$3:$I$55,2,FALSE)</f>
        <v>COSTO SOPRAVVIVENZA</v>
      </c>
      <c r="I205" s="59">
        <v>5</v>
      </c>
      <c r="J205" s="940"/>
      <c r="K205" s="59"/>
      <c r="L205" s="59"/>
    </row>
    <row r="206" spans="1:12">
      <c r="A206" s="57" t="s">
        <v>95</v>
      </c>
      <c r="B206" s="57" t="s">
        <v>333</v>
      </c>
      <c r="C206" s="57">
        <v>2026</v>
      </c>
      <c r="D206" s="58">
        <f>MATCH(B206,{"GENNAIO","FEBBRAIO","MARZO","APRILE","MAGGIO","GIUGNO","LUGLIO","AGOSTO","SETTEMBRE","OTTOBRE","NOVEMBRE","DICEMBRE"},0)</f>
        <v>5</v>
      </c>
      <c r="E206" s="57" t="str">
        <f t="shared" ref="E206" si="382">CONCATENATE(,B206," ",C206)</f>
        <v>MAGGIO 2026</v>
      </c>
      <c r="F206" s="57" t="str">
        <f t="shared" ref="F206" si="383">CONCATENATE(D206," ",E206)</f>
        <v>5 MAGGIO 2026</v>
      </c>
      <c r="G206" s="1309" t="s">
        <v>96</v>
      </c>
      <c r="H206" s="1309" t="str">
        <f>VLOOKUP(G206,CATEGORIE!$H$3:$I$55,2,FALSE)</f>
        <v>COSTO SOPRAVVIVENZA</v>
      </c>
      <c r="I206" s="59">
        <v>23.57</v>
      </c>
      <c r="J206" s="940"/>
      <c r="K206" s="59"/>
      <c r="L206" s="59"/>
    </row>
    <row r="207" spans="1:12">
      <c r="A207" s="57" t="s">
        <v>99</v>
      </c>
      <c r="B207" s="57" t="s">
        <v>333</v>
      </c>
      <c r="C207" s="57">
        <v>2026</v>
      </c>
      <c r="D207" s="58">
        <f>MATCH(B207,{"GENNAIO","FEBBRAIO","MARZO","APRILE","MAGGIO","GIUGNO","LUGLIO","AGOSTO","SETTEMBRE","OTTOBRE","NOVEMBRE","DICEMBRE"},0)</f>
        <v>5</v>
      </c>
      <c r="E207" s="57" t="str">
        <f t="shared" ref="E207" si="384">CONCATENATE(,B207," ",C207)</f>
        <v>MAGGIO 2026</v>
      </c>
      <c r="F207" s="57" t="str">
        <f t="shared" ref="F207" si="385">CONCATENATE(D207," ",E207)</f>
        <v>5 MAGGIO 2026</v>
      </c>
      <c r="G207" s="1309" t="s">
        <v>100</v>
      </c>
      <c r="H207" s="1309" t="str">
        <f>VLOOKUP(G207,CATEGORIE!$H$3:$I$55,2,FALSE)</f>
        <v>COSTO SFIZI</v>
      </c>
      <c r="I207" s="59">
        <v>98.7</v>
      </c>
      <c r="J207" s="940" t="s">
        <v>145</v>
      </c>
      <c r="K207" s="59" t="s">
        <v>99</v>
      </c>
      <c r="L207" s="59" t="s">
        <v>1317</v>
      </c>
    </row>
    <row r="208" spans="1:12">
      <c r="A208" s="57" t="s">
        <v>1318</v>
      </c>
      <c r="B208" s="57" t="s">
        <v>333</v>
      </c>
      <c r="C208" s="57">
        <v>2026</v>
      </c>
      <c r="D208" s="58">
        <f>MATCH(B208,{"GENNAIO","FEBBRAIO","MARZO","APRILE","MAGGIO","GIUGNO","LUGLIO","AGOSTO","SETTEMBRE","OTTOBRE","NOVEMBRE","DICEMBRE"},0)</f>
        <v>5</v>
      </c>
      <c r="E208" s="57" t="str">
        <f t="shared" ref="E208" si="386">CONCATENATE(,B208," ",C208)</f>
        <v>MAGGIO 2026</v>
      </c>
      <c r="F208" s="57" t="str">
        <f t="shared" ref="F208:F209" si="387">CONCATENATE(D208," ",E208)</f>
        <v>5 MAGGIO 2026</v>
      </c>
      <c r="G208" s="1309" t="s">
        <v>91</v>
      </c>
      <c r="H208" s="1309" t="str">
        <f>VLOOKUP(G208,CATEGORIE!$H$3:$I$55,2,FALSE)</f>
        <v>COSTO SOPRAVVIVENZA</v>
      </c>
      <c r="I208" s="59">
        <v>5</v>
      </c>
      <c r="J208" s="940"/>
      <c r="K208" s="59"/>
      <c r="L208" s="59"/>
    </row>
    <row r="209" spans="1:12">
      <c r="A209" s="57" t="s">
        <v>160</v>
      </c>
      <c r="B209" s="57" t="s">
        <v>333</v>
      </c>
      <c r="C209" s="57">
        <v>2026</v>
      </c>
      <c r="D209" s="58">
        <f>MATCH(B209,{"GENNAIO","FEBBRAIO","MARZO","APRILE","MAGGIO","GIUGNO","LUGLIO","AGOSTO","SETTEMBRE","OTTOBRE","NOVEMBRE","DICEMBRE"},0)</f>
        <v>5</v>
      </c>
      <c r="E209" s="57" t="str">
        <f t="shared" ref="E209" si="388">CONCATENATE(,B209," ",C209)</f>
        <v>MAGGIO 2026</v>
      </c>
      <c r="F209" s="57" t="str">
        <f t="shared" si="387"/>
        <v>5 MAGGIO 2026</v>
      </c>
      <c r="G209" s="1309" t="s">
        <v>111</v>
      </c>
      <c r="H209" s="1309" t="str">
        <f>VLOOKUP(G209,CATEGORIE!$H$3:$I$55,2,FALSE)</f>
        <v>COSTO MOBILITA'</v>
      </c>
      <c r="I209" s="59">
        <v>1.7</v>
      </c>
      <c r="J209" s="940"/>
      <c r="K209" s="59"/>
      <c r="L209" s="59"/>
    </row>
    <row r="210" spans="1:12">
      <c r="A210" s="57" t="s">
        <v>95</v>
      </c>
      <c r="B210" s="57" t="s">
        <v>333</v>
      </c>
      <c r="C210" s="57">
        <v>2026</v>
      </c>
      <c r="D210" s="58">
        <f>MATCH(B210,{"GENNAIO","FEBBRAIO","MARZO","APRILE","MAGGIO","GIUGNO","LUGLIO","AGOSTO","SETTEMBRE","OTTOBRE","NOVEMBRE","DICEMBRE"},0)</f>
        <v>5</v>
      </c>
      <c r="E210" s="57" t="str">
        <f t="shared" ref="E210" si="389">CONCATENATE(,B210," ",C210)</f>
        <v>MAGGIO 2026</v>
      </c>
      <c r="F210" s="57" t="str">
        <f t="shared" ref="F210" si="390">CONCATENATE(D210," ",E210)</f>
        <v>5 MAGGIO 2026</v>
      </c>
      <c r="G210" s="1309" t="s">
        <v>96</v>
      </c>
      <c r="H210" s="1309" t="str">
        <f>VLOOKUP(G210,CATEGORIE!$H$3:$I$55,2,FALSE)</f>
        <v>COSTO SOPRAVVIVENZA</v>
      </c>
      <c r="I210" s="59">
        <v>2.58</v>
      </c>
      <c r="J210" s="940"/>
      <c r="K210" s="59"/>
      <c r="L210" s="59"/>
    </row>
    <row r="211" spans="1:12">
      <c r="A211" s="57" t="s">
        <v>1316</v>
      </c>
      <c r="B211" s="57" t="s">
        <v>333</v>
      </c>
      <c r="C211" s="57">
        <v>2026</v>
      </c>
      <c r="D211" s="58">
        <f>MATCH(B211,{"GENNAIO","FEBBRAIO","MARZO","APRILE","MAGGIO","GIUGNO","LUGLIO","AGOSTO","SETTEMBRE","OTTOBRE","NOVEMBRE","DICEMBRE"},0)</f>
        <v>5</v>
      </c>
      <c r="E211" s="57" t="str">
        <f t="shared" ref="E211" si="391">CONCATENATE(,B211," ",C211)</f>
        <v>MAGGIO 2026</v>
      </c>
      <c r="F211" s="57" t="str">
        <f t="shared" ref="F211" si="392">CONCATENATE(D211," ",E211)</f>
        <v>5 MAGGIO 2026</v>
      </c>
      <c r="G211" s="1309" t="s">
        <v>94</v>
      </c>
      <c r="H211" s="1309" t="str">
        <f>VLOOKUP(G211,CATEGORIE!$H$3:$I$55,2,FALSE)</f>
        <v>COSTO SVAGHI</v>
      </c>
      <c r="I211" s="59">
        <v>7.9</v>
      </c>
      <c r="J211" s="57"/>
      <c r="K211" s="57"/>
      <c r="L211" s="59"/>
    </row>
    <row r="212" spans="1:12">
      <c r="A212" s="57" t="s">
        <v>1313</v>
      </c>
      <c r="B212" s="57" t="s">
        <v>333</v>
      </c>
      <c r="C212" s="57">
        <v>2026</v>
      </c>
      <c r="D212" s="58">
        <f>MATCH(B212,{"GENNAIO","FEBBRAIO","MARZO","APRILE","MAGGIO","GIUGNO","LUGLIO","AGOSTO","SETTEMBRE","OTTOBRE","NOVEMBRE","DICEMBRE"},0)</f>
        <v>5</v>
      </c>
      <c r="E212" s="57" t="str">
        <f t="shared" ref="E212" si="393">CONCATENATE(,B212," ",C212)</f>
        <v>MAGGIO 2026</v>
      </c>
      <c r="F212" s="57" t="str">
        <f t="shared" ref="F212" si="394">CONCATENATE(D212," ",E212)</f>
        <v>5 MAGGIO 2026</v>
      </c>
      <c r="G212" s="1309" t="s">
        <v>111</v>
      </c>
      <c r="H212" s="1309" t="str">
        <f>VLOOKUP(G212,CATEGORIE!$H$3:$I$55,2,FALSE)</f>
        <v>COSTO MOBILITA'</v>
      </c>
      <c r="I212" s="59">
        <v>1.5</v>
      </c>
      <c r="J212" s="940"/>
      <c r="K212" s="59"/>
      <c r="L212" s="59" t="s">
        <v>1314</v>
      </c>
    </row>
    <row r="213" spans="1:12">
      <c r="A213" s="57" t="s">
        <v>1315</v>
      </c>
      <c r="B213" s="57" t="s">
        <v>333</v>
      </c>
      <c r="C213" s="57">
        <v>2026</v>
      </c>
      <c r="D213" s="58">
        <f>MATCH(B213,{"GENNAIO","FEBBRAIO","MARZO","APRILE","MAGGIO","GIUGNO","LUGLIO","AGOSTO","SETTEMBRE","OTTOBRE","NOVEMBRE","DICEMBRE"},0)</f>
        <v>5</v>
      </c>
      <c r="E213" s="57" t="str">
        <f t="shared" ref="E213" si="395">CONCATENATE(,B213," ",C213)</f>
        <v>MAGGIO 2026</v>
      </c>
      <c r="F213" s="57" t="str">
        <f t="shared" ref="F213" si="396">CONCATENATE(D213," ",E213)</f>
        <v>5 MAGGIO 2026</v>
      </c>
      <c r="G213" s="1309" t="s">
        <v>185</v>
      </c>
      <c r="H213" s="1309" t="str">
        <f>VLOOKUP(G213,CATEGORIE!$H$3:$I$55,2,FALSE)</f>
        <v>COSTO SFIZI</v>
      </c>
      <c r="I213" s="59">
        <v>18</v>
      </c>
      <c r="J213" s="940"/>
      <c r="K213" s="59"/>
      <c r="L213" s="59"/>
    </row>
    <row r="214" spans="1:12">
      <c r="A214" s="57" t="s">
        <v>97</v>
      </c>
      <c r="B214" s="57" t="s">
        <v>333</v>
      </c>
      <c r="C214" s="57">
        <v>2026</v>
      </c>
      <c r="D214" s="58">
        <f>MATCH(B214,{"GENNAIO","FEBBRAIO","MARZO","APRILE","MAGGIO","GIUGNO","LUGLIO","AGOSTO","SETTEMBRE","OTTOBRE","NOVEMBRE","DICEMBRE"},0)</f>
        <v>5</v>
      </c>
      <c r="E214" s="57" t="str">
        <f t="shared" ref="E214" si="397">CONCATENATE(,B214," ",C214)</f>
        <v>MAGGIO 2026</v>
      </c>
      <c r="F214" s="57" t="str">
        <f t="shared" ref="F214" si="398">CONCATENATE(D214," ",E214)</f>
        <v>5 MAGGIO 2026</v>
      </c>
      <c r="G214" s="1309" t="s">
        <v>789</v>
      </c>
      <c r="H214" s="1309" t="str">
        <f>VLOOKUP(G214,CATEGORIE!$H$3:$I$55,2,FALSE)</f>
        <v>MOVIMENTI CONTO</v>
      </c>
      <c r="I214" s="59">
        <v>100</v>
      </c>
      <c r="J214" s="940"/>
      <c r="K214" s="59" t="s">
        <v>97</v>
      </c>
      <c r="L214" s="59"/>
    </row>
    <row r="215" spans="1:12">
      <c r="A215" s="57" t="s">
        <v>1313</v>
      </c>
      <c r="B215" s="57" t="s">
        <v>333</v>
      </c>
      <c r="C215" s="57">
        <v>2026</v>
      </c>
      <c r="D215" s="58">
        <f>MATCH(B215,{"GENNAIO","FEBBRAIO","MARZO","APRILE","MAGGIO","GIUGNO","LUGLIO","AGOSTO","SETTEMBRE","OTTOBRE","NOVEMBRE","DICEMBRE"},0)</f>
        <v>5</v>
      </c>
      <c r="E215" s="57" t="str">
        <f t="shared" ref="E215" si="399">CONCATENATE(,B215," ",C215)</f>
        <v>MAGGIO 2026</v>
      </c>
      <c r="F215" s="57" t="str">
        <f t="shared" ref="F215" si="400">CONCATENATE(D215," ",E215)</f>
        <v>5 MAGGIO 2026</v>
      </c>
      <c r="G215" s="1309" t="s">
        <v>111</v>
      </c>
      <c r="H215" s="1309" t="str">
        <f>VLOOKUP(G215,CATEGORIE!$H$3:$I$55,2,FALSE)</f>
        <v>COSTO MOBILITA'</v>
      </c>
      <c r="I215" s="59">
        <v>1.5</v>
      </c>
      <c r="J215" s="940"/>
      <c r="K215" s="59"/>
      <c r="L215" s="59" t="s">
        <v>1314</v>
      </c>
    </row>
    <row r="216" spans="1:12">
      <c r="A216" s="57" t="s">
        <v>211</v>
      </c>
      <c r="B216" s="57" t="s">
        <v>333</v>
      </c>
      <c r="C216" s="57">
        <v>2026</v>
      </c>
      <c r="D216" s="58">
        <f>MATCH(B216,{"GENNAIO","FEBBRAIO","MARZO","APRILE","MAGGIO","GIUGNO","LUGLIO","AGOSTO","SETTEMBRE","OTTOBRE","NOVEMBRE","DICEMBRE"},0)</f>
        <v>5</v>
      </c>
      <c r="E216" s="57" t="str">
        <f t="shared" ref="E216" si="401">CONCATENATE(,B216," ",C216)</f>
        <v>MAGGIO 2026</v>
      </c>
      <c r="F216" s="57" t="str">
        <f t="shared" ref="F216" si="402">CONCATENATE(D216," ",E216)</f>
        <v>5 MAGGIO 2026</v>
      </c>
      <c r="G216" s="1309" t="s">
        <v>94</v>
      </c>
      <c r="H216" s="1309" t="str">
        <f>VLOOKUP(G216,CATEGORIE!$H$3:$I$55,2,FALSE)</f>
        <v>COSTO SVAGHI</v>
      </c>
      <c r="I216" s="59">
        <v>33.700000000000003</v>
      </c>
      <c r="J216" s="57"/>
      <c r="K216" s="57"/>
      <c r="L216" s="59"/>
    </row>
    <row r="217" spans="1:12">
      <c r="A217" s="57" t="s">
        <v>120</v>
      </c>
      <c r="B217" s="57" t="s">
        <v>333</v>
      </c>
      <c r="C217" s="57">
        <v>2026</v>
      </c>
      <c r="D217" s="58">
        <f>MATCH(B217,{"GENNAIO","FEBBRAIO","MARZO","APRILE","MAGGIO","GIUGNO","LUGLIO","AGOSTO","SETTEMBRE","OTTOBRE","NOVEMBRE","DICEMBRE"},0)</f>
        <v>5</v>
      </c>
      <c r="E217" s="57" t="str">
        <f t="shared" ref="E217" si="403">CONCATENATE(,B217," ",C217)</f>
        <v>MAGGIO 2026</v>
      </c>
      <c r="F217" s="57" t="str">
        <f t="shared" ref="F217" si="404">CONCATENATE(D217," ",E217)</f>
        <v>5 MAGGIO 2026</v>
      </c>
      <c r="G217" s="1309" t="s">
        <v>121</v>
      </c>
      <c r="H217" s="1309" t="str">
        <f>VLOOKUP(G217,CATEGORIE!$H$3:$I$55,2,FALSE)</f>
        <v>COSTO MOBILITA'</v>
      </c>
      <c r="I217" s="59">
        <v>20</v>
      </c>
      <c r="J217" s="940"/>
      <c r="K217" s="59"/>
      <c r="L217" s="59"/>
    </row>
    <row r="218" spans="1:12">
      <c r="A218" s="57" t="s">
        <v>99</v>
      </c>
      <c r="B218" s="57" t="s">
        <v>333</v>
      </c>
      <c r="C218" s="57">
        <v>2026</v>
      </c>
      <c r="D218" s="58">
        <f>MATCH(B218,{"GENNAIO","FEBBRAIO","MARZO","APRILE","MAGGIO","GIUGNO","LUGLIO","AGOSTO","SETTEMBRE","OTTOBRE","NOVEMBRE","DICEMBRE"},0)</f>
        <v>5</v>
      </c>
      <c r="E218" s="57" t="str">
        <f t="shared" ref="E218" si="405">CONCATENATE(,B218," ",C218)</f>
        <v>MAGGIO 2026</v>
      </c>
      <c r="F218" s="57" t="str">
        <f t="shared" ref="F218" si="406">CONCATENATE(D218," ",E218)</f>
        <v>5 MAGGIO 2026</v>
      </c>
      <c r="G218" s="1309" t="s">
        <v>100</v>
      </c>
      <c r="H218" s="1309" t="str">
        <f>VLOOKUP(G218,CATEGORIE!$H$3:$I$55,2,FALSE)</f>
        <v>COSTO SFIZI</v>
      </c>
      <c r="I218" s="59">
        <v>17.489999999999998</v>
      </c>
      <c r="J218" s="940"/>
      <c r="K218" s="59"/>
      <c r="L218" s="59" t="s">
        <v>1312</v>
      </c>
    </row>
    <row r="219" spans="1:12">
      <c r="A219" s="57" t="s">
        <v>130</v>
      </c>
      <c r="B219" s="57" t="s">
        <v>333</v>
      </c>
      <c r="C219" s="57">
        <v>2026</v>
      </c>
      <c r="D219" s="58">
        <f>MATCH(B219,{"GENNAIO","FEBBRAIO","MARZO","APRILE","MAGGIO","GIUGNO","LUGLIO","AGOSTO","SETTEMBRE","OTTOBRE","NOVEMBRE","DICEMBRE"},0)</f>
        <v>5</v>
      </c>
      <c r="E219" s="57" t="str">
        <f t="shared" ref="E219" si="407">CONCATENATE(,B219," ",C219)</f>
        <v>MAGGIO 2026</v>
      </c>
      <c r="F219" s="57" t="str">
        <f t="shared" ref="F219" si="408">CONCATENATE(D219," ",E219)</f>
        <v>5 MAGGIO 2026</v>
      </c>
      <c r="G219" s="1309" t="s">
        <v>94</v>
      </c>
      <c r="H219" s="1309" t="str">
        <f>VLOOKUP(G219,CATEGORIE!$H$3:$I$55,2,FALSE)</f>
        <v>COSTO SVAGHI</v>
      </c>
      <c r="I219" s="59">
        <v>5</v>
      </c>
      <c r="J219" s="940"/>
      <c r="K219" s="59"/>
      <c r="L219" s="59"/>
    </row>
    <row r="220" spans="1:12">
      <c r="A220" s="57" t="s">
        <v>97</v>
      </c>
      <c r="B220" s="57" t="s">
        <v>333</v>
      </c>
      <c r="C220" s="57">
        <v>2026</v>
      </c>
      <c r="D220" s="58">
        <f>MATCH(B220,{"GENNAIO","FEBBRAIO","MARZO","APRILE","MAGGIO","GIUGNO","LUGLIO","AGOSTO","SETTEMBRE","OTTOBRE","NOVEMBRE","DICEMBRE"},0)</f>
        <v>5</v>
      </c>
      <c r="E220" s="57" t="str">
        <f t="shared" ref="E220" si="409">CONCATENATE(,B220," ",C220)</f>
        <v>MAGGIO 2026</v>
      </c>
      <c r="F220" s="57" t="str">
        <f t="shared" ref="F220" si="410">CONCATENATE(D220," ",E220)</f>
        <v>5 MAGGIO 2026</v>
      </c>
      <c r="G220" s="1309" t="s">
        <v>789</v>
      </c>
      <c r="H220" s="1309" t="str">
        <f>VLOOKUP(G220,CATEGORIE!$H$3:$I$55,2,FALSE)</f>
        <v>MOVIMENTI CONTO</v>
      </c>
      <c r="I220" s="59">
        <v>100</v>
      </c>
      <c r="J220" s="940"/>
      <c r="K220" s="59" t="s">
        <v>97</v>
      </c>
      <c r="L220" s="59"/>
    </row>
    <row r="221" spans="1:12">
      <c r="A221" s="57" t="s">
        <v>102</v>
      </c>
      <c r="B221" s="57" t="s">
        <v>333</v>
      </c>
      <c r="C221" s="57">
        <v>2026</v>
      </c>
      <c r="D221" s="58">
        <f>MATCH(B221,{"GENNAIO","FEBBRAIO","MARZO","APRILE","MAGGIO","GIUGNO","LUGLIO","AGOSTO","SETTEMBRE","OTTOBRE","NOVEMBRE","DICEMBRE"},0)</f>
        <v>5</v>
      </c>
      <c r="E221" s="57" t="str">
        <f t="shared" ref="E221:E222" si="411">CONCATENATE(,B221," ",C221)</f>
        <v>MAGGIO 2026</v>
      </c>
      <c r="F221" s="57" t="str">
        <f t="shared" ref="F221:F222" si="412">CONCATENATE(D221," ",E221)</f>
        <v>5 MAGGIO 2026</v>
      </c>
      <c r="G221" s="1309" t="s">
        <v>96</v>
      </c>
      <c r="H221" s="1309" t="str">
        <f>VLOOKUP(G221,CATEGORIE!$H$3:$I$55,2,FALSE)</f>
        <v>COSTO SOPRAVVIVENZA</v>
      </c>
      <c r="I221" s="59">
        <v>22.61</v>
      </c>
      <c r="J221" s="940"/>
      <c r="K221" s="59"/>
      <c r="L221" s="59"/>
    </row>
    <row r="222" spans="1:12">
      <c r="A222" s="57" t="s">
        <v>95</v>
      </c>
      <c r="B222" s="57" t="s">
        <v>333</v>
      </c>
      <c r="C222" s="57">
        <v>2026</v>
      </c>
      <c r="D222" s="58">
        <f>MATCH(B222,{"GENNAIO","FEBBRAIO","MARZO","APRILE","MAGGIO","GIUGNO","LUGLIO","AGOSTO","SETTEMBRE","OTTOBRE","NOVEMBRE","DICEMBRE"},0)</f>
        <v>5</v>
      </c>
      <c r="E222" s="57" t="str">
        <f t="shared" si="411"/>
        <v>MAGGIO 2026</v>
      </c>
      <c r="F222" s="57" t="str">
        <f t="shared" si="412"/>
        <v>5 MAGGIO 2026</v>
      </c>
      <c r="G222" s="1309" t="s">
        <v>96</v>
      </c>
      <c r="H222" s="1309" t="str">
        <f>VLOOKUP(G222,CATEGORIE!$H$3:$I$55,2,FALSE)</f>
        <v>COSTO SOPRAVVIVENZA</v>
      </c>
      <c r="I222" s="59">
        <v>15</v>
      </c>
      <c r="J222" s="940"/>
      <c r="K222" s="59"/>
      <c r="L222" s="59"/>
    </row>
    <row r="223" spans="1:12">
      <c r="A223" s="57" t="s">
        <v>99</v>
      </c>
      <c r="B223" s="57" t="s">
        <v>333</v>
      </c>
      <c r="C223" s="57">
        <v>2026</v>
      </c>
      <c r="D223" s="58">
        <f>MATCH(B223,{"GENNAIO","FEBBRAIO","MARZO","APRILE","MAGGIO","GIUGNO","LUGLIO","AGOSTO","SETTEMBRE","OTTOBRE","NOVEMBRE","DICEMBRE"},0)</f>
        <v>5</v>
      </c>
      <c r="E223" s="57" t="str">
        <f t="shared" ref="E223" si="413">CONCATENATE(,B223," ",C223)</f>
        <v>MAGGIO 2026</v>
      </c>
      <c r="F223" s="57" t="str">
        <f t="shared" ref="F223" si="414">CONCATENATE(D223," ",E223)</f>
        <v>5 MAGGIO 2026</v>
      </c>
      <c r="G223" s="1309" t="s">
        <v>100</v>
      </c>
      <c r="H223" s="1309" t="str">
        <f>VLOOKUP(G223,CATEGORIE!$H$3:$I$55,2,FALSE)</f>
        <v>COSTO SFIZI</v>
      </c>
      <c r="I223" s="59">
        <v>17.899999999999999</v>
      </c>
      <c r="J223" s="940"/>
      <c r="K223" s="59"/>
      <c r="L223" s="59"/>
    </row>
    <row r="224" spans="1:12">
      <c r="A224" s="57" t="s">
        <v>135</v>
      </c>
      <c r="B224" s="57" t="s">
        <v>333</v>
      </c>
      <c r="C224" s="57">
        <v>2026</v>
      </c>
      <c r="D224" s="58">
        <f>MATCH(B224,{"GENNAIO","FEBBRAIO","MARZO","APRILE","MAGGIO","GIUGNO","LUGLIO","AGOSTO","SETTEMBRE","OTTOBRE","NOVEMBRE","DICEMBRE"},0)</f>
        <v>5</v>
      </c>
      <c r="E224" s="57" t="str">
        <f t="shared" ref="E224" si="415">CONCATENATE(,B224," ",C224)</f>
        <v>MAGGIO 2026</v>
      </c>
      <c r="F224" s="57" t="str">
        <f t="shared" ref="F224" si="416">CONCATENATE(D224," ",E224)</f>
        <v>5 MAGGIO 2026</v>
      </c>
      <c r="G224" s="1309" t="s">
        <v>132</v>
      </c>
      <c r="H224" s="1309" t="str">
        <f>VLOOKUP(G224,CATEGORIE!$H$3:$I$55,2,FALSE)</f>
        <v>COSTO CASA</v>
      </c>
      <c r="I224" s="59">
        <v>21.93</v>
      </c>
      <c r="J224" s="940"/>
      <c r="K224" s="59"/>
      <c r="L224" s="59"/>
    </row>
    <row r="225" spans="1:12">
      <c r="A225" s="57" t="s">
        <v>102</v>
      </c>
      <c r="B225" s="57" t="s">
        <v>333</v>
      </c>
      <c r="C225" s="57">
        <v>2026</v>
      </c>
      <c r="D225" s="58">
        <f>MATCH(B225,{"GENNAIO","FEBBRAIO","MARZO","APRILE","MAGGIO","GIUGNO","LUGLIO","AGOSTO","SETTEMBRE","OTTOBRE","NOVEMBRE","DICEMBRE"},0)</f>
        <v>5</v>
      </c>
      <c r="E225" s="57" t="str">
        <f t="shared" ref="E225:E227" si="417">CONCATENATE(,B225," ",C225)</f>
        <v>MAGGIO 2026</v>
      </c>
      <c r="F225" s="57" t="str">
        <f t="shared" ref="F225:F227" si="418">CONCATENATE(D225," ",E225)</f>
        <v>5 MAGGIO 2026</v>
      </c>
      <c r="G225" s="1309" t="s">
        <v>96</v>
      </c>
      <c r="H225" s="1309" t="str">
        <f>VLOOKUP(G225,CATEGORIE!$H$3:$I$55,2,FALSE)</f>
        <v>COSTO SOPRAVVIVENZA</v>
      </c>
      <c r="I225" s="59">
        <v>9</v>
      </c>
      <c r="J225" s="940"/>
      <c r="K225" s="59"/>
      <c r="L225" s="59"/>
    </row>
    <row r="226" spans="1:12">
      <c r="A226" s="57" t="s">
        <v>99</v>
      </c>
      <c r="B226" s="57" t="s">
        <v>333</v>
      </c>
      <c r="C226" s="57">
        <v>2026</v>
      </c>
      <c r="D226" s="58">
        <f>MATCH(B226,{"GENNAIO","FEBBRAIO","MARZO","APRILE","MAGGIO","GIUGNO","LUGLIO","AGOSTO","SETTEMBRE","OTTOBRE","NOVEMBRE","DICEMBRE"},0)</f>
        <v>5</v>
      </c>
      <c r="E226" s="57" t="str">
        <f t="shared" si="417"/>
        <v>MAGGIO 2026</v>
      </c>
      <c r="F226" s="57" t="str">
        <f t="shared" si="418"/>
        <v>5 MAGGIO 2026</v>
      </c>
      <c r="G226" s="1309" t="s">
        <v>100</v>
      </c>
      <c r="H226" s="1309" t="str">
        <f>VLOOKUP(G226,CATEGORIE!$H$3:$I$55,2,FALSE)</f>
        <v>COSTO SFIZI</v>
      </c>
      <c r="I226" s="59">
        <f>178.99/5</f>
        <v>35.798000000000002</v>
      </c>
      <c r="J226" s="940" t="s">
        <v>167</v>
      </c>
      <c r="K226" s="59" t="s">
        <v>99</v>
      </c>
      <c r="L226" s="59" t="s">
        <v>127</v>
      </c>
    </row>
    <row r="227" spans="1:12">
      <c r="A227" s="57" t="s">
        <v>99</v>
      </c>
      <c r="B227" s="57" t="s">
        <v>333</v>
      </c>
      <c r="C227" s="57">
        <v>2026</v>
      </c>
      <c r="D227" s="58">
        <f>MATCH(B227,{"GENNAIO","FEBBRAIO","MARZO","APRILE","MAGGIO","GIUGNO","LUGLIO","AGOSTO","SETTEMBRE","OTTOBRE","NOVEMBRE","DICEMBRE"},0)</f>
        <v>5</v>
      </c>
      <c r="E227" s="57" t="str">
        <f t="shared" si="417"/>
        <v>MAGGIO 2026</v>
      </c>
      <c r="F227" s="57" t="str">
        <f t="shared" si="418"/>
        <v>5 MAGGIO 2026</v>
      </c>
      <c r="G227" s="1309" t="s">
        <v>100</v>
      </c>
      <c r="H227" s="1309" t="str">
        <f>VLOOKUP(G227,CATEGORIE!$H$3:$I$55,2,FALSE)</f>
        <v>COSTO SFIZI</v>
      </c>
      <c r="I227" s="59">
        <v>38.799999999999997</v>
      </c>
      <c r="J227" s="940" t="s">
        <v>167</v>
      </c>
      <c r="K227" s="59" t="s">
        <v>99</v>
      </c>
      <c r="L227" s="59" t="s">
        <v>128</v>
      </c>
    </row>
    <row r="228" spans="1:12">
      <c r="A228" s="57" t="s">
        <v>348</v>
      </c>
      <c r="B228" s="57" t="s">
        <v>352</v>
      </c>
      <c r="C228" s="57">
        <v>2026</v>
      </c>
      <c r="D228" s="58">
        <f>MATCH(B228,{"GENNAIO","FEBBRAIO","MARZO","APRILE","MAGGIO","GIUGNO","LUGLIO","AGOSTO","SETTEMBRE","OTTOBRE","NOVEMBRE","DICEMBRE"},0)</f>
        <v>4</v>
      </c>
      <c r="E228" s="57" t="str">
        <f t="shared" ref="E228" si="419">CONCATENATE(,B228," ",C228)</f>
        <v>APRILE 2026</v>
      </c>
      <c r="F228" s="57" t="str">
        <f t="shared" ref="F228" si="420">CONCATENATE(D228," ",E228)</f>
        <v>4 APRILE 2026</v>
      </c>
      <c r="G228" s="1309" t="s">
        <v>693</v>
      </c>
      <c r="H228" s="1309" t="str">
        <f>VLOOKUP(G228,CATEGORIE!$H$3:$I$104,2,FALSE)</f>
        <v>GESTIONE CONTO</v>
      </c>
      <c r="I228" s="59">
        <v>-25.82</v>
      </c>
      <c r="J228" s="940"/>
      <c r="K228" s="59"/>
      <c r="L228" s="59" t="s">
        <v>349</v>
      </c>
    </row>
    <row r="229" spans="1:12">
      <c r="A229" s="57" t="s">
        <v>1311</v>
      </c>
      <c r="B229" s="57" t="s">
        <v>352</v>
      </c>
      <c r="C229" s="57">
        <v>2026</v>
      </c>
      <c r="D229" s="58">
        <f>MATCH(B229,{"GENNAIO","FEBBRAIO","MARZO","APRILE","MAGGIO","GIUGNO","LUGLIO","AGOSTO","SETTEMBRE","OTTOBRE","NOVEMBRE","DICEMBRE"},0)</f>
        <v>4</v>
      </c>
      <c r="E229" s="57" t="str">
        <f t="shared" ref="E229" si="421">CONCATENATE(,B229," ",C229)</f>
        <v>APRILE 2026</v>
      </c>
      <c r="F229" s="57" t="str">
        <f t="shared" ref="F229" si="422">CONCATENATE(D229," ",E229)</f>
        <v>4 APRILE 2026</v>
      </c>
      <c r="G229" s="1309" t="s">
        <v>94</v>
      </c>
      <c r="H229" s="1309" t="str">
        <f>VLOOKUP(G229,CATEGORIE!$H$3:$I$55,2,FALSE)</f>
        <v>COSTO SVAGHI</v>
      </c>
      <c r="I229" s="59">
        <v>32</v>
      </c>
      <c r="J229" s="57"/>
      <c r="K229" s="57"/>
      <c r="L229" s="59"/>
    </row>
    <row r="230" spans="1:12">
      <c r="A230" s="57" t="s">
        <v>528</v>
      </c>
      <c r="B230" s="57" t="s">
        <v>352</v>
      </c>
      <c r="C230" s="57">
        <v>2026</v>
      </c>
      <c r="D230" s="58">
        <f>MATCH(B230,{"GENNAIO","FEBBRAIO","MARZO","APRILE","MAGGIO","GIUGNO","LUGLIO","AGOSTO","SETTEMBRE","OTTOBRE","NOVEMBRE","DICEMBRE"},0)</f>
        <v>4</v>
      </c>
      <c r="E230" s="57" t="str">
        <f t="shared" ref="E230" si="423">CONCATENATE(,B230," ",C230)</f>
        <v>APRILE 2026</v>
      </c>
      <c r="F230" s="57" t="str">
        <f t="shared" ref="F230" si="424">CONCATENATE(D230," ",E230)</f>
        <v>4 APRILE 2026</v>
      </c>
      <c r="G230" s="1309" t="s">
        <v>94</v>
      </c>
      <c r="H230" s="1309" t="str">
        <f>VLOOKUP(G230,CATEGORIE!$H$3:$I$55,2,FALSE)</f>
        <v>COSTO SVAGHI</v>
      </c>
      <c r="I230" s="59">
        <v>50.5</v>
      </c>
      <c r="J230" s="57"/>
      <c r="K230" s="57"/>
      <c r="L230" s="59"/>
    </row>
    <row r="231" spans="1:12">
      <c r="A231" s="57" t="s">
        <v>110</v>
      </c>
      <c r="B231" s="57" t="s">
        <v>352</v>
      </c>
      <c r="C231" s="57">
        <v>2026</v>
      </c>
      <c r="D231" s="58">
        <f>MATCH(B231,{"GENNAIO","FEBBRAIO","MARZO","APRILE","MAGGIO","GIUGNO","LUGLIO","AGOSTO","SETTEMBRE","OTTOBRE","NOVEMBRE","DICEMBRE"},0)</f>
        <v>4</v>
      </c>
      <c r="E231" s="57" t="str">
        <f t="shared" ref="E231" si="425">CONCATENATE(,B231," ",C231)</f>
        <v>APRILE 2026</v>
      </c>
      <c r="F231" s="57" t="str">
        <f t="shared" ref="F231" si="426">CONCATENATE(D231," ",E231)</f>
        <v>4 APRILE 2026</v>
      </c>
      <c r="G231" s="1309" t="s">
        <v>111</v>
      </c>
      <c r="H231" s="1309" t="str">
        <f>VLOOKUP(G231,CATEGORIE!$H$3:$I$55,2,FALSE)</f>
        <v>COSTO MOBILITA'</v>
      </c>
      <c r="I231" s="59">
        <v>0.21</v>
      </c>
      <c r="J231" s="940"/>
      <c r="K231" s="59" t="s">
        <v>112</v>
      </c>
      <c r="L231" s="59"/>
    </row>
    <row r="232" spans="1:12">
      <c r="A232" s="57" t="s">
        <v>110</v>
      </c>
      <c r="B232" s="57" t="s">
        <v>352</v>
      </c>
      <c r="C232" s="57">
        <v>2026</v>
      </c>
      <c r="D232" s="58">
        <f>MATCH(B232,{"GENNAIO","FEBBRAIO","MARZO","APRILE","MAGGIO","GIUGNO","LUGLIO","AGOSTO","SETTEMBRE","OTTOBRE","NOVEMBRE","DICEMBRE"},0)</f>
        <v>4</v>
      </c>
      <c r="E232" s="57" t="str">
        <f t="shared" ref="E232" si="427">CONCATENATE(,B232," ",C232)</f>
        <v>APRILE 2026</v>
      </c>
      <c r="F232" s="57" t="str">
        <f t="shared" ref="F232" si="428">CONCATENATE(D232," ",E232)</f>
        <v>4 APRILE 2026</v>
      </c>
      <c r="G232" s="1309" t="s">
        <v>111</v>
      </c>
      <c r="H232" s="1309" t="str">
        <f>VLOOKUP(G232,CATEGORIE!$H$3:$I$55,2,FALSE)</f>
        <v>COSTO MOBILITA'</v>
      </c>
      <c r="I232" s="59">
        <v>6.61</v>
      </c>
      <c r="J232" s="940"/>
      <c r="K232" s="59" t="s">
        <v>112</v>
      </c>
      <c r="L232" s="59"/>
    </row>
    <row r="233" spans="1:12">
      <c r="A233" s="57" t="s">
        <v>529</v>
      </c>
      <c r="B233" s="57" t="s">
        <v>352</v>
      </c>
      <c r="C233" s="57">
        <v>2026</v>
      </c>
      <c r="D233" s="58">
        <f>MATCH(B233,{"GENNAIO","FEBBRAIO","MARZO","APRILE","MAGGIO","GIUGNO","LUGLIO","AGOSTO","SETTEMBRE","OTTOBRE","NOVEMBRE","DICEMBRE"},0)</f>
        <v>4</v>
      </c>
      <c r="E233" s="57" t="str">
        <f t="shared" ref="E233" si="429">CONCATENATE(,B233," ",C233)</f>
        <v>APRILE 2026</v>
      </c>
      <c r="F233" s="57" t="str">
        <f t="shared" ref="F233" si="430">CONCATENATE(D233," ",E233)</f>
        <v>4 APRILE 2026</v>
      </c>
      <c r="G233" s="1309" t="s">
        <v>94</v>
      </c>
      <c r="H233" s="1309" t="str">
        <f>VLOOKUP(G233,CATEGORIE!$H$3:$I$55,2,FALSE)</f>
        <v>COSTO SVAGHI</v>
      </c>
      <c r="I233" s="59">
        <v>35</v>
      </c>
      <c r="J233" s="57"/>
      <c r="K233" s="57"/>
      <c r="L233" s="59"/>
    </row>
    <row r="234" spans="1:12">
      <c r="A234" s="57" t="s">
        <v>1310</v>
      </c>
      <c r="B234" s="57" t="s">
        <v>352</v>
      </c>
      <c r="C234" s="57">
        <v>2026</v>
      </c>
      <c r="D234" s="58">
        <f>MATCH(B234,{"GENNAIO","FEBBRAIO","MARZO","APRILE","MAGGIO","GIUGNO","LUGLIO","AGOSTO","SETTEMBRE","OTTOBRE","NOVEMBRE","DICEMBRE"},0)</f>
        <v>4</v>
      </c>
      <c r="E234" s="57" t="str">
        <f t="shared" ref="E234" si="431">CONCATENATE(,B234," ",C234)</f>
        <v>APRILE 2026</v>
      </c>
      <c r="F234" s="57" t="str">
        <f t="shared" ref="F234" si="432">CONCATENATE(D234," ",E234)</f>
        <v>4 APRILE 2026</v>
      </c>
      <c r="G234" s="1309" t="s">
        <v>132</v>
      </c>
      <c r="H234" s="1309" t="str">
        <f>VLOOKUP(G234,CATEGORIE!$H$3:$I$55,2,FALSE)</f>
        <v>COSTO CASA</v>
      </c>
      <c r="I234" s="59">
        <v>11</v>
      </c>
      <c r="J234" s="940"/>
      <c r="K234" s="59"/>
      <c r="L234" s="59"/>
    </row>
    <row r="235" spans="1:12">
      <c r="A235" s="57" t="s">
        <v>131</v>
      </c>
      <c r="B235" s="57" t="s">
        <v>352</v>
      </c>
      <c r="C235" s="57">
        <v>2026</v>
      </c>
      <c r="D235" s="58">
        <f>MATCH(B235,{"GENNAIO","FEBBRAIO","MARZO","APRILE","MAGGIO","GIUGNO","LUGLIO","AGOSTO","SETTEMBRE","OTTOBRE","NOVEMBRE","DICEMBRE"},0)</f>
        <v>4</v>
      </c>
      <c r="E235" s="57" t="str">
        <f t="shared" ref="E235" si="433">CONCATENATE(,B235," ",C235)</f>
        <v>APRILE 2026</v>
      </c>
      <c r="F235" s="57" t="str">
        <f t="shared" ref="F235" si="434">CONCATENATE(D235," ",E235)</f>
        <v>4 APRILE 2026</v>
      </c>
      <c r="G235" s="1309" t="s">
        <v>132</v>
      </c>
      <c r="H235" s="1309" t="str">
        <f>VLOOKUP(G235,CATEGORIE!$H$3:$I$55,2,FALSE)</f>
        <v>COSTO CASA</v>
      </c>
      <c r="I235" s="59">
        <v>69.900000000000006</v>
      </c>
      <c r="J235" s="940"/>
      <c r="K235" s="59"/>
      <c r="L235" s="59"/>
    </row>
    <row r="236" spans="1:12">
      <c r="A236" s="57" t="s">
        <v>110</v>
      </c>
      <c r="B236" s="57" t="s">
        <v>352</v>
      </c>
      <c r="C236" s="57">
        <v>2026</v>
      </c>
      <c r="D236" s="58">
        <f>MATCH(B236,{"GENNAIO","FEBBRAIO","MARZO","APRILE","MAGGIO","GIUGNO","LUGLIO","AGOSTO","SETTEMBRE","OTTOBRE","NOVEMBRE","DICEMBRE"},0)</f>
        <v>4</v>
      </c>
      <c r="E236" s="57" t="str">
        <f t="shared" ref="E236" si="435">CONCATENATE(,B236," ",C236)</f>
        <v>APRILE 2026</v>
      </c>
      <c r="F236" s="57" t="str">
        <f t="shared" ref="F236" si="436">CONCATENATE(D236," ",E236)</f>
        <v>4 APRILE 2026</v>
      </c>
      <c r="G236" s="1309" t="s">
        <v>111</v>
      </c>
      <c r="H236" s="1309" t="str">
        <f>VLOOKUP(G236,CATEGORIE!$H$3:$I$55,2,FALSE)</f>
        <v>COSTO MOBILITA'</v>
      </c>
      <c r="I236" s="59">
        <v>1.38</v>
      </c>
      <c r="J236" s="940"/>
      <c r="K236" s="59" t="s">
        <v>112</v>
      </c>
      <c r="L236" s="59"/>
    </row>
    <row r="237" spans="1:12">
      <c r="A237" s="57" t="s">
        <v>99</v>
      </c>
      <c r="B237" s="57" t="s">
        <v>352</v>
      </c>
      <c r="C237" s="57">
        <v>2026</v>
      </c>
      <c r="D237" s="58">
        <f>MATCH(B237,{"GENNAIO","FEBBRAIO","MARZO","APRILE","MAGGIO","GIUGNO","LUGLIO","AGOSTO","SETTEMBRE","OTTOBRE","NOVEMBRE","DICEMBRE"},0)</f>
        <v>4</v>
      </c>
      <c r="E237" s="57" t="str">
        <f t="shared" ref="E237" si="437">CONCATENATE(,B237," ",C237)</f>
        <v>APRILE 2026</v>
      </c>
      <c r="F237" s="57" t="str">
        <f t="shared" ref="F237" si="438">CONCATENATE(D237," ",E237)</f>
        <v>4 APRILE 2026</v>
      </c>
      <c r="G237" s="1309" t="s">
        <v>100</v>
      </c>
      <c r="H237" s="1309" t="str">
        <f>VLOOKUP(G237,CATEGORIE!$H$3:$I$55,2,FALSE)</f>
        <v>COSTO SFIZI</v>
      </c>
      <c r="I237" s="59">
        <v>39.99</v>
      </c>
      <c r="J237" s="940"/>
      <c r="K237" s="59"/>
      <c r="L237" s="59"/>
    </row>
    <row r="238" spans="1:12">
      <c r="A238" s="57" t="s">
        <v>106</v>
      </c>
      <c r="B238" s="57" t="s">
        <v>352</v>
      </c>
      <c r="C238" s="57">
        <v>2026</v>
      </c>
      <c r="D238" s="58">
        <f>MATCH(B238,{"GENNAIO","FEBBRAIO","MARZO","APRILE","MAGGIO","GIUGNO","LUGLIO","AGOSTO","SETTEMBRE","OTTOBRE","NOVEMBRE","DICEMBRE"},0)</f>
        <v>4</v>
      </c>
      <c r="E238" s="57" t="str">
        <f t="shared" ref="E238" si="439">CONCATENATE(,B238," ",C238)</f>
        <v>APRILE 2026</v>
      </c>
      <c r="F238" s="57" t="str">
        <f t="shared" ref="F238" si="440">CONCATENATE(D238," ",E238)</f>
        <v>4 APRILE 2026</v>
      </c>
      <c r="G238" s="1309" t="s">
        <v>107</v>
      </c>
      <c r="H238" s="1309" t="str">
        <f>VLOOKUP(G238,CATEGORIE!$H$3:$I$55,2,FALSE)</f>
        <v>COSTO SOPRAVVIVENZA</v>
      </c>
      <c r="I238" s="59">
        <v>33</v>
      </c>
      <c r="J238" s="940"/>
      <c r="K238" s="59"/>
      <c r="L238" s="59"/>
    </row>
    <row r="239" spans="1:12">
      <c r="A239" s="57" t="s">
        <v>95</v>
      </c>
      <c r="B239" s="57" t="s">
        <v>352</v>
      </c>
      <c r="C239" s="57">
        <v>2026</v>
      </c>
      <c r="D239" s="58">
        <f>MATCH(B239,{"GENNAIO","FEBBRAIO","MARZO","APRILE","MAGGIO","GIUGNO","LUGLIO","AGOSTO","SETTEMBRE","OTTOBRE","NOVEMBRE","DICEMBRE"},0)</f>
        <v>4</v>
      </c>
      <c r="E239" s="57" t="str">
        <f t="shared" ref="E239" si="441">CONCATENATE(,B239," ",C239)</f>
        <v>APRILE 2026</v>
      </c>
      <c r="F239" s="57" t="str">
        <f t="shared" ref="F239" si="442">CONCATENATE(D239," ",E239)</f>
        <v>4 APRILE 2026</v>
      </c>
      <c r="G239" s="1309" t="s">
        <v>96</v>
      </c>
      <c r="H239" s="1309" t="str">
        <f>VLOOKUP(G239,CATEGORIE!$H$3:$I$55,2,FALSE)</f>
        <v>COSTO SOPRAVVIVENZA</v>
      </c>
      <c r="I239" s="59">
        <v>7.45</v>
      </c>
      <c r="J239" s="940"/>
      <c r="K239" s="59"/>
      <c r="L239" s="59"/>
    </row>
    <row r="240" spans="1:12">
      <c r="A240" s="57" t="s">
        <v>105</v>
      </c>
      <c r="B240" s="57" t="s">
        <v>352</v>
      </c>
      <c r="C240" s="57">
        <v>2026</v>
      </c>
      <c r="D240" s="58">
        <f>MATCH(B240,{"GENNAIO","FEBBRAIO","MARZO","APRILE","MAGGIO","GIUGNO","LUGLIO","AGOSTO","SETTEMBRE","OTTOBRE","NOVEMBRE","DICEMBRE"},0)</f>
        <v>4</v>
      </c>
      <c r="E240" s="57" t="str">
        <f t="shared" ref="E240" si="443">CONCATENATE(,B240," ",C240)</f>
        <v>APRILE 2026</v>
      </c>
      <c r="F240" s="57" t="str">
        <f t="shared" ref="F240" si="444">CONCATENATE(D240," ",E240)</f>
        <v>4 APRILE 2026</v>
      </c>
      <c r="G240" s="1309" t="s">
        <v>96</v>
      </c>
      <c r="H240" s="1309" t="str">
        <f>VLOOKUP(G240,CATEGORIE!$H$3:$I$55,2,FALSE)</f>
        <v>COSTO SOPRAVVIVENZA</v>
      </c>
      <c r="I240" s="59">
        <v>4.17</v>
      </c>
      <c r="J240" s="940"/>
      <c r="K240" s="59"/>
      <c r="L240" s="59"/>
    </row>
    <row r="241" spans="1:12">
      <c r="A241" s="57" t="s">
        <v>135</v>
      </c>
      <c r="B241" s="57" t="s">
        <v>352</v>
      </c>
      <c r="C241" s="57">
        <v>2026</v>
      </c>
      <c r="D241" s="58">
        <f>MATCH(B241,{"GENNAIO","FEBBRAIO","MARZO","APRILE","MAGGIO","GIUGNO","LUGLIO","AGOSTO","SETTEMBRE","OTTOBRE","NOVEMBRE","DICEMBRE"},0)</f>
        <v>4</v>
      </c>
      <c r="E241" s="57" t="str">
        <f t="shared" ref="E241" si="445">CONCATENATE(,B241," ",C241)</f>
        <v>APRILE 2026</v>
      </c>
      <c r="F241" s="57" t="str">
        <f t="shared" ref="F241" si="446">CONCATENATE(D241," ",E241)</f>
        <v>4 APRILE 2026</v>
      </c>
      <c r="G241" s="1309" t="s">
        <v>132</v>
      </c>
      <c r="H241" s="1309" t="str">
        <f>VLOOKUP(G241,CATEGORIE!$H$3:$I$55,2,FALSE)</f>
        <v>COSTO CASA</v>
      </c>
      <c r="I241" s="59">
        <v>13.09</v>
      </c>
      <c r="J241" s="940"/>
      <c r="K241" s="59"/>
      <c r="L241" s="59"/>
    </row>
    <row r="242" spans="1:12">
      <c r="A242" s="57" t="s">
        <v>156</v>
      </c>
      <c r="B242" s="57" t="s">
        <v>352</v>
      </c>
      <c r="C242" s="57">
        <v>2026</v>
      </c>
      <c r="D242" s="58">
        <f>MATCH(B242,{"GENNAIO","FEBBRAIO","MARZO","APRILE","MAGGIO","GIUGNO","LUGLIO","AGOSTO","SETTEMBRE","OTTOBRE","NOVEMBRE","DICEMBRE"},0)</f>
        <v>4</v>
      </c>
      <c r="E242" s="57" t="str">
        <f t="shared" ref="E242" si="447">CONCATENATE(,B242," ",C242)</f>
        <v>APRILE 2026</v>
      </c>
      <c r="F242" s="57" t="str">
        <f t="shared" ref="F242" si="448">CONCATENATE(D242," ",E242)</f>
        <v>4 APRILE 2026</v>
      </c>
      <c r="G242" s="1309" t="s">
        <v>96</v>
      </c>
      <c r="H242" s="1309" t="str">
        <f>VLOOKUP(G242,CATEGORIE!$H$3:$I$55,2,FALSE)</f>
        <v>COSTO SOPRAVVIVENZA</v>
      </c>
      <c r="I242" s="59">
        <v>15.4</v>
      </c>
      <c r="J242" s="940"/>
      <c r="K242" s="59"/>
      <c r="L242" s="59"/>
    </row>
    <row r="243" spans="1:12">
      <c r="A243" s="57" t="s">
        <v>156</v>
      </c>
      <c r="B243" s="57" t="s">
        <v>352</v>
      </c>
      <c r="C243" s="57">
        <v>2026</v>
      </c>
      <c r="D243" s="58">
        <f>MATCH(B243,{"GENNAIO","FEBBRAIO","MARZO","APRILE","MAGGIO","GIUGNO","LUGLIO","AGOSTO","SETTEMBRE","OTTOBRE","NOVEMBRE","DICEMBRE"},0)</f>
        <v>4</v>
      </c>
      <c r="E243" s="57" t="str">
        <f t="shared" ref="E243" si="449">CONCATENATE(,B243," ",C243)</f>
        <v>APRILE 2026</v>
      </c>
      <c r="F243" s="57" t="str">
        <f t="shared" ref="F243" si="450">CONCATENATE(D243," ",E243)</f>
        <v>4 APRILE 2026</v>
      </c>
      <c r="G243" s="1309" t="s">
        <v>96</v>
      </c>
      <c r="H243" s="1309" t="str">
        <f>VLOOKUP(G243,CATEGORIE!$H$3:$I$55,2,FALSE)</f>
        <v>COSTO SOPRAVVIVENZA</v>
      </c>
      <c r="I243" s="59">
        <v>4.3</v>
      </c>
      <c r="J243" s="940"/>
      <c r="K243" s="59"/>
      <c r="L243" s="59"/>
    </row>
    <row r="244" spans="1:12">
      <c r="A244" s="57" t="s">
        <v>131</v>
      </c>
      <c r="B244" s="57" t="s">
        <v>352</v>
      </c>
      <c r="C244" s="57">
        <v>2026</v>
      </c>
      <c r="D244" s="58">
        <f>MATCH(B244,{"GENNAIO","FEBBRAIO","MARZO","APRILE","MAGGIO","GIUGNO","LUGLIO","AGOSTO","SETTEMBRE","OTTOBRE","NOVEMBRE","DICEMBRE"},0)</f>
        <v>4</v>
      </c>
      <c r="E244" s="57" t="str">
        <f t="shared" ref="E244" si="451">CONCATENATE(,B244," ",C244)</f>
        <v>APRILE 2026</v>
      </c>
      <c r="F244" s="57" t="str">
        <f t="shared" ref="F244" si="452">CONCATENATE(D244," ",E244)</f>
        <v>4 APRILE 2026</v>
      </c>
      <c r="G244" s="1309" t="s">
        <v>132</v>
      </c>
      <c r="H244" s="1309" t="str">
        <f>VLOOKUP(G244,CATEGORIE!$H$3:$I$55,2,FALSE)</f>
        <v>COSTO CASA</v>
      </c>
      <c r="I244" s="59">
        <v>41.75</v>
      </c>
      <c r="J244" s="940"/>
      <c r="K244" s="59"/>
      <c r="L244" s="59"/>
    </row>
    <row r="245" spans="1:12">
      <c r="A245" s="57" t="s">
        <v>99</v>
      </c>
      <c r="B245" s="57" t="s">
        <v>352</v>
      </c>
      <c r="C245" s="57">
        <v>2026</v>
      </c>
      <c r="D245" s="58">
        <f>MATCH(B245,{"GENNAIO","FEBBRAIO","MARZO","APRILE","MAGGIO","GIUGNO","LUGLIO","AGOSTO","SETTEMBRE","OTTOBRE","NOVEMBRE","DICEMBRE"},0)</f>
        <v>4</v>
      </c>
      <c r="E245" s="57" t="str">
        <f t="shared" ref="E245" si="453">CONCATENATE(,B245," ",C245)</f>
        <v>APRILE 2026</v>
      </c>
      <c r="F245" s="57" t="str">
        <f t="shared" ref="F245" si="454">CONCATENATE(D245," ",E245)</f>
        <v>4 APRILE 2026</v>
      </c>
      <c r="G245" s="1309" t="s">
        <v>185</v>
      </c>
      <c r="H245" s="1309" t="str">
        <f>VLOOKUP(G245,CATEGORIE!$H$3:$I$55,2,FALSE)</f>
        <v>COSTO SFIZI</v>
      </c>
      <c r="I245" s="59">
        <v>109</v>
      </c>
      <c r="J245" s="940"/>
      <c r="K245" s="59"/>
      <c r="L245" s="59" t="s">
        <v>1309</v>
      </c>
    </row>
    <row r="246" spans="1:12">
      <c r="A246" s="57" t="s">
        <v>97</v>
      </c>
      <c r="B246" s="57" t="s">
        <v>352</v>
      </c>
      <c r="C246" s="57">
        <v>2026</v>
      </c>
      <c r="D246" s="58">
        <f>MATCH(B246,{"GENNAIO","FEBBRAIO","MARZO","APRILE","MAGGIO","GIUGNO","LUGLIO","AGOSTO","SETTEMBRE","OTTOBRE","NOVEMBRE","DICEMBRE"},0)</f>
        <v>4</v>
      </c>
      <c r="E246" s="57" t="str">
        <f t="shared" ref="E246" si="455">CONCATENATE(,B246," ",C246)</f>
        <v>APRILE 2026</v>
      </c>
      <c r="F246" s="57" t="str">
        <f t="shared" ref="F246" si="456">CONCATENATE(D246," ",E246)</f>
        <v>4 APRILE 2026</v>
      </c>
      <c r="G246" s="1309" t="s">
        <v>789</v>
      </c>
      <c r="H246" s="1309" t="str">
        <f>VLOOKUP(G246,CATEGORIE!$H$3:$I$55,2,FALSE)</f>
        <v>MOVIMENTI CONTO</v>
      </c>
      <c r="I246" s="59">
        <v>60</v>
      </c>
      <c r="J246" s="940"/>
      <c r="K246" s="59" t="s">
        <v>97</v>
      </c>
      <c r="L246" s="59"/>
    </row>
    <row r="247" spans="1:12">
      <c r="A247" s="57" t="s">
        <v>1308</v>
      </c>
      <c r="B247" s="57" t="s">
        <v>352</v>
      </c>
      <c r="C247" s="57">
        <v>2026</v>
      </c>
      <c r="D247" s="58">
        <f>MATCH(B247,{"GENNAIO","FEBBRAIO","MARZO","APRILE","MAGGIO","GIUGNO","LUGLIO","AGOSTO","SETTEMBRE","OTTOBRE","NOVEMBRE","DICEMBRE"},0)</f>
        <v>4</v>
      </c>
      <c r="E247" s="57" t="str">
        <f t="shared" ref="E247" si="457">CONCATENATE(,B247," ",C247)</f>
        <v>APRILE 2026</v>
      </c>
      <c r="F247" s="57" t="str">
        <f t="shared" ref="F247" si="458">CONCATENATE(D247," ",E247)</f>
        <v>4 APRILE 2026</v>
      </c>
      <c r="G247" s="1309" t="s">
        <v>94</v>
      </c>
      <c r="H247" s="1309" t="str">
        <f>VLOOKUP(G247,CATEGORIE!$H$3:$I$55,2,FALSE)</f>
        <v>COSTO SVAGHI</v>
      </c>
      <c r="I247" s="59">
        <v>16</v>
      </c>
      <c r="J247" s="57"/>
      <c r="K247" s="57"/>
      <c r="L247" s="59"/>
    </row>
    <row r="248" spans="1:12">
      <c r="A248" s="57" t="s">
        <v>99</v>
      </c>
      <c r="B248" s="57" t="s">
        <v>352</v>
      </c>
      <c r="C248" s="57">
        <v>2026</v>
      </c>
      <c r="D248" s="58">
        <f>MATCH(B248,{"GENNAIO","FEBBRAIO","MARZO","APRILE","MAGGIO","GIUGNO","LUGLIO","AGOSTO","SETTEMBRE","OTTOBRE","NOVEMBRE","DICEMBRE"},0)</f>
        <v>4</v>
      </c>
      <c r="E248" s="57" t="str">
        <f t="shared" ref="E248:E249" si="459">CONCATENATE(,B248," ",C248)</f>
        <v>APRILE 2026</v>
      </c>
      <c r="F248" s="57" t="str">
        <f t="shared" ref="F248:F249" si="460">CONCATENATE(D248," ",E248)</f>
        <v>4 APRILE 2026</v>
      </c>
      <c r="G248" s="1309" t="s">
        <v>100</v>
      </c>
      <c r="H248" s="1309" t="str">
        <f>VLOOKUP(G248,CATEGORIE!$H$3:$I$55,2,FALSE)</f>
        <v>COSTO SFIZI</v>
      </c>
      <c r="I248" s="59">
        <v>6.49</v>
      </c>
      <c r="J248" s="940"/>
      <c r="K248" s="59"/>
      <c r="L248" s="59"/>
    </row>
    <row r="249" spans="1:12">
      <c r="A249" s="57" t="s">
        <v>105</v>
      </c>
      <c r="B249" s="57" t="s">
        <v>352</v>
      </c>
      <c r="C249" s="57">
        <v>2026</v>
      </c>
      <c r="D249" s="58">
        <f>MATCH(B249,{"GENNAIO","FEBBRAIO","MARZO","APRILE","MAGGIO","GIUGNO","LUGLIO","AGOSTO","SETTEMBRE","OTTOBRE","NOVEMBRE","DICEMBRE"},0)</f>
        <v>4</v>
      </c>
      <c r="E249" s="57" t="str">
        <f t="shared" si="459"/>
        <v>APRILE 2026</v>
      </c>
      <c r="F249" s="57" t="str">
        <f t="shared" si="460"/>
        <v>4 APRILE 2026</v>
      </c>
      <c r="G249" s="1309" t="s">
        <v>96</v>
      </c>
      <c r="H249" s="1309" t="str">
        <f>VLOOKUP(G249,CATEGORIE!$H$3:$I$55,2,FALSE)</f>
        <v>COSTO SOPRAVVIVENZA</v>
      </c>
      <c r="I249" s="59">
        <v>6.86</v>
      </c>
      <c r="J249" s="940"/>
      <c r="K249" s="59"/>
      <c r="L249" s="59"/>
    </row>
    <row r="250" spans="1:12">
      <c r="A250" s="57" t="s">
        <v>1302</v>
      </c>
      <c r="B250" s="57" t="s">
        <v>352</v>
      </c>
      <c r="C250" s="57">
        <v>2026</v>
      </c>
      <c r="D250" s="58">
        <f>MATCH(B250,{"GENNAIO","FEBBRAIO","MARZO","APRILE","MAGGIO","GIUGNO","LUGLIO","AGOSTO","SETTEMBRE","OTTOBRE","NOVEMBRE","DICEMBRE"},0)</f>
        <v>4</v>
      </c>
      <c r="E250" s="57" t="str">
        <f t="shared" ref="E250" si="461">CONCATENATE(,B250," ",C250)</f>
        <v>APRILE 2026</v>
      </c>
      <c r="F250" s="57" t="str">
        <f t="shared" ref="F250" si="462">CONCATENATE(D250," ",E250)</f>
        <v>4 APRILE 2026</v>
      </c>
      <c r="G250" s="1309" t="s">
        <v>96</v>
      </c>
      <c r="H250" s="1309" t="str">
        <f>VLOOKUP(G250,CATEGORIE!$H$3:$I$55,2,FALSE)</f>
        <v>COSTO SOPRAVVIVENZA</v>
      </c>
      <c r="I250" s="59">
        <v>1.69</v>
      </c>
      <c r="J250" s="940"/>
      <c r="K250" s="59"/>
      <c r="L250" s="59"/>
    </row>
    <row r="251" spans="1:12">
      <c r="A251" s="57" t="s">
        <v>97</v>
      </c>
      <c r="B251" s="57" t="s">
        <v>352</v>
      </c>
      <c r="C251" s="57">
        <v>2026</v>
      </c>
      <c r="D251" s="58">
        <f>MATCH(B251,{"GENNAIO","FEBBRAIO","MARZO","APRILE","MAGGIO","GIUGNO","LUGLIO","AGOSTO","SETTEMBRE","OTTOBRE","NOVEMBRE","DICEMBRE"},0)</f>
        <v>4</v>
      </c>
      <c r="E251" s="57" t="str">
        <f t="shared" ref="E251" si="463">CONCATENATE(,B251," ",C251)</f>
        <v>APRILE 2026</v>
      </c>
      <c r="F251" s="57" t="str">
        <f t="shared" ref="F251" si="464">CONCATENATE(D251," ",E251)</f>
        <v>4 APRILE 2026</v>
      </c>
      <c r="G251" s="1309" t="s">
        <v>789</v>
      </c>
      <c r="H251" s="1309" t="str">
        <f>VLOOKUP(G251,CATEGORIE!$H$3:$I$55,2,FALSE)</f>
        <v>MOVIMENTI CONTO</v>
      </c>
      <c r="I251" s="59">
        <v>100</v>
      </c>
      <c r="J251" s="940"/>
      <c r="K251" s="59" t="s">
        <v>97</v>
      </c>
      <c r="L251" s="59" t="s">
        <v>1301</v>
      </c>
    </row>
    <row r="252" spans="1:12">
      <c r="A252" s="57" t="s">
        <v>95</v>
      </c>
      <c r="B252" s="57" t="s">
        <v>352</v>
      </c>
      <c r="C252" s="57">
        <v>2026</v>
      </c>
      <c r="D252" s="58">
        <f>MATCH(B252,{"GENNAIO","FEBBRAIO","MARZO","APRILE","MAGGIO","GIUGNO","LUGLIO","AGOSTO","SETTEMBRE","OTTOBRE","NOVEMBRE","DICEMBRE"},0)</f>
        <v>4</v>
      </c>
      <c r="E252" s="57" t="str">
        <f t="shared" ref="E252" si="465">CONCATENATE(,B252," ",C252)</f>
        <v>APRILE 2026</v>
      </c>
      <c r="F252" s="57" t="str">
        <f t="shared" ref="F252" si="466">CONCATENATE(D252," ",E252)</f>
        <v>4 APRILE 2026</v>
      </c>
      <c r="G252" s="1309" t="s">
        <v>96</v>
      </c>
      <c r="H252" s="1309" t="str">
        <f>VLOOKUP(G252,CATEGORIE!$H$3:$I$55,2,FALSE)</f>
        <v>COSTO SOPRAVVIVENZA</v>
      </c>
      <c r="I252" s="59">
        <v>8.7899999999999991</v>
      </c>
      <c r="J252" s="940"/>
      <c r="K252" s="59"/>
      <c r="L252" s="59"/>
    </row>
    <row r="253" spans="1:12">
      <c r="A253" s="57" t="s">
        <v>135</v>
      </c>
      <c r="B253" s="57" t="s">
        <v>352</v>
      </c>
      <c r="C253" s="57">
        <v>2026</v>
      </c>
      <c r="D253" s="58">
        <f>MATCH(B253,{"GENNAIO","FEBBRAIO","MARZO","APRILE","MAGGIO","GIUGNO","LUGLIO","AGOSTO","SETTEMBRE","OTTOBRE","NOVEMBRE","DICEMBRE"},0)</f>
        <v>4</v>
      </c>
      <c r="E253" s="57" t="str">
        <f t="shared" ref="E253" si="467">CONCATENATE(,B253," ",C253)</f>
        <v>APRILE 2026</v>
      </c>
      <c r="F253" s="57" t="str">
        <f t="shared" ref="F253" si="468">CONCATENATE(D253," ",E253)</f>
        <v>4 APRILE 2026</v>
      </c>
      <c r="G253" s="1309" t="s">
        <v>132</v>
      </c>
      <c r="H253" s="1309" t="str">
        <f>VLOOKUP(G253,CATEGORIE!$H$3:$I$55,2,FALSE)</f>
        <v>COSTO CASA</v>
      </c>
      <c r="I253" s="59">
        <v>11</v>
      </c>
      <c r="J253" s="940"/>
      <c r="K253" s="59"/>
      <c r="L253" s="59"/>
    </row>
    <row r="254" spans="1:12">
      <c r="A254" s="57" t="s">
        <v>135</v>
      </c>
      <c r="B254" s="57" t="s">
        <v>352</v>
      </c>
      <c r="C254" s="57">
        <v>2026</v>
      </c>
      <c r="D254" s="58">
        <f>MATCH(B254,{"GENNAIO","FEBBRAIO","MARZO","APRILE","MAGGIO","GIUGNO","LUGLIO","AGOSTO","SETTEMBRE","OTTOBRE","NOVEMBRE","DICEMBRE"},0)</f>
        <v>4</v>
      </c>
      <c r="E254" s="57" t="str">
        <f t="shared" ref="E254" si="469">CONCATENATE(,B254," ",C254)</f>
        <v>APRILE 2026</v>
      </c>
      <c r="F254" s="57" t="str">
        <f t="shared" ref="F254" si="470">CONCATENATE(D254," ",E254)</f>
        <v>4 APRILE 2026</v>
      </c>
      <c r="G254" s="1309" t="s">
        <v>132</v>
      </c>
      <c r="H254" s="1309" t="str">
        <f>VLOOKUP(G254,CATEGORIE!$H$3:$I$55,2,FALSE)</f>
        <v>COSTO CASA</v>
      </c>
      <c r="I254" s="59">
        <v>9.94</v>
      </c>
      <c r="J254" s="940"/>
      <c r="K254" s="59"/>
      <c r="L254" s="59"/>
    </row>
    <row r="255" spans="1:12">
      <c r="A255" s="57" t="s">
        <v>102</v>
      </c>
      <c r="B255" s="57" t="s">
        <v>352</v>
      </c>
      <c r="C255" s="57">
        <v>2026</v>
      </c>
      <c r="D255" s="58">
        <f>MATCH(B255,{"GENNAIO","FEBBRAIO","MARZO","APRILE","MAGGIO","GIUGNO","LUGLIO","AGOSTO","SETTEMBRE","OTTOBRE","NOVEMBRE","DICEMBRE"},0)</f>
        <v>4</v>
      </c>
      <c r="E255" s="57" t="str">
        <f t="shared" ref="E255" si="471">CONCATENATE(,B255," ",C255)</f>
        <v>APRILE 2026</v>
      </c>
      <c r="F255" s="57" t="str">
        <f t="shared" ref="F255" si="472">CONCATENATE(D255," ",E255)</f>
        <v>4 APRILE 2026</v>
      </c>
      <c r="G255" s="1309" t="s">
        <v>96</v>
      </c>
      <c r="H255" s="1309" t="str">
        <f>VLOOKUP(G255,CATEGORIE!$H$3:$I$55,2,FALSE)</f>
        <v>COSTO SOPRAVVIVENZA</v>
      </c>
      <c r="I255" s="59">
        <v>7.75</v>
      </c>
      <c r="J255" s="940"/>
      <c r="K255" s="59"/>
      <c r="L255" s="59"/>
    </row>
    <row r="256" spans="1:12">
      <c r="A256" s="57" t="s">
        <v>120</v>
      </c>
      <c r="B256" s="57" t="s">
        <v>352</v>
      </c>
      <c r="C256" s="57">
        <v>2026</v>
      </c>
      <c r="D256" s="58">
        <f>MATCH(B256,{"GENNAIO","FEBBRAIO","MARZO","APRILE","MAGGIO","GIUGNO","LUGLIO","AGOSTO","SETTEMBRE","OTTOBRE","NOVEMBRE","DICEMBRE"},0)</f>
        <v>4</v>
      </c>
      <c r="E256" s="57" t="str">
        <f t="shared" ref="E256" si="473">CONCATENATE(,B256," ",C256)</f>
        <v>APRILE 2026</v>
      </c>
      <c r="F256" s="57" t="str">
        <f t="shared" ref="F256" si="474">CONCATENATE(D256," ",E256)</f>
        <v>4 APRILE 2026</v>
      </c>
      <c r="G256" s="1309" t="s">
        <v>121</v>
      </c>
      <c r="H256" s="1309" t="str">
        <f>VLOOKUP(G256,CATEGORIE!$H$3:$I$55,2,FALSE)</f>
        <v>COSTO MOBILITA'</v>
      </c>
      <c r="I256" s="59">
        <v>16</v>
      </c>
      <c r="J256" s="940"/>
      <c r="K256" s="59"/>
      <c r="L256" s="59"/>
    </row>
    <row r="257" spans="1:12">
      <c r="A257" s="57" t="s">
        <v>97</v>
      </c>
      <c r="B257" s="57" t="s">
        <v>352</v>
      </c>
      <c r="C257" s="57">
        <v>2026</v>
      </c>
      <c r="D257" s="58">
        <f>MATCH(B257,{"GENNAIO","FEBBRAIO","MARZO","APRILE","MAGGIO","GIUGNO","LUGLIO","AGOSTO","SETTEMBRE","OTTOBRE","NOVEMBRE","DICEMBRE"},0)</f>
        <v>4</v>
      </c>
      <c r="E257" s="57" t="str">
        <f t="shared" ref="E257" si="475">CONCATENATE(,B257," ",C257)</f>
        <v>APRILE 2026</v>
      </c>
      <c r="F257" s="57" t="str">
        <f t="shared" ref="F257" si="476">CONCATENATE(D257," ",E257)</f>
        <v>4 APRILE 2026</v>
      </c>
      <c r="G257" s="1309" t="s">
        <v>789</v>
      </c>
      <c r="H257" s="1309" t="str">
        <f>VLOOKUP(G257,CATEGORIE!$H$3:$I$55,2,FALSE)</f>
        <v>MOVIMENTI CONTO</v>
      </c>
      <c r="I257" s="59">
        <v>130</v>
      </c>
      <c r="J257" s="940"/>
      <c r="K257" s="59" t="s">
        <v>97</v>
      </c>
      <c r="L257" s="59" t="s">
        <v>1297</v>
      </c>
    </row>
    <row r="258" spans="1:12">
      <c r="A258" s="57" t="s">
        <v>102</v>
      </c>
      <c r="B258" s="57" t="s">
        <v>352</v>
      </c>
      <c r="C258" s="57">
        <v>2026</v>
      </c>
      <c r="D258" s="58">
        <f>MATCH(B258,{"GENNAIO","FEBBRAIO","MARZO","APRILE","MAGGIO","GIUGNO","LUGLIO","AGOSTO","SETTEMBRE","OTTOBRE","NOVEMBRE","DICEMBRE"},0)</f>
        <v>4</v>
      </c>
      <c r="E258" s="57" t="str">
        <f t="shared" ref="E258" si="477">CONCATENATE(,B258," ",C258)</f>
        <v>APRILE 2026</v>
      </c>
      <c r="F258" s="57" t="str">
        <f t="shared" ref="F258" si="478">CONCATENATE(D258," ",E258)</f>
        <v>4 APRILE 2026</v>
      </c>
      <c r="G258" s="1309" t="s">
        <v>96</v>
      </c>
      <c r="H258" s="1309" t="str">
        <f>VLOOKUP(G258,CATEGORIE!$H$3:$I$55,2,FALSE)</f>
        <v>COSTO SOPRAVVIVENZA</v>
      </c>
      <c r="I258" s="59">
        <v>29.7</v>
      </c>
      <c r="J258" s="940"/>
      <c r="K258" s="59"/>
      <c r="L258" s="59"/>
    </row>
    <row r="259" spans="1:12">
      <c r="A259" s="57" t="s">
        <v>95</v>
      </c>
      <c r="B259" s="57" t="s">
        <v>352</v>
      </c>
      <c r="C259" s="57">
        <v>2026</v>
      </c>
      <c r="D259" s="58">
        <f>MATCH(B259,{"GENNAIO","FEBBRAIO","MARZO","APRILE","MAGGIO","GIUGNO","LUGLIO","AGOSTO","SETTEMBRE","OTTOBRE","NOVEMBRE","DICEMBRE"},0)</f>
        <v>4</v>
      </c>
      <c r="E259" s="57" t="str">
        <f t="shared" ref="E259" si="479">CONCATENATE(,B259," ",C259)</f>
        <v>APRILE 2026</v>
      </c>
      <c r="F259" s="57" t="str">
        <f t="shared" ref="F259" si="480">CONCATENATE(D259," ",E259)</f>
        <v>4 APRILE 2026</v>
      </c>
      <c r="G259" s="1309" t="s">
        <v>96</v>
      </c>
      <c r="H259" s="1309" t="str">
        <f>VLOOKUP(G259,CATEGORIE!$H$3:$I$55,2,FALSE)</f>
        <v>COSTO SOPRAVVIVENZA</v>
      </c>
      <c r="I259" s="59">
        <v>53.28</v>
      </c>
      <c r="J259" s="940"/>
      <c r="K259" s="59"/>
      <c r="L259" s="59"/>
    </row>
    <row r="260" spans="1:12">
      <c r="A260" s="57" t="s">
        <v>135</v>
      </c>
      <c r="B260" s="57" t="s">
        <v>352</v>
      </c>
      <c r="C260" s="57">
        <v>2026</v>
      </c>
      <c r="D260" s="58">
        <f>MATCH(B260,{"GENNAIO","FEBBRAIO","MARZO","APRILE","MAGGIO","GIUGNO","LUGLIO","AGOSTO","SETTEMBRE","OTTOBRE","NOVEMBRE","DICEMBRE"},0)</f>
        <v>4</v>
      </c>
      <c r="E260" s="57" t="str">
        <f t="shared" ref="E260" si="481">CONCATENATE(,B260," ",C260)</f>
        <v>APRILE 2026</v>
      </c>
      <c r="F260" s="57" t="str">
        <f t="shared" ref="F260" si="482">CONCATENATE(D260," ",E260)</f>
        <v>4 APRILE 2026</v>
      </c>
      <c r="G260" s="1309" t="s">
        <v>185</v>
      </c>
      <c r="H260" s="1309" t="str">
        <f>VLOOKUP(G260,CATEGORIE!$H$3:$I$55,2,FALSE)</f>
        <v>COSTO SFIZI</v>
      </c>
      <c r="I260" s="59">
        <v>25.99</v>
      </c>
      <c r="J260" s="940"/>
      <c r="K260" s="59"/>
      <c r="L260" s="59" t="s">
        <v>1295</v>
      </c>
    </row>
    <row r="261" spans="1:12">
      <c r="A261" s="57" t="s">
        <v>1296</v>
      </c>
      <c r="B261" s="57" t="s">
        <v>352</v>
      </c>
      <c r="C261" s="57">
        <v>2026</v>
      </c>
      <c r="D261" s="58">
        <f>MATCH(B261,{"GENNAIO","FEBBRAIO","MARZO","APRILE","MAGGIO","GIUGNO","LUGLIO","AGOSTO","SETTEMBRE","OTTOBRE","NOVEMBRE","DICEMBRE"},0)</f>
        <v>4</v>
      </c>
      <c r="E261" s="57" t="str">
        <f t="shared" ref="E261" si="483">CONCATENATE(,B261," ",C261)</f>
        <v>APRILE 2026</v>
      </c>
      <c r="F261" s="57" t="str">
        <f t="shared" ref="F261" si="484">CONCATENATE(D261," ",E261)</f>
        <v>4 APRILE 2026</v>
      </c>
      <c r="G261" s="1309" t="s">
        <v>185</v>
      </c>
      <c r="H261" s="1309" t="str">
        <f>VLOOKUP(G261,CATEGORIE!$H$3:$I$55,2,FALSE)</f>
        <v>COSTO SFIZI</v>
      </c>
      <c r="I261" s="59">
        <v>10.8</v>
      </c>
      <c r="J261" s="940"/>
      <c r="K261" s="59"/>
      <c r="L261" s="59" t="s">
        <v>1295</v>
      </c>
    </row>
    <row r="262" spans="1:12">
      <c r="A262" s="57" t="s">
        <v>105</v>
      </c>
      <c r="B262" s="57" t="s">
        <v>352</v>
      </c>
      <c r="C262" s="57">
        <v>2026</v>
      </c>
      <c r="D262" s="58">
        <f>MATCH(B262,{"GENNAIO","FEBBRAIO","MARZO","APRILE","MAGGIO","GIUGNO","LUGLIO","AGOSTO","SETTEMBRE","OTTOBRE","NOVEMBRE","DICEMBRE"},0)</f>
        <v>4</v>
      </c>
      <c r="E262" s="57" t="str">
        <f t="shared" ref="E262" si="485">CONCATENATE(,B262," ",C262)</f>
        <v>APRILE 2026</v>
      </c>
      <c r="F262" s="57" t="str">
        <f t="shared" ref="F262" si="486">CONCATENATE(D262," ",E262)</f>
        <v>4 APRILE 2026</v>
      </c>
      <c r="G262" s="1309" t="s">
        <v>185</v>
      </c>
      <c r="H262" s="1309" t="str">
        <f>VLOOKUP(G262,CATEGORIE!$H$3:$I$55,2,FALSE)</f>
        <v>COSTO SFIZI</v>
      </c>
      <c r="I262" s="59">
        <v>39.880000000000003</v>
      </c>
      <c r="J262" s="940"/>
      <c r="K262" s="59"/>
      <c r="L262" s="59" t="s">
        <v>1295</v>
      </c>
    </row>
    <row r="263" spans="1:12">
      <c r="A263" s="57" t="s">
        <v>92</v>
      </c>
      <c r="B263" s="57" t="s">
        <v>352</v>
      </c>
      <c r="C263" s="57">
        <v>2026</v>
      </c>
      <c r="D263" s="58">
        <f>MATCH(B263,{"GENNAIO","FEBBRAIO","MARZO","APRILE","MAGGIO","GIUGNO","LUGLIO","AGOSTO","SETTEMBRE","OTTOBRE","NOVEMBRE","DICEMBRE"},0)</f>
        <v>4</v>
      </c>
      <c r="E263" s="57" t="str">
        <f t="shared" ref="E263" si="487">CONCATENATE(,B263," ",C263)</f>
        <v>APRILE 2026</v>
      </c>
      <c r="F263" s="57" t="str">
        <f t="shared" ref="F263:F265" si="488">CONCATENATE(D263," ",E263)</f>
        <v>4 APRILE 2026</v>
      </c>
      <c r="G263" s="1309" t="s">
        <v>94</v>
      </c>
      <c r="H263" s="1309" t="str">
        <f>VLOOKUP(G263,CATEGORIE!$H$3:$I$55,2,FALSE)</f>
        <v>COSTO SVAGHI</v>
      </c>
      <c r="I263" s="59">
        <v>36</v>
      </c>
      <c r="J263" s="57"/>
      <c r="K263" s="57"/>
      <c r="L263" s="59"/>
    </row>
    <row r="264" spans="1:12">
      <c r="A264" s="57" t="s">
        <v>160</v>
      </c>
      <c r="B264" s="57" t="s">
        <v>352</v>
      </c>
      <c r="C264" s="57">
        <v>2026</v>
      </c>
      <c r="D264" s="58">
        <f>MATCH(B264,{"GENNAIO","FEBBRAIO","MARZO","APRILE","MAGGIO","GIUGNO","LUGLIO","AGOSTO","SETTEMBRE","OTTOBRE","NOVEMBRE","DICEMBRE"},0)</f>
        <v>4</v>
      </c>
      <c r="E264" s="57" t="str">
        <f t="shared" ref="E264:E265" si="489">CONCATENATE(,B264," ",C264)</f>
        <v>APRILE 2026</v>
      </c>
      <c r="F264" s="57" t="str">
        <f t="shared" si="488"/>
        <v>4 APRILE 2026</v>
      </c>
      <c r="G264" s="1309" t="s">
        <v>111</v>
      </c>
      <c r="H264" s="1309" t="str">
        <f>VLOOKUP(G264,CATEGORIE!$H$3:$I$55,2,FALSE)</f>
        <v>COSTO MOBILITA'</v>
      </c>
      <c r="I264" s="59">
        <v>1.7</v>
      </c>
      <c r="J264" s="940"/>
      <c r="K264" s="59"/>
      <c r="L264" s="59"/>
    </row>
    <row r="265" spans="1:12">
      <c r="A265" s="57" t="s">
        <v>160</v>
      </c>
      <c r="B265" s="57" t="s">
        <v>352</v>
      </c>
      <c r="C265" s="57">
        <v>2026</v>
      </c>
      <c r="D265" s="58">
        <f>MATCH(B265,{"GENNAIO","FEBBRAIO","MARZO","APRILE","MAGGIO","GIUGNO","LUGLIO","AGOSTO","SETTEMBRE","OTTOBRE","NOVEMBRE","DICEMBRE"},0)</f>
        <v>4</v>
      </c>
      <c r="E265" s="57" t="str">
        <f t="shared" si="489"/>
        <v>APRILE 2026</v>
      </c>
      <c r="F265" s="57" t="str">
        <f t="shared" si="488"/>
        <v>4 APRILE 2026</v>
      </c>
      <c r="G265" s="1309" t="s">
        <v>111</v>
      </c>
      <c r="H265" s="1309" t="str">
        <f>VLOOKUP(G265,CATEGORIE!$H$3:$I$55,2,FALSE)</f>
        <v>COSTO MOBILITA'</v>
      </c>
      <c r="I265" s="59">
        <v>1.7</v>
      </c>
      <c r="J265" s="940"/>
      <c r="K265" s="59"/>
      <c r="L265" s="59"/>
    </row>
    <row r="266" spans="1:12">
      <c r="A266" s="57" t="s">
        <v>92</v>
      </c>
      <c r="B266" s="57" t="s">
        <v>352</v>
      </c>
      <c r="C266" s="57">
        <v>2026</v>
      </c>
      <c r="D266" s="58">
        <f>MATCH(B266,{"GENNAIO","FEBBRAIO","MARZO","APRILE","MAGGIO","GIUGNO","LUGLIO","AGOSTO","SETTEMBRE","OTTOBRE","NOVEMBRE","DICEMBRE"},0)</f>
        <v>4</v>
      </c>
      <c r="E266" s="57" t="str">
        <f t="shared" ref="E266" si="490">CONCATENATE(,B266," ",C266)</f>
        <v>APRILE 2026</v>
      </c>
      <c r="F266" s="57" t="str">
        <f t="shared" ref="F266" si="491">CONCATENATE(D266," ",E266)</f>
        <v>4 APRILE 2026</v>
      </c>
      <c r="G266" s="1309" t="s">
        <v>93</v>
      </c>
      <c r="H266" s="1309" t="str">
        <f>VLOOKUP(G266,CATEGORIE!$H$3:$I$55,2,FALSE)</f>
        <v>COSTO SOPRAVVIVENZA</v>
      </c>
      <c r="I266" s="59">
        <v>7</v>
      </c>
      <c r="J266" s="57"/>
      <c r="K266" s="57"/>
      <c r="L266" s="59"/>
    </row>
    <row r="267" spans="1:12">
      <c r="A267" s="57" t="s">
        <v>1294</v>
      </c>
      <c r="B267" s="57" t="s">
        <v>352</v>
      </c>
      <c r="C267" s="57">
        <v>2026</v>
      </c>
      <c r="D267" s="58">
        <f>MATCH(B267,{"GENNAIO","FEBBRAIO","MARZO","APRILE","MAGGIO","GIUGNO","LUGLIO","AGOSTO","SETTEMBRE","OTTOBRE","NOVEMBRE","DICEMBRE"},0)</f>
        <v>4</v>
      </c>
      <c r="E267" s="57" t="str">
        <f t="shared" ref="E267" si="492">CONCATENATE(,B267," ",C267)</f>
        <v>APRILE 2026</v>
      </c>
      <c r="F267" s="57" t="str">
        <f t="shared" ref="F267" si="493">CONCATENATE(D267," ",E267)</f>
        <v>4 APRILE 2026</v>
      </c>
      <c r="G267" s="1309" t="s">
        <v>94</v>
      </c>
      <c r="H267" s="1309" t="str">
        <f>VLOOKUP(G267,CATEGORIE!$H$3:$I$55,2,FALSE)</f>
        <v>COSTO SVAGHI</v>
      </c>
      <c r="I267" s="59">
        <v>44</v>
      </c>
      <c r="J267" s="940"/>
      <c r="K267" s="59"/>
      <c r="L267" s="59"/>
    </row>
    <row r="268" spans="1:12">
      <c r="A268" s="57" t="s">
        <v>92</v>
      </c>
      <c r="B268" s="57" t="s">
        <v>352</v>
      </c>
      <c r="C268" s="57">
        <v>2026</v>
      </c>
      <c r="D268" s="58">
        <f>MATCH(B268,{"GENNAIO","FEBBRAIO","MARZO","APRILE","MAGGIO","GIUGNO","LUGLIO","AGOSTO","SETTEMBRE","OTTOBRE","NOVEMBRE","DICEMBRE"},0)</f>
        <v>4</v>
      </c>
      <c r="E268" s="57" t="str">
        <f t="shared" ref="E268" si="494">CONCATENATE(,B268," ",C268)</f>
        <v>APRILE 2026</v>
      </c>
      <c r="F268" s="57" t="str">
        <f t="shared" ref="F268" si="495">CONCATENATE(D268," ",E268)</f>
        <v>4 APRILE 2026</v>
      </c>
      <c r="G268" s="1309" t="s">
        <v>93</v>
      </c>
      <c r="H268" s="1309" t="str">
        <f>VLOOKUP(G268,CATEGORIE!$H$3:$I$55,2,FALSE)</f>
        <v>COSTO SOPRAVVIVENZA</v>
      </c>
      <c r="I268" s="59">
        <v>7</v>
      </c>
      <c r="J268" s="57"/>
      <c r="K268" s="57"/>
      <c r="L268" s="59"/>
    </row>
    <row r="269" spans="1:12">
      <c r="A269" s="57" t="s">
        <v>97</v>
      </c>
      <c r="B269" s="57" t="s">
        <v>352</v>
      </c>
      <c r="C269" s="57">
        <v>2026</v>
      </c>
      <c r="D269" s="58">
        <f>MATCH(B269,{"GENNAIO","FEBBRAIO","MARZO","APRILE","MAGGIO","GIUGNO","LUGLIO","AGOSTO","SETTEMBRE","OTTOBRE","NOVEMBRE","DICEMBRE"},0)</f>
        <v>4</v>
      </c>
      <c r="E269" s="57" t="str">
        <f t="shared" ref="E269" si="496">CONCATENATE(,B269," ",C269)</f>
        <v>APRILE 2026</v>
      </c>
      <c r="F269" s="57" t="str">
        <f t="shared" ref="F269" si="497">CONCATENATE(D269," ",E269)</f>
        <v>4 APRILE 2026</v>
      </c>
      <c r="G269" s="1309" t="s">
        <v>789</v>
      </c>
      <c r="H269" s="1309" t="str">
        <f>VLOOKUP(G269,CATEGORIE!$H$3:$I$55,2,FALSE)</f>
        <v>MOVIMENTI CONTO</v>
      </c>
      <c r="I269" s="59">
        <v>130</v>
      </c>
      <c r="J269" s="940"/>
      <c r="K269" s="59" t="s">
        <v>97</v>
      </c>
      <c r="L269" s="59" t="s">
        <v>1292</v>
      </c>
    </row>
    <row r="270" spans="1:12">
      <c r="A270" s="57" t="s">
        <v>123</v>
      </c>
      <c r="B270" s="57" t="s">
        <v>352</v>
      </c>
      <c r="C270" s="57">
        <v>2026</v>
      </c>
      <c r="D270" s="58">
        <f>MATCH(B270,{"GENNAIO","FEBBRAIO","MARZO","APRILE","MAGGIO","GIUGNO","LUGLIO","AGOSTO","SETTEMBRE","OTTOBRE","NOVEMBRE","DICEMBRE"},0)</f>
        <v>4</v>
      </c>
      <c r="E270" s="57" t="str">
        <f t="shared" ref="E270:E272" si="498">CONCATENATE(,B270," ",C270)</f>
        <v>APRILE 2026</v>
      </c>
      <c r="F270" s="57" t="str">
        <f t="shared" ref="F270:F272" si="499">CONCATENATE(D270," ",E270)</f>
        <v>4 APRILE 2026</v>
      </c>
      <c r="G270" s="1309" t="s">
        <v>100</v>
      </c>
      <c r="H270" s="1309" t="str">
        <f>VLOOKUP(G270,CATEGORIE!$H$3:$I$55,2,FALSE)</f>
        <v>COSTO SFIZI</v>
      </c>
      <c r="I270" s="59">
        <v>68.92</v>
      </c>
      <c r="J270" s="940" t="s">
        <v>215</v>
      </c>
      <c r="K270" s="59" t="s">
        <v>112</v>
      </c>
      <c r="L270" s="59" t="s">
        <v>125</v>
      </c>
    </row>
    <row r="271" spans="1:12">
      <c r="A271" s="57" t="s">
        <v>99</v>
      </c>
      <c r="B271" s="57" t="s">
        <v>352</v>
      </c>
      <c r="C271" s="57">
        <v>2026</v>
      </c>
      <c r="D271" s="58">
        <f>MATCH(B271,{"GENNAIO","FEBBRAIO","MARZO","APRILE","MAGGIO","GIUGNO","LUGLIO","AGOSTO","SETTEMBRE","OTTOBRE","NOVEMBRE","DICEMBRE"},0)</f>
        <v>4</v>
      </c>
      <c r="E271" s="57" t="str">
        <f t="shared" si="498"/>
        <v>APRILE 2026</v>
      </c>
      <c r="F271" s="57" t="str">
        <f t="shared" si="499"/>
        <v>4 APRILE 2026</v>
      </c>
      <c r="G271" s="1309" t="s">
        <v>100</v>
      </c>
      <c r="H271" s="1309" t="str">
        <f>VLOOKUP(G271,CATEGORIE!$H$3:$I$55,2,FALSE)</f>
        <v>COSTO SFIZI</v>
      </c>
      <c r="I271" s="59">
        <f>178.99/5</f>
        <v>35.798000000000002</v>
      </c>
      <c r="J271" s="940" t="s">
        <v>197</v>
      </c>
      <c r="K271" s="59" t="s">
        <v>99</v>
      </c>
      <c r="L271" s="59" t="s">
        <v>127</v>
      </c>
    </row>
    <row r="272" spans="1:12">
      <c r="A272" s="57" t="s">
        <v>99</v>
      </c>
      <c r="B272" s="57" t="s">
        <v>352</v>
      </c>
      <c r="C272" s="57">
        <v>2026</v>
      </c>
      <c r="D272" s="58">
        <f>MATCH(B272,{"GENNAIO","FEBBRAIO","MARZO","APRILE","MAGGIO","GIUGNO","LUGLIO","AGOSTO","SETTEMBRE","OTTOBRE","NOVEMBRE","DICEMBRE"},0)</f>
        <v>4</v>
      </c>
      <c r="E272" s="57" t="str">
        <f t="shared" si="498"/>
        <v>APRILE 2026</v>
      </c>
      <c r="F272" s="57" t="str">
        <f t="shared" si="499"/>
        <v>4 APRILE 2026</v>
      </c>
      <c r="G272" s="1309" t="s">
        <v>100</v>
      </c>
      <c r="H272" s="1309" t="str">
        <f>VLOOKUP(G272,CATEGORIE!$H$3:$I$55,2,FALSE)</f>
        <v>COSTO SFIZI</v>
      </c>
      <c r="I272" s="59">
        <v>38.799999999999997</v>
      </c>
      <c r="J272" s="940" t="s">
        <v>197</v>
      </c>
      <c r="K272" s="59" t="s">
        <v>99</v>
      </c>
      <c r="L272" s="59" t="s">
        <v>128</v>
      </c>
    </row>
    <row r="273" spans="1:12">
      <c r="A273" s="57" t="s">
        <v>95</v>
      </c>
      <c r="B273" s="57" t="s">
        <v>352</v>
      </c>
      <c r="C273" s="57">
        <v>2026</v>
      </c>
      <c r="D273" s="58">
        <f>MATCH(B273,{"GENNAIO","FEBBRAIO","MARZO","APRILE","MAGGIO","GIUGNO","LUGLIO","AGOSTO","SETTEMBRE","OTTOBRE","NOVEMBRE","DICEMBRE"},0)</f>
        <v>4</v>
      </c>
      <c r="E273" s="57" t="str">
        <f t="shared" ref="E273" si="500">CONCATENATE(,B273," ",C273)</f>
        <v>APRILE 2026</v>
      </c>
      <c r="F273" s="57" t="str">
        <f t="shared" ref="F273" si="501">CONCATENATE(D273," ",E273)</f>
        <v>4 APRILE 2026</v>
      </c>
      <c r="G273" s="1309" t="s">
        <v>96</v>
      </c>
      <c r="H273" s="1309" t="str">
        <f>VLOOKUP(G273,CATEGORIE!$H$3:$I$55,2,FALSE)</f>
        <v>COSTO SOPRAVVIVENZA</v>
      </c>
      <c r="I273" s="59">
        <v>13.59</v>
      </c>
      <c r="J273" s="940"/>
      <c r="K273" s="59"/>
      <c r="L273" s="59"/>
    </row>
    <row r="274" spans="1:12">
      <c r="A274" s="57" t="s">
        <v>103</v>
      </c>
      <c r="B274" s="57" t="s">
        <v>352</v>
      </c>
      <c r="C274" s="57">
        <v>2026</v>
      </c>
      <c r="D274" s="58">
        <f>MATCH(B274,{"GENNAIO","FEBBRAIO","MARZO","APRILE","MAGGIO","GIUGNO","LUGLIO","AGOSTO","SETTEMBRE","OTTOBRE","NOVEMBRE","DICEMBRE"},0)</f>
        <v>4</v>
      </c>
      <c r="E274" s="57" t="str">
        <f t="shared" ref="E274" si="502">CONCATENATE(,B274," ",C274)</f>
        <v>APRILE 2026</v>
      </c>
      <c r="F274" s="57" t="str">
        <f t="shared" ref="F274" si="503">CONCATENATE(D274," ",E274)</f>
        <v>4 APRILE 2026</v>
      </c>
      <c r="G274" s="1309" t="s">
        <v>94</v>
      </c>
      <c r="H274" s="1309" t="str">
        <f>VLOOKUP(G274,CATEGORIE!$H$3:$I$55,2,FALSE)</f>
        <v>COSTO SVAGHI</v>
      </c>
      <c r="I274" s="59">
        <v>82</v>
      </c>
      <c r="J274" s="940"/>
      <c r="K274" s="59"/>
      <c r="L274" s="59"/>
    </row>
    <row r="275" spans="1:12">
      <c r="A275" s="57" t="s">
        <v>130</v>
      </c>
      <c r="B275" s="57" t="s">
        <v>352</v>
      </c>
      <c r="C275" s="57">
        <v>2026</v>
      </c>
      <c r="D275" s="58">
        <f>MATCH(B275,{"GENNAIO","FEBBRAIO","MARZO","APRILE","MAGGIO","GIUGNO","LUGLIO","AGOSTO","SETTEMBRE","OTTOBRE","NOVEMBRE","DICEMBRE"},0)</f>
        <v>4</v>
      </c>
      <c r="E275" s="57" t="str">
        <f t="shared" ref="E275" si="504">CONCATENATE(,B275," ",C275)</f>
        <v>APRILE 2026</v>
      </c>
      <c r="F275" s="57" t="str">
        <f t="shared" ref="F275" si="505">CONCATENATE(D275," ",E275)</f>
        <v>4 APRILE 2026</v>
      </c>
      <c r="G275" s="1309" t="s">
        <v>94</v>
      </c>
      <c r="H275" s="1309" t="str">
        <f>VLOOKUP(G275,CATEGORIE!$H$3:$I$55,2,FALSE)</f>
        <v>COSTO SVAGHI</v>
      </c>
      <c r="I275" s="59">
        <v>20</v>
      </c>
      <c r="J275" s="940"/>
      <c r="K275" s="59"/>
      <c r="L275" s="59"/>
    </row>
    <row r="276" spans="1:12">
      <c r="A276" s="57" t="s">
        <v>102</v>
      </c>
      <c r="B276" s="57" t="s">
        <v>352</v>
      </c>
      <c r="C276" s="57">
        <v>2026</v>
      </c>
      <c r="D276" s="58">
        <f>MATCH(B276,{"GENNAIO","FEBBRAIO","MARZO","APRILE","MAGGIO","GIUGNO","LUGLIO","AGOSTO","SETTEMBRE","OTTOBRE","NOVEMBRE","DICEMBRE"},0)</f>
        <v>4</v>
      </c>
      <c r="E276" s="57" t="str">
        <f t="shared" ref="E276" si="506">CONCATENATE(,B276," ",C276)</f>
        <v>APRILE 2026</v>
      </c>
      <c r="F276" s="57" t="str">
        <f t="shared" ref="F276:F278" si="507">CONCATENATE(D276," ",E276)</f>
        <v>4 APRILE 2026</v>
      </c>
      <c r="G276" s="1309" t="s">
        <v>96</v>
      </c>
      <c r="H276" s="1309" t="str">
        <f>VLOOKUP(G276,CATEGORIE!$H$3:$I$55,2,FALSE)</f>
        <v>COSTO SOPRAVVIVENZA</v>
      </c>
      <c r="I276" s="59">
        <v>20.45</v>
      </c>
      <c r="J276" s="940"/>
      <c r="K276" s="59"/>
      <c r="L276" s="59"/>
    </row>
    <row r="277" spans="1:12">
      <c r="A277" s="57" t="s">
        <v>160</v>
      </c>
      <c r="B277" s="57" t="s">
        <v>352</v>
      </c>
      <c r="C277" s="57">
        <v>2026</v>
      </c>
      <c r="D277" s="58">
        <f>MATCH(B277,{"GENNAIO","FEBBRAIO","MARZO","APRILE","MAGGIO","GIUGNO","LUGLIO","AGOSTO","SETTEMBRE","OTTOBRE","NOVEMBRE","DICEMBRE"},0)</f>
        <v>4</v>
      </c>
      <c r="E277" s="57" t="str">
        <f t="shared" ref="E277" si="508">CONCATENATE(,B277," ",C277)</f>
        <v>APRILE 2026</v>
      </c>
      <c r="F277" s="57" t="str">
        <f t="shared" si="507"/>
        <v>4 APRILE 2026</v>
      </c>
      <c r="G277" s="1309" t="s">
        <v>111</v>
      </c>
      <c r="H277" s="1309" t="str">
        <f>VLOOKUP(G277,CATEGORIE!$H$3:$I$55,2,FALSE)</f>
        <v>COSTO MOBILITA'</v>
      </c>
      <c r="I277" s="59">
        <v>1.7</v>
      </c>
      <c r="J277" s="940"/>
      <c r="K277" s="59"/>
      <c r="L277" s="59"/>
    </row>
    <row r="278" spans="1:12">
      <c r="A278" s="57" t="s">
        <v>160</v>
      </c>
      <c r="B278" s="57" t="s">
        <v>352</v>
      </c>
      <c r="C278" s="57">
        <v>2026</v>
      </c>
      <c r="D278" s="58">
        <f>MATCH(B278,{"GENNAIO","FEBBRAIO","MARZO","APRILE","MAGGIO","GIUGNO","LUGLIO","AGOSTO","SETTEMBRE","OTTOBRE","NOVEMBRE","DICEMBRE"},0)</f>
        <v>4</v>
      </c>
      <c r="E278" s="57" t="str">
        <f t="shared" ref="E278" si="509">CONCATENATE(,B278," ",C278)</f>
        <v>APRILE 2026</v>
      </c>
      <c r="F278" s="57" t="str">
        <f t="shared" si="507"/>
        <v>4 APRILE 2026</v>
      </c>
      <c r="G278" s="1309" t="s">
        <v>111</v>
      </c>
      <c r="H278" s="1309" t="str">
        <f>VLOOKUP(G278,CATEGORIE!$H$3:$I$55,2,FALSE)</f>
        <v>COSTO MOBILITA'</v>
      </c>
      <c r="I278" s="59">
        <v>1.7</v>
      </c>
      <c r="J278" s="940"/>
      <c r="K278" s="59"/>
      <c r="L278" s="59"/>
    </row>
    <row r="279" spans="1:12">
      <c r="A279" s="57" t="s">
        <v>92</v>
      </c>
      <c r="B279" s="57" t="s">
        <v>352</v>
      </c>
      <c r="C279" s="57">
        <v>2026</v>
      </c>
      <c r="D279" s="58">
        <f>MATCH(B279,{"GENNAIO","FEBBRAIO","MARZO","APRILE","MAGGIO","GIUGNO","LUGLIO","AGOSTO","SETTEMBRE","OTTOBRE","NOVEMBRE","DICEMBRE"},0)</f>
        <v>4</v>
      </c>
      <c r="E279" s="57" t="str">
        <f t="shared" ref="E279" si="510">CONCATENATE(,B279," ",C279)</f>
        <v>APRILE 2026</v>
      </c>
      <c r="F279" s="57" t="str">
        <f t="shared" ref="F279" si="511">CONCATENATE(D279," ",E279)</f>
        <v>4 APRILE 2026</v>
      </c>
      <c r="G279" s="1309" t="s">
        <v>93</v>
      </c>
      <c r="H279" s="1309" t="str">
        <f>VLOOKUP(G279,CATEGORIE!$H$3:$I$55,2,FALSE)</f>
        <v>COSTO SOPRAVVIVENZA</v>
      </c>
      <c r="I279" s="59">
        <v>7</v>
      </c>
      <c r="J279" s="57"/>
      <c r="K279" s="57"/>
      <c r="L279" s="59"/>
    </row>
    <row r="280" spans="1:12">
      <c r="A280" s="57" t="s">
        <v>135</v>
      </c>
      <c r="B280" s="57" t="s">
        <v>90</v>
      </c>
      <c r="C280" s="57">
        <v>2026</v>
      </c>
      <c r="D280" s="58">
        <f>MATCH(B280,{"GENNAIO","FEBBRAIO","MARZO","APRILE","MAGGIO","GIUGNO","LUGLIO","AGOSTO","SETTEMBRE","OTTOBRE","NOVEMBRE","DICEMBRE"},0)</f>
        <v>3</v>
      </c>
      <c r="E280" s="57" t="str">
        <f t="shared" ref="E280" si="512">CONCATENATE(,B280," ",C280)</f>
        <v>MARZO 2026</v>
      </c>
      <c r="F280" s="57" t="str">
        <f t="shared" ref="F280" si="513">CONCATENATE(D280," ",E280)</f>
        <v>3 MARZO 2026</v>
      </c>
      <c r="G280" s="1309" t="s">
        <v>132</v>
      </c>
      <c r="H280" s="1309" t="str">
        <f>VLOOKUP(G280,CATEGORIE!$H$3:$I$55,2,FALSE)</f>
        <v>COSTO CASA</v>
      </c>
      <c r="I280" s="59">
        <v>16.64</v>
      </c>
      <c r="J280" s="940"/>
      <c r="K280" s="59"/>
      <c r="L280" s="59"/>
    </row>
    <row r="281" spans="1:12">
      <c r="A281" s="57" t="s">
        <v>89</v>
      </c>
      <c r="B281" s="57" t="s">
        <v>90</v>
      </c>
      <c r="C281" s="57">
        <v>2026</v>
      </c>
      <c r="D281" s="58">
        <f>MATCH(B281,{"GENNAIO","FEBBRAIO","MARZO","APRILE","MAGGIO","GIUGNO","LUGLIO","AGOSTO","SETTEMBRE","OTTOBRE","NOVEMBRE","DICEMBRE"},0)</f>
        <v>3</v>
      </c>
      <c r="E281" s="57" t="str">
        <f t="shared" ref="E281" si="514">CONCATENATE(,B281," ",C281)</f>
        <v>MARZO 2026</v>
      </c>
      <c r="F281" s="57" t="str">
        <f t="shared" ref="F281" si="515">CONCATENATE(D281," ",E281)</f>
        <v>3 MARZO 2026</v>
      </c>
      <c r="G281" s="1309" t="s">
        <v>91</v>
      </c>
      <c r="H281" s="1309" t="str">
        <f>VLOOKUP(G281,CATEGORIE!$H$3:$I$55,2,FALSE)</f>
        <v>COSTO SOPRAVVIVENZA</v>
      </c>
      <c r="I281" s="59">
        <v>5</v>
      </c>
      <c r="J281" s="940"/>
      <c r="K281" s="59"/>
      <c r="L281" s="59"/>
    </row>
    <row r="282" spans="1:12">
      <c r="A282" s="57" t="s">
        <v>92</v>
      </c>
      <c r="B282" s="57" t="s">
        <v>90</v>
      </c>
      <c r="C282" s="57">
        <v>2026</v>
      </c>
      <c r="D282" s="58">
        <f>MATCH(B282,{"GENNAIO","FEBBRAIO","MARZO","APRILE","MAGGIO","GIUGNO","LUGLIO","AGOSTO","SETTEMBRE","OTTOBRE","NOVEMBRE","DICEMBRE"},0)</f>
        <v>3</v>
      </c>
      <c r="E282" s="57" t="str">
        <f t="shared" ref="E282" si="516">CONCATENATE(,B282," ",C282)</f>
        <v>MARZO 2026</v>
      </c>
      <c r="F282" s="57" t="str">
        <f t="shared" ref="F282" si="517">CONCATENATE(D282," ",E282)</f>
        <v>3 MARZO 2026</v>
      </c>
      <c r="G282" s="1309" t="s">
        <v>93</v>
      </c>
      <c r="H282" s="1309" t="str">
        <f>VLOOKUP(G282,CATEGORIE!$H$3:$I$55,2,FALSE)</f>
        <v>COSTO SOPRAVVIVENZA</v>
      </c>
      <c r="I282" s="59">
        <v>7</v>
      </c>
      <c r="J282" s="57"/>
      <c r="K282" s="57"/>
      <c r="L282" s="59"/>
    </row>
    <row r="283" spans="1:12">
      <c r="A283" s="57" t="s">
        <v>92</v>
      </c>
      <c r="B283" s="57" t="s">
        <v>90</v>
      </c>
      <c r="C283" s="57">
        <v>2026</v>
      </c>
      <c r="D283" s="58">
        <f>MATCH(B283,{"GENNAIO","FEBBRAIO","MARZO","APRILE","MAGGIO","GIUGNO","LUGLIO","AGOSTO","SETTEMBRE","OTTOBRE","NOVEMBRE","DICEMBRE"},0)</f>
        <v>3</v>
      </c>
      <c r="E283" s="57" t="str">
        <f t="shared" ref="E283:E284" si="518">CONCATENATE(,B283," ",C283)</f>
        <v>MARZO 2026</v>
      </c>
      <c r="F283" s="57" t="str">
        <f t="shared" ref="F283:F284" si="519">CONCATENATE(D283," ",E283)</f>
        <v>3 MARZO 2026</v>
      </c>
      <c r="G283" s="1309" t="s">
        <v>94</v>
      </c>
      <c r="H283" s="1309" t="str">
        <f>VLOOKUP(G283,CATEGORIE!$H$3:$I$55,2,FALSE)</f>
        <v>COSTO SVAGHI</v>
      </c>
      <c r="I283" s="59">
        <v>6</v>
      </c>
      <c r="J283" s="57"/>
      <c r="K283" s="57"/>
      <c r="L283" s="59"/>
    </row>
    <row r="284" spans="1:12">
      <c r="A284" s="57" t="s">
        <v>209</v>
      </c>
      <c r="B284" s="57" t="s">
        <v>90</v>
      </c>
      <c r="C284" s="57">
        <v>2026</v>
      </c>
      <c r="D284" s="58">
        <f>MATCH(B284,{"GENNAIO","FEBBRAIO","MARZO","APRILE","MAGGIO","GIUGNO","LUGLIO","AGOSTO","SETTEMBRE","OTTOBRE","NOVEMBRE","DICEMBRE"},0)</f>
        <v>3</v>
      </c>
      <c r="E284" s="57" t="str">
        <f t="shared" si="518"/>
        <v>MARZO 2026</v>
      </c>
      <c r="F284" s="57" t="str">
        <f t="shared" si="519"/>
        <v>3 MARZO 2026</v>
      </c>
      <c r="G284" s="1309" t="s">
        <v>94</v>
      </c>
      <c r="H284" s="1309" t="str">
        <f>VLOOKUP(G284,CATEGORIE!$H$3:$I$55,2,FALSE)</f>
        <v>COSTO SVAGHI</v>
      </c>
      <c r="I284" s="59">
        <v>23.1</v>
      </c>
      <c r="J284" s="940"/>
      <c r="K284" s="59"/>
      <c r="L284" s="59"/>
    </row>
    <row r="285" spans="1:12">
      <c r="A285" s="57" t="s">
        <v>95</v>
      </c>
      <c r="B285" s="57" t="s">
        <v>90</v>
      </c>
      <c r="C285" s="57">
        <v>2026</v>
      </c>
      <c r="D285" s="58">
        <f>MATCH(B285,{"GENNAIO","FEBBRAIO","MARZO","APRILE","MAGGIO","GIUGNO","LUGLIO","AGOSTO","SETTEMBRE","OTTOBRE","NOVEMBRE","DICEMBRE"},0)</f>
        <v>3</v>
      </c>
      <c r="E285" s="57" t="str">
        <f t="shared" ref="E285" si="520">CONCATENATE(,B285," ",C285)</f>
        <v>MARZO 2026</v>
      </c>
      <c r="F285" s="57" t="str">
        <f t="shared" ref="F285" si="521">CONCATENATE(D285," ",E285)</f>
        <v>3 MARZO 2026</v>
      </c>
      <c r="G285" s="1309" t="s">
        <v>96</v>
      </c>
      <c r="H285" s="1309" t="str">
        <f>VLOOKUP(G285,CATEGORIE!$H$3:$I$55,2,FALSE)</f>
        <v>COSTO SOPRAVVIVENZA</v>
      </c>
      <c r="I285" s="59">
        <v>17.36</v>
      </c>
      <c r="J285" s="940"/>
      <c r="K285" s="59"/>
      <c r="L285" s="59"/>
    </row>
    <row r="286" spans="1:12">
      <c r="A286" s="57" t="s">
        <v>97</v>
      </c>
      <c r="B286" s="57" t="s">
        <v>90</v>
      </c>
      <c r="C286" s="57">
        <v>2026</v>
      </c>
      <c r="D286" s="58">
        <f>MATCH(B286,{"GENNAIO","FEBBRAIO","MARZO","APRILE","MAGGIO","GIUGNO","LUGLIO","AGOSTO","SETTEMBRE","OTTOBRE","NOVEMBRE","DICEMBRE"},0)</f>
        <v>3</v>
      </c>
      <c r="E286" s="57" t="str">
        <f t="shared" ref="E286" si="522">CONCATENATE(,B286," ",C286)</f>
        <v>MARZO 2026</v>
      </c>
      <c r="F286" s="57" t="str">
        <f t="shared" ref="F286" si="523">CONCATENATE(D286," ",E286)</f>
        <v>3 MARZO 2026</v>
      </c>
      <c r="G286" s="1309" t="s">
        <v>789</v>
      </c>
      <c r="H286" s="1309" t="str">
        <f>VLOOKUP(G286,CATEGORIE!$H$3:$I$55,2,FALSE)</f>
        <v>MOVIMENTI CONTO</v>
      </c>
      <c r="I286" s="59">
        <v>60</v>
      </c>
      <c r="J286" s="940"/>
      <c r="K286" s="59" t="s">
        <v>97</v>
      </c>
      <c r="L286" s="59" t="s">
        <v>98</v>
      </c>
    </row>
    <row r="287" spans="1:12">
      <c r="A287" s="57" t="s">
        <v>92</v>
      </c>
      <c r="B287" s="57" t="s">
        <v>90</v>
      </c>
      <c r="C287" s="57">
        <v>2026</v>
      </c>
      <c r="D287" s="58">
        <f>MATCH(B287,{"GENNAIO","FEBBRAIO","MARZO","APRILE","MAGGIO","GIUGNO","LUGLIO","AGOSTO","SETTEMBRE","OTTOBRE","NOVEMBRE","DICEMBRE"},0)</f>
        <v>3</v>
      </c>
      <c r="E287" s="57" t="str">
        <f t="shared" ref="E287" si="524">CONCATENATE(,B287," ",C287)</f>
        <v>MARZO 2026</v>
      </c>
      <c r="F287" s="57" t="str">
        <f t="shared" ref="F287" si="525">CONCATENATE(D287," ",E287)</f>
        <v>3 MARZO 2026</v>
      </c>
      <c r="G287" s="1309" t="s">
        <v>94</v>
      </c>
      <c r="H287" s="1309" t="str">
        <f>VLOOKUP(G287,CATEGORIE!$H$3:$I$55,2,FALSE)</f>
        <v>COSTO SVAGHI</v>
      </c>
      <c r="I287" s="59">
        <v>30</v>
      </c>
      <c r="J287" s="57"/>
      <c r="K287" s="57"/>
      <c r="L287" s="59"/>
    </row>
    <row r="288" spans="1:12">
      <c r="A288" s="57" t="s">
        <v>92</v>
      </c>
      <c r="B288" s="57" t="s">
        <v>90</v>
      </c>
      <c r="C288" s="57">
        <v>2026</v>
      </c>
      <c r="D288" s="58">
        <f>MATCH(B288,{"GENNAIO","FEBBRAIO","MARZO","APRILE","MAGGIO","GIUGNO","LUGLIO","AGOSTO","SETTEMBRE","OTTOBRE","NOVEMBRE","DICEMBRE"},0)</f>
        <v>3</v>
      </c>
      <c r="E288" s="57" t="str">
        <f t="shared" ref="E288" si="526">CONCATENATE(,B288," ",C288)</f>
        <v>MARZO 2026</v>
      </c>
      <c r="F288" s="57" t="str">
        <f t="shared" ref="F288" si="527">CONCATENATE(D288," ",E288)</f>
        <v>3 MARZO 2026</v>
      </c>
      <c r="G288" s="1309" t="s">
        <v>93</v>
      </c>
      <c r="H288" s="1309" t="str">
        <f>VLOOKUP(G288,CATEGORIE!$H$3:$I$55,2,FALSE)</f>
        <v>COSTO SOPRAVVIVENZA</v>
      </c>
      <c r="I288" s="59">
        <v>7</v>
      </c>
      <c r="J288" s="57"/>
      <c r="K288" s="57"/>
      <c r="L288" s="59"/>
    </row>
    <row r="289" spans="1:12">
      <c r="A289" s="57" t="s">
        <v>99</v>
      </c>
      <c r="B289" s="57" t="s">
        <v>90</v>
      </c>
      <c r="C289" s="57">
        <v>2026</v>
      </c>
      <c r="D289" s="58">
        <f>MATCH(B289,{"GENNAIO","FEBBRAIO","MARZO","APRILE","MAGGIO","GIUGNO","LUGLIO","AGOSTO","SETTEMBRE","OTTOBRE","NOVEMBRE","DICEMBRE"},0)</f>
        <v>3</v>
      </c>
      <c r="E289" s="57" t="str">
        <f t="shared" ref="E289" si="528">CONCATENATE(,B289," ",C289)</f>
        <v>MARZO 2026</v>
      </c>
      <c r="F289" s="57" t="str">
        <f t="shared" ref="F289" si="529">CONCATENATE(D289," ",E289)</f>
        <v>3 MARZO 2026</v>
      </c>
      <c r="G289" s="1309" t="s">
        <v>100</v>
      </c>
      <c r="H289" s="1309" t="str">
        <f>VLOOKUP(G289,CATEGORIE!$H$3:$I$55,2,FALSE)</f>
        <v>COSTO SFIZI</v>
      </c>
      <c r="I289" s="59">
        <v>15.99</v>
      </c>
      <c r="J289" s="940"/>
      <c r="K289" s="59"/>
      <c r="L289" s="59"/>
    </row>
    <row r="290" spans="1:12">
      <c r="A290" s="57" t="s">
        <v>101</v>
      </c>
      <c r="B290" s="57" t="s">
        <v>90</v>
      </c>
      <c r="C290" s="57">
        <v>2026</v>
      </c>
      <c r="D290" s="58">
        <f>MATCH(B290,{"GENNAIO","FEBBRAIO","MARZO","APRILE","MAGGIO","GIUGNO","LUGLIO","AGOSTO","SETTEMBRE","OTTOBRE","NOVEMBRE","DICEMBRE"},0)</f>
        <v>3</v>
      </c>
      <c r="E290" s="57" t="str">
        <f t="shared" ref="E290" si="530">CONCATENATE(,B290," ",C290)</f>
        <v>MARZO 2026</v>
      </c>
      <c r="F290" s="57" t="str">
        <f t="shared" ref="F290" si="531">CONCATENATE(D290," ",E290)</f>
        <v>3 MARZO 2026</v>
      </c>
      <c r="G290" s="1309" t="s">
        <v>91</v>
      </c>
      <c r="H290" s="1309" t="str">
        <f>VLOOKUP(G290,CATEGORIE!$H$3:$I$55,2,FALSE)</f>
        <v>COSTO SOPRAVVIVENZA</v>
      </c>
      <c r="I290" s="59">
        <v>0.4</v>
      </c>
      <c r="J290" s="940"/>
      <c r="K290" s="59"/>
      <c r="L290" s="59"/>
    </row>
    <row r="291" spans="1:12">
      <c r="A291" s="57" t="s">
        <v>101</v>
      </c>
      <c r="B291" s="57" t="s">
        <v>90</v>
      </c>
      <c r="C291" s="57">
        <v>2026</v>
      </c>
      <c r="D291" s="58">
        <f>MATCH(B291,{"GENNAIO","FEBBRAIO","MARZO","APRILE","MAGGIO","GIUGNO","LUGLIO","AGOSTO","SETTEMBRE","OTTOBRE","NOVEMBRE","DICEMBRE"},0)</f>
        <v>3</v>
      </c>
      <c r="E291" s="57" t="str">
        <f t="shared" ref="E291" si="532">CONCATENATE(,B291," ",C291)</f>
        <v>MARZO 2026</v>
      </c>
      <c r="F291" s="57" t="str">
        <f t="shared" ref="F291" si="533">CONCATENATE(D291," ",E291)</f>
        <v>3 MARZO 2026</v>
      </c>
      <c r="G291" s="1309" t="s">
        <v>91</v>
      </c>
      <c r="H291" s="1309" t="str">
        <f>VLOOKUP(G291,CATEGORIE!$H$3:$I$55,2,FALSE)</f>
        <v>COSTO SOPRAVVIVENZA</v>
      </c>
      <c r="I291" s="59">
        <v>0.4</v>
      </c>
      <c r="J291" s="940"/>
      <c r="K291" s="59"/>
      <c r="L291" s="59"/>
    </row>
    <row r="292" spans="1:12">
      <c r="A292" s="57" t="s">
        <v>102</v>
      </c>
      <c r="B292" s="57" t="s">
        <v>90</v>
      </c>
      <c r="C292" s="57">
        <v>2026</v>
      </c>
      <c r="D292" s="58">
        <f>MATCH(B292,{"GENNAIO","FEBBRAIO","MARZO","APRILE","MAGGIO","GIUGNO","LUGLIO","AGOSTO","SETTEMBRE","OTTOBRE","NOVEMBRE","DICEMBRE"},0)</f>
        <v>3</v>
      </c>
      <c r="E292" s="57" t="str">
        <f t="shared" ref="E292:E293" si="534">CONCATENATE(,B292," ",C292)</f>
        <v>MARZO 2026</v>
      </c>
      <c r="F292" s="57" t="str">
        <f t="shared" ref="F292:F293" si="535">CONCATENATE(D292," ",E292)</f>
        <v>3 MARZO 2026</v>
      </c>
      <c r="G292" s="1309" t="s">
        <v>96</v>
      </c>
      <c r="H292" s="1309" t="str">
        <f>VLOOKUP(G292,CATEGORIE!$H$3:$I$55,2,FALSE)</f>
        <v>COSTO SOPRAVVIVENZA</v>
      </c>
      <c r="I292" s="59">
        <v>3.4</v>
      </c>
      <c r="J292" s="940"/>
      <c r="K292" s="59"/>
      <c r="L292" s="59"/>
    </row>
    <row r="293" spans="1:12">
      <c r="A293" s="57" t="s">
        <v>101</v>
      </c>
      <c r="B293" s="57" t="s">
        <v>90</v>
      </c>
      <c r="C293" s="57">
        <v>2026</v>
      </c>
      <c r="D293" s="58">
        <f>MATCH(B293,{"GENNAIO","FEBBRAIO","MARZO","APRILE","MAGGIO","GIUGNO","LUGLIO","AGOSTO","SETTEMBRE","OTTOBRE","NOVEMBRE","DICEMBRE"},0)</f>
        <v>3</v>
      </c>
      <c r="E293" s="57" t="str">
        <f t="shared" si="534"/>
        <v>MARZO 2026</v>
      </c>
      <c r="F293" s="57" t="str">
        <f t="shared" si="535"/>
        <v>3 MARZO 2026</v>
      </c>
      <c r="G293" s="1309" t="s">
        <v>91</v>
      </c>
      <c r="H293" s="1309" t="str">
        <f>VLOOKUP(G293,CATEGORIE!$H$3:$I$55,2,FALSE)</f>
        <v>COSTO SOPRAVVIVENZA</v>
      </c>
      <c r="I293" s="59">
        <v>0.4</v>
      </c>
      <c r="J293" s="940"/>
      <c r="K293" s="59"/>
      <c r="L293" s="59"/>
    </row>
    <row r="294" spans="1:12">
      <c r="A294" s="57" t="s">
        <v>92</v>
      </c>
      <c r="B294" s="57" t="s">
        <v>90</v>
      </c>
      <c r="C294" s="57">
        <v>2026</v>
      </c>
      <c r="D294" s="58">
        <f>MATCH(B294,{"GENNAIO","FEBBRAIO","MARZO","APRILE","MAGGIO","GIUGNO","LUGLIO","AGOSTO","SETTEMBRE","OTTOBRE","NOVEMBRE","DICEMBRE"},0)</f>
        <v>3</v>
      </c>
      <c r="E294" s="57" t="str">
        <f t="shared" ref="E294" si="536">CONCATENATE(,B294," ",C294)</f>
        <v>MARZO 2026</v>
      </c>
      <c r="F294" s="57" t="str">
        <f t="shared" ref="F294" si="537">CONCATENATE(D294," ",E294)</f>
        <v>3 MARZO 2026</v>
      </c>
      <c r="G294" s="1309" t="s">
        <v>94</v>
      </c>
      <c r="H294" s="1309" t="str">
        <f>VLOOKUP(G294,CATEGORIE!$H$3:$I$55,2,FALSE)</f>
        <v>COSTO SVAGHI</v>
      </c>
      <c r="I294" s="59">
        <v>3</v>
      </c>
      <c r="J294" s="57"/>
      <c r="K294" s="57"/>
      <c r="L294" s="59"/>
    </row>
    <row r="295" spans="1:12">
      <c r="A295" s="57" t="s">
        <v>99</v>
      </c>
      <c r="B295" s="57" t="s">
        <v>90</v>
      </c>
      <c r="C295" s="57">
        <v>2026</v>
      </c>
      <c r="D295" s="58">
        <f>MATCH(B295,{"GENNAIO","FEBBRAIO","MARZO","APRILE","MAGGIO","GIUGNO","LUGLIO","AGOSTO","SETTEMBRE","OTTOBRE","NOVEMBRE","DICEMBRE"},0)</f>
        <v>3</v>
      </c>
      <c r="E295" s="57" t="str">
        <f t="shared" ref="E295" si="538">CONCATENATE(,B295," ",C295)</f>
        <v>MARZO 2026</v>
      </c>
      <c r="F295" s="57" t="str">
        <f t="shared" ref="F295" si="539">CONCATENATE(D295," ",E295)</f>
        <v>3 MARZO 2026</v>
      </c>
      <c r="G295" s="1309" t="s">
        <v>100</v>
      </c>
      <c r="H295" s="1309" t="str">
        <f>VLOOKUP(G295,CATEGORIE!$H$3:$I$55,2,FALSE)</f>
        <v>COSTO SFIZI</v>
      </c>
      <c r="I295" s="59">
        <v>28.49</v>
      </c>
      <c r="J295" s="940"/>
      <c r="K295" s="59"/>
      <c r="L295" s="59"/>
    </row>
    <row r="296" spans="1:12">
      <c r="A296" s="57" t="s">
        <v>95</v>
      </c>
      <c r="B296" s="57" t="s">
        <v>90</v>
      </c>
      <c r="C296" s="57">
        <v>2026</v>
      </c>
      <c r="D296" s="58">
        <f>MATCH(B296,{"GENNAIO","FEBBRAIO","MARZO","APRILE","MAGGIO","GIUGNO","LUGLIO","AGOSTO","SETTEMBRE","OTTOBRE","NOVEMBRE","DICEMBRE"},0)</f>
        <v>3</v>
      </c>
      <c r="E296" s="57" t="str">
        <f t="shared" ref="E296:E303" si="540">CONCATENATE(,B296," ",C296)</f>
        <v>MARZO 2026</v>
      </c>
      <c r="F296" s="57" t="str">
        <f t="shared" ref="F296:F303" si="541">CONCATENATE(D296," ",E296)</f>
        <v>3 MARZO 2026</v>
      </c>
      <c r="G296" s="1309" t="s">
        <v>96</v>
      </c>
      <c r="H296" s="1309" t="str">
        <f>VLOOKUP(G296,CATEGORIE!$H$3:$I$55,2,FALSE)</f>
        <v>COSTO SOPRAVVIVENZA</v>
      </c>
      <c r="I296" s="59">
        <v>18.850000000000001</v>
      </c>
      <c r="J296" s="940"/>
      <c r="K296" s="59"/>
      <c r="L296" s="59"/>
    </row>
    <row r="297" spans="1:12">
      <c r="A297" s="57" t="s">
        <v>103</v>
      </c>
      <c r="B297" s="57" t="s">
        <v>90</v>
      </c>
      <c r="C297" s="57">
        <v>2026</v>
      </c>
      <c r="D297" s="58">
        <f>MATCH(B297,{"GENNAIO","FEBBRAIO","MARZO","APRILE","MAGGIO","GIUGNO","LUGLIO","AGOSTO","SETTEMBRE","OTTOBRE","NOVEMBRE","DICEMBRE"},0)</f>
        <v>3</v>
      </c>
      <c r="E297" s="57" t="str">
        <f t="shared" si="540"/>
        <v>MARZO 2026</v>
      </c>
      <c r="F297" s="57" t="str">
        <f t="shared" si="541"/>
        <v>3 MARZO 2026</v>
      </c>
      <c r="G297" s="1309" t="s">
        <v>94</v>
      </c>
      <c r="H297" s="1309" t="str">
        <f>VLOOKUP(G297,CATEGORIE!$H$3:$I$55,2,FALSE)</f>
        <v>COSTO SVAGHI</v>
      </c>
      <c r="I297" s="59">
        <v>103</v>
      </c>
      <c r="J297" s="940"/>
      <c r="K297" s="59"/>
      <c r="L297" s="59"/>
    </row>
    <row r="298" spans="1:12">
      <c r="A298" s="57" t="s">
        <v>104</v>
      </c>
      <c r="B298" s="57" t="s">
        <v>90</v>
      </c>
      <c r="C298" s="57">
        <v>2026</v>
      </c>
      <c r="D298" s="58">
        <f>MATCH(B298,{"GENNAIO","FEBBRAIO","MARZO","APRILE","MAGGIO","GIUGNO","LUGLIO","AGOSTO","SETTEMBRE","OTTOBRE","NOVEMBRE","DICEMBRE"},0)</f>
        <v>3</v>
      </c>
      <c r="E298" s="57" t="str">
        <f t="shared" si="540"/>
        <v>MARZO 2026</v>
      </c>
      <c r="F298" s="57" t="str">
        <f t="shared" si="541"/>
        <v>3 MARZO 2026</v>
      </c>
      <c r="G298" s="1309" t="s">
        <v>94</v>
      </c>
      <c r="H298" s="1309" t="str">
        <f>VLOOKUP(G298,CATEGORIE!$H$3:$I$55,2,FALSE)</f>
        <v>COSTO SVAGHI</v>
      </c>
      <c r="I298" s="59">
        <v>39</v>
      </c>
      <c r="J298" s="940"/>
      <c r="K298" s="59"/>
      <c r="L298" s="59"/>
    </row>
    <row r="299" spans="1:12">
      <c r="A299" s="57" t="s">
        <v>105</v>
      </c>
      <c r="B299" s="57" t="s">
        <v>90</v>
      </c>
      <c r="C299" s="57">
        <v>2026</v>
      </c>
      <c r="D299" s="58">
        <f>MATCH(B299,{"GENNAIO","FEBBRAIO","MARZO","APRILE","MAGGIO","GIUGNO","LUGLIO","AGOSTO","SETTEMBRE","OTTOBRE","NOVEMBRE","DICEMBRE"},0)</f>
        <v>3</v>
      </c>
      <c r="E299" s="57" t="str">
        <f t="shared" si="540"/>
        <v>MARZO 2026</v>
      </c>
      <c r="F299" s="57" t="str">
        <f t="shared" si="541"/>
        <v>3 MARZO 2026</v>
      </c>
      <c r="G299" s="1309" t="s">
        <v>96</v>
      </c>
      <c r="H299" s="1309" t="str">
        <f>VLOOKUP(G299,CATEGORIE!$H$3:$I$55,2,FALSE)</f>
        <v>COSTO SOPRAVVIVENZA</v>
      </c>
      <c r="I299" s="59">
        <v>10.63</v>
      </c>
      <c r="J299" s="940"/>
      <c r="K299" s="59"/>
      <c r="L299" s="59"/>
    </row>
    <row r="300" spans="1:12">
      <c r="A300" s="57" t="s">
        <v>92</v>
      </c>
      <c r="B300" s="57" t="s">
        <v>90</v>
      </c>
      <c r="C300" s="57">
        <v>2026</v>
      </c>
      <c r="D300" s="58">
        <f>MATCH(B300,{"GENNAIO","FEBBRAIO","MARZO","APRILE","MAGGIO","GIUGNO","LUGLIO","AGOSTO","SETTEMBRE","OTTOBRE","NOVEMBRE","DICEMBRE"},0)</f>
        <v>3</v>
      </c>
      <c r="E300" s="57" t="str">
        <f t="shared" si="540"/>
        <v>MARZO 2026</v>
      </c>
      <c r="F300" s="57" t="str">
        <f t="shared" si="541"/>
        <v>3 MARZO 2026</v>
      </c>
      <c r="G300" s="1309" t="s">
        <v>93</v>
      </c>
      <c r="H300" s="1309" t="str">
        <f>VLOOKUP(G300,CATEGORIE!$H$3:$I$55,2,FALSE)</f>
        <v>COSTO SOPRAVVIVENZA</v>
      </c>
      <c r="I300" s="59">
        <v>7</v>
      </c>
      <c r="J300" s="57"/>
      <c r="K300" s="57"/>
      <c r="L300" s="59"/>
    </row>
    <row r="301" spans="1:12">
      <c r="A301" s="57" t="s">
        <v>92</v>
      </c>
      <c r="B301" s="57" t="s">
        <v>90</v>
      </c>
      <c r="C301" s="57">
        <v>2026</v>
      </c>
      <c r="D301" s="58">
        <f>MATCH(B301,{"GENNAIO","FEBBRAIO","MARZO","APRILE","MAGGIO","GIUGNO","LUGLIO","AGOSTO","SETTEMBRE","OTTOBRE","NOVEMBRE","DICEMBRE"},0)</f>
        <v>3</v>
      </c>
      <c r="E301" s="57" t="str">
        <f t="shared" si="540"/>
        <v>MARZO 2026</v>
      </c>
      <c r="F301" s="57" t="str">
        <f t="shared" si="541"/>
        <v>3 MARZO 2026</v>
      </c>
      <c r="G301" s="1309" t="s">
        <v>93</v>
      </c>
      <c r="H301" s="1309" t="str">
        <f>VLOOKUP(G301,CATEGORIE!$H$3:$I$55,2,FALSE)</f>
        <v>COSTO SOPRAVVIVENZA</v>
      </c>
      <c r="I301" s="59">
        <v>8.5</v>
      </c>
      <c r="J301" s="57"/>
      <c r="K301" s="57"/>
      <c r="L301" s="59"/>
    </row>
    <row r="302" spans="1:12">
      <c r="A302" s="57" t="s">
        <v>99</v>
      </c>
      <c r="B302" s="57" t="s">
        <v>90</v>
      </c>
      <c r="C302" s="57">
        <v>2026</v>
      </c>
      <c r="D302" s="58">
        <f>MATCH(B302,{"GENNAIO","FEBBRAIO","MARZO","APRILE","MAGGIO","GIUGNO","LUGLIO","AGOSTO","SETTEMBRE","OTTOBRE","NOVEMBRE","DICEMBRE"},0)</f>
        <v>3</v>
      </c>
      <c r="E302" s="57" t="str">
        <f t="shared" si="540"/>
        <v>MARZO 2026</v>
      </c>
      <c r="F302" s="57" t="str">
        <f t="shared" si="541"/>
        <v>3 MARZO 2026</v>
      </c>
      <c r="G302" s="1309" t="s">
        <v>100</v>
      </c>
      <c r="H302" s="1309" t="str">
        <f>VLOOKUP(G302,CATEGORIE!$H$3:$I$55,2,FALSE)</f>
        <v>COSTO SFIZI</v>
      </c>
      <c r="I302" s="59">
        <v>55.52</v>
      </c>
      <c r="J302" s="940"/>
      <c r="K302" s="59"/>
      <c r="L302" s="59"/>
    </row>
    <row r="303" spans="1:12">
      <c r="A303" s="57" t="s">
        <v>92</v>
      </c>
      <c r="B303" s="57" t="s">
        <v>90</v>
      </c>
      <c r="C303" s="57">
        <v>2026</v>
      </c>
      <c r="D303" s="58">
        <f>MATCH(B303,{"GENNAIO","FEBBRAIO","MARZO","APRILE","MAGGIO","GIUGNO","LUGLIO","AGOSTO","SETTEMBRE","OTTOBRE","NOVEMBRE","DICEMBRE"},0)</f>
        <v>3</v>
      </c>
      <c r="E303" s="57" t="str">
        <f t="shared" si="540"/>
        <v>MARZO 2026</v>
      </c>
      <c r="F303" s="57" t="str">
        <f t="shared" si="541"/>
        <v>3 MARZO 2026</v>
      </c>
      <c r="G303" s="1309" t="s">
        <v>93</v>
      </c>
      <c r="H303" s="1309" t="str">
        <f>VLOOKUP(G303,CATEGORIE!$H$3:$I$55,2,FALSE)</f>
        <v>COSTO SOPRAVVIVENZA</v>
      </c>
      <c r="I303" s="59">
        <v>7</v>
      </c>
      <c r="J303" s="57"/>
      <c r="K303" s="57"/>
      <c r="L303" s="59"/>
    </row>
    <row r="304" spans="1:12">
      <c r="A304" s="57" t="s">
        <v>106</v>
      </c>
      <c r="B304" s="57" t="s">
        <v>90</v>
      </c>
      <c r="C304" s="57">
        <v>2026</v>
      </c>
      <c r="D304" s="58">
        <f>MATCH(B304,{"GENNAIO","FEBBRAIO","MARZO","APRILE","MAGGIO","GIUGNO","LUGLIO","AGOSTO","SETTEMBRE","OTTOBRE","NOVEMBRE","DICEMBRE"},0)</f>
        <v>3</v>
      </c>
      <c r="E304" s="57" t="str">
        <f t="shared" ref="E304:E305" si="542">CONCATENATE(,B304," ",C304)</f>
        <v>MARZO 2026</v>
      </c>
      <c r="F304" s="57" t="str">
        <f t="shared" ref="F304:F305" si="543">CONCATENATE(D304," ",E304)</f>
        <v>3 MARZO 2026</v>
      </c>
      <c r="G304" s="1309" t="s">
        <v>107</v>
      </c>
      <c r="H304" s="1309" t="str">
        <f>VLOOKUP(G304,CATEGORIE!$H$3:$I$55,2,FALSE)</f>
        <v>COSTO SOPRAVVIVENZA</v>
      </c>
      <c r="I304" s="59">
        <v>33</v>
      </c>
      <c r="J304" s="940"/>
      <c r="K304" s="59"/>
      <c r="L304" s="59"/>
    </row>
    <row r="305" spans="1:12">
      <c r="A305" s="57" t="s">
        <v>97</v>
      </c>
      <c r="B305" s="57" t="s">
        <v>90</v>
      </c>
      <c r="C305" s="57">
        <v>2026</v>
      </c>
      <c r="D305" s="58">
        <f>MATCH(B305,{"GENNAIO","FEBBRAIO","MARZO","APRILE","MAGGIO","GIUGNO","LUGLIO","AGOSTO","SETTEMBRE","OTTOBRE","NOVEMBRE","DICEMBRE"},0)</f>
        <v>3</v>
      </c>
      <c r="E305" s="57" t="str">
        <f t="shared" si="542"/>
        <v>MARZO 2026</v>
      </c>
      <c r="F305" s="57" t="str">
        <f t="shared" si="543"/>
        <v>3 MARZO 2026</v>
      </c>
      <c r="G305" s="1309" t="s">
        <v>789</v>
      </c>
      <c r="H305" s="1309" t="str">
        <f>VLOOKUP(G305,CATEGORIE!$H$3:$I$55,2,FALSE)</f>
        <v>MOVIMENTI CONTO</v>
      </c>
      <c r="I305" s="59">
        <v>50</v>
      </c>
      <c r="J305" s="940"/>
      <c r="K305" s="59" t="s">
        <v>97</v>
      </c>
      <c r="L305" s="59" t="s">
        <v>98</v>
      </c>
    </row>
    <row r="306" spans="1:12">
      <c r="A306" s="57" t="s">
        <v>99</v>
      </c>
      <c r="B306" s="57" t="s">
        <v>90</v>
      </c>
      <c r="C306" s="57">
        <v>2026</v>
      </c>
      <c r="D306" s="58">
        <f>MATCH(B306,{"GENNAIO","FEBBRAIO","MARZO","APRILE","MAGGIO","GIUGNO","LUGLIO","AGOSTO","SETTEMBRE","OTTOBRE","NOVEMBRE","DICEMBRE"},0)</f>
        <v>3</v>
      </c>
      <c r="E306" s="57" t="str">
        <f t="shared" ref="E306" si="544">CONCATENATE(,B306," ",C306)</f>
        <v>MARZO 2026</v>
      </c>
      <c r="F306" s="57" t="str">
        <f t="shared" ref="F306" si="545">CONCATENATE(D306," ",E306)</f>
        <v>3 MARZO 2026</v>
      </c>
      <c r="G306" s="1309" t="s">
        <v>108</v>
      </c>
      <c r="H306" s="1309" t="str">
        <f>VLOOKUP(G306,CATEGORIE!$H$3:$I$55,2,FALSE)</f>
        <v>COSTO SFIZI</v>
      </c>
      <c r="I306" s="59">
        <v>139.56</v>
      </c>
      <c r="J306" s="940"/>
      <c r="K306" s="59"/>
      <c r="L306" s="59"/>
    </row>
    <row r="307" spans="1:12">
      <c r="A307" s="57" t="s">
        <v>109</v>
      </c>
      <c r="B307" s="57" t="s">
        <v>90</v>
      </c>
      <c r="C307" s="57">
        <v>2026</v>
      </c>
      <c r="D307" s="58">
        <f>MATCH(B307,{"GENNAIO","FEBBRAIO","MARZO","APRILE","MAGGIO","GIUGNO","LUGLIO","AGOSTO","SETTEMBRE","OTTOBRE","NOVEMBRE","DICEMBRE"},0)</f>
        <v>3</v>
      </c>
      <c r="E307" s="57" t="str">
        <f t="shared" ref="E307" si="546">CONCATENATE(,B307," ",C307)</f>
        <v>MARZO 2026</v>
      </c>
      <c r="F307" s="57" t="str">
        <f t="shared" ref="F307" si="547">CONCATENATE(D307," ",E307)</f>
        <v>3 MARZO 2026</v>
      </c>
      <c r="G307" s="1309" t="s">
        <v>94</v>
      </c>
      <c r="H307" s="1309" t="str">
        <f>VLOOKUP(G307,CATEGORIE!$H$3:$I$55,2,FALSE)</f>
        <v>COSTO SVAGHI</v>
      </c>
      <c r="I307" s="59">
        <v>28.8</v>
      </c>
      <c r="J307" s="940"/>
      <c r="K307" s="59"/>
      <c r="L307" s="59"/>
    </row>
    <row r="308" spans="1:12">
      <c r="A308" s="57" t="s">
        <v>110</v>
      </c>
      <c r="B308" s="57" t="s">
        <v>90</v>
      </c>
      <c r="C308" s="57">
        <v>2026</v>
      </c>
      <c r="D308" s="58">
        <f>MATCH(B308,{"GENNAIO","FEBBRAIO","MARZO","APRILE","MAGGIO","GIUGNO","LUGLIO","AGOSTO","SETTEMBRE","OTTOBRE","NOVEMBRE","DICEMBRE"},0)</f>
        <v>3</v>
      </c>
      <c r="E308" s="57" t="str">
        <f t="shared" ref="E308" si="548">CONCATENATE(,B308," ",C308)</f>
        <v>MARZO 2026</v>
      </c>
      <c r="F308" s="57" t="str">
        <f t="shared" ref="F308" si="549">CONCATENATE(D308," ",E308)</f>
        <v>3 MARZO 2026</v>
      </c>
      <c r="G308" s="1309" t="s">
        <v>111</v>
      </c>
      <c r="H308" s="1309" t="str">
        <f>VLOOKUP(G308,CATEGORIE!$H$3:$I$55,2,FALSE)</f>
        <v>COSTO MOBILITA'</v>
      </c>
      <c r="I308" s="59">
        <v>4.3099999999999996</v>
      </c>
      <c r="J308" s="940"/>
      <c r="K308" s="59" t="s">
        <v>112</v>
      </c>
      <c r="L308" s="59"/>
    </row>
    <row r="309" spans="1:12">
      <c r="A309" s="57" t="s">
        <v>102</v>
      </c>
      <c r="B309" s="57" t="s">
        <v>90</v>
      </c>
      <c r="C309" s="57">
        <v>2026</v>
      </c>
      <c r="D309" s="58">
        <f>MATCH(B309,{"GENNAIO","FEBBRAIO","MARZO","APRILE","MAGGIO","GIUGNO","LUGLIO","AGOSTO","SETTEMBRE","OTTOBRE","NOVEMBRE","DICEMBRE"},0)</f>
        <v>3</v>
      </c>
      <c r="E309" s="57" t="str">
        <f t="shared" ref="E309" si="550">CONCATENATE(,B309," ",C309)</f>
        <v>MARZO 2026</v>
      </c>
      <c r="F309" s="57" t="str">
        <f t="shared" ref="F309" si="551">CONCATENATE(D309," ",E309)</f>
        <v>3 MARZO 2026</v>
      </c>
      <c r="G309" s="1309" t="s">
        <v>96</v>
      </c>
      <c r="H309" s="1309" t="str">
        <f>VLOOKUP(G309,CATEGORIE!$H$3:$I$55,2,FALSE)</f>
        <v>COSTO SOPRAVVIVENZA</v>
      </c>
      <c r="I309" s="59">
        <v>15.39</v>
      </c>
      <c r="J309" s="940"/>
      <c r="K309" s="59"/>
      <c r="L309" s="59"/>
    </row>
    <row r="310" spans="1:12">
      <c r="A310" s="57" t="s">
        <v>95</v>
      </c>
      <c r="B310" s="57" t="s">
        <v>90</v>
      </c>
      <c r="C310" s="57">
        <v>2026</v>
      </c>
      <c r="D310" s="58">
        <f>MATCH(B310,{"GENNAIO","FEBBRAIO","MARZO","APRILE","MAGGIO","GIUGNO","LUGLIO","AGOSTO","SETTEMBRE","OTTOBRE","NOVEMBRE","DICEMBRE"},0)</f>
        <v>3</v>
      </c>
      <c r="E310" s="57" t="str">
        <f t="shared" ref="E310" si="552">CONCATENATE(,B310," ",C310)</f>
        <v>MARZO 2026</v>
      </c>
      <c r="F310" s="57" t="str">
        <f t="shared" ref="F310" si="553">CONCATENATE(D310," ",E310)</f>
        <v>3 MARZO 2026</v>
      </c>
      <c r="G310" s="1309" t="s">
        <v>96</v>
      </c>
      <c r="H310" s="1309" t="str">
        <f>VLOOKUP(G310,CATEGORIE!$H$3:$I$55,2,FALSE)</f>
        <v>COSTO SOPRAVVIVENZA</v>
      </c>
      <c r="I310" s="59">
        <v>34.96</v>
      </c>
      <c r="J310" s="940"/>
      <c r="K310" s="59"/>
      <c r="L310" s="59"/>
    </row>
    <row r="311" spans="1:12">
      <c r="A311" s="57" t="s">
        <v>101</v>
      </c>
      <c r="B311" s="57" t="s">
        <v>90</v>
      </c>
      <c r="C311" s="57">
        <v>2026</v>
      </c>
      <c r="D311" s="58">
        <f>MATCH(B311,{"GENNAIO","FEBBRAIO","MARZO","APRILE","MAGGIO","GIUGNO","LUGLIO","AGOSTO","SETTEMBRE","OTTOBRE","NOVEMBRE","DICEMBRE"},0)</f>
        <v>3</v>
      </c>
      <c r="E311" s="57" t="str">
        <f t="shared" ref="E311" si="554">CONCATENATE(,B311," ",C311)</f>
        <v>MARZO 2026</v>
      </c>
      <c r="F311" s="57" t="str">
        <f t="shared" ref="F311" si="555">CONCATENATE(D311," ",E311)</f>
        <v>3 MARZO 2026</v>
      </c>
      <c r="G311" s="1309" t="s">
        <v>91</v>
      </c>
      <c r="H311" s="1309" t="str">
        <f>VLOOKUP(G311,CATEGORIE!$H$3:$I$55,2,FALSE)</f>
        <v>COSTO SOPRAVVIVENZA</v>
      </c>
      <c r="I311" s="59">
        <v>0.4</v>
      </c>
      <c r="J311" s="940"/>
      <c r="K311" s="59"/>
      <c r="L311" s="59"/>
    </row>
    <row r="312" spans="1:12">
      <c r="A312" s="57" t="s">
        <v>92</v>
      </c>
      <c r="B312" s="57" t="s">
        <v>90</v>
      </c>
      <c r="C312" s="57">
        <v>2026</v>
      </c>
      <c r="D312" s="58">
        <f>MATCH(B312,{"GENNAIO","FEBBRAIO","MARZO","APRILE","MAGGIO","GIUGNO","LUGLIO","AGOSTO","SETTEMBRE","OTTOBRE","NOVEMBRE","DICEMBRE"},0)</f>
        <v>3</v>
      </c>
      <c r="E312" s="57" t="str">
        <f t="shared" ref="E312:E317" si="556">CONCATENATE(,B312," ",C312)</f>
        <v>MARZO 2026</v>
      </c>
      <c r="F312" s="57" t="str">
        <f t="shared" ref="F312:F317" si="557">CONCATENATE(D312," ",E312)</f>
        <v>3 MARZO 2026</v>
      </c>
      <c r="G312" s="1309" t="s">
        <v>93</v>
      </c>
      <c r="H312" s="1309" t="str">
        <f>VLOOKUP(G312,CATEGORIE!$H$3:$I$55,2,FALSE)</f>
        <v>COSTO SOPRAVVIVENZA</v>
      </c>
      <c r="I312" s="59">
        <v>9</v>
      </c>
      <c r="J312" s="940"/>
      <c r="K312" s="59"/>
      <c r="L312" s="59"/>
    </row>
    <row r="313" spans="1:12">
      <c r="A313" s="57" t="s">
        <v>101</v>
      </c>
      <c r="B313" s="57" t="s">
        <v>90</v>
      </c>
      <c r="C313" s="57">
        <v>2026</v>
      </c>
      <c r="D313" s="58">
        <f>MATCH(B313,{"GENNAIO","FEBBRAIO","MARZO","APRILE","MAGGIO","GIUGNO","LUGLIO","AGOSTO","SETTEMBRE","OTTOBRE","NOVEMBRE","DICEMBRE"},0)</f>
        <v>3</v>
      </c>
      <c r="E313" s="57" t="str">
        <f t="shared" si="556"/>
        <v>MARZO 2026</v>
      </c>
      <c r="F313" s="57" t="str">
        <f t="shared" si="557"/>
        <v>3 MARZO 2026</v>
      </c>
      <c r="G313" s="1309" t="s">
        <v>91</v>
      </c>
      <c r="H313" s="1309" t="str">
        <f>VLOOKUP(G313,CATEGORIE!$H$3:$I$55,2,FALSE)</f>
        <v>COSTO SOPRAVVIVENZA</v>
      </c>
      <c r="I313" s="59">
        <v>0.4</v>
      </c>
      <c r="J313" s="940"/>
      <c r="K313" s="59"/>
      <c r="L313" s="59"/>
    </row>
    <row r="314" spans="1:12">
      <c r="A314" s="57" t="s">
        <v>101</v>
      </c>
      <c r="B314" s="57" t="s">
        <v>90</v>
      </c>
      <c r="C314" s="57">
        <v>2026</v>
      </c>
      <c r="D314" s="58">
        <f>MATCH(B314,{"GENNAIO","FEBBRAIO","MARZO","APRILE","MAGGIO","GIUGNO","LUGLIO","AGOSTO","SETTEMBRE","OTTOBRE","NOVEMBRE","DICEMBRE"},0)</f>
        <v>3</v>
      </c>
      <c r="E314" s="57" t="str">
        <f t="shared" ref="E314" si="558">CONCATENATE(,B314," ",C314)</f>
        <v>MARZO 2026</v>
      </c>
      <c r="F314" s="57" t="str">
        <f t="shared" ref="F314" si="559">CONCATENATE(D314," ",E314)</f>
        <v>3 MARZO 2026</v>
      </c>
      <c r="G314" s="1309" t="s">
        <v>91</v>
      </c>
      <c r="H314" s="1309" t="str">
        <f>VLOOKUP(G314,CATEGORIE!$H$3:$I$55,2,FALSE)</f>
        <v>COSTO SOPRAVVIVENZA</v>
      </c>
      <c r="I314" s="59">
        <v>0.4</v>
      </c>
      <c r="J314" s="940"/>
      <c r="K314" s="59"/>
      <c r="L314" s="59"/>
    </row>
    <row r="315" spans="1:12">
      <c r="A315" s="57" t="s">
        <v>101</v>
      </c>
      <c r="B315" s="57" t="s">
        <v>90</v>
      </c>
      <c r="C315" s="57">
        <v>2026</v>
      </c>
      <c r="D315" s="58">
        <f>MATCH(B315,{"GENNAIO","FEBBRAIO","MARZO","APRILE","MAGGIO","GIUGNO","LUGLIO","AGOSTO","SETTEMBRE","OTTOBRE","NOVEMBRE","DICEMBRE"},0)</f>
        <v>3</v>
      </c>
      <c r="E315" s="57" t="str">
        <f t="shared" si="556"/>
        <v>MARZO 2026</v>
      </c>
      <c r="F315" s="57" t="str">
        <f t="shared" si="557"/>
        <v>3 MARZO 2026</v>
      </c>
      <c r="G315" s="1309" t="s">
        <v>91</v>
      </c>
      <c r="H315" s="1309" t="str">
        <f>VLOOKUP(G315,CATEGORIE!$H$3:$I$55,2,FALSE)</f>
        <v>COSTO SOPRAVVIVENZA</v>
      </c>
      <c r="I315" s="59">
        <v>0.4</v>
      </c>
      <c r="J315" s="940"/>
      <c r="K315" s="59"/>
      <c r="L315" s="59"/>
    </row>
    <row r="316" spans="1:12">
      <c r="A316" s="57" t="s">
        <v>101</v>
      </c>
      <c r="B316" s="57" t="s">
        <v>90</v>
      </c>
      <c r="C316" s="57">
        <v>2026</v>
      </c>
      <c r="D316" s="58">
        <f>MATCH(B316,{"GENNAIO","FEBBRAIO","MARZO","APRILE","MAGGIO","GIUGNO","LUGLIO","AGOSTO","SETTEMBRE","OTTOBRE","NOVEMBRE","DICEMBRE"},0)</f>
        <v>3</v>
      </c>
      <c r="E316" s="57" t="str">
        <f t="shared" si="556"/>
        <v>MARZO 2026</v>
      </c>
      <c r="F316" s="57" t="str">
        <f t="shared" si="557"/>
        <v>3 MARZO 2026</v>
      </c>
      <c r="G316" s="1309" t="s">
        <v>91</v>
      </c>
      <c r="H316" s="1309" t="str">
        <f>VLOOKUP(G316,CATEGORIE!$H$3:$I$55,2,FALSE)</f>
        <v>COSTO SOPRAVVIVENZA</v>
      </c>
      <c r="I316" s="59">
        <v>0.4</v>
      </c>
      <c r="J316" s="940"/>
      <c r="K316" s="59"/>
      <c r="L316" s="59"/>
    </row>
    <row r="317" spans="1:12">
      <c r="A317" s="57" t="s">
        <v>101</v>
      </c>
      <c r="B317" s="57" t="s">
        <v>90</v>
      </c>
      <c r="C317" s="57">
        <v>2026</v>
      </c>
      <c r="D317" s="58">
        <f>MATCH(B317,{"GENNAIO","FEBBRAIO","MARZO","APRILE","MAGGIO","GIUGNO","LUGLIO","AGOSTO","SETTEMBRE","OTTOBRE","NOVEMBRE","DICEMBRE"},0)</f>
        <v>3</v>
      </c>
      <c r="E317" s="57" t="str">
        <f t="shared" si="556"/>
        <v>MARZO 2026</v>
      </c>
      <c r="F317" s="57" t="str">
        <f t="shared" si="557"/>
        <v>3 MARZO 2026</v>
      </c>
      <c r="G317" s="1309" t="s">
        <v>91</v>
      </c>
      <c r="H317" s="1309" t="str">
        <f>VLOOKUP(G317,CATEGORIE!$H$3:$I$55,2,FALSE)</f>
        <v>COSTO SOPRAVVIVENZA</v>
      </c>
      <c r="I317" s="59">
        <v>0.4</v>
      </c>
      <c r="J317" s="940"/>
      <c r="K317" s="59"/>
      <c r="L317" s="59"/>
    </row>
    <row r="318" spans="1:12">
      <c r="A318" s="57" t="s">
        <v>101</v>
      </c>
      <c r="B318" s="57" t="s">
        <v>90</v>
      </c>
      <c r="C318" s="57">
        <v>2026</v>
      </c>
      <c r="D318" s="58">
        <f>MATCH(B318,{"GENNAIO","FEBBRAIO","MARZO","APRILE","MAGGIO","GIUGNO","LUGLIO","AGOSTO","SETTEMBRE","OTTOBRE","NOVEMBRE","DICEMBRE"},0)</f>
        <v>3</v>
      </c>
      <c r="E318" s="57" t="str">
        <f t="shared" ref="E318:E319" si="560">CONCATENATE(,B318," ",C318)</f>
        <v>MARZO 2026</v>
      </c>
      <c r="F318" s="57" t="str">
        <f t="shared" ref="F318:F319" si="561">CONCATENATE(D318," ",E318)</f>
        <v>3 MARZO 2026</v>
      </c>
      <c r="G318" s="1309" t="s">
        <v>91</v>
      </c>
      <c r="H318" s="1309" t="str">
        <f>VLOOKUP(G318,CATEGORIE!$H$3:$I$55,2,FALSE)</f>
        <v>COSTO SOPRAVVIVENZA</v>
      </c>
      <c r="I318" s="59">
        <v>0.4</v>
      </c>
      <c r="J318" s="940"/>
      <c r="K318" s="59"/>
      <c r="L318" s="59"/>
    </row>
    <row r="319" spans="1:12">
      <c r="A319" s="57" t="s">
        <v>101</v>
      </c>
      <c r="B319" s="57" t="s">
        <v>90</v>
      </c>
      <c r="C319" s="57">
        <v>2026</v>
      </c>
      <c r="D319" s="58">
        <f>MATCH(B319,{"GENNAIO","FEBBRAIO","MARZO","APRILE","MAGGIO","GIUGNO","LUGLIO","AGOSTO","SETTEMBRE","OTTOBRE","NOVEMBRE","DICEMBRE"},0)</f>
        <v>3</v>
      </c>
      <c r="E319" s="57" t="str">
        <f t="shared" si="560"/>
        <v>MARZO 2026</v>
      </c>
      <c r="F319" s="57" t="str">
        <f t="shared" si="561"/>
        <v>3 MARZO 2026</v>
      </c>
      <c r="G319" s="1309" t="s">
        <v>91</v>
      </c>
      <c r="H319" s="1309" t="str">
        <f>VLOOKUP(G319,CATEGORIE!$H$3:$I$55,2,FALSE)</f>
        <v>COSTO SOPRAVVIVENZA</v>
      </c>
      <c r="I319" s="59">
        <v>1.3</v>
      </c>
      <c r="J319" s="940"/>
      <c r="K319" s="59"/>
      <c r="L319" s="59"/>
    </row>
    <row r="320" spans="1:12">
      <c r="A320" s="57" t="s">
        <v>101</v>
      </c>
      <c r="B320" s="57" t="s">
        <v>90</v>
      </c>
      <c r="C320" s="57">
        <v>2026</v>
      </c>
      <c r="D320" s="58">
        <f>MATCH(B320,{"GENNAIO","FEBBRAIO","MARZO","APRILE","MAGGIO","GIUGNO","LUGLIO","AGOSTO","SETTEMBRE","OTTOBRE","NOVEMBRE","DICEMBRE"},0)</f>
        <v>3</v>
      </c>
      <c r="E320" s="57" t="str">
        <f t="shared" ref="E320:E322" si="562">CONCATENATE(,B320," ",C320)</f>
        <v>MARZO 2026</v>
      </c>
      <c r="F320" s="57" t="str">
        <f t="shared" ref="F320:F322" si="563">CONCATENATE(D320," ",E320)</f>
        <v>3 MARZO 2026</v>
      </c>
      <c r="G320" s="1309" t="s">
        <v>91</v>
      </c>
      <c r="H320" s="1309" t="str">
        <f>VLOOKUP(G320,CATEGORIE!$H$3:$I$55,2,FALSE)</f>
        <v>COSTO SOPRAVVIVENZA</v>
      </c>
      <c r="I320" s="59">
        <v>0.4</v>
      </c>
      <c r="J320" s="940"/>
      <c r="K320" s="59"/>
      <c r="L320" s="59"/>
    </row>
    <row r="321" spans="1:12">
      <c r="A321" s="57" t="s">
        <v>101</v>
      </c>
      <c r="B321" s="57" t="s">
        <v>90</v>
      </c>
      <c r="C321" s="57">
        <v>2026</v>
      </c>
      <c r="D321" s="58">
        <f>MATCH(B321,{"GENNAIO","FEBBRAIO","MARZO","APRILE","MAGGIO","GIUGNO","LUGLIO","AGOSTO","SETTEMBRE","OTTOBRE","NOVEMBRE","DICEMBRE"},0)</f>
        <v>3</v>
      </c>
      <c r="E321" s="57" t="str">
        <f t="shared" si="562"/>
        <v>MARZO 2026</v>
      </c>
      <c r="F321" s="57" t="str">
        <f t="shared" si="563"/>
        <v>3 MARZO 2026</v>
      </c>
      <c r="G321" s="1309" t="s">
        <v>91</v>
      </c>
      <c r="H321" s="1309" t="str">
        <f>VLOOKUP(G321,CATEGORIE!$H$3:$I$55,2,FALSE)</f>
        <v>COSTO SOPRAVVIVENZA</v>
      </c>
      <c r="I321" s="59">
        <v>0.4</v>
      </c>
      <c r="J321" s="940"/>
      <c r="K321" s="59"/>
      <c r="L321" s="59"/>
    </row>
    <row r="322" spans="1:12">
      <c r="A322" s="57" t="s">
        <v>101</v>
      </c>
      <c r="B322" s="57" t="s">
        <v>90</v>
      </c>
      <c r="C322" s="57">
        <v>2026</v>
      </c>
      <c r="D322" s="58">
        <f>MATCH(B322,{"GENNAIO","FEBBRAIO","MARZO","APRILE","MAGGIO","GIUGNO","LUGLIO","AGOSTO","SETTEMBRE","OTTOBRE","NOVEMBRE","DICEMBRE"},0)</f>
        <v>3</v>
      </c>
      <c r="E322" s="57" t="str">
        <f t="shared" si="562"/>
        <v>MARZO 2026</v>
      </c>
      <c r="F322" s="57" t="str">
        <f t="shared" si="563"/>
        <v>3 MARZO 2026</v>
      </c>
      <c r="G322" s="1309" t="s">
        <v>91</v>
      </c>
      <c r="H322" s="1309" t="str">
        <f>VLOOKUP(G322,CATEGORIE!$H$3:$I$55,2,FALSE)</f>
        <v>COSTO SOPRAVVIVENZA</v>
      </c>
      <c r="I322" s="59">
        <v>0.4</v>
      </c>
      <c r="J322" s="940"/>
      <c r="K322" s="59"/>
      <c r="L322" s="59"/>
    </row>
    <row r="323" spans="1:12">
      <c r="A323" s="57" t="s">
        <v>113</v>
      </c>
      <c r="B323" s="57" t="s">
        <v>90</v>
      </c>
      <c r="C323" s="57">
        <v>2026</v>
      </c>
      <c r="D323" s="58">
        <f>MATCH(B323,{"GENNAIO","FEBBRAIO","MARZO","APRILE","MAGGIO","GIUGNO","LUGLIO","AGOSTO","SETTEMBRE","OTTOBRE","NOVEMBRE","DICEMBRE"},0)</f>
        <v>3</v>
      </c>
      <c r="E323" s="57" t="str">
        <f t="shared" ref="E323" si="564">CONCATENATE(,B323," ",C323)</f>
        <v>MARZO 2026</v>
      </c>
      <c r="F323" s="57" t="str">
        <f t="shared" ref="F323" si="565">CONCATENATE(D323," ",E323)</f>
        <v>3 MARZO 2026</v>
      </c>
      <c r="G323" s="1309" t="s">
        <v>100</v>
      </c>
      <c r="H323" s="1309" t="str">
        <f>VLOOKUP(G323,CATEGORIE!$H$3:$I$55,2,FALSE)</f>
        <v>COSTO SFIZI</v>
      </c>
      <c r="I323" s="59">
        <v>23.18</v>
      </c>
      <c r="J323" s="940"/>
      <c r="K323" s="59"/>
      <c r="L323" s="59" t="s">
        <v>114</v>
      </c>
    </row>
    <row r="324" spans="1:12">
      <c r="A324" s="57" t="s">
        <v>99</v>
      </c>
      <c r="B324" s="57" t="s">
        <v>90</v>
      </c>
      <c r="C324" s="57">
        <v>2026</v>
      </c>
      <c r="D324" s="58">
        <f>MATCH(B324,{"GENNAIO","FEBBRAIO","MARZO","APRILE","MAGGIO","GIUGNO","LUGLIO","AGOSTO","SETTEMBRE","OTTOBRE","NOVEMBRE","DICEMBRE"},0)</f>
        <v>3</v>
      </c>
      <c r="E324" s="57" t="str">
        <f t="shared" ref="E324" si="566">CONCATENATE(,B324," ",C324)</f>
        <v>MARZO 2026</v>
      </c>
      <c r="F324" s="57" t="str">
        <f t="shared" ref="F324" si="567">CONCATENATE(D324," ",E324)</f>
        <v>3 MARZO 2026</v>
      </c>
      <c r="G324" s="1309" t="s">
        <v>100</v>
      </c>
      <c r="H324" s="1309" t="str">
        <f>VLOOKUP(G324,CATEGORIE!$H$3:$I$55,2,FALSE)</f>
        <v>COSTO SFIZI</v>
      </c>
      <c r="I324" s="59">
        <v>29</v>
      </c>
      <c r="J324" s="940"/>
      <c r="K324" s="59"/>
      <c r="L324" s="59"/>
    </row>
    <row r="325" spans="1:12">
      <c r="A325" s="57" t="s">
        <v>115</v>
      </c>
      <c r="B325" s="57" t="s">
        <v>90</v>
      </c>
      <c r="C325" s="57">
        <v>2026</v>
      </c>
      <c r="D325" s="58">
        <f>MATCH(B325,{"GENNAIO","FEBBRAIO","MARZO","APRILE","MAGGIO","GIUGNO","LUGLIO","AGOSTO","SETTEMBRE","OTTOBRE","NOVEMBRE","DICEMBRE"},0)</f>
        <v>3</v>
      </c>
      <c r="E325" s="57" t="str">
        <f t="shared" ref="E325" si="568">CONCATENATE(,B325," ",C325)</f>
        <v>MARZO 2026</v>
      </c>
      <c r="F325" s="57" t="str">
        <f t="shared" ref="F325" si="569">CONCATENATE(D325," ",E325)</f>
        <v>3 MARZO 2026</v>
      </c>
      <c r="G325" s="1309" t="s">
        <v>116</v>
      </c>
      <c r="H325" s="1309" t="str">
        <f>VLOOKUP(G325,CATEGORIE!$H$3:$I$55,2,FALSE)</f>
        <v>TASSE</v>
      </c>
      <c r="I325" s="59">
        <v>18.48</v>
      </c>
      <c r="J325" s="940"/>
      <c r="K325" s="59"/>
      <c r="L325" s="59"/>
    </row>
    <row r="326" spans="1:12">
      <c r="A326" s="57" t="s">
        <v>101</v>
      </c>
      <c r="B326" s="57" t="s">
        <v>90</v>
      </c>
      <c r="C326" s="57">
        <v>2026</v>
      </c>
      <c r="D326" s="58">
        <f>MATCH(B326,{"GENNAIO","FEBBRAIO","MARZO","APRILE","MAGGIO","GIUGNO","LUGLIO","AGOSTO","SETTEMBRE","OTTOBRE","NOVEMBRE","DICEMBRE"},0)</f>
        <v>3</v>
      </c>
      <c r="E326" s="57" t="str">
        <f t="shared" ref="E326:E329" si="570">CONCATENATE(,B326," ",C326)</f>
        <v>MARZO 2026</v>
      </c>
      <c r="F326" s="57" t="str">
        <f t="shared" ref="F326:F329" si="571">CONCATENATE(D326," ",E326)</f>
        <v>3 MARZO 2026</v>
      </c>
      <c r="G326" s="1309" t="s">
        <v>91</v>
      </c>
      <c r="H326" s="1309" t="str">
        <f>VLOOKUP(G326,CATEGORIE!$H$3:$I$55,2,FALSE)</f>
        <v>COSTO SOPRAVVIVENZA</v>
      </c>
      <c r="I326" s="59">
        <v>0.4</v>
      </c>
      <c r="J326" s="940"/>
      <c r="K326" s="59"/>
      <c r="L326" s="59"/>
    </row>
    <row r="327" spans="1:12">
      <c r="A327" s="57" t="s">
        <v>101</v>
      </c>
      <c r="B327" s="57" t="s">
        <v>90</v>
      </c>
      <c r="C327" s="57">
        <v>2026</v>
      </c>
      <c r="D327" s="58">
        <f>MATCH(B327,{"GENNAIO","FEBBRAIO","MARZO","APRILE","MAGGIO","GIUGNO","LUGLIO","AGOSTO","SETTEMBRE","OTTOBRE","NOVEMBRE","DICEMBRE"},0)</f>
        <v>3</v>
      </c>
      <c r="E327" s="57" t="str">
        <f t="shared" si="570"/>
        <v>MARZO 2026</v>
      </c>
      <c r="F327" s="57" t="str">
        <f t="shared" si="571"/>
        <v>3 MARZO 2026</v>
      </c>
      <c r="G327" s="1309" t="s">
        <v>91</v>
      </c>
      <c r="H327" s="1309" t="str">
        <f>VLOOKUP(G327,CATEGORIE!$H$3:$I$55,2,FALSE)</f>
        <v>COSTO SOPRAVVIVENZA</v>
      </c>
      <c r="I327" s="59">
        <v>0.4</v>
      </c>
      <c r="J327" s="940"/>
      <c r="K327" s="59"/>
      <c r="L327" s="59"/>
    </row>
    <row r="328" spans="1:12">
      <c r="A328" s="57" t="s">
        <v>101</v>
      </c>
      <c r="B328" s="57" t="s">
        <v>90</v>
      </c>
      <c r="C328" s="57">
        <v>2026</v>
      </c>
      <c r="D328" s="58">
        <f>MATCH(B328,{"GENNAIO","FEBBRAIO","MARZO","APRILE","MAGGIO","GIUGNO","LUGLIO","AGOSTO","SETTEMBRE","OTTOBRE","NOVEMBRE","DICEMBRE"},0)</f>
        <v>3</v>
      </c>
      <c r="E328" s="57" t="str">
        <f t="shared" si="570"/>
        <v>MARZO 2026</v>
      </c>
      <c r="F328" s="57" t="str">
        <f t="shared" si="571"/>
        <v>3 MARZO 2026</v>
      </c>
      <c r="G328" s="1309" t="s">
        <v>91</v>
      </c>
      <c r="H328" s="1309" t="str">
        <f>VLOOKUP(G328,CATEGORIE!$H$3:$I$55,2,FALSE)</f>
        <v>COSTO SOPRAVVIVENZA</v>
      </c>
      <c r="I328" s="59">
        <v>0.4</v>
      </c>
      <c r="J328" s="940"/>
      <c r="K328" s="59"/>
      <c r="L328" s="59"/>
    </row>
    <row r="329" spans="1:12">
      <c r="A329" s="57" t="s">
        <v>92</v>
      </c>
      <c r="B329" s="57" t="s">
        <v>90</v>
      </c>
      <c r="C329" s="57">
        <v>2026</v>
      </c>
      <c r="D329" s="58">
        <f>MATCH(B329,{"GENNAIO","FEBBRAIO","MARZO","APRILE","MAGGIO","GIUGNO","LUGLIO","AGOSTO","SETTEMBRE","OTTOBRE","NOVEMBRE","DICEMBRE"},0)</f>
        <v>3</v>
      </c>
      <c r="E329" s="57" t="str">
        <f t="shared" si="570"/>
        <v>MARZO 2026</v>
      </c>
      <c r="F329" s="57" t="str">
        <f t="shared" si="571"/>
        <v>3 MARZO 2026</v>
      </c>
      <c r="G329" s="1309" t="s">
        <v>93</v>
      </c>
      <c r="H329" s="1309" t="str">
        <f>VLOOKUP(G329,CATEGORIE!$H$3:$I$55,2,FALSE)</f>
        <v>COSTO SOPRAVVIVENZA</v>
      </c>
      <c r="I329" s="59">
        <v>7</v>
      </c>
      <c r="J329" s="57"/>
      <c r="K329" s="57"/>
      <c r="L329" s="59"/>
    </row>
    <row r="330" spans="1:12">
      <c r="A330" s="57" t="s">
        <v>117</v>
      </c>
      <c r="B330" s="57" t="s">
        <v>90</v>
      </c>
      <c r="C330" s="57">
        <v>2026</v>
      </c>
      <c r="D330" s="58">
        <f>MATCH(B330,{"GENNAIO","FEBBRAIO","MARZO","APRILE","MAGGIO","GIUGNO","LUGLIO","AGOSTO","SETTEMBRE","OTTOBRE","NOVEMBRE","DICEMBRE"},0)</f>
        <v>3</v>
      </c>
      <c r="E330" s="57" t="str">
        <f t="shared" ref="E330" si="572">CONCATENATE(,B330," ",C330)</f>
        <v>MARZO 2026</v>
      </c>
      <c r="F330" s="57" t="str">
        <f t="shared" ref="F330" si="573">CONCATENATE(D330," ",E330)</f>
        <v>3 MARZO 2026</v>
      </c>
      <c r="G330" s="1309" t="s">
        <v>94</v>
      </c>
      <c r="H330" s="1309" t="str">
        <f>VLOOKUP(G330,CATEGORIE!$H$3:$I$55,2,FALSE)</f>
        <v>COSTO SVAGHI</v>
      </c>
      <c r="I330" s="59">
        <v>8</v>
      </c>
      <c r="J330" s="940"/>
      <c r="K330" s="59"/>
      <c r="L330" s="59"/>
    </row>
    <row r="331" spans="1:12">
      <c r="A331" s="57" t="s">
        <v>117</v>
      </c>
      <c r="B331" s="57" t="s">
        <v>90</v>
      </c>
      <c r="C331" s="57">
        <v>2026</v>
      </c>
      <c r="D331" s="58">
        <f>MATCH(B331,{"GENNAIO","FEBBRAIO","MARZO","APRILE","MAGGIO","GIUGNO","LUGLIO","AGOSTO","SETTEMBRE","OTTOBRE","NOVEMBRE","DICEMBRE"},0)</f>
        <v>3</v>
      </c>
      <c r="E331" s="57" t="str">
        <f t="shared" ref="E331" si="574">CONCATENATE(,B331," ",C331)</f>
        <v>MARZO 2026</v>
      </c>
      <c r="F331" s="57" t="str">
        <f t="shared" ref="F331" si="575">CONCATENATE(D331," ",E331)</f>
        <v>3 MARZO 2026</v>
      </c>
      <c r="G331" s="1309" t="s">
        <v>94</v>
      </c>
      <c r="H331" s="1309" t="str">
        <f>VLOOKUP(G331,CATEGORIE!$H$3:$I$55,2,FALSE)</f>
        <v>COSTO SVAGHI</v>
      </c>
      <c r="I331" s="59">
        <v>18</v>
      </c>
      <c r="J331" s="940"/>
      <c r="K331" s="59"/>
      <c r="L331" s="59"/>
    </row>
    <row r="332" spans="1:12">
      <c r="A332" s="57" t="s">
        <v>101</v>
      </c>
      <c r="B332" s="57" t="s">
        <v>90</v>
      </c>
      <c r="C332" s="57">
        <v>2026</v>
      </c>
      <c r="D332" s="58">
        <f>MATCH(B332,{"GENNAIO","FEBBRAIO","MARZO","APRILE","MAGGIO","GIUGNO","LUGLIO","AGOSTO","SETTEMBRE","OTTOBRE","NOVEMBRE","DICEMBRE"},0)</f>
        <v>3</v>
      </c>
      <c r="E332" s="57" t="str">
        <f t="shared" ref="E332" si="576">CONCATENATE(,B332," ",C332)</f>
        <v>MARZO 2026</v>
      </c>
      <c r="F332" s="57" t="str">
        <f t="shared" ref="F332" si="577">CONCATENATE(D332," ",E332)</f>
        <v>3 MARZO 2026</v>
      </c>
      <c r="G332" s="1309" t="s">
        <v>91</v>
      </c>
      <c r="H332" s="1309" t="str">
        <f>VLOOKUP(G332,CATEGORIE!$H$3:$I$55,2,FALSE)</f>
        <v>COSTO SOPRAVVIVENZA</v>
      </c>
      <c r="I332" s="59">
        <v>0.4</v>
      </c>
      <c r="J332" s="940"/>
      <c r="K332" s="59"/>
      <c r="L332" s="59"/>
    </row>
    <row r="333" spans="1:12">
      <c r="A333" s="57" t="s">
        <v>101</v>
      </c>
      <c r="B333" s="57" t="s">
        <v>90</v>
      </c>
      <c r="C333" s="57">
        <v>2026</v>
      </c>
      <c r="D333" s="58">
        <f>MATCH(B333,{"GENNAIO","FEBBRAIO","MARZO","APRILE","MAGGIO","GIUGNO","LUGLIO","AGOSTO","SETTEMBRE","OTTOBRE","NOVEMBRE","DICEMBRE"},0)</f>
        <v>3</v>
      </c>
      <c r="E333" s="57" t="str">
        <f t="shared" ref="E333" si="578">CONCATENATE(,B333," ",C333)</f>
        <v>MARZO 2026</v>
      </c>
      <c r="F333" s="57" t="str">
        <f t="shared" ref="F333" si="579">CONCATENATE(D333," ",E333)</f>
        <v>3 MARZO 2026</v>
      </c>
      <c r="G333" s="1309" t="s">
        <v>91</v>
      </c>
      <c r="H333" s="1309" t="str">
        <f>VLOOKUP(G333,CATEGORIE!$H$3:$I$55,2,FALSE)</f>
        <v>COSTO SOPRAVVIVENZA</v>
      </c>
      <c r="I333" s="59">
        <v>0.4</v>
      </c>
      <c r="J333" s="940"/>
      <c r="K333" s="59"/>
      <c r="L333" s="59"/>
    </row>
    <row r="334" spans="1:12">
      <c r="A334" s="57" t="s">
        <v>101</v>
      </c>
      <c r="B334" s="57" t="s">
        <v>90</v>
      </c>
      <c r="C334" s="57">
        <v>2026</v>
      </c>
      <c r="D334" s="58">
        <f>MATCH(B334,{"GENNAIO","FEBBRAIO","MARZO","APRILE","MAGGIO","GIUGNO","LUGLIO","AGOSTO","SETTEMBRE","OTTOBRE","NOVEMBRE","DICEMBRE"},0)</f>
        <v>3</v>
      </c>
      <c r="E334" s="57" t="str">
        <f t="shared" ref="E334" si="580">CONCATENATE(,B334," ",C334)</f>
        <v>MARZO 2026</v>
      </c>
      <c r="F334" s="57" t="str">
        <f t="shared" ref="F334" si="581">CONCATENATE(D334," ",E334)</f>
        <v>3 MARZO 2026</v>
      </c>
      <c r="G334" s="1309" t="s">
        <v>91</v>
      </c>
      <c r="H334" s="1309" t="str">
        <f>VLOOKUP(G334,CATEGORIE!$H$3:$I$55,2,FALSE)</f>
        <v>COSTO SOPRAVVIVENZA</v>
      </c>
      <c r="I334" s="59">
        <v>0.4</v>
      </c>
      <c r="J334" s="940"/>
      <c r="K334" s="59"/>
      <c r="L334" s="59"/>
    </row>
    <row r="335" spans="1:12">
      <c r="A335" s="57" t="s">
        <v>95</v>
      </c>
      <c r="B335" s="57" t="s">
        <v>90</v>
      </c>
      <c r="C335" s="57">
        <v>2026</v>
      </c>
      <c r="D335" s="58">
        <f>MATCH(B335,{"GENNAIO","FEBBRAIO","MARZO","APRILE","MAGGIO","GIUGNO","LUGLIO","AGOSTO","SETTEMBRE","OTTOBRE","NOVEMBRE","DICEMBRE"},0)</f>
        <v>3</v>
      </c>
      <c r="E335" s="57" t="str">
        <f t="shared" ref="E335" si="582">CONCATENATE(,B335," ",C335)</f>
        <v>MARZO 2026</v>
      </c>
      <c r="F335" s="57" t="str">
        <f t="shared" ref="F335" si="583">CONCATENATE(D335," ",E335)</f>
        <v>3 MARZO 2026</v>
      </c>
      <c r="G335" s="1309" t="s">
        <v>96</v>
      </c>
      <c r="H335" s="1309" t="str">
        <f>VLOOKUP(G335,CATEGORIE!$H$3:$I$55,2,FALSE)</f>
        <v>COSTO SOPRAVVIVENZA</v>
      </c>
      <c r="I335" s="59">
        <v>26.02</v>
      </c>
      <c r="J335" s="940"/>
      <c r="K335" s="59"/>
      <c r="L335" s="59"/>
    </row>
    <row r="336" spans="1:12">
      <c r="A336" s="57" t="s">
        <v>118</v>
      </c>
      <c r="B336" s="57" t="s">
        <v>90</v>
      </c>
      <c r="C336" s="57">
        <v>2026</v>
      </c>
      <c r="D336" s="58">
        <f>MATCH(B336,{"GENNAIO","FEBBRAIO","MARZO","APRILE","MAGGIO","GIUGNO","LUGLIO","AGOSTO","SETTEMBRE","OTTOBRE","NOVEMBRE","DICEMBRE"},0)</f>
        <v>3</v>
      </c>
      <c r="E336" s="57" t="str">
        <f t="shared" ref="E336" si="584">CONCATENATE(,B336," ",C336)</f>
        <v>MARZO 2026</v>
      </c>
      <c r="F336" s="57" t="str">
        <f t="shared" ref="F336" si="585">CONCATENATE(D336," ",E336)</f>
        <v>3 MARZO 2026</v>
      </c>
      <c r="G336" s="1309" t="s">
        <v>108</v>
      </c>
      <c r="H336" s="1309" t="str">
        <f>VLOOKUP(G336,CATEGORIE!$H$3:$I$55,2,FALSE)</f>
        <v>COSTO SFIZI</v>
      </c>
      <c r="I336" s="59">
        <v>20.95</v>
      </c>
      <c r="J336" s="940"/>
      <c r="K336" s="59"/>
      <c r="L336" s="59"/>
    </row>
    <row r="337" spans="1:12">
      <c r="A337" s="57" t="s">
        <v>119</v>
      </c>
      <c r="B337" s="57" t="s">
        <v>90</v>
      </c>
      <c r="C337" s="57">
        <v>2026</v>
      </c>
      <c r="D337" s="58">
        <f>MATCH(B337,{"GENNAIO","FEBBRAIO","MARZO","APRILE","MAGGIO","GIUGNO","LUGLIO","AGOSTO","SETTEMBRE","OTTOBRE","NOVEMBRE","DICEMBRE"},0)</f>
        <v>3</v>
      </c>
      <c r="E337" s="57" t="str">
        <f t="shared" ref="E337" si="586">CONCATENATE(,B337," ",C337)</f>
        <v>MARZO 2026</v>
      </c>
      <c r="F337" s="57" t="str">
        <f t="shared" ref="F337" si="587">CONCATENATE(D337," ",E337)</f>
        <v>3 MARZO 2026</v>
      </c>
      <c r="G337" s="1309" t="s">
        <v>108</v>
      </c>
      <c r="H337" s="1309" t="str">
        <f>VLOOKUP(G337,CATEGORIE!$H$3:$I$55,2,FALSE)</f>
        <v>COSTO SFIZI</v>
      </c>
      <c r="I337" s="59">
        <v>59.8</v>
      </c>
      <c r="J337" s="940"/>
      <c r="K337" s="59"/>
      <c r="L337" s="59"/>
    </row>
    <row r="338" spans="1:12">
      <c r="A338" s="57" t="s">
        <v>120</v>
      </c>
      <c r="B338" s="57" t="s">
        <v>90</v>
      </c>
      <c r="C338" s="57">
        <v>2026</v>
      </c>
      <c r="D338" s="58">
        <f>MATCH(B338,{"GENNAIO","FEBBRAIO","MARZO","APRILE","MAGGIO","GIUGNO","LUGLIO","AGOSTO","SETTEMBRE","OTTOBRE","NOVEMBRE","DICEMBRE"},0)</f>
        <v>3</v>
      </c>
      <c r="E338" s="57" t="str">
        <f t="shared" ref="E338" si="588">CONCATENATE(,B338," ",C338)</f>
        <v>MARZO 2026</v>
      </c>
      <c r="F338" s="57" t="str">
        <f t="shared" ref="F338" si="589">CONCATENATE(D338," ",E338)</f>
        <v>3 MARZO 2026</v>
      </c>
      <c r="G338" s="1309" t="s">
        <v>121</v>
      </c>
      <c r="H338" s="1309" t="str">
        <f>VLOOKUP(G338,CATEGORIE!$H$3:$I$55,2,FALSE)</f>
        <v>COSTO MOBILITA'</v>
      </c>
      <c r="I338" s="59">
        <v>12</v>
      </c>
      <c r="J338" s="940"/>
      <c r="K338" s="59"/>
      <c r="L338" s="59"/>
    </row>
    <row r="339" spans="1:12">
      <c r="A339" s="57" t="s">
        <v>99</v>
      </c>
      <c r="B339" s="57" t="s">
        <v>90</v>
      </c>
      <c r="C339" s="57">
        <v>2026</v>
      </c>
      <c r="D339" s="58">
        <f>MATCH(B339,{"GENNAIO","FEBBRAIO","MARZO","APRILE","MAGGIO","GIUGNO","LUGLIO","AGOSTO","SETTEMBRE","OTTOBRE","NOVEMBRE","DICEMBRE"},0)</f>
        <v>3</v>
      </c>
      <c r="E339" s="57" t="str">
        <f t="shared" ref="E339" si="590">CONCATENATE(,B339," ",C339)</f>
        <v>MARZO 2026</v>
      </c>
      <c r="F339" s="57" t="str">
        <f t="shared" ref="F339" si="591">CONCATENATE(D339," ",E339)</f>
        <v>3 MARZO 2026</v>
      </c>
      <c r="G339" s="1309" t="s">
        <v>100</v>
      </c>
      <c r="H339" s="1309" t="str">
        <f>VLOOKUP(G339,CATEGORIE!$H$3:$I$55,2,FALSE)</f>
        <v>COSTO SFIZI</v>
      </c>
      <c r="I339" s="59">
        <v>42.5</v>
      </c>
      <c r="J339" s="940"/>
      <c r="K339" s="59"/>
      <c r="L339" s="59"/>
    </row>
    <row r="340" spans="1:12">
      <c r="A340" s="57" t="s">
        <v>97</v>
      </c>
      <c r="B340" s="57" t="s">
        <v>90</v>
      </c>
      <c r="C340" s="57">
        <v>2026</v>
      </c>
      <c r="D340" s="58">
        <f>MATCH(B340,{"GENNAIO","FEBBRAIO","MARZO","APRILE","MAGGIO","GIUGNO","LUGLIO","AGOSTO","SETTEMBRE","OTTOBRE","NOVEMBRE","DICEMBRE"},0)</f>
        <v>3</v>
      </c>
      <c r="E340" s="57" t="str">
        <f t="shared" ref="E340" si="592">CONCATENATE(,B340," ",C340)</f>
        <v>MARZO 2026</v>
      </c>
      <c r="F340" s="57" t="str">
        <f t="shared" ref="F340" si="593">CONCATENATE(D340," ",E340)</f>
        <v>3 MARZO 2026</v>
      </c>
      <c r="G340" s="1309" t="s">
        <v>789</v>
      </c>
      <c r="H340" s="1309" t="str">
        <f>VLOOKUP(G340,CATEGORIE!$H$3:$I$55,2,FALSE)</f>
        <v>MOVIMENTI CONTO</v>
      </c>
      <c r="I340" s="59">
        <v>100</v>
      </c>
      <c r="J340" s="940"/>
      <c r="K340" s="59" t="s">
        <v>97</v>
      </c>
      <c r="L340" s="59" t="s">
        <v>122</v>
      </c>
    </row>
    <row r="341" spans="1:12">
      <c r="A341" s="57" t="s">
        <v>123</v>
      </c>
      <c r="B341" s="57" t="s">
        <v>90</v>
      </c>
      <c r="C341" s="57">
        <v>2026</v>
      </c>
      <c r="D341" s="58">
        <f>MATCH(B341,{"GENNAIO","FEBBRAIO","MARZO","APRILE","MAGGIO","GIUGNO","LUGLIO","AGOSTO","SETTEMBRE","OTTOBRE","NOVEMBRE","DICEMBRE"},0)</f>
        <v>3</v>
      </c>
      <c r="E341" s="57" t="str">
        <f t="shared" ref="E341" si="594">CONCATENATE(,B341," ",C341)</f>
        <v>MARZO 2026</v>
      </c>
      <c r="F341" s="57" t="str">
        <f t="shared" ref="F341" si="595">CONCATENATE(D341," ",E341)</f>
        <v>3 MARZO 2026</v>
      </c>
      <c r="G341" s="1309" t="s">
        <v>100</v>
      </c>
      <c r="H341" s="1309" t="str">
        <f>VLOOKUP(G341,CATEGORIE!$H$3:$I$55,2,FALSE)</f>
        <v>COSTO SFIZI</v>
      </c>
      <c r="I341" s="59">
        <v>68.92</v>
      </c>
      <c r="J341" s="940" t="s">
        <v>124</v>
      </c>
      <c r="K341" s="59" t="s">
        <v>112</v>
      </c>
      <c r="L341" s="59" t="s">
        <v>125</v>
      </c>
    </row>
    <row r="342" spans="1:12">
      <c r="A342" s="57" t="s">
        <v>99</v>
      </c>
      <c r="B342" s="57" t="s">
        <v>90</v>
      </c>
      <c r="C342" s="57">
        <v>2026</v>
      </c>
      <c r="D342" s="58">
        <f>MATCH(B342,{"GENNAIO","FEBBRAIO","MARZO","APRILE","MAGGIO","GIUGNO","LUGLIO","AGOSTO","SETTEMBRE","OTTOBRE","NOVEMBRE","DICEMBRE"},0)</f>
        <v>3</v>
      </c>
      <c r="E342" s="57" t="str">
        <f t="shared" ref="E342" si="596">CONCATENATE(,B342," ",C342)</f>
        <v>MARZO 2026</v>
      </c>
      <c r="F342" s="57" t="str">
        <f t="shared" ref="F342" si="597">CONCATENATE(D342," ",E342)</f>
        <v>3 MARZO 2026</v>
      </c>
      <c r="G342" s="1309" t="s">
        <v>100</v>
      </c>
      <c r="H342" s="1309" t="str">
        <f>VLOOKUP(G342,CATEGORIE!$H$3:$I$55,2,FALSE)</f>
        <v>COSTO SFIZI</v>
      </c>
      <c r="I342" s="59">
        <v>35.799999999999997</v>
      </c>
      <c r="J342" s="940" t="s">
        <v>126</v>
      </c>
      <c r="K342" s="59" t="s">
        <v>99</v>
      </c>
      <c r="L342" s="59" t="s">
        <v>127</v>
      </c>
    </row>
    <row r="343" spans="1:12">
      <c r="A343" s="57" t="s">
        <v>99</v>
      </c>
      <c r="B343" s="57" t="s">
        <v>90</v>
      </c>
      <c r="C343" s="57">
        <v>2026</v>
      </c>
      <c r="D343" s="58">
        <f>MATCH(B343,{"GENNAIO","FEBBRAIO","MARZO","APRILE","MAGGIO","GIUGNO","LUGLIO","AGOSTO","SETTEMBRE","OTTOBRE","NOVEMBRE","DICEMBRE"},0)</f>
        <v>3</v>
      </c>
      <c r="E343" s="57" t="str">
        <f t="shared" ref="E343:E345" si="598">CONCATENATE(,B343," ",C343)</f>
        <v>MARZO 2026</v>
      </c>
      <c r="F343" s="57" t="str">
        <f t="shared" ref="F343:F345" si="599">CONCATENATE(D343," ",E343)</f>
        <v>3 MARZO 2026</v>
      </c>
      <c r="G343" s="1309" t="s">
        <v>100</v>
      </c>
      <c r="H343" s="1309" t="str">
        <f>VLOOKUP(G343,CATEGORIE!$H$3:$I$55,2,FALSE)</f>
        <v>COSTO SFIZI</v>
      </c>
      <c r="I343" s="60">
        <v>38.799999999999997</v>
      </c>
      <c r="J343" s="940" t="s">
        <v>126</v>
      </c>
      <c r="K343" s="59" t="s">
        <v>99</v>
      </c>
      <c r="L343" s="59" t="s">
        <v>128</v>
      </c>
    </row>
    <row r="344" spans="1:12">
      <c r="A344" s="57" t="s">
        <v>101</v>
      </c>
      <c r="B344" s="57" t="s">
        <v>90</v>
      </c>
      <c r="C344" s="57">
        <v>2026</v>
      </c>
      <c r="D344" s="58">
        <f>MATCH(B344,{"GENNAIO","FEBBRAIO","MARZO","APRILE","MAGGIO","GIUGNO","LUGLIO","AGOSTO","SETTEMBRE","OTTOBRE","NOVEMBRE","DICEMBRE"},0)</f>
        <v>3</v>
      </c>
      <c r="E344" s="57" t="str">
        <f t="shared" ref="E344" si="600">CONCATENATE(,B344," ",C344)</f>
        <v>MARZO 2026</v>
      </c>
      <c r="F344" s="57" t="str">
        <f t="shared" ref="F344" si="601">CONCATENATE(D344," ",E344)</f>
        <v>3 MARZO 2026</v>
      </c>
      <c r="G344" s="1309" t="s">
        <v>91</v>
      </c>
      <c r="H344" s="1309" t="str">
        <f>VLOOKUP(G344,CATEGORIE!$H$3:$I$55,2,FALSE)</f>
        <v>COSTO SOPRAVVIVENZA</v>
      </c>
      <c r="I344" s="1407">
        <v>1.5</v>
      </c>
      <c r="J344" s="940"/>
      <c r="K344" s="59"/>
      <c r="L344" s="59"/>
    </row>
    <row r="345" spans="1:12">
      <c r="A345" s="57" t="s">
        <v>101</v>
      </c>
      <c r="B345" s="57" t="s">
        <v>90</v>
      </c>
      <c r="C345" s="57">
        <v>2026</v>
      </c>
      <c r="D345" s="58">
        <f>MATCH(B345,{"GENNAIO","FEBBRAIO","MARZO","APRILE","MAGGIO","GIUGNO","LUGLIO","AGOSTO","SETTEMBRE","OTTOBRE","NOVEMBRE","DICEMBRE"},0)</f>
        <v>3</v>
      </c>
      <c r="E345" s="57" t="str">
        <f t="shared" si="598"/>
        <v>MARZO 2026</v>
      </c>
      <c r="F345" s="57" t="str">
        <f t="shared" si="599"/>
        <v>3 MARZO 2026</v>
      </c>
      <c r="G345" s="1309" t="s">
        <v>91</v>
      </c>
      <c r="H345" s="1309" t="str">
        <f>VLOOKUP(G345,CATEGORIE!$H$3:$I$55,2,FALSE)</f>
        <v>COSTO SOPRAVVIVENZA</v>
      </c>
      <c r="I345" s="1407">
        <v>1.5</v>
      </c>
      <c r="J345" s="940"/>
      <c r="K345" s="59"/>
      <c r="L345" s="59"/>
    </row>
    <row r="346" spans="1:12">
      <c r="A346" s="57" t="s">
        <v>99</v>
      </c>
      <c r="B346" s="57" t="s">
        <v>129</v>
      </c>
      <c r="C346" s="57">
        <v>2026</v>
      </c>
      <c r="D346" s="58">
        <f>MATCH(B346,{"GENNAIO","FEBBRAIO","MARZO","APRILE","MAGGIO","GIUGNO","LUGLIO","AGOSTO","SETTEMBRE","OTTOBRE","NOVEMBRE","DICEMBRE"},0)</f>
        <v>2</v>
      </c>
      <c r="E346" s="57" t="str">
        <f t="shared" ref="E346:E348" si="602">CONCATENATE(,B346," ",C346)</f>
        <v>FEBBRAIO 2026</v>
      </c>
      <c r="F346" s="57" t="str">
        <f t="shared" ref="F346:F348" si="603">CONCATENATE(D346," ",E346)</f>
        <v>2 FEBBRAIO 2026</v>
      </c>
      <c r="G346" s="1309" t="s">
        <v>100</v>
      </c>
      <c r="H346" s="1309" t="str">
        <f>VLOOKUP(G346,CATEGORIE!$H$3:$I$55,2,FALSE)</f>
        <v>COSTO SFIZI</v>
      </c>
      <c r="I346" s="59">
        <v>8.99</v>
      </c>
      <c r="J346" s="940"/>
      <c r="K346" s="59"/>
      <c r="L346" s="59"/>
    </row>
    <row r="347" spans="1:12">
      <c r="A347" s="57" t="s">
        <v>101</v>
      </c>
      <c r="B347" s="57" t="s">
        <v>129</v>
      </c>
      <c r="C347" s="57">
        <v>2026</v>
      </c>
      <c r="D347" s="58">
        <f>MATCH(B347,{"GENNAIO","FEBBRAIO","MARZO","APRILE","MAGGIO","GIUGNO","LUGLIO","AGOSTO","SETTEMBRE","OTTOBRE","NOVEMBRE","DICEMBRE"},0)</f>
        <v>2</v>
      </c>
      <c r="E347" s="57" t="str">
        <f t="shared" si="602"/>
        <v>FEBBRAIO 2026</v>
      </c>
      <c r="F347" s="57" t="str">
        <f t="shared" si="603"/>
        <v>2 FEBBRAIO 2026</v>
      </c>
      <c r="G347" s="1309" t="s">
        <v>91</v>
      </c>
      <c r="H347" s="1309" t="str">
        <f>VLOOKUP(G347,CATEGORIE!$H$3:$I$55,2,FALSE)</f>
        <v>COSTO SOPRAVVIVENZA</v>
      </c>
      <c r="I347" s="59">
        <v>0.4</v>
      </c>
      <c r="J347" s="940"/>
      <c r="K347" s="59"/>
      <c r="L347" s="59"/>
    </row>
    <row r="348" spans="1:12">
      <c r="A348" s="57" t="s">
        <v>101</v>
      </c>
      <c r="B348" s="57" t="s">
        <v>129</v>
      </c>
      <c r="C348" s="57">
        <v>2026</v>
      </c>
      <c r="D348" s="58">
        <f>MATCH(B348,{"GENNAIO","FEBBRAIO","MARZO","APRILE","MAGGIO","GIUGNO","LUGLIO","AGOSTO","SETTEMBRE","OTTOBRE","NOVEMBRE","DICEMBRE"},0)</f>
        <v>2</v>
      </c>
      <c r="E348" s="57" t="str">
        <f t="shared" si="602"/>
        <v>FEBBRAIO 2026</v>
      </c>
      <c r="F348" s="57" t="str">
        <f t="shared" si="603"/>
        <v>2 FEBBRAIO 2026</v>
      </c>
      <c r="G348" s="1309" t="s">
        <v>91</v>
      </c>
      <c r="H348" s="1309" t="str">
        <f>VLOOKUP(G348,CATEGORIE!$H$3:$I$55,2,FALSE)</f>
        <v>COSTO SOPRAVVIVENZA</v>
      </c>
      <c r="I348" s="59">
        <v>0.4</v>
      </c>
      <c r="J348" s="940"/>
      <c r="K348" s="59"/>
      <c r="L348" s="59"/>
    </row>
    <row r="349" spans="1:12">
      <c r="A349" s="57" t="s">
        <v>92</v>
      </c>
      <c r="B349" s="57" t="s">
        <v>129</v>
      </c>
      <c r="C349" s="57">
        <v>2026</v>
      </c>
      <c r="D349" s="58">
        <f>MATCH(B349,{"GENNAIO","FEBBRAIO","MARZO","APRILE","MAGGIO","GIUGNO","LUGLIO","AGOSTO","SETTEMBRE","OTTOBRE","NOVEMBRE","DICEMBRE"},0)</f>
        <v>2</v>
      </c>
      <c r="E349" s="57" t="str">
        <f t="shared" ref="E349" si="604">CONCATENATE(,B349," ",C349)</f>
        <v>FEBBRAIO 2026</v>
      </c>
      <c r="F349" s="57" t="str">
        <f t="shared" ref="F349" si="605">CONCATENATE(D349," ",E349)</f>
        <v>2 FEBBRAIO 2026</v>
      </c>
      <c r="G349" s="1309" t="s">
        <v>94</v>
      </c>
      <c r="H349" s="1309" t="str">
        <f>VLOOKUP(G349,CATEGORIE!$H$3:$I$55,2,FALSE)</f>
        <v>COSTO SVAGHI</v>
      </c>
      <c r="I349" s="59">
        <v>4.5</v>
      </c>
      <c r="J349" s="57"/>
      <c r="K349" s="57"/>
      <c r="L349" s="59"/>
    </row>
    <row r="350" spans="1:12">
      <c r="A350" s="57" t="s">
        <v>102</v>
      </c>
      <c r="B350" s="57" t="s">
        <v>129</v>
      </c>
      <c r="C350" s="57">
        <v>2026</v>
      </c>
      <c r="D350" s="58">
        <f>MATCH(B350,{"GENNAIO","FEBBRAIO","MARZO","APRILE","MAGGIO","GIUGNO","LUGLIO","AGOSTO","SETTEMBRE","OTTOBRE","NOVEMBRE","DICEMBRE"},0)</f>
        <v>2</v>
      </c>
      <c r="E350" s="57" t="str">
        <f t="shared" ref="E350" si="606">CONCATENATE(,B350," ",C350)</f>
        <v>FEBBRAIO 2026</v>
      </c>
      <c r="F350" s="57" t="str">
        <f t="shared" ref="F350" si="607">CONCATENATE(D350," ",E350)</f>
        <v>2 FEBBRAIO 2026</v>
      </c>
      <c r="G350" s="1309" t="s">
        <v>96</v>
      </c>
      <c r="H350" s="1309" t="str">
        <f>VLOOKUP(G350,CATEGORIE!$H$3:$I$55,2,FALSE)</f>
        <v>COSTO SOPRAVVIVENZA</v>
      </c>
      <c r="I350" s="59">
        <v>10.119999999999999</v>
      </c>
      <c r="J350" s="940"/>
      <c r="K350" s="59"/>
      <c r="L350" s="59"/>
    </row>
    <row r="351" spans="1:12">
      <c r="A351" s="57" t="s">
        <v>130</v>
      </c>
      <c r="B351" s="57" t="s">
        <v>129</v>
      </c>
      <c r="C351" s="57">
        <v>2026</v>
      </c>
      <c r="D351" s="58">
        <f>MATCH(B351,{"GENNAIO","FEBBRAIO","MARZO","APRILE","MAGGIO","GIUGNO","LUGLIO","AGOSTO","SETTEMBRE","OTTOBRE","NOVEMBRE","DICEMBRE"},0)</f>
        <v>2</v>
      </c>
      <c r="E351" s="57" t="str">
        <f t="shared" ref="E351" si="608">CONCATENATE(,B351," ",C351)</f>
        <v>FEBBRAIO 2026</v>
      </c>
      <c r="F351" s="57" t="str">
        <f t="shared" ref="F351" si="609">CONCATENATE(D351," ",E351)</f>
        <v>2 FEBBRAIO 2026</v>
      </c>
      <c r="G351" s="1309" t="s">
        <v>94</v>
      </c>
      <c r="H351" s="1309" t="str">
        <f>VLOOKUP(G351,CATEGORIE!$H$3:$I$55,2,FALSE)</f>
        <v>COSTO SVAGHI</v>
      </c>
      <c r="I351" s="59">
        <v>20.5</v>
      </c>
      <c r="J351" s="940"/>
      <c r="K351" s="59"/>
      <c r="L351" s="59"/>
    </row>
    <row r="352" spans="1:12">
      <c r="A352" s="57" t="s">
        <v>130</v>
      </c>
      <c r="B352" s="57" t="s">
        <v>129</v>
      </c>
      <c r="C352" s="57">
        <v>2026</v>
      </c>
      <c r="D352" s="58">
        <f>MATCH(B352,{"GENNAIO","FEBBRAIO","MARZO","APRILE","MAGGIO","GIUGNO","LUGLIO","AGOSTO","SETTEMBRE","OTTOBRE","NOVEMBRE","DICEMBRE"},0)</f>
        <v>2</v>
      </c>
      <c r="E352" s="57" t="str">
        <f t="shared" ref="E352" si="610">CONCATENATE(,B352," ",C352)</f>
        <v>FEBBRAIO 2026</v>
      </c>
      <c r="F352" s="57" t="str">
        <f t="shared" ref="F352" si="611">CONCATENATE(D352," ",E352)</f>
        <v>2 FEBBRAIO 2026</v>
      </c>
      <c r="G352" s="1309" t="s">
        <v>94</v>
      </c>
      <c r="H352" s="1309" t="str">
        <f>VLOOKUP(G352,CATEGORIE!$H$3:$I$55,2,FALSE)</f>
        <v>COSTO SVAGHI</v>
      </c>
      <c r="I352" s="59">
        <v>20</v>
      </c>
      <c r="J352" s="940"/>
      <c r="K352" s="59"/>
      <c r="L352" s="59"/>
    </row>
    <row r="353" spans="1:12">
      <c r="A353" s="57" t="s">
        <v>131</v>
      </c>
      <c r="B353" s="57" t="s">
        <v>129</v>
      </c>
      <c r="C353" s="57">
        <v>2026</v>
      </c>
      <c r="D353" s="58">
        <f>MATCH(B353,{"GENNAIO","FEBBRAIO","MARZO","APRILE","MAGGIO","GIUGNO","LUGLIO","AGOSTO","SETTEMBRE","OTTOBRE","NOVEMBRE","DICEMBRE"},0)</f>
        <v>2</v>
      </c>
      <c r="E353" s="57" t="str">
        <f t="shared" ref="E353" si="612">CONCATENATE(,B353," ",C353)</f>
        <v>FEBBRAIO 2026</v>
      </c>
      <c r="F353" s="57" t="str">
        <f t="shared" ref="F353" si="613">CONCATENATE(D353," ",E353)</f>
        <v>2 FEBBRAIO 2026</v>
      </c>
      <c r="G353" s="1309" t="s">
        <v>132</v>
      </c>
      <c r="H353" s="1309" t="str">
        <f>VLOOKUP(G353,CATEGORIE!$H$3:$I$55,2,FALSE)</f>
        <v>COSTO CASA</v>
      </c>
      <c r="I353" s="59">
        <v>70</v>
      </c>
      <c r="J353" s="940"/>
      <c r="K353" s="59"/>
      <c r="L353" s="59"/>
    </row>
    <row r="354" spans="1:12">
      <c r="A354" s="57" t="s">
        <v>131</v>
      </c>
      <c r="B354" s="57" t="s">
        <v>129</v>
      </c>
      <c r="C354" s="57">
        <v>2026</v>
      </c>
      <c r="D354" s="58">
        <f>MATCH(B354,{"GENNAIO","FEBBRAIO","MARZO","APRILE","MAGGIO","GIUGNO","LUGLIO","AGOSTO","SETTEMBRE","OTTOBRE","NOVEMBRE","DICEMBRE"},0)</f>
        <v>2</v>
      </c>
      <c r="E354" s="57" t="str">
        <f t="shared" ref="E354" si="614">CONCATENATE(,B354," ",C354)</f>
        <v>FEBBRAIO 2026</v>
      </c>
      <c r="F354" s="57" t="str">
        <f t="shared" ref="F354" si="615">CONCATENATE(D354," ",E354)</f>
        <v>2 FEBBRAIO 2026</v>
      </c>
      <c r="G354" s="1309" t="s">
        <v>132</v>
      </c>
      <c r="H354" s="1309" t="str">
        <f>VLOOKUP(G354,CATEGORIE!$H$3:$I$55,2,FALSE)</f>
        <v>COSTO CASA</v>
      </c>
      <c r="I354" s="59">
        <v>22.9</v>
      </c>
      <c r="J354" s="940"/>
      <c r="K354" s="59"/>
      <c r="L354" s="59"/>
    </row>
    <row r="355" spans="1:12">
      <c r="A355" s="57" t="s">
        <v>133</v>
      </c>
      <c r="B355" s="57" t="s">
        <v>129</v>
      </c>
      <c r="C355" s="57">
        <v>2026</v>
      </c>
      <c r="D355" s="58">
        <f>MATCH(B355,{"GENNAIO","FEBBRAIO","MARZO","APRILE","MAGGIO","GIUGNO","LUGLIO","AGOSTO","SETTEMBRE","OTTOBRE","NOVEMBRE","DICEMBRE"},0)</f>
        <v>2</v>
      </c>
      <c r="E355" s="57" t="str">
        <f t="shared" ref="E355" si="616">CONCATENATE(,B355," ",C355)</f>
        <v>FEBBRAIO 2026</v>
      </c>
      <c r="F355" s="57" t="str">
        <f t="shared" ref="F355" si="617">CONCATENATE(D355," ",E355)</f>
        <v>2 FEBBRAIO 2026</v>
      </c>
      <c r="G355" s="1309" t="s">
        <v>108</v>
      </c>
      <c r="H355" s="1309" t="str">
        <f>VLOOKUP(G355,CATEGORIE!$H$3:$I$55,2,FALSE)</f>
        <v>COSTO SFIZI</v>
      </c>
      <c r="I355" s="59">
        <v>65</v>
      </c>
      <c r="J355" s="940"/>
      <c r="K355" s="59"/>
      <c r="L355" s="59"/>
    </row>
    <row r="356" spans="1:12">
      <c r="A356" s="57" t="s">
        <v>134</v>
      </c>
      <c r="B356" s="57" t="s">
        <v>129</v>
      </c>
      <c r="C356" s="57">
        <v>2026</v>
      </c>
      <c r="D356" s="58">
        <f>MATCH(B356,{"GENNAIO","FEBBRAIO","MARZO","APRILE","MAGGIO","GIUGNO","LUGLIO","AGOSTO","SETTEMBRE","OTTOBRE","NOVEMBRE","DICEMBRE"},0)</f>
        <v>2</v>
      </c>
      <c r="E356" s="57" t="str">
        <f t="shared" ref="E356" si="618">CONCATENATE(,B356," ",C356)</f>
        <v>FEBBRAIO 2026</v>
      </c>
      <c r="F356" s="57" t="str">
        <f t="shared" ref="F356" si="619">CONCATENATE(D356," ",E356)</f>
        <v>2 FEBBRAIO 2026</v>
      </c>
      <c r="G356" s="1309" t="s">
        <v>94</v>
      </c>
      <c r="H356" s="1309" t="str">
        <f>VLOOKUP(G356,CATEGORIE!$H$3:$I$55,2,FALSE)</f>
        <v>COSTO SVAGHI</v>
      </c>
      <c r="I356" s="59">
        <v>21</v>
      </c>
      <c r="J356" s="57"/>
      <c r="K356" s="57"/>
      <c r="L356" s="59"/>
    </row>
    <row r="357" spans="1:12">
      <c r="A357" s="57" t="s">
        <v>135</v>
      </c>
      <c r="B357" s="57" t="s">
        <v>129</v>
      </c>
      <c r="C357" s="57">
        <v>2026</v>
      </c>
      <c r="D357" s="58">
        <f>MATCH(B357,{"GENNAIO","FEBBRAIO","MARZO","APRILE","MAGGIO","GIUGNO","LUGLIO","AGOSTO","SETTEMBRE","OTTOBRE","NOVEMBRE","DICEMBRE"},0)</f>
        <v>2</v>
      </c>
      <c r="E357" s="57" t="str">
        <f t="shared" ref="E357" si="620">CONCATENATE(,B357," ",C357)</f>
        <v>FEBBRAIO 2026</v>
      </c>
      <c r="F357" s="57" t="str">
        <f t="shared" ref="F357" si="621">CONCATENATE(D357," ",E357)</f>
        <v>2 FEBBRAIO 2026</v>
      </c>
      <c r="G357" s="1309" t="s">
        <v>132</v>
      </c>
      <c r="H357" s="1309" t="str">
        <f>VLOOKUP(G357,CATEGORIE!$H$3:$I$55,2,FALSE)</f>
        <v>COSTO CASA</v>
      </c>
      <c r="I357" s="59">
        <v>6</v>
      </c>
      <c r="J357" s="940"/>
      <c r="K357" s="59"/>
      <c r="L357" s="59"/>
    </row>
    <row r="358" spans="1:12">
      <c r="A358" s="57" t="s">
        <v>101</v>
      </c>
      <c r="B358" s="57" t="s">
        <v>129</v>
      </c>
      <c r="C358" s="57">
        <v>2026</v>
      </c>
      <c r="D358" s="58">
        <f>MATCH(B358,{"GENNAIO","FEBBRAIO","MARZO","APRILE","MAGGIO","GIUGNO","LUGLIO","AGOSTO","SETTEMBRE","OTTOBRE","NOVEMBRE","DICEMBRE"},0)</f>
        <v>2</v>
      </c>
      <c r="E358" s="57" t="str">
        <f t="shared" ref="E358" si="622">CONCATENATE(,B358," ",C358)</f>
        <v>FEBBRAIO 2026</v>
      </c>
      <c r="F358" s="57" t="str">
        <f t="shared" ref="F358" si="623">CONCATENATE(D358," ",E358)</f>
        <v>2 FEBBRAIO 2026</v>
      </c>
      <c r="G358" s="1309" t="s">
        <v>91</v>
      </c>
      <c r="H358" s="1309" t="str">
        <f>VLOOKUP(G358,CATEGORIE!$H$3:$I$55,2,FALSE)</f>
        <v>COSTO SOPRAVVIVENZA</v>
      </c>
      <c r="I358" s="59">
        <v>0.4</v>
      </c>
      <c r="J358" s="940"/>
      <c r="K358" s="59"/>
      <c r="L358" s="59"/>
    </row>
    <row r="359" spans="1:12">
      <c r="A359" s="57" t="s">
        <v>101</v>
      </c>
      <c r="B359" s="57" t="s">
        <v>129</v>
      </c>
      <c r="C359" s="57">
        <v>2026</v>
      </c>
      <c r="D359" s="58">
        <f>MATCH(B359,{"GENNAIO","FEBBRAIO","MARZO","APRILE","MAGGIO","GIUGNO","LUGLIO","AGOSTO","SETTEMBRE","OTTOBRE","NOVEMBRE","DICEMBRE"},0)</f>
        <v>2</v>
      </c>
      <c r="E359" s="57" t="str">
        <f t="shared" ref="E359" si="624">CONCATENATE(,B359," ",C359)</f>
        <v>FEBBRAIO 2026</v>
      </c>
      <c r="F359" s="57" t="str">
        <f t="shared" ref="F359" si="625">CONCATENATE(D359," ",E359)</f>
        <v>2 FEBBRAIO 2026</v>
      </c>
      <c r="G359" s="1309" t="s">
        <v>91</v>
      </c>
      <c r="H359" s="1309" t="str">
        <f>VLOOKUP(G359,CATEGORIE!$H$3:$I$55,2,FALSE)</f>
        <v>COSTO SOPRAVVIVENZA</v>
      </c>
      <c r="I359" s="59">
        <v>0.4</v>
      </c>
      <c r="J359" s="940"/>
      <c r="K359" s="59"/>
      <c r="L359" s="59"/>
    </row>
    <row r="360" spans="1:12">
      <c r="A360" s="57" t="s">
        <v>110</v>
      </c>
      <c r="B360" s="57" t="s">
        <v>129</v>
      </c>
      <c r="C360" s="57">
        <v>2026</v>
      </c>
      <c r="D360" s="58">
        <f>MATCH(B360,{"GENNAIO","FEBBRAIO","MARZO","APRILE","MAGGIO","GIUGNO","LUGLIO","AGOSTO","SETTEMBRE","OTTOBRE","NOVEMBRE","DICEMBRE"},0)</f>
        <v>2</v>
      </c>
      <c r="E360" s="57" t="str">
        <f t="shared" ref="E360" si="626">CONCATENATE(,B360," ",C360)</f>
        <v>FEBBRAIO 2026</v>
      </c>
      <c r="F360" s="57" t="str">
        <f t="shared" ref="F360" si="627">CONCATENATE(D360," ",E360)</f>
        <v>2 FEBBRAIO 2026</v>
      </c>
      <c r="G360" s="1309" t="s">
        <v>111</v>
      </c>
      <c r="H360" s="1309" t="str">
        <f>VLOOKUP(G360,CATEGORIE!$H$3:$I$55,2,FALSE)</f>
        <v>COSTO MOBILITA'</v>
      </c>
      <c r="I360" s="59">
        <v>0.85</v>
      </c>
      <c r="J360" s="940"/>
      <c r="K360" s="59" t="s">
        <v>112</v>
      </c>
      <c r="L360" s="59" t="s">
        <v>136</v>
      </c>
    </row>
    <row r="361" spans="1:12">
      <c r="A361" s="57" t="s">
        <v>99</v>
      </c>
      <c r="B361" s="57" t="s">
        <v>129</v>
      </c>
      <c r="C361" s="57">
        <v>2026</v>
      </c>
      <c r="D361" s="58">
        <f>MATCH(B361,{"GENNAIO","FEBBRAIO","MARZO","APRILE","MAGGIO","GIUGNO","LUGLIO","AGOSTO","SETTEMBRE","OTTOBRE","NOVEMBRE","DICEMBRE"},0)</f>
        <v>2</v>
      </c>
      <c r="E361" s="57" t="str">
        <f t="shared" ref="E361" si="628">CONCATENATE(,B361," ",C361)</f>
        <v>FEBBRAIO 2026</v>
      </c>
      <c r="F361" s="57" t="str">
        <f t="shared" ref="F361" si="629">CONCATENATE(D361," ",E361)</f>
        <v>2 FEBBRAIO 2026</v>
      </c>
      <c r="G361" s="1309" t="s">
        <v>100</v>
      </c>
      <c r="H361" s="1309" t="str">
        <f>VLOOKUP(G361,CATEGORIE!$H$3:$I$55,2,FALSE)</f>
        <v>COSTO SFIZI</v>
      </c>
      <c r="I361" s="59">
        <v>19.989999999999998</v>
      </c>
      <c r="J361" s="940"/>
      <c r="K361" s="59"/>
      <c r="L361" s="59"/>
    </row>
    <row r="362" spans="1:12">
      <c r="A362" s="57" t="s">
        <v>92</v>
      </c>
      <c r="B362" s="57" t="s">
        <v>129</v>
      </c>
      <c r="C362" s="57">
        <v>2026</v>
      </c>
      <c r="D362" s="58">
        <f>MATCH(B362,{"GENNAIO","FEBBRAIO","MARZO","APRILE","MAGGIO","GIUGNO","LUGLIO","AGOSTO","SETTEMBRE","OTTOBRE","NOVEMBRE","DICEMBRE"},0)</f>
        <v>2</v>
      </c>
      <c r="E362" s="57" t="str">
        <f t="shared" ref="E362" si="630">CONCATENATE(,B362," ",C362)</f>
        <v>FEBBRAIO 2026</v>
      </c>
      <c r="F362" s="57" t="str">
        <f t="shared" ref="F362" si="631">CONCATENATE(D362," ",E362)</f>
        <v>2 FEBBRAIO 2026</v>
      </c>
      <c r="G362" s="1309" t="s">
        <v>93</v>
      </c>
      <c r="H362" s="1309" t="str">
        <f>VLOOKUP(G362,CATEGORIE!$H$3:$I$55,2,FALSE)</f>
        <v>COSTO SOPRAVVIVENZA</v>
      </c>
      <c r="I362" s="59">
        <v>9</v>
      </c>
      <c r="J362" s="57"/>
      <c r="K362" s="57"/>
      <c r="L362" s="59"/>
    </row>
    <row r="363" spans="1:12">
      <c r="A363" s="57" t="s">
        <v>97</v>
      </c>
      <c r="B363" s="57" t="s">
        <v>129</v>
      </c>
      <c r="C363" s="57">
        <v>2026</v>
      </c>
      <c r="D363" s="58">
        <f>MATCH(B363,{"GENNAIO","FEBBRAIO","MARZO","APRILE","MAGGIO","GIUGNO","LUGLIO","AGOSTO","SETTEMBRE","OTTOBRE","NOVEMBRE","DICEMBRE"},0)</f>
        <v>2</v>
      </c>
      <c r="E363" s="57" t="str">
        <f t="shared" ref="E363" si="632">CONCATENATE(,B363," ",C363)</f>
        <v>FEBBRAIO 2026</v>
      </c>
      <c r="F363" s="57" t="str">
        <f t="shared" ref="F363" si="633">CONCATENATE(D363," ",E363)</f>
        <v>2 FEBBRAIO 2026</v>
      </c>
      <c r="G363" s="1309" t="s">
        <v>789</v>
      </c>
      <c r="H363" s="1309" t="str">
        <f>VLOOKUP(G363,CATEGORIE!$H$3:$I$55,2,FALSE)</f>
        <v>MOVIMENTI CONTO</v>
      </c>
      <c r="I363" s="59">
        <v>20</v>
      </c>
      <c r="J363" s="940"/>
      <c r="K363" s="59" t="s">
        <v>97</v>
      </c>
      <c r="L363" s="59" t="s">
        <v>137</v>
      </c>
    </row>
    <row r="364" spans="1:12">
      <c r="A364" s="57" t="s">
        <v>135</v>
      </c>
      <c r="B364" s="57" t="s">
        <v>129</v>
      </c>
      <c r="C364" s="57">
        <v>2026</v>
      </c>
      <c r="D364" s="58">
        <f>MATCH(B364,{"GENNAIO","FEBBRAIO","MARZO","APRILE","MAGGIO","GIUGNO","LUGLIO","AGOSTO","SETTEMBRE","OTTOBRE","NOVEMBRE","DICEMBRE"},0)</f>
        <v>2</v>
      </c>
      <c r="E364" s="57" t="str">
        <f t="shared" ref="E364" si="634">CONCATENATE(,B364," ",C364)</f>
        <v>FEBBRAIO 2026</v>
      </c>
      <c r="F364" s="57" t="str">
        <f t="shared" ref="F364" si="635">CONCATENATE(D364," ",E364)</f>
        <v>2 FEBBRAIO 2026</v>
      </c>
      <c r="G364" s="1309" t="s">
        <v>132</v>
      </c>
      <c r="H364" s="1309" t="str">
        <f>VLOOKUP(G364,CATEGORIE!$H$3:$I$55,2,FALSE)</f>
        <v>COSTO CASA</v>
      </c>
      <c r="I364" s="59">
        <v>7.9</v>
      </c>
      <c r="J364" s="940"/>
      <c r="K364" s="59"/>
      <c r="L364" s="59"/>
    </row>
    <row r="365" spans="1:12">
      <c r="A365" s="57" t="s">
        <v>95</v>
      </c>
      <c r="B365" s="57" t="s">
        <v>129</v>
      </c>
      <c r="C365" s="57">
        <v>2026</v>
      </c>
      <c r="D365" s="58">
        <f>MATCH(B365,{"GENNAIO","FEBBRAIO","MARZO","APRILE","MAGGIO","GIUGNO","LUGLIO","AGOSTO","SETTEMBRE","OTTOBRE","NOVEMBRE","DICEMBRE"},0)</f>
        <v>2</v>
      </c>
      <c r="E365" s="57" t="str">
        <f t="shared" ref="E365" si="636">CONCATENATE(,B365," ",C365)</f>
        <v>FEBBRAIO 2026</v>
      </c>
      <c r="F365" s="57" t="str">
        <f t="shared" ref="F365" si="637">CONCATENATE(D365," ",E365)</f>
        <v>2 FEBBRAIO 2026</v>
      </c>
      <c r="G365" s="1309" t="s">
        <v>96</v>
      </c>
      <c r="H365" s="1309" t="str">
        <f>VLOOKUP(G365,CATEGORIE!$H$3:$I$55,2,FALSE)</f>
        <v>COSTO SOPRAVVIVENZA</v>
      </c>
      <c r="I365" s="59">
        <v>5.57</v>
      </c>
      <c r="J365" s="940"/>
      <c r="K365" s="59"/>
      <c r="L365" s="59"/>
    </row>
    <row r="366" spans="1:12">
      <c r="A366" s="57" t="s">
        <v>110</v>
      </c>
      <c r="B366" s="57" t="s">
        <v>129</v>
      </c>
      <c r="C366" s="57">
        <v>2026</v>
      </c>
      <c r="D366" s="58">
        <f>MATCH(B366,{"GENNAIO","FEBBRAIO","MARZO","APRILE","MAGGIO","GIUGNO","LUGLIO","AGOSTO","SETTEMBRE","OTTOBRE","NOVEMBRE","DICEMBRE"},0)</f>
        <v>2</v>
      </c>
      <c r="E366" s="57" t="str">
        <f t="shared" ref="E366" si="638">CONCATENATE(,B366," ",C366)</f>
        <v>FEBBRAIO 2026</v>
      </c>
      <c r="F366" s="57" t="str">
        <f t="shared" ref="F366" si="639">CONCATENATE(D366," ",E366)</f>
        <v>2 FEBBRAIO 2026</v>
      </c>
      <c r="G366" s="1309" t="s">
        <v>111</v>
      </c>
      <c r="H366" s="1309" t="str">
        <f>VLOOKUP(G366,CATEGORIE!$H$3:$I$55,2,FALSE)</f>
        <v>COSTO MOBILITA'</v>
      </c>
      <c r="I366" s="59">
        <v>0.79</v>
      </c>
      <c r="J366" s="940"/>
      <c r="K366" s="59" t="s">
        <v>112</v>
      </c>
      <c r="L366" s="59"/>
    </row>
    <row r="367" spans="1:12">
      <c r="A367" s="57" t="s">
        <v>99</v>
      </c>
      <c r="B367" s="57" t="s">
        <v>129</v>
      </c>
      <c r="C367" s="57">
        <v>2026</v>
      </c>
      <c r="D367" s="58">
        <f>MATCH(B367,{"GENNAIO","FEBBRAIO","MARZO","APRILE","MAGGIO","GIUGNO","LUGLIO","AGOSTO","SETTEMBRE","OTTOBRE","NOVEMBRE","DICEMBRE"},0)</f>
        <v>2</v>
      </c>
      <c r="E367" s="57" t="str">
        <f t="shared" ref="E367:E368" si="640">CONCATENATE(,B367," ",C367)</f>
        <v>FEBBRAIO 2026</v>
      </c>
      <c r="F367" s="57" t="str">
        <f t="shared" ref="F367:F368" si="641">CONCATENATE(D367," ",E367)</f>
        <v>2 FEBBRAIO 2026</v>
      </c>
      <c r="G367" s="1309" t="s">
        <v>100</v>
      </c>
      <c r="H367" s="1309" t="str">
        <f>VLOOKUP(G367,CATEGORIE!$H$3:$I$55,2,FALSE)</f>
        <v>COSTO SFIZI</v>
      </c>
      <c r="I367" s="59">
        <v>15.99</v>
      </c>
      <c r="J367" s="940"/>
      <c r="K367" s="59"/>
      <c r="L367" s="59"/>
    </row>
    <row r="368" spans="1:12">
      <c r="A368" s="57" t="s">
        <v>123</v>
      </c>
      <c r="B368" s="57" t="s">
        <v>129</v>
      </c>
      <c r="C368" s="57">
        <v>2026</v>
      </c>
      <c r="D368" s="58">
        <f>MATCH(B368,{"GENNAIO","FEBBRAIO","MARZO","APRILE","MAGGIO","GIUGNO","LUGLIO","AGOSTO","SETTEMBRE","OTTOBRE","NOVEMBRE","DICEMBRE"},0)</f>
        <v>2</v>
      </c>
      <c r="E368" s="57" t="str">
        <f t="shared" si="640"/>
        <v>FEBBRAIO 2026</v>
      </c>
      <c r="F368" s="57" t="str">
        <f t="shared" si="641"/>
        <v>2 FEBBRAIO 2026</v>
      </c>
      <c r="G368" s="1309" t="s">
        <v>100</v>
      </c>
      <c r="H368" s="1309" t="str">
        <f>VLOOKUP(G368,CATEGORIE!$H$3:$I$55,2,FALSE)</f>
        <v>COSTO SFIZI</v>
      </c>
      <c r="I368" s="59">
        <v>68.92</v>
      </c>
      <c r="J368" s="940" t="s">
        <v>138</v>
      </c>
      <c r="K368" s="59" t="s">
        <v>112</v>
      </c>
      <c r="L368" s="59" t="s">
        <v>125</v>
      </c>
    </row>
    <row r="369" spans="1:12">
      <c r="A369" s="57" t="s">
        <v>123</v>
      </c>
      <c r="B369" s="57" t="s">
        <v>129</v>
      </c>
      <c r="C369" s="57">
        <v>2026</v>
      </c>
      <c r="D369" s="58">
        <f>MATCH(B369,{"GENNAIO","FEBBRAIO","MARZO","APRILE","MAGGIO","GIUGNO","LUGLIO","AGOSTO","SETTEMBRE","OTTOBRE","NOVEMBRE","DICEMBRE"},0)</f>
        <v>2</v>
      </c>
      <c r="E369" s="57" t="str">
        <f t="shared" ref="E369" si="642">CONCATENATE(,B369," ",C369)</f>
        <v>FEBBRAIO 2026</v>
      </c>
      <c r="F369" s="57" t="str">
        <f t="shared" ref="F369" si="643">CONCATENATE(D369," ",E369)</f>
        <v>2 FEBBRAIO 2026</v>
      </c>
      <c r="G369" s="1309" t="s">
        <v>100</v>
      </c>
      <c r="H369" s="1309" t="str">
        <f>VLOOKUP(G369,CATEGORIE!$H$3:$I$55,2,FALSE)</f>
        <v>COSTO SFIZI</v>
      </c>
      <c r="I369" s="59">
        <v>65.59</v>
      </c>
      <c r="J369" s="940"/>
      <c r="K369" s="59" t="s">
        <v>112</v>
      </c>
      <c r="L369" s="59" t="s">
        <v>139</v>
      </c>
    </row>
    <row r="370" spans="1:12">
      <c r="A370" s="57" t="s">
        <v>140</v>
      </c>
      <c r="B370" s="57" t="s">
        <v>129</v>
      </c>
      <c r="C370" s="57">
        <v>2026</v>
      </c>
      <c r="D370" s="58">
        <f>MATCH(B370,{"GENNAIO","FEBBRAIO","MARZO","APRILE","MAGGIO","GIUGNO","LUGLIO","AGOSTO","SETTEMBRE","OTTOBRE","NOVEMBRE","DICEMBRE"},0)</f>
        <v>2</v>
      </c>
      <c r="E370" s="57" t="str">
        <f t="shared" ref="E370" si="644">CONCATENATE(,B370," ",C370)</f>
        <v>FEBBRAIO 2026</v>
      </c>
      <c r="F370" s="57" t="str">
        <f t="shared" ref="F370" si="645">CONCATENATE(D370," ",E370)</f>
        <v>2 FEBBRAIO 2026</v>
      </c>
      <c r="G370" s="1309" t="s">
        <v>94</v>
      </c>
      <c r="H370" s="1309" t="str">
        <f>VLOOKUP(G370,CATEGORIE!$H$3:$I$55,2,FALSE)</f>
        <v>COSTO SVAGHI</v>
      </c>
      <c r="I370" s="59">
        <v>62.5</v>
      </c>
      <c r="J370" s="57"/>
      <c r="K370" s="57"/>
      <c r="L370" s="59"/>
    </row>
    <row r="371" spans="1:12">
      <c r="A371" s="57" t="s">
        <v>120</v>
      </c>
      <c r="B371" s="57" t="s">
        <v>129</v>
      </c>
      <c r="C371" s="57">
        <v>2026</v>
      </c>
      <c r="D371" s="58">
        <f>MATCH(B371,{"GENNAIO","FEBBRAIO","MARZO","APRILE","MAGGIO","GIUGNO","LUGLIO","AGOSTO","SETTEMBRE","OTTOBRE","NOVEMBRE","DICEMBRE"},0)</f>
        <v>2</v>
      </c>
      <c r="E371" s="57" t="str">
        <f t="shared" ref="E371" si="646">CONCATENATE(,B371," ",C371)</f>
        <v>FEBBRAIO 2026</v>
      </c>
      <c r="F371" s="57" t="str">
        <f t="shared" ref="F371" si="647">CONCATENATE(D371," ",E371)</f>
        <v>2 FEBBRAIO 2026</v>
      </c>
      <c r="G371" s="1309" t="s">
        <v>121</v>
      </c>
      <c r="H371" s="1309" t="str">
        <f>VLOOKUP(G371,CATEGORIE!$H$3:$I$55,2,FALSE)</f>
        <v>COSTO MOBILITA'</v>
      </c>
      <c r="I371" s="59">
        <v>10</v>
      </c>
      <c r="J371" s="940"/>
      <c r="K371" s="59"/>
      <c r="L371" s="59"/>
    </row>
    <row r="372" spans="1:12">
      <c r="A372" s="57" t="s">
        <v>141</v>
      </c>
      <c r="B372" s="57" t="s">
        <v>129</v>
      </c>
      <c r="C372" s="57">
        <v>2026</v>
      </c>
      <c r="D372" s="58">
        <f>MATCH(B372,{"GENNAIO","FEBBRAIO","MARZO","APRILE","MAGGIO","GIUGNO","LUGLIO","AGOSTO","SETTEMBRE","OTTOBRE","NOVEMBRE","DICEMBRE"},0)</f>
        <v>2</v>
      </c>
      <c r="E372" s="57" t="str">
        <f t="shared" ref="E372" si="648">CONCATENATE(,B372," ",C372)</f>
        <v>FEBBRAIO 2026</v>
      </c>
      <c r="F372" s="57" t="str">
        <f t="shared" ref="F372" si="649">CONCATENATE(D372," ",E372)</f>
        <v>2 FEBBRAIO 2026</v>
      </c>
      <c r="G372" s="1309" t="s">
        <v>94</v>
      </c>
      <c r="H372" s="1309" t="str">
        <f>VLOOKUP(G372,CATEGORIE!$H$3:$I$55,2,FALSE)</f>
        <v>COSTO SVAGHI</v>
      </c>
      <c r="I372" s="59">
        <v>40</v>
      </c>
      <c r="J372" s="57"/>
      <c r="K372" s="57"/>
      <c r="L372" s="59"/>
    </row>
    <row r="373" spans="1:12">
      <c r="A373" s="57" t="s">
        <v>92</v>
      </c>
      <c r="B373" s="57" t="s">
        <v>129</v>
      </c>
      <c r="C373" s="57">
        <v>2026</v>
      </c>
      <c r="D373" s="58">
        <f>MATCH(B373,{"GENNAIO","FEBBRAIO","MARZO","APRILE","MAGGIO","GIUGNO","LUGLIO","AGOSTO","SETTEMBRE","OTTOBRE","NOVEMBRE","DICEMBRE"},0)</f>
        <v>2</v>
      </c>
      <c r="E373" s="57" t="str">
        <f t="shared" ref="E373" si="650">CONCATENATE(,B373," ",C373)</f>
        <v>FEBBRAIO 2026</v>
      </c>
      <c r="F373" s="57" t="str">
        <f t="shared" ref="F373" si="651">CONCATENATE(D373," ",E373)</f>
        <v>2 FEBBRAIO 2026</v>
      </c>
      <c r="G373" s="1309" t="s">
        <v>93</v>
      </c>
      <c r="H373" s="1309" t="str">
        <f>VLOOKUP(G373,CATEGORIE!$H$3:$I$55,2,FALSE)</f>
        <v>COSTO SOPRAVVIVENZA</v>
      </c>
      <c r="I373" s="59">
        <v>7</v>
      </c>
      <c r="J373" s="57"/>
      <c r="K373" s="57"/>
      <c r="L373" s="59"/>
    </row>
    <row r="374" spans="1:12">
      <c r="A374" s="57" t="s">
        <v>110</v>
      </c>
      <c r="B374" s="57" t="s">
        <v>129</v>
      </c>
      <c r="C374" s="57">
        <v>2026</v>
      </c>
      <c r="D374" s="58">
        <f>MATCH(B374,{"GENNAIO","FEBBRAIO","MARZO","APRILE","MAGGIO","GIUGNO","LUGLIO","AGOSTO","SETTEMBRE","OTTOBRE","NOVEMBRE","DICEMBRE"},0)</f>
        <v>2</v>
      </c>
      <c r="E374" s="57" t="str">
        <f t="shared" ref="E374" si="652">CONCATENATE(,B374," ",C374)</f>
        <v>FEBBRAIO 2026</v>
      </c>
      <c r="F374" s="57" t="str">
        <f t="shared" ref="F374" si="653">CONCATENATE(D374," ",E374)</f>
        <v>2 FEBBRAIO 2026</v>
      </c>
      <c r="G374" s="1309" t="s">
        <v>111</v>
      </c>
      <c r="H374" s="1309" t="str">
        <f>VLOOKUP(G374,CATEGORIE!$H$3:$I$55,2,FALSE)</f>
        <v>COSTO MOBILITA'</v>
      </c>
      <c r="I374" s="59">
        <v>0.73</v>
      </c>
      <c r="J374" s="940"/>
      <c r="K374" s="59" t="s">
        <v>112</v>
      </c>
      <c r="L374" s="59"/>
    </row>
    <row r="375" spans="1:12">
      <c r="A375" s="57" t="s">
        <v>99</v>
      </c>
      <c r="B375" s="57" t="s">
        <v>129</v>
      </c>
      <c r="C375" s="57">
        <v>2026</v>
      </c>
      <c r="D375" s="58">
        <f>MATCH(B375,{"GENNAIO","FEBBRAIO","MARZO","APRILE","MAGGIO","GIUGNO","LUGLIO","AGOSTO","SETTEMBRE","OTTOBRE","NOVEMBRE","DICEMBRE"},0)</f>
        <v>2</v>
      </c>
      <c r="E375" s="57" t="str">
        <f t="shared" ref="E375" si="654">CONCATENATE(,B375," ",C375)</f>
        <v>FEBBRAIO 2026</v>
      </c>
      <c r="F375" s="57" t="str">
        <f t="shared" ref="F375" si="655">CONCATENATE(D375," ",E375)</f>
        <v>2 FEBBRAIO 2026</v>
      </c>
      <c r="G375" s="1309" t="s">
        <v>100</v>
      </c>
      <c r="H375" s="1309" t="str">
        <f>VLOOKUP(G375,CATEGORIE!$H$3:$I$55,2,FALSE)</f>
        <v>COSTO SFIZI</v>
      </c>
      <c r="I375" s="59">
        <v>10.44</v>
      </c>
      <c r="J375" s="940"/>
      <c r="K375" s="59"/>
      <c r="L375" s="59"/>
    </row>
    <row r="376" spans="1:12">
      <c r="A376" s="57" t="s">
        <v>97</v>
      </c>
      <c r="B376" s="57" t="s">
        <v>129</v>
      </c>
      <c r="C376" s="57">
        <v>2026</v>
      </c>
      <c r="D376" s="58">
        <f>MATCH(B376,{"GENNAIO","FEBBRAIO","MARZO","APRILE","MAGGIO","GIUGNO","LUGLIO","AGOSTO","SETTEMBRE","OTTOBRE","NOVEMBRE","DICEMBRE"},0)</f>
        <v>2</v>
      </c>
      <c r="E376" s="57" t="str">
        <f t="shared" ref="E376" si="656">CONCATENATE(,B376," ",C376)</f>
        <v>FEBBRAIO 2026</v>
      </c>
      <c r="F376" s="57" t="str">
        <f t="shared" ref="F376" si="657">CONCATENATE(D376," ",E376)</f>
        <v>2 FEBBRAIO 2026</v>
      </c>
      <c r="G376" s="1309" t="s">
        <v>789</v>
      </c>
      <c r="H376" s="1309" t="str">
        <f>VLOOKUP(G376,CATEGORIE!$H$3:$I$55,2,FALSE)</f>
        <v>MOVIMENTI CONTO</v>
      </c>
      <c r="I376" s="59">
        <v>22</v>
      </c>
      <c r="J376" s="940"/>
      <c r="K376" s="59" t="s">
        <v>97</v>
      </c>
      <c r="L376" s="59" t="s">
        <v>142</v>
      </c>
    </row>
    <row r="377" spans="1:12">
      <c r="A377" s="57" t="s">
        <v>135</v>
      </c>
      <c r="B377" s="57" t="s">
        <v>129</v>
      </c>
      <c r="C377" s="57">
        <v>2026</v>
      </c>
      <c r="D377" s="58">
        <f>MATCH(B377,{"GENNAIO","FEBBRAIO","MARZO","APRILE","MAGGIO","GIUGNO","LUGLIO","AGOSTO","SETTEMBRE","OTTOBRE","NOVEMBRE","DICEMBRE"},0)</f>
        <v>2</v>
      </c>
      <c r="E377" s="57" t="str">
        <f t="shared" ref="E377" si="658">CONCATENATE(,B377," ",C377)</f>
        <v>FEBBRAIO 2026</v>
      </c>
      <c r="F377" s="57" t="str">
        <f t="shared" ref="F377" si="659">CONCATENATE(D377," ",E377)</f>
        <v>2 FEBBRAIO 2026</v>
      </c>
      <c r="G377" s="1309" t="s">
        <v>132</v>
      </c>
      <c r="H377" s="1309" t="str">
        <f>VLOOKUP(G377,CATEGORIE!$H$3:$I$55,2,FALSE)</f>
        <v>COSTO CASA</v>
      </c>
      <c r="I377" s="59">
        <v>18.14</v>
      </c>
      <c r="J377" s="940"/>
      <c r="K377" s="59"/>
      <c r="L377" s="59"/>
    </row>
    <row r="378" spans="1:12">
      <c r="A378" s="57" t="s">
        <v>102</v>
      </c>
      <c r="B378" s="57" t="s">
        <v>129</v>
      </c>
      <c r="C378" s="57">
        <v>2026</v>
      </c>
      <c r="D378" s="58">
        <f>MATCH(B378,{"GENNAIO","FEBBRAIO","MARZO","APRILE","MAGGIO","GIUGNO","LUGLIO","AGOSTO","SETTEMBRE","OTTOBRE","NOVEMBRE","DICEMBRE"},0)</f>
        <v>2</v>
      </c>
      <c r="E378" s="57" t="str">
        <f t="shared" ref="E378" si="660">CONCATENATE(,B378," ",C378)</f>
        <v>FEBBRAIO 2026</v>
      </c>
      <c r="F378" s="57" t="str">
        <f t="shared" ref="F378" si="661">CONCATENATE(D378," ",E378)</f>
        <v>2 FEBBRAIO 2026</v>
      </c>
      <c r="G378" s="1309" t="s">
        <v>96</v>
      </c>
      <c r="H378" s="1309" t="str">
        <f>VLOOKUP(G378,CATEGORIE!$H$3:$I$55,2,FALSE)</f>
        <v>COSTO SOPRAVVIVENZA</v>
      </c>
      <c r="I378" s="59">
        <v>5.63</v>
      </c>
      <c r="J378" s="940"/>
      <c r="K378" s="59"/>
      <c r="L378" s="59"/>
    </row>
    <row r="379" spans="1:12">
      <c r="A379" s="57" t="s">
        <v>95</v>
      </c>
      <c r="B379" s="57" t="s">
        <v>129</v>
      </c>
      <c r="C379" s="57">
        <v>2026</v>
      </c>
      <c r="D379" s="58">
        <f>MATCH(B379,{"GENNAIO","FEBBRAIO","MARZO","APRILE","MAGGIO","GIUGNO","LUGLIO","AGOSTO","SETTEMBRE","OTTOBRE","NOVEMBRE","DICEMBRE"},0)</f>
        <v>2</v>
      </c>
      <c r="E379" s="57" t="str">
        <f t="shared" ref="E379" si="662">CONCATENATE(,B379," ",C379)</f>
        <v>FEBBRAIO 2026</v>
      </c>
      <c r="F379" s="57" t="str">
        <f t="shared" ref="F379" si="663">CONCATENATE(D379," ",E379)</f>
        <v>2 FEBBRAIO 2026</v>
      </c>
      <c r="G379" s="1309" t="s">
        <v>96</v>
      </c>
      <c r="H379" s="1309" t="str">
        <f>VLOOKUP(G379,CATEGORIE!$H$3:$I$55,2,FALSE)</f>
        <v>COSTO SOPRAVVIVENZA</v>
      </c>
      <c r="I379" s="59">
        <v>24.38</v>
      </c>
      <c r="J379" s="940"/>
      <c r="K379" s="59"/>
      <c r="L379" s="59"/>
    </row>
    <row r="380" spans="1:12">
      <c r="A380" s="57" t="s">
        <v>110</v>
      </c>
      <c r="B380" s="57" t="s">
        <v>129</v>
      </c>
      <c r="C380" s="57">
        <v>2026</v>
      </c>
      <c r="D380" s="58">
        <f>MATCH(B380,{"GENNAIO","FEBBRAIO","MARZO","APRILE","MAGGIO","GIUGNO","LUGLIO","AGOSTO","SETTEMBRE","OTTOBRE","NOVEMBRE","DICEMBRE"},0)</f>
        <v>2</v>
      </c>
      <c r="E380" s="57" t="str">
        <f t="shared" ref="E380" si="664">CONCATENATE(,B380," ",C380)</f>
        <v>FEBBRAIO 2026</v>
      </c>
      <c r="F380" s="57" t="str">
        <f t="shared" ref="F380" si="665">CONCATENATE(D380," ",E380)</f>
        <v>2 FEBBRAIO 2026</v>
      </c>
      <c r="G380" s="1309" t="s">
        <v>111</v>
      </c>
      <c r="H380" s="1309" t="str">
        <f>VLOOKUP(G380,CATEGORIE!$H$3:$I$55,2,FALSE)</f>
        <v>COSTO MOBILITA'</v>
      </c>
      <c r="I380" s="59">
        <v>0.98</v>
      </c>
      <c r="J380" s="940"/>
      <c r="K380" s="59" t="s">
        <v>112</v>
      </c>
      <c r="L380" s="59"/>
    </row>
    <row r="381" spans="1:12">
      <c r="A381" s="57" t="s">
        <v>110</v>
      </c>
      <c r="B381" s="57" t="s">
        <v>129</v>
      </c>
      <c r="C381" s="57">
        <v>2026</v>
      </c>
      <c r="D381" s="58">
        <f>MATCH(B381,{"GENNAIO","FEBBRAIO","MARZO","APRILE","MAGGIO","GIUGNO","LUGLIO","AGOSTO","SETTEMBRE","OTTOBRE","NOVEMBRE","DICEMBRE"},0)</f>
        <v>2</v>
      </c>
      <c r="E381" s="57" t="str">
        <f t="shared" ref="E381" si="666">CONCATENATE(,B381," ",C381)</f>
        <v>FEBBRAIO 2026</v>
      </c>
      <c r="F381" s="57" t="str">
        <f t="shared" ref="F381" si="667">CONCATENATE(D381," ",E381)</f>
        <v>2 FEBBRAIO 2026</v>
      </c>
      <c r="G381" s="1309" t="s">
        <v>111</v>
      </c>
      <c r="H381" s="1309" t="str">
        <f>VLOOKUP(G381,CATEGORIE!$H$3:$I$55,2,FALSE)</f>
        <v>COSTO MOBILITA'</v>
      </c>
      <c r="I381" s="59">
        <v>0.8</v>
      </c>
      <c r="J381" s="940"/>
      <c r="K381" s="59" t="s">
        <v>112</v>
      </c>
      <c r="L381" s="59"/>
    </row>
    <row r="382" spans="1:12">
      <c r="A382" s="57" t="s">
        <v>143</v>
      </c>
      <c r="B382" s="57" t="s">
        <v>129</v>
      </c>
      <c r="C382" s="57">
        <v>2026</v>
      </c>
      <c r="D382" s="58">
        <f>MATCH(B382,{"GENNAIO","FEBBRAIO","MARZO","APRILE","MAGGIO","GIUGNO","LUGLIO","AGOSTO","SETTEMBRE","OTTOBRE","NOVEMBRE","DICEMBRE"},0)</f>
        <v>2</v>
      </c>
      <c r="E382" s="57" t="str">
        <f t="shared" ref="E382" si="668">CONCATENATE(,B382," ",C382)</f>
        <v>FEBBRAIO 2026</v>
      </c>
      <c r="F382" s="57" t="str">
        <f t="shared" ref="F382" si="669">CONCATENATE(D382," ",E382)</f>
        <v>2 FEBBRAIO 2026</v>
      </c>
      <c r="G382" s="1309" t="s">
        <v>96</v>
      </c>
      <c r="H382" s="1309" t="str">
        <f>VLOOKUP(G382,CATEGORIE!$H$3:$I$55,2,FALSE)</f>
        <v>COSTO SOPRAVVIVENZA</v>
      </c>
      <c r="I382" s="59">
        <v>22</v>
      </c>
      <c r="J382" s="940"/>
      <c r="K382" s="59" t="s">
        <v>112</v>
      </c>
      <c r="L382" s="59" t="s">
        <v>144</v>
      </c>
    </row>
    <row r="383" spans="1:12">
      <c r="A383" s="57" t="s">
        <v>99</v>
      </c>
      <c r="B383" s="57" t="s">
        <v>129</v>
      </c>
      <c r="C383" s="57">
        <v>2026</v>
      </c>
      <c r="D383" s="58">
        <f>MATCH(B383,{"GENNAIO","FEBBRAIO","MARZO","APRILE","MAGGIO","GIUGNO","LUGLIO","AGOSTO","SETTEMBRE","OTTOBRE","NOVEMBRE","DICEMBRE"},0)</f>
        <v>2</v>
      </c>
      <c r="E383" s="57" t="str">
        <f t="shared" ref="E383" si="670">CONCATENATE(,B383," ",C383)</f>
        <v>FEBBRAIO 2026</v>
      </c>
      <c r="F383" s="57" t="str">
        <f t="shared" ref="F383" si="671">CONCATENATE(D383," ",E383)</f>
        <v>2 FEBBRAIO 2026</v>
      </c>
      <c r="G383" s="1309" t="s">
        <v>100</v>
      </c>
      <c r="H383" s="1309" t="str">
        <f>VLOOKUP(G383,CATEGORIE!$H$3:$I$55,2,FALSE)</f>
        <v>COSTO SFIZI</v>
      </c>
      <c r="I383" s="59">
        <f>178.99/5</f>
        <v>35.798000000000002</v>
      </c>
      <c r="J383" s="940" t="s">
        <v>145</v>
      </c>
      <c r="K383" s="59" t="s">
        <v>99</v>
      </c>
      <c r="L383" s="59" t="s">
        <v>127</v>
      </c>
    </row>
    <row r="384" spans="1:12">
      <c r="A384" s="57" t="s">
        <v>146</v>
      </c>
      <c r="B384" s="57" t="s">
        <v>129</v>
      </c>
      <c r="C384" s="57">
        <v>2026</v>
      </c>
      <c r="D384" s="58">
        <f>MATCH(B384,{"GENNAIO","FEBBRAIO","MARZO","APRILE","MAGGIO","GIUGNO","LUGLIO","AGOSTO","SETTEMBRE","OTTOBRE","NOVEMBRE","DICEMBRE"},0)</f>
        <v>2</v>
      </c>
      <c r="E384" s="57" t="str">
        <f t="shared" ref="E384" si="672">CONCATENATE(,B384," ",C384)</f>
        <v>FEBBRAIO 2026</v>
      </c>
      <c r="F384" s="57" t="str">
        <f t="shared" ref="F384" si="673">CONCATENATE(D384," ",E384)</f>
        <v>2 FEBBRAIO 2026</v>
      </c>
      <c r="G384" s="1309" t="s">
        <v>94</v>
      </c>
      <c r="H384" s="1309" t="str">
        <f>VLOOKUP(G384,CATEGORIE!$H$3:$I$55,2,FALSE)</f>
        <v>COSTO SVAGHI</v>
      </c>
      <c r="I384" s="59">
        <v>63</v>
      </c>
      <c r="J384" s="57"/>
      <c r="K384" s="57"/>
      <c r="L384" s="59"/>
    </row>
    <row r="385" spans="1:12">
      <c r="A385" s="57" t="s">
        <v>147</v>
      </c>
      <c r="B385" s="57" t="s">
        <v>129</v>
      </c>
      <c r="C385" s="57">
        <v>2026</v>
      </c>
      <c r="D385" s="58">
        <f>MATCH(B385,{"GENNAIO","FEBBRAIO","MARZO","APRILE","MAGGIO","GIUGNO","LUGLIO","AGOSTO","SETTEMBRE","OTTOBRE","NOVEMBRE","DICEMBRE"},0)</f>
        <v>2</v>
      </c>
      <c r="E385" s="57" t="str">
        <f t="shared" ref="E385" si="674">CONCATENATE(,B385," ",C385)</f>
        <v>FEBBRAIO 2026</v>
      </c>
      <c r="F385" s="57" t="str">
        <f t="shared" ref="F385" si="675">CONCATENATE(D385," ",E385)</f>
        <v>2 FEBBRAIO 2026</v>
      </c>
      <c r="G385" s="1309" t="s">
        <v>94</v>
      </c>
      <c r="H385" s="1309" t="str">
        <f>VLOOKUP(G385,CATEGORIE!$H$3:$I$55,2,FALSE)</f>
        <v>COSTO SVAGHI</v>
      </c>
      <c r="I385" s="59">
        <v>21</v>
      </c>
      <c r="J385" s="57"/>
      <c r="K385" s="57"/>
      <c r="L385" s="59"/>
    </row>
    <row r="386" spans="1:12">
      <c r="A386" s="57" t="s">
        <v>92</v>
      </c>
      <c r="B386" s="57" t="s">
        <v>129</v>
      </c>
      <c r="C386" s="57">
        <v>2026</v>
      </c>
      <c r="D386" s="58">
        <f>MATCH(B386,{"GENNAIO","FEBBRAIO","MARZO","APRILE","MAGGIO","GIUGNO","LUGLIO","AGOSTO","SETTEMBRE","OTTOBRE","NOVEMBRE","DICEMBRE"},0)</f>
        <v>2</v>
      </c>
      <c r="E386" s="57" t="str">
        <f t="shared" ref="E386" si="676">CONCATENATE(,B386," ",C386)</f>
        <v>FEBBRAIO 2026</v>
      </c>
      <c r="F386" s="57" t="str">
        <f t="shared" ref="F386" si="677">CONCATENATE(D386," ",E386)</f>
        <v>2 FEBBRAIO 2026</v>
      </c>
      <c r="G386" s="1309" t="s">
        <v>94</v>
      </c>
      <c r="H386" s="1309" t="str">
        <f>VLOOKUP(G386,CATEGORIE!$H$3:$I$55,2,FALSE)</f>
        <v>COSTO SVAGHI</v>
      </c>
      <c r="I386" s="59">
        <v>17.5</v>
      </c>
      <c r="J386" s="57"/>
      <c r="K386" s="57"/>
      <c r="L386" s="59"/>
    </row>
    <row r="387" spans="1:12">
      <c r="A387" s="57" t="s">
        <v>110</v>
      </c>
      <c r="B387" s="57" t="s">
        <v>129</v>
      </c>
      <c r="C387" s="57">
        <v>2026</v>
      </c>
      <c r="D387" s="58">
        <f>MATCH(B387,{"GENNAIO","FEBBRAIO","MARZO","APRILE","MAGGIO","GIUGNO","LUGLIO","AGOSTO","SETTEMBRE","OTTOBRE","NOVEMBRE","DICEMBRE"},0)</f>
        <v>2</v>
      </c>
      <c r="E387" s="57" t="str">
        <f t="shared" ref="E387" si="678">CONCATENATE(,B387," ",C387)</f>
        <v>FEBBRAIO 2026</v>
      </c>
      <c r="F387" s="57" t="str">
        <f t="shared" ref="F387" si="679">CONCATENATE(D387," ",E387)</f>
        <v>2 FEBBRAIO 2026</v>
      </c>
      <c r="G387" s="1309" t="s">
        <v>111</v>
      </c>
      <c r="H387" s="1309" t="str">
        <f>VLOOKUP(G387,CATEGORIE!$H$3:$I$55,2,FALSE)</f>
        <v>COSTO MOBILITA'</v>
      </c>
      <c r="I387" s="59">
        <v>0.84</v>
      </c>
      <c r="J387" s="940"/>
      <c r="K387" s="59" t="s">
        <v>112</v>
      </c>
      <c r="L387" s="59"/>
    </row>
    <row r="388" spans="1:12">
      <c r="A388" s="57" t="s">
        <v>110</v>
      </c>
      <c r="B388" s="57" t="s">
        <v>129</v>
      </c>
      <c r="C388" s="57">
        <v>2026</v>
      </c>
      <c r="D388" s="58">
        <f>MATCH(B388,{"GENNAIO","FEBBRAIO","MARZO","APRILE","MAGGIO","GIUGNO","LUGLIO","AGOSTO","SETTEMBRE","OTTOBRE","NOVEMBRE","DICEMBRE"},0)</f>
        <v>2</v>
      </c>
      <c r="E388" s="57" t="str">
        <f t="shared" ref="E388" si="680">CONCATENATE(,B388," ",C388)</f>
        <v>FEBBRAIO 2026</v>
      </c>
      <c r="F388" s="57" t="str">
        <f t="shared" ref="F388" si="681">CONCATENATE(D388," ",E388)</f>
        <v>2 FEBBRAIO 2026</v>
      </c>
      <c r="G388" s="1309" t="s">
        <v>111</v>
      </c>
      <c r="H388" s="1309" t="str">
        <f>VLOOKUP(G388,CATEGORIE!$H$3:$I$55,2,FALSE)</f>
        <v>COSTO MOBILITA'</v>
      </c>
      <c r="I388" s="59">
        <v>0.95</v>
      </c>
      <c r="J388" s="940"/>
      <c r="K388" s="59" t="s">
        <v>112</v>
      </c>
      <c r="L388" s="59"/>
    </row>
    <row r="389" spans="1:12">
      <c r="A389" s="57" t="s">
        <v>97</v>
      </c>
      <c r="B389" s="57" t="s">
        <v>129</v>
      </c>
      <c r="C389" s="57">
        <v>2026</v>
      </c>
      <c r="D389" s="58">
        <f>MATCH(B389,{"GENNAIO","FEBBRAIO","MARZO","APRILE","MAGGIO","GIUGNO","LUGLIO","AGOSTO","SETTEMBRE","OTTOBRE","NOVEMBRE","DICEMBRE"},0)</f>
        <v>2</v>
      </c>
      <c r="E389" s="57" t="str">
        <f t="shared" ref="E389" si="682">CONCATENATE(,B389," ",C389)</f>
        <v>FEBBRAIO 2026</v>
      </c>
      <c r="F389" s="57" t="str">
        <f t="shared" ref="F389" si="683">CONCATENATE(D389," ",E389)</f>
        <v>2 FEBBRAIO 2026</v>
      </c>
      <c r="G389" s="1309" t="s">
        <v>789</v>
      </c>
      <c r="H389" s="1309" t="str">
        <f>VLOOKUP(G389,CATEGORIE!$H$3:$I$55,2,FALSE)</f>
        <v>MOVIMENTI CONTO</v>
      </c>
      <c r="I389" s="59">
        <v>20</v>
      </c>
      <c r="J389" s="940"/>
      <c r="K389" s="59" t="s">
        <v>97</v>
      </c>
      <c r="L389" s="59" t="s">
        <v>142</v>
      </c>
    </row>
    <row r="390" spans="1:12">
      <c r="A390" s="57" t="s">
        <v>148</v>
      </c>
      <c r="B390" s="57" t="s">
        <v>129</v>
      </c>
      <c r="C390" s="57">
        <v>2026</v>
      </c>
      <c r="D390" s="58">
        <f>MATCH(B390,{"GENNAIO","FEBBRAIO","MARZO","APRILE","MAGGIO","GIUGNO","LUGLIO","AGOSTO","SETTEMBRE","OTTOBRE","NOVEMBRE","DICEMBRE"},0)</f>
        <v>2</v>
      </c>
      <c r="E390" s="57" t="str">
        <f t="shared" ref="E390" si="684">CONCATENATE(,B390," ",C390)</f>
        <v>FEBBRAIO 2026</v>
      </c>
      <c r="F390" s="57" t="str">
        <f t="shared" ref="F390" si="685">CONCATENATE(D390," ",E390)</f>
        <v>2 FEBBRAIO 2026</v>
      </c>
      <c r="G390" s="1309" t="s">
        <v>91</v>
      </c>
      <c r="H390" s="1309" t="str">
        <f>VLOOKUP(G390,CATEGORIE!$H$3:$I$55,2,FALSE)</f>
        <v>COSTO SOPRAVVIVENZA</v>
      </c>
      <c r="I390" s="59">
        <v>1.5</v>
      </c>
      <c r="J390" s="940"/>
      <c r="K390" s="59"/>
      <c r="L390" s="59"/>
    </row>
    <row r="391" spans="1:12">
      <c r="A391" s="57" t="s">
        <v>148</v>
      </c>
      <c r="B391" s="57" t="s">
        <v>129</v>
      </c>
      <c r="C391" s="57">
        <v>2026</v>
      </c>
      <c r="D391" s="58">
        <f>MATCH(B391,{"GENNAIO","FEBBRAIO","MARZO","APRILE","MAGGIO","GIUGNO","LUGLIO","AGOSTO","SETTEMBRE","OTTOBRE","NOVEMBRE","DICEMBRE"},0)</f>
        <v>2</v>
      </c>
      <c r="E391" s="57" t="str">
        <f t="shared" ref="E391:E392" si="686">CONCATENATE(,B391," ",C391)</f>
        <v>FEBBRAIO 2026</v>
      </c>
      <c r="F391" s="57" t="str">
        <f t="shared" ref="F391:F392" si="687">CONCATENATE(D391," ",E391)</f>
        <v>2 FEBBRAIO 2026</v>
      </c>
      <c r="G391" s="1309" t="s">
        <v>91</v>
      </c>
      <c r="H391" s="1309" t="str">
        <f>VLOOKUP(G391,CATEGORIE!$H$3:$I$55,2,FALSE)</f>
        <v>COSTO SOPRAVVIVENZA</v>
      </c>
      <c r="I391" s="59">
        <v>0.8</v>
      </c>
      <c r="J391" s="940"/>
      <c r="K391" s="59"/>
      <c r="L391" s="59"/>
    </row>
    <row r="392" spans="1:12">
      <c r="A392" s="57" t="s">
        <v>148</v>
      </c>
      <c r="B392" s="57" t="s">
        <v>129</v>
      </c>
      <c r="C392" s="57">
        <v>2026</v>
      </c>
      <c r="D392" s="58">
        <f>MATCH(B392,{"GENNAIO","FEBBRAIO","MARZO","APRILE","MAGGIO","GIUGNO","LUGLIO","AGOSTO","SETTEMBRE","OTTOBRE","NOVEMBRE","DICEMBRE"},0)</f>
        <v>2</v>
      </c>
      <c r="E392" s="57" t="str">
        <f t="shared" si="686"/>
        <v>FEBBRAIO 2026</v>
      </c>
      <c r="F392" s="57" t="str">
        <f t="shared" si="687"/>
        <v>2 FEBBRAIO 2026</v>
      </c>
      <c r="G392" s="1309" t="s">
        <v>91</v>
      </c>
      <c r="H392" s="1309" t="str">
        <f>VLOOKUP(G392,CATEGORIE!$H$3:$I$55,2,FALSE)</f>
        <v>COSTO SOPRAVVIVENZA</v>
      </c>
      <c r="I392" s="59">
        <v>0.8</v>
      </c>
      <c r="J392" s="940"/>
      <c r="K392" s="59"/>
      <c r="L392" s="59"/>
    </row>
    <row r="393" spans="1:12">
      <c r="A393" s="57" t="s">
        <v>148</v>
      </c>
      <c r="B393" s="57" t="s">
        <v>129</v>
      </c>
      <c r="C393" s="57">
        <v>2026</v>
      </c>
      <c r="D393" s="58">
        <f>MATCH(B393,{"GENNAIO","FEBBRAIO","MARZO","APRILE","MAGGIO","GIUGNO","LUGLIO","AGOSTO","SETTEMBRE","OTTOBRE","NOVEMBRE","DICEMBRE"},0)</f>
        <v>2</v>
      </c>
      <c r="E393" s="57" t="str">
        <f t="shared" ref="E393" si="688">CONCATENATE(,B393," ",C393)</f>
        <v>FEBBRAIO 2026</v>
      </c>
      <c r="F393" s="57" t="str">
        <f t="shared" ref="F393" si="689">CONCATENATE(D393," ",E393)</f>
        <v>2 FEBBRAIO 2026</v>
      </c>
      <c r="G393" s="1309" t="s">
        <v>91</v>
      </c>
      <c r="H393" s="1309" t="str">
        <f>VLOOKUP(G393,CATEGORIE!$H$3:$I$55,2,FALSE)</f>
        <v>COSTO SOPRAVVIVENZA</v>
      </c>
      <c r="I393" s="59">
        <v>1.5</v>
      </c>
      <c r="J393" s="940"/>
      <c r="K393" s="59"/>
      <c r="L393" s="59"/>
    </row>
    <row r="394" spans="1:12">
      <c r="A394" s="57" t="s">
        <v>148</v>
      </c>
      <c r="B394" s="57" t="s">
        <v>129</v>
      </c>
      <c r="C394" s="57">
        <v>2026</v>
      </c>
      <c r="D394" s="58">
        <f>MATCH(B394,{"GENNAIO","FEBBRAIO","MARZO","APRILE","MAGGIO","GIUGNO","LUGLIO","AGOSTO","SETTEMBRE","OTTOBRE","NOVEMBRE","DICEMBRE"},0)</f>
        <v>2</v>
      </c>
      <c r="E394" s="57" t="str">
        <f t="shared" ref="E394:E395" si="690">CONCATENATE(,B394," ",C394)</f>
        <v>FEBBRAIO 2026</v>
      </c>
      <c r="F394" s="57" t="str">
        <f t="shared" ref="F394:F395" si="691">CONCATENATE(D394," ",E394)</f>
        <v>2 FEBBRAIO 2026</v>
      </c>
      <c r="G394" s="1309" t="s">
        <v>91</v>
      </c>
      <c r="H394" s="1309" t="str">
        <f>VLOOKUP(G394,CATEGORIE!$H$3:$I$55,2,FALSE)</f>
        <v>COSTO SOPRAVVIVENZA</v>
      </c>
      <c r="I394" s="59">
        <v>0.8</v>
      </c>
      <c r="J394" s="940"/>
      <c r="K394" s="59"/>
      <c r="L394" s="59"/>
    </row>
    <row r="395" spans="1:12">
      <c r="A395" s="57" t="s">
        <v>148</v>
      </c>
      <c r="B395" s="57" t="s">
        <v>129</v>
      </c>
      <c r="C395" s="57">
        <v>2026</v>
      </c>
      <c r="D395" s="58">
        <f>MATCH(B395,{"GENNAIO","FEBBRAIO","MARZO","APRILE","MAGGIO","GIUGNO","LUGLIO","AGOSTO","SETTEMBRE","OTTOBRE","NOVEMBRE","DICEMBRE"},0)</f>
        <v>2</v>
      </c>
      <c r="E395" s="57" t="str">
        <f t="shared" si="690"/>
        <v>FEBBRAIO 2026</v>
      </c>
      <c r="F395" s="57" t="str">
        <f t="shared" si="691"/>
        <v>2 FEBBRAIO 2026</v>
      </c>
      <c r="G395" s="1309" t="s">
        <v>91</v>
      </c>
      <c r="H395" s="1309" t="str">
        <f>VLOOKUP(G395,CATEGORIE!$H$3:$I$55,2,FALSE)</f>
        <v>COSTO SOPRAVVIVENZA</v>
      </c>
      <c r="I395" s="59">
        <v>0.8</v>
      </c>
      <c r="J395" s="940"/>
      <c r="K395" s="59"/>
      <c r="L395" s="59"/>
    </row>
    <row r="396" spans="1:12">
      <c r="A396" s="57" t="s">
        <v>148</v>
      </c>
      <c r="B396" s="57" t="s">
        <v>129</v>
      </c>
      <c r="C396" s="57">
        <v>2026</v>
      </c>
      <c r="D396" s="58">
        <f>MATCH(B396,{"GENNAIO","FEBBRAIO","MARZO","APRILE","MAGGIO","GIUGNO","LUGLIO","AGOSTO","SETTEMBRE","OTTOBRE","NOVEMBRE","DICEMBRE"},0)</f>
        <v>2</v>
      </c>
      <c r="E396" s="57" t="str">
        <f t="shared" ref="E396:E397" si="692">CONCATENATE(,B396," ",C396)</f>
        <v>FEBBRAIO 2026</v>
      </c>
      <c r="F396" s="57" t="str">
        <f t="shared" ref="F396:F397" si="693">CONCATENATE(D396," ",E396)</f>
        <v>2 FEBBRAIO 2026</v>
      </c>
      <c r="G396" s="1309" t="s">
        <v>91</v>
      </c>
      <c r="H396" s="1309" t="str">
        <f>VLOOKUP(G396,CATEGORIE!$H$3:$I$55,2,FALSE)</f>
        <v>COSTO SOPRAVVIVENZA</v>
      </c>
      <c r="I396" s="59">
        <v>1.3</v>
      </c>
      <c r="J396" s="940"/>
      <c r="K396" s="59"/>
      <c r="L396" s="59"/>
    </row>
    <row r="397" spans="1:12">
      <c r="A397" s="57" t="s">
        <v>148</v>
      </c>
      <c r="B397" s="57" t="s">
        <v>129</v>
      </c>
      <c r="C397" s="57">
        <v>2026</v>
      </c>
      <c r="D397" s="58">
        <f>MATCH(B397,{"GENNAIO","FEBBRAIO","MARZO","APRILE","MAGGIO","GIUGNO","LUGLIO","AGOSTO","SETTEMBRE","OTTOBRE","NOVEMBRE","DICEMBRE"},0)</f>
        <v>2</v>
      </c>
      <c r="E397" s="57" t="str">
        <f t="shared" si="692"/>
        <v>FEBBRAIO 2026</v>
      </c>
      <c r="F397" s="57" t="str">
        <f t="shared" si="693"/>
        <v>2 FEBBRAIO 2026</v>
      </c>
      <c r="G397" s="1309" t="s">
        <v>91</v>
      </c>
      <c r="H397" s="1309" t="str">
        <f>VLOOKUP(G397,CATEGORIE!$H$3:$I$55,2,FALSE)</f>
        <v>COSTO SOPRAVVIVENZA</v>
      </c>
      <c r="I397" s="59">
        <v>1</v>
      </c>
      <c r="J397" s="940"/>
      <c r="K397" s="59"/>
      <c r="L397" s="59"/>
    </row>
    <row r="398" spans="1:12">
      <c r="A398" s="57" t="s">
        <v>101</v>
      </c>
      <c r="B398" s="57" t="s">
        <v>129</v>
      </c>
      <c r="C398" s="57">
        <v>2026</v>
      </c>
      <c r="D398" s="58">
        <f>MATCH(B398,{"GENNAIO","FEBBRAIO","MARZO","APRILE","MAGGIO","GIUGNO","LUGLIO","AGOSTO","SETTEMBRE","OTTOBRE","NOVEMBRE","DICEMBRE"},0)</f>
        <v>2</v>
      </c>
      <c r="E398" s="57" t="str">
        <f t="shared" ref="E398" si="694">CONCATENATE(,B398," ",C398)</f>
        <v>FEBBRAIO 2026</v>
      </c>
      <c r="F398" s="57" t="str">
        <f t="shared" ref="F398" si="695">CONCATENATE(D398," ",E398)</f>
        <v>2 FEBBRAIO 2026</v>
      </c>
      <c r="G398" s="1309" t="s">
        <v>91</v>
      </c>
      <c r="H398" s="1309" t="str">
        <f>VLOOKUP(G398,CATEGORIE!$H$3:$I$55,2,FALSE)</f>
        <v>COSTO SOPRAVVIVENZA</v>
      </c>
      <c r="I398" s="59">
        <v>0.4</v>
      </c>
      <c r="J398" s="940"/>
      <c r="K398" s="59"/>
      <c r="L398" s="59"/>
    </row>
    <row r="399" spans="1:12">
      <c r="A399" s="57" t="s">
        <v>110</v>
      </c>
      <c r="B399" s="57" t="s">
        <v>129</v>
      </c>
      <c r="C399" s="57">
        <v>2026</v>
      </c>
      <c r="D399" s="58">
        <f>MATCH(B399,{"GENNAIO","FEBBRAIO","MARZO","APRILE","MAGGIO","GIUGNO","LUGLIO","AGOSTO","SETTEMBRE","OTTOBRE","NOVEMBRE","DICEMBRE"},0)</f>
        <v>2</v>
      </c>
      <c r="E399" s="57" t="str">
        <f t="shared" ref="E399" si="696">CONCATENATE(,B399," ",C399)</f>
        <v>FEBBRAIO 2026</v>
      </c>
      <c r="F399" s="57" t="str">
        <f t="shared" ref="F399" si="697">CONCATENATE(D399," ",E399)</f>
        <v>2 FEBBRAIO 2026</v>
      </c>
      <c r="G399" s="1309" t="s">
        <v>111</v>
      </c>
      <c r="H399" s="1309" t="str">
        <f>VLOOKUP(G399,CATEGORIE!$H$3:$I$55,2,FALSE)</f>
        <v>COSTO MOBILITA'</v>
      </c>
      <c r="I399" s="59">
        <v>0.66</v>
      </c>
      <c r="J399" s="940"/>
      <c r="K399" s="59" t="s">
        <v>112</v>
      </c>
      <c r="L399" s="59"/>
    </row>
    <row r="400" spans="1:12">
      <c r="A400" s="57" t="s">
        <v>95</v>
      </c>
      <c r="B400" s="57" t="s">
        <v>129</v>
      </c>
      <c r="C400" s="57">
        <v>2026</v>
      </c>
      <c r="D400" s="58">
        <f>MATCH(B400,{"GENNAIO","FEBBRAIO","MARZO","APRILE","MAGGIO","GIUGNO","LUGLIO","AGOSTO","SETTEMBRE","OTTOBRE","NOVEMBRE","DICEMBRE"},0)</f>
        <v>2</v>
      </c>
      <c r="E400" s="57" t="str">
        <f t="shared" ref="E400" si="698">CONCATENATE(,B400," ",C400)</f>
        <v>FEBBRAIO 2026</v>
      </c>
      <c r="F400" s="57" t="str">
        <f t="shared" ref="F400" si="699">CONCATENATE(D400," ",E400)</f>
        <v>2 FEBBRAIO 2026</v>
      </c>
      <c r="G400" s="1309" t="s">
        <v>96</v>
      </c>
      <c r="H400" s="1309" t="str">
        <f>VLOOKUP(G400,CATEGORIE!$H$3:$I$55,2,FALSE)</f>
        <v>COSTO SOPRAVVIVENZA</v>
      </c>
      <c r="I400" s="59">
        <v>13.92</v>
      </c>
      <c r="J400" s="940"/>
      <c r="K400" s="59"/>
      <c r="L400" s="59"/>
    </row>
    <row r="401" spans="1:12">
      <c r="A401" s="57" t="s">
        <v>99</v>
      </c>
      <c r="B401" s="57" t="s">
        <v>129</v>
      </c>
      <c r="C401" s="57">
        <v>2026</v>
      </c>
      <c r="D401" s="58">
        <f>MATCH(B401,{"GENNAIO","FEBBRAIO","MARZO","APRILE","MAGGIO","GIUGNO","LUGLIO","AGOSTO","SETTEMBRE","OTTOBRE","NOVEMBRE","DICEMBRE"},0)</f>
        <v>2</v>
      </c>
      <c r="E401" s="57" t="str">
        <f t="shared" ref="E401" si="700">CONCATENATE(,B401," ",C401)</f>
        <v>FEBBRAIO 2026</v>
      </c>
      <c r="F401" s="57" t="str">
        <f t="shared" ref="F401" si="701">CONCATENATE(D401," ",E401)</f>
        <v>2 FEBBRAIO 2026</v>
      </c>
      <c r="G401" s="1309" t="s">
        <v>100</v>
      </c>
      <c r="H401" s="1309" t="str">
        <f>VLOOKUP(G401,CATEGORIE!$H$3:$I$55,2,FALSE)</f>
        <v>COSTO SFIZI</v>
      </c>
      <c r="I401" s="59">
        <v>149.99</v>
      </c>
      <c r="J401" s="940"/>
      <c r="K401" s="59"/>
      <c r="L401" s="59"/>
    </row>
    <row r="402" spans="1:12">
      <c r="A402" s="57" t="s">
        <v>110</v>
      </c>
      <c r="B402" s="57" t="s">
        <v>129</v>
      </c>
      <c r="C402" s="57">
        <v>2026</v>
      </c>
      <c r="D402" s="58">
        <f>MATCH(B402,{"GENNAIO","FEBBRAIO","MARZO","APRILE","MAGGIO","GIUGNO","LUGLIO","AGOSTO","SETTEMBRE","OTTOBRE","NOVEMBRE","DICEMBRE"},0)</f>
        <v>2</v>
      </c>
      <c r="E402" s="57" t="str">
        <f t="shared" ref="E402" si="702">CONCATENATE(,B402," ",C402)</f>
        <v>FEBBRAIO 2026</v>
      </c>
      <c r="F402" s="57" t="str">
        <f t="shared" ref="F402" si="703">CONCATENATE(D402," ",E402)</f>
        <v>2 FEBBRAIO 2026</v>
      </c>
      <c r="G402" s="1309" t="s">
        <v>111</v>
      </c>
      <c r="H402" s="1309" t="str">
        <f>VLOOKUP(G402,CATEGORIE!$H$3:$I$55,2,FALSE)</f>
        <v>COSTO MOBILITA'</v>
      </c>
      <c r="I402" s="59">
        <v>2.2200000000000002</v>
      </c>
      <c r="J402" s="940"/>
      <c r="K402" s="59" t="s">
        <v>112</v>
      </c>
      <c r="L402" s="59"/>
    </row>
    <row r="403" spans="1:12">
      <c r="A403" s="57" t="s">
        <v>110</v>
      </c>
      <c r="B403" s="57" t="s">
        <v>129</v>
      </c>
      <c r="C403" s="57">
        <v>2026</v>
      </c>
      <c r="D403" s="58">
        <f>MATCH(B403,{"GENNAIO","FEBBRAIO","MARZO","APRILE","MAGGIO","GIUGNO","LUGLIO","AGOSTO","SETTEMBRE","OTTOBRE","NOVEMBRE","DICEMBRE"},0)</f>
        <v>2</v>
      </c>
      <c r="E403" s="57" t="str">
        <f t="shared" ref="E403" si="704">CONCATENATE(,B403," ",C403)</f>
        <v>FEBBRAIO 2026</v>
      </c>
      <c r="F403" s="57" t="str">
        <f t="shared" ref="F403" si="705">CONCATENATE(D403," ",E403)</f>
        <v>2 FEBBRAIO 2026</v>
      </c>
      <c r="G403" s="1309" t="s">
        <v>111</v>
      </c>
      <c r="H403" s="1309" t="str">
        <f>VLOOKUP(G403,CATEGORIE!$H$3:$I$55,2,FALSE)</f>
        <v>COSTO MOBILITA'</v>
      </c>
      <c r="I403" s="59">
        <v>0.17</v>
      </c>
      <c r="J403" s="940"/>
      <c r="K403" s="59" t="s">
        <v>112</v>
      </c>
      <c r="L403" s="59"/>
    </row>
    <row r="404" spans="1:12">
      <c r="A404" s="57" t="s">
        <v>102</v>
      </c>
      <c r="B404" s="57" t="s">
        <v>129</v>
      </c>
      <c r="C404" s="57">
        <v>2026</v>
      </c>
      <c r="D404" s="58">
        <f>MATCH(B404,{"GENNAIO","FEBBRAIO","MARZO","APRILE","MAGGIO","GIUGNO","LUGLIO","AGOSTO","SETTEMBRE","OTTOBRE","NOVEMBRE","DICEMBRE"},0)</f>
        <v>2</v>
      </c>
      <c r="E404" s="57" t="str">
        <f t="shared" ref="E404" si="706">CONCATENATE(,B404," ",C404)</f>
        <v>FEBBRAIO 2026</v>
      </c>
      <c r="F404" s="57" t="str">
        <f t="shared" ref="F404" si="707">CONCATENATE(D404," ",E404)</f>
        <v>2 FEBBRAIO 2026</v>
      </c>
      <c r="G404" s="1309" t="s">
        <v>96</v>
      </c>
      <c r="H404" s="1309" t="str">
        <f>VLOOKUP(G404,CATEGORIE!$H$3:$I$55,2,FALSE)</f>
        <v>COSTO SOPRAVVIVENZA</v>
      </c>
      <c r="I404" s="59">
        <v>4.8600000000000003</v>
      </c>
      <c r="J404" s="940"/>
      <c r="K404" s="59"/>
      <c r="L404" s="59"/>
    </row>
    <row r="405" spans="1:12">
      <c r="A405" s="57" t="s">
        <v>105</v>
      </c>
      <c r="B405" s="57" t="s">
        <v>129</v>
      </c>
      <c r="C405" s="57">
        <v>2026</v>
      </c>
      <c r="D405" s="58">
        <f>MATCH(B405,{"GENNAIO","FEBBRAIO","MARZO","APRILE","MAGGIO","GIUGNO","LUGLIO","AGOSTO","SETTEMBRE","OTTOBRE","NOVEMBRE","DICEMBRE"},0)</f>
        <v>2</v>
      </c>
      <c r="E405" s="57" t="str">
        <f t="shared" ref="E405" si="708">CONCATENATE(,B405," ",C405)</f>
        <v>FEBBRAIO 2026</v>
      </c>
      <c r="F405" s="57" t="str">
        <f t="shared" ref="F405" si="709">CONCATENATE(D405," ",E405)</f>
        <v>2 FEBBRAIO 2026</v>
      </c>
      <c r="G405" s="1309" t="s">
        <v>96</v>
      </c>
      <c r="H405" s="1309" t="str">
        <f>VLOOKUP(G405,CATEGORIE!$H$3:$I$55,2,FALSE)</f>
        <v>COSTO SOPRAVVIVENZA</v>
      </c>
      <c r="I405" s="59">
        <v>21</v>
      </c>
      <c r="J405" s="940"/>
      <c r="K405" s="59"/>
      <c r="L405" s="59"/>
    </row>
    <row r="406" spans="1:12">
      <c r="A406" s="57" t="s">
        <v>92</v>
      </c>
      <c r="B406" s="57" t="s">
        <v>129</v>
      </c>
      <c r="C406" s="57">
        <v>2026</v>
      </c>
      <c r="D406" s="58">
        <f>MATCH(B406,{"GENNAIO","FEBBRAIO","MARZO","APRILE","MAGGIO","GIUGNO","LUGLIO","AGOSTO","SETTEMBRE","OTTOBRE","NOVEMBRE","DICEMBRE"},0)</f>
        <v>2</v>
      </c>
      <c r="E406" s="57" t="str">
        <f t="shared" ref="E406" si="710">CONCATENATE(,B406," ",C406)</f>
        <v>FEBBRAIO 2026</v>
      </c>
      <c r="F406" s="57" t="str">
        <f t="shared" ref="F406" si="711">CONCATENATE(D406," ",E406)</f>
        <v>2 FEBBRAIO 2026</v>
      </c>
      <c r="G406" s="1309" t="s">
        <v>93</v>
      </c>
      <c r="H406" s="1309" t="str">
        <f>VLOOKUP(G406,CATEGORIE!$H$3:$I$55,2,FALSE)</f>
        <v>COSTO SOPRAVVIVENZA</v>
      </c>
      <c r="I406" s="59">
        <v>7</v>
      </c>
      <c r="J406" s="57"/>
      <c r="K406" s="57"/>
      <c r="L406" s="59"/>
    </row>
    <row r="407" spans="1:12">
      <c r="A407" s="57" t="s">
        <v>97</v>
      </c>
      <c r="B407" s="57" t="s">
        <v>129</v>
      </c>
      <c r="C407" s="57">
        <v>2026</v>
      </c>
      <c r="D407" s="58">
        <f>MATCH(B407,{"GENNAIO","FEBBRAIO","MARZO","APRILE","MAGGIO","GIUGNO","LUGLIO","AGOSTO","SETTEMBRE","OTTOBRE","NOVEMBRE","DICEMBRE"},0)</f>
        <v>2</v>
      </c>
      <c r="E407" s="57" t="str">
        <f t="shared" ref="E407:E408" si="712">CONCATENATE(,B407," ",C407)</f>
        <v>FEBBRAIO 2026</v>
      </c>
      <c r="F407" s="57" t="str">
        <f t="shared" ref="F407:F408" si="713">CONCATENATE(D407," ",E407)</f>
        <v>2 FEBBRAIO 2026</v>
      </c>
      <c r="G407" s="1309" t="s">
        <v>789</v>
      </c>
      <c r="H407" s="1309" t="str">
        <f>VLOOKUP(G407,CATEGORIE!$H$3:$I$55,2,FALSE)</f>
        <v>MOVIMENTI CONTO</v>
      </c>
      <c r="I407" s="59">
        <v>30</v>
      </c>
      <c r="J407" s="940"/>
      <c r="K407" s="59" t="s">
        <v>97</v>
      </c>
      <c r="L407" s="59" t="s">
        <v>149</v>
      </c>
    </row>
    <row r="408" spans="1:12">
      <c r="A408" s="57" t="s">
        <v>97</v>
      </c>
      <c r="B408" s="57" t="s">
        <v>129</v>
      </c>
      <c r="C408" s="57">
        <v>2026</v>
      </c>
      <c r="D408" s="58">
        <f>MATCH(B408,{"GENNAIO","FEBBRAIO","MARZO","APRILE","MAGGIO","GIUGNO","LUGLIO","AGOSTO","SETTEMBRE","OTTOBRE","NOVEMBRE","DICEMBRE"},0)</f>
        <v>2</v>
      </c>
      <c r="E408" s="57" t="str">
        <f t="shared" si="712"/>
        <v>FEBBRAIO 2026</v>
      </c>
      <c r="F408" s="57" t="str">
        <f t="shared" si="713"/>
        <v>2 FEBBRAIO 2026</v>
      </c>
      <c r="G408" s="1309" t="s">
        <v>116</v>
      </c>
      <c r="H408" s="1309" t="str">
        <f>VLOOKUP(G408,CATEGORIE!$H$3:$I$55,2,FALSE)</f>
        <v>TASSE</v>
      </c>
      <c r="I408" s="59">
        <v>2.2799999999999998</v>
      </c>
      <c r="J408" s="940"/>
      <c r="K408" s="59" t="s">
        <v>97</v>
      </c>
      <c r="L408" s="59" t="s">
        <v>149</v>
      </c>
    </row>
    <row r="409" spans="1:12">
      <c r="A409" s="57" t="s">
        <v>97</v>
      </c>
      <c r="B409" s="57" t="s">
        <v>129</v>
      </c>
      <c r="C409" s="57">
        <v>2026</v>
      </c>
      <c r="D409" s="58">
        <f>MATCH(B409,{"GENNAIO","FEBBRAIO","MARZO","APRILE","MAGGIO","GIUGNO","LUGLIO","AGOSTO","SETTEMBRE","OTTOBRE","NOVEMBRE","DICEMBRE"},0)</f>
        <v>2</v>
      </c>
      <c r="E409" s="57" t="str">
        <f t="shared" ref="E409" si="714">CONCATENATE(,B409," ",C409)</f>
        <v>FEBBRAIO 2026</v>
      </c>
      <c r="F409" s="57" t="str">
        <f t="shared" ref="F409" si="715">CONCATENATE(D409," ",E409)</f>
        <v>2 FEBBRAIO 2026</v>
      </c>
      <c r="G409" s="1309" t="s">
        <v>789</v>
      </c>
      <c r="H409" s="1309" t="str">
        <f>VLOOKUP(G409,CATEGORIE!$H$3:$I$55,2,FALSE)</f>
        <v>MOVIMENTI CONTO</v>
      </c>
      <c r="I409" s="59">
        <v>130.06</v>
      </c>
      <c r="J409" s="940"/>
      <c r="K409" s="59" t="s">
        <v>97</v>
      </c>
      <c r="L409" s="59" t="s">
        <v>149</v>
      </c>
    </row>
    <row r="410" spans="1:12">
      <c r="A410" s="57" t="s">
        <v>110</v>
      </c>
      <c r="B410" s="57" t="s">
        <v>129</v>
      </c>
      <c r="C410" s="57">
        <v>2026</v>
      </c>
      <c r="D410" s="58">
        <f>MATCH(B410,{"GENNAIO","FEBBRAIO","MARZO","APRILE","MAGGIO","GIUGNO","LUGLIO","AGOSTO","SETTEMBRE","OTTOBRE","NOVEMBRE","DICEMBRE"},0)</f>
        <v>2</v>
      </c>
      <c r="E410" s="57" t="str">
        <f t="shared" ref="E410" si="716">CONCATENATE(,B410," ",C410)</f>
        <v>FEBBRAIO 2026</v>
      </c>
      <c r="F410" s="57" t="str">
        <f t="shared" ref="F410" si="717">CONCATENATE(D410," ",E410)</f>
        <v>2 FEBBRAIO 2026</v>
      </c>
      <c r="G410" s="1309" t="s">
        <v>111</v>
      </c>
      <c r="H410" s="1309" t="str">
        <f>VLOOKUP(G410,CATEGORIE!$H$3:$I$55,2,FALSE)</f>
        <v>COSTO MOBILITA'</v>
      </c>
      <c r="I410" s="59">
        <v>0.85</v>
      </c>
      <c r="J410" s="940"/>
      <c r="K410" s="59" t="s">
        <v>112</v>
      </c>
      <c r="L410" s="59"/>
    </row>
    <row r="411" spans="1:12">
      <c r="A411" s="57" t="s">
        <v>150</v>
      </c>
      <c r="B411" s="57" t="s">
        <v>129</v>
      </c>
      <c r="C411" s="57">
        <v>2026</v>
      </c>
      <c r="D411" s="58">
        <f>MATCH(B411,{"GENNAIO","FEBBRAIO","MARZO","APRILE","MAGGIO","GIUGNO","LUGLIO","AGOSTO","SETTEMBRE","OTTOBRE","NOVEMBRE","DICEMBRE"},0)</f>
        <v>2</v>
      </c>
      <c r="E411" s="57" t="str">
        <f t="shared" ref="E411" si="718">CONCATENATE(,B411," ",C411)</f>
        <v>FEBBRAIO 2026</v>
      </c>
      <c r="F411" s="57" t="str">
        <f t="shared" ref="F411" si="719">CONCATENATE(D411," ",E411)</f>
        <v>2 FEBBRAIO 2026</v>
      </c>
      <c r="G411" s="1309" t="s">
        <v>94</v>
      </c>
      <c r="H411" s="1309" t="str">
        <f>VLOOKUP(G411,CATEGORIE!$H$3:$I$55,2,FALSE)</f>
        <v>COSTO SVAGHI</v>
      </c>
      <c r="I411" s="59">
        <v>10</v>
      </c>
      <c r="J411" s="940"/>
      <c r="K411" s="59"/>
      <c r="L411" s="59"/>
    </row>
    <row r="412" spans="1:12">
      <c r="A412" s="57" t="s">
        <v>148</v>
      </c>
      <c r="B412" s="57" t="s">
        <v>129</v>
      </c>
      <c r="C412" s="57">
        <v>2026</v>
      </c>
      <c r="D412" s="58">
        <f>MATCH(B412,{"GENNAIO","FEBBRAIO","MARZO","APRILE","MAGGIO","GIUGNO","LUGLIO","AGOSTO","SETTEMBRE","OTTOBRE","NOVEMBRE","DICEMBRE"},0)</f>
        <v>2</v>
      </c>
      <c r="E412" s="57" t="str">
        <f t="shared" ref="E412" si="720">CONCATENATE(,B412," ",C412)</f>
        <v>FEBBRAIO 2026</v>
      </c>
      <c r="F412" s="57" t="str">
        <f t="shared" ref="F412" si="721">CONCATENATE(D412," ",E412)</f>
        <v>2 FEBBRAIO 2026</v>
      </c>
      <c r="G412" s="1309" t="s">
        <v>91</v>
      </c>
      <c r="H412" s="1309" t="str">
        <f>VLOOKUP(G412,CATEGORIE!$H$3:$I$55,2,FALSE)</f>
        <v>COSTO SOPRAVVIVENZA</v>
      </c>
      <c r="I412" s="59">
        <v>1</v>
      </c>
      <c r="J412" s="940"/>
      <c r="K412" s="59"/>
      <c r="L412" s="59"/>
    </row>
    <row r="413" spans="1:12">
      <c r="A413" s="57" t="s">
        <v>148</v>
      </c>
      <c r="B413" s="57" t="s">
        <v>129</v>
      </c>
      <c r="C413" s="57">
        <v>2026</v>
      </c>
      <c r="D413" s="58">
        <f>MATCH(B413,{"GENNAIO","FEBBRAIO","MARZO","APRILE","MAGGIO","GIUGNO","LUGLIO","AGOSTO","SETTEMBRE","OTTOBRE","NOVEMBRE","DICEMBRE"},0)</f>
        <v>2</v>
      </c>
      <c r="E413" s="57" t="str">
        <f t="shared" ref="E413" si="722">CONCATENATE(,B413," ",C413)</f>
        <v>FEBBRAIO 2026</v>
      </c>
      <c r="F413" s="57" t="str">
        <f t="shared" ref="F413" si="723">CONCATENATE(D413," ",E413)</f>
        <v>2 FEBBRAIO 2026</v>
      </c>
      <c r="G413" s="1309" t="s">
        <v>91</v>
      </c>
      <c r="H413" s="1309" t="str">
        <f>VLOOKUP(G413,CATEGORIE!$H$3:$I$55,2,FALSE)</f>
        <v>COSTO SOPRAVVIVENZA</v>
      </c>
      <c r="I413" s="59">
        <v>1</v>
      </c>
      <c r="J413" s="940"/>
      <c r="K413" s="59"/>
      <c r="L413" s="59"/>
    </row>
    <row r="414" spans="1:12">
      <c r="A414" s="57" t="s">
        <v>106</v>
      </c>
      <c r="B414" s="57" t="s">
        <v>129</v>
      </c>
      <c r="C414" s="57">
        <v>2026</v>
      </c>
      <c r="D414" s="58">
        <f>MATCH(B414,{"GENNAIO","FEBBRAIO","MARZO","APRILE","MAGGIO","GIUGNO","LUGLIO","AGOSTO","SETTEMBRE","OTTOBRE","NOVEMBRE","DICEMBRE"},0)</f>
        <v>2</v>
      </c>
      <c r="E414" s="57" t="str">
        <f t="shared" ref="E414:E415" si="724">CONCATENATE(,B414," ",C414)</f>
        <v>FEBBRAIO 2026</v>
      </c>
      <c r="F414" s="57" t="str">
        <f t="shared" ref="F414:F415" si="725">CONCATENATE(D414," ",E414)</f>
        <v>2 FEBBRAIO 2026</v>
      </c>
      <c r="G414" s="1309" t="s">
        <v>107</v>
      </c>
      <c r="H414" s="1309" t="str">
        <f>VLOOKUP(G414,CATEGORIE!$H$3:$I$55,2,FALSE)</f>
        <v>COSTO SOPRAVVIVENZA</v>
      </c>
      <c r="I414" s="59">
        <v>33</v>
      </c>
      <c r="J414" s="940"/>
      <c r="K414" s="59"/>
      <c r="L414" s="59"/>
    </row>
    <row r="415" spans="1:12">
      <c r="A415" s="57" t="s">
        <v>92</v>
      </c>
      <c r="B415" s="57" t="s">
        <v>129</v>
      </c>
      <c r="C415" s="57">
        <v>2026</v>
      </c>
      <c r="D415" s="58">
        <f>MATCH(B415,{"GENNAIO","FEBBRAIO","MARZO","APRILE","MAGGIO","GIUGNO","LUGLIO","AGOSTO","SETTEMBRE","OTTOBRE","NOVEMBRE","DICEMBRE"},0)</f>
        <v>2</v>
      </c>
      <c r="E415" s="57" t="str">
        <f t="shared" si="724"/>
        <v>FEBBRAIO 2026</v>
      </c>
      <c r="F415" s="57" t="str">
        <f t="shared" si="725"/>
        <v>2 FEBBRAIO 2026</v>
      </c>
      <c r="G415" s="1309" t="s">
        <v>93</v>
      </c>
      <c r="H415" s="1309" t="str">
        <f>VLOOKUP(G415,CATEGORIE!$H$3:$I$55,2,FALSE)</f>
        <v>COSTO SOPRAVVIVENZA</v>
      </c>
      <c r="I415" s="59">
        <v>7</v>
      </c>
      <c r="J415" s="57"/>
      <c r="K415" s="57"/>
      <c r="L415" s="59"/>
    </row>
    <row r="416" spans="1:12">
      <c r="A416" s="57" t="s">
        <v>99</v>
      </c>
      <c r="B416" s="57" t="s">
        <v>129</v>
      </c>
      <c r="C416" s="57">
        <v>2026</v>
      </c>
      <c r="D416" s="58">
        <f>MATCH(B416,{"GENNAIO","FEBBRAIO","MARZO","APRILE","MAGGIO","GIUGNO","LUGLIO","AGOSTO","SETTEMBRE","OTTOBRE","NOVEMBRE","DICEMBRE"},0)</f>
        <v>2</v>
      </c>
      <c r="E416" s="57" t="str">
        <f t="shared" ref="E416" si="726">CONCATENATE(,B416," ",C416)</f>
        <v>FEBBRAIO 2026</v>
      </c>
      <c r="F416" s="57" t="str">
        <f t="shared" ref="F416" si="727">CONCATENATE(D416," ",E416)</f>
        <v>2 FEBBRAIO 2026</v>
      </c>
      <c r="G416" s="1309" t="s">
        <v>100</v>
      </c>
      <c r="H416" s="1309" t="str">
        <f>VLOOKUP(G416,CATEGORIE!$H$3:$I$55,2,FALSE)</f>
        <v>COSTO SFIZI</v>
      </c>
      <c r="I416" s="59">
        <v>38.799999999999997</v>
      </c>
      <c r="J416" s="940" t="s">
        <v>145</v>
      </c>
      <c r="K416" s="59" t="s">
        <v>99</v>
      </c>
      <c r="L416" s="59" t="s">
        <v>128</v>
      </c>
    </row>
    <row r="417" spans="1:12">
      <c r="A417" s="57" t="s">
        <v>99</v>
      </c>
      <c r="B417" s="57" t="s">
        <v>129</v>
      </c>
      <c r="C417" s="57">
        <v>2026</v>
      </c>
      <c r="D417" s="58">
        <f>MATCH(B417,{"GENNAIO","FEBBRAIO","MARZO","APRILE","MAGGIO","GIUGNO","LUGLIO","AGOSTO","SETTEMBRE","OTTOBRE","NOVEMBRE","DICEMBRE"},0)</f>
        <v>2</v>
      </c>
      <c r="E417" s="57" t="str">
        <f t="shared" ref="E417" si="728">CONCATENATE(,B417," ",C417)</f>
        <v>FEBBRAIO 2026</v>
      </c>
      <c r="F417" s="57" t="str">
        <f t="shared" ref="F417" si="729">CONCATENATE(D417," ",E417)</f>
        <v>2 FEBBRAIO 2026</v>
      </c>
      <c r="G417" s="1309" t="s">
        <v>100</v>
      </c>
      <c r="H417" s="1309" t="str">
        <f>VLOOKUP(G417,CATEGORIE!$H$3:$I$55,2,FALSE)</f>
        <v>COSTO SFIZI</v>
      </c>
      <c r="I417" s="59">
        <v>94.8</v>
      </c>
      <c r="J417" s="940" t="s">
        <v>151</v>
      </c>
      <c r="K417" s="59" t="s">
        <v>99</v>
      </c>
      <c r="L417" s="59" t="s">
        <v>152</v>
      </c>
    </row>
    <row r="418" spans="1:12">
      <c r="A418" s="57" t="s">
        <v>153</v>
      </c>
      <c r="B418" s="57" t="s">
        <v>154</v>
      </c>
      <c r="C418" s="57">
        <v>2026</v>
      </c>
      <c r="D418" s="58">
        <f>MATCH(B418,{"GENNAIO","FEBBRAIO","MARZO","APRILE","MAGGIO","GIUGNO","LUGLIO","AGOSTO","SETTEMBRE","OTTOBRE","NOVEMBRE","DICEMBRE"},0)</f>
        <v>1</v>
      </c>
      <c r="E418" s="57" t="str">
        <f t="shared" ref="E418" si="730">CONCATENATE(,B418," ",C418)</f>
        <v>GENNAIO 2026</v>
      </c>
      <c r="F418" s="57" t="str">
        <f t="shared" ref="F418" si="731">CONCATENATE(D418," ",E418)</f>
        <v>1 GENNAIO 2026</v>
      </c>
      <c r="G418" s="1309" t="s">
        <v>693</v>
      </c>
      <c r="H418" s="1309" t="str">
        <f>VLOOKUP(G418,CATEGORIE!$H$3:$I$55,2,FALSE)</f>
        <v>GESTIONE CONTO</v>
      </c>
      <c r="I418" s="59">
        <v>25.82</v>
      </c>
      <c r="J418" s="943"/>
      <c r="K418" s="59"/>
      <c r="L418" s="59"/>
    </row>
    <row r="419" spans="1:12">
      <c r="A419" s="57" t="s">
        <v>155</v>
      </c>
      <c r="B419" s="57" t="s">
        <v>154</v>
      </c>
      <c r="C419" s="57">
        <v>2026</v>
      </c>
      <c r="D419" s="58">
        <f>MATCH(B419,{"GENNAIO","FEBBRAIO","MARZO","APRILE","MAGGIO","GIUGNO","LUGLIO","AGOSTO","SETTEMBRE","OTTOBRE","NOVEMBRE","DICEMBRE"},0)</f>
        <v>1</v>
      </c>
      <c r="E419" s="57" t="str">
        <f t="shared" ref="E419" si="732">CONCATENATE(,B419," ",C419)</f>
        <v>GENNAIO 2026</v>
      </c>
      <c r="F419" s="57" t="str">
        <f t="shared" ref="F419" si="733">CONCATENATE(D419," ",E419)</f>
        <v>1 GENNAIO 2026</v>
      </c>
      <c r="G419" s="1309" t="s">
        <v>94</v>
      </c>
      <c r="H419" s="1309" t="str">
        <f>VLOOKUP(G419,CATEGORIE!$H$3:$I$55,2,FALSE)</f>
        <v>COSTO SVAGHI</v>
      </c>
      <c r="I419" s="59">
        <v>24</v>
      </c>
      <c r="J419" s="940"/>
      <c r="K419" s="59"/>
      <c r="L419" s="59"/>
    </row>
    <row r="420" spans="1:12">
      <c r="A420" s="57" t="s">
        <v>156</v>
      </c>
      <c r="B420" s="57" t="s">
        <v>154</v>
      </c>
      <c r="C420" s="57">
        <v>2026</v>
      </c>
      <c r="D420" s="58">
        <f>MATCH(B420,{"GENNAIO","FEBBRAIO","MARZO","APRILE","MAGGIO","GIUGNO","LUGLIO","AGOSTO","SETTEMBRE","OTTOBRE","NOVEMBRE","DICEMBRE"},0)</f>
        <v>1</v>
      </c>
      <c r="E420" s="57" t="str">
        <f t="shared" ref="E420" si="734">CONCATENATE(,B420," ",C420)</f>
        <v>GENNAIO 2026</v>
      </c>
      <c r="F420" s="57" t="str">
        <f t="shared" ref="F420" si="735">CONCATENATE(D420," ",E420)</f>
        <v>1 GENNAIO 2026</v>
      </c>
      <c r="G420" s="1309" t="s">
        <v>96</v>
      </c>
      <c r="H420" s="1309" t="str">
        <f>VLOOKUP(G420,CATEGORIE!$H$3:$I$55,2,FALSE)</f>
        <v>COSTO SOPRAVVIVENZA</v>
      </c>
      <c r="I420" s="59">
        <v>3.65</v>
      </c>
      <c r="J420" s="940"/>
      <c r="K420" s="59"/>
      <c r="L420" s="59"/>
    </row>
    <row r="421" spans="1:12">
      <c r="A421" s="57" t="s">
        <v>130</v>
      </c>
      <c r="B421" s="57" t="s">
        <v>154</v>
      </c>
      <c r="C421" s="57">
        <v>2026</v>
      </c>
      <c r="D421" s="58">
        <f>MATCH(B421,{"GENNAIO","FEBBRAIO","MARZO","APRILE","MAGGIO","GIUGNO","LUGLIO","AGOSTO","SETTEMBRE","OTTOBRE","NOVEMBRE","DICEMBRE"},0)</f>
        <v>1</v>
      </c>
      <c r="E421" s="57" t="str">
        <f t="shared" ref="E421" si="736">CONCATENATE(,B421," ",C421)</f>
        <v>GENNAIO 2026</v>
      </c>
      <c r="F421" s="57" t="str">
        <f t="shared" ref="F421" si="737">CONCATENATE(D421," ",E421)</f>
        <v>1 GENNAIO 2026</v>
      </c>
      <c r="G421" s="1309" t="s">
        <v>94</v>
      </c>
      <c r="H421" s="1309" t="str">
        <f>VLOOKUP(G421,CATEGORIE!$H$3:$I$55,2,FALSE)</f>
        <v>COSTO SVAGHI</v>
      </c>
      <c r="I421" s="59">
        <v>15.5</v>
      </c>
      <c r="J421" s="940"/>
      <c r="K421" s="59"/>
      <c r="L421" s="59"/>
    </row>
    <row r="422" spans="1:12">
      <c r="A422" s="57" t="s">
        <v>92</v>
      </c>
      <c r="B422" s="57" t="s">
        <v>154</v>
      </c>
      <c r="C422" s="57">
        <v>2026</v>
      </c>
      <c r="D422" s="58">
        <f>MATCH(B422,{"GENNAIO","FEBBRAIO","MARZO","APRILE","MAGGIO","GIUGNO","LUGLIO","AGOSTO","SETTEMBRE","OTTOBRE","NOVEMBRE","DICEMBRE"},0)</f>
        <v>1</v>
      </c>
      <c r="E422" s="57" t="str">
        <f t="shared" ref="E422" si="738">CONCATENATE(,B422," ",C422)</f>
        <v>GENNAIO 2026</v>
      </c>
      <c r="F422" s="57" t="str">
        <f t="shared" ref="F422" si="739">CONCATENATE(D422," ",E422)</f>
        <v>1 GENNAIO 2026</v>
      </c>
      <c r="G422" s="1309" t="s">
        <v>93</v>
      </c>
      <c r="H422" s="1309" t="str">
        <f>VLOOKUP(G422,CATEGORIE!$H$3:$I$55,2,FALSE)</f>
        <v>COSTO SOPRAVVIVENZA</v>
      </c>
      <c r="I422" s="59">
        <v>7</v>
      </c>
      <c r="J422" s="57"/>
      <c r="K422" s="57"/>
      <c r="L422" s="59"/>
    </row>
    <row r="423" spans="1:12">
      <c r="A423" s="57" t="s">
        <v>102</v>
      </c>
      <c r="B423" s="57" t="s">
        <v>154</v>
      </c>
      <c r="C423" s="57">
        <v>2026</v>
      </c>
      <c r="D423" s="58">
        <f>MATCH(B423,{"GENNAIO","FEBBRAIO","MARZO","APRILE","MAGGIO","GIUGNO","LUGLIO","AGOSTO","SETTEMBRE","OTTOBRE","NOVEMBRE","DICEMBRE"},0)</f>
        <v>1</v>
      </c>
      <c r="E423" s="57" t="str">
        <f t="shared" ref="E423" si="740">CONCATENATE(,B423," ",C423)</f>
        <v>GENNAIO 2026</v>
      </c>
      <c r="F423" s="57" t="str">
        <f t="shared" ref="F423" si="741">CONCATENATE(D423," ",E423)</f>
        <v>1 GENNAIO 2026</v>
      </c>
      <c r="G423" s="1309" t="s">
        <v>96</v>
      </c>
      <c r="H423" s="1309" t="str">
        <f>VLOOKUP(G423,CATEGORIE!$H$3:$I$55,2,FALSE)</f>
        <v>COSTO SOPRAVVIVENZA</v>
      </c>
      <c r="I423" s="59">
        <v>5.78</v>
      </c>
      <c r="J423" s="940"/>
      <c r="K423" s="59"/>
      <c r="L423" s="59"/>
    </row>
    <row r="424" spans="1:12">
      <c r="A424" s="57" t="s">
        <v>92</v>
      </c>
      <c r="B424" s="57" t="s">
        <v>154</v>
      </c>
      <c r="C424" s="57">
        <v>2026</v>
      </c>
      <c r="D424" s="58">
        <f>MATCH(B424,{"GENNAIO","FEBBRAIO","MARZO","APRILE","MAGGIO","GIUGNO","LUGLIO","AGOSTO","SETTEMBRE","OTTOBRE","NOVEMBRE","DICEMBRE"},0)</f>
        <v>1</v>
      </c>
      <c r="E424" s="57" t="str">
        <f t="shared" ref="E424" si="742">CONCATENATE(,B424," ",C424)</f>
        <v>GENNAIO 2026</v>
      </c>
      <c r="F424" s="57" t="str">
        <f t="shared" ref="F424" si="743">CONCATENATE(D424," ",E424)</f>
        <v>1 GENNAIO 2026</v>
      </c>
      <c r="G424" s="1309" t="s">
        <v>93</v>
      </c>
      <c r="H424" s="1309" t="str">
        <f>VLOOKUP(G424,CATEGORIE!$H$3:$I$55,2,FALSE)</f>
        <v>COSTO SOPRAVVIVENZA</v>
      </c>
      <c r="I424" s="59">
        <v>7</v>
      </c>
      <c r="J424" s="57"/>
      <c r="K424" s="57"/>
      <c r="L424" s="59"/>
    </row>
    <row r="425" spans="1:12">
      <c r="A425" s="57" t="s">
        <v>99</v>
      </c>
      <c r="B425" s="57" t="s">
        <v>154</v>
      </c>
      <c r="C425" s="57">
        <v>2026</v>
      </c>
      <c r="D425" s="58">
        <f>MATCH(B425,{"GENNAIO","FEBBRAIO","MARZO","APRILE","MAGGIO","GIUGNO","LUGLIO","AGOSTO","SETTEMBRE","OTTOBRE","NOVEMBRE","DICEMBRE"},0)</f>
        <v>1</v>
      </c>
      <c r="E425" s="57" t="str">
        <f t="shared" ref="E425:E426" si="744">CONCATENATE(,B425," ",C425)</f>
        <v>GENNAIO 2026</v>
      </c>
      <c r="F425" s="57" t="str">
        <f t="shared" ref="F425:F426" si="745">CONCATENATE(D425," ",E425)</f>
        <v>1 GENNAIO 2026</v>
      </c>
      <c r="G425" s="1309" t="s">
        <v>100</v>
      </c>
      <c r="H425" s="1309" t="str">
        <f>VLOOKUP(G425,CATEGORIE!$H$3:$I$55,2,FALSE)</f>
        <v>COSTO SFIZI</v>
      </c>
      <c r="I425" s="59">
        <v>17.25</v>
      </c>
      <c r="J425" s="940"/>
      <c r="K425" s="59"/>
      <c r="L425" s="59"/>
    </row>
    <row r="426" spans="1:12">
      <c r="A426" s="57" t="s">
        <v>92</v>
      </c>
      <c r="B426" s="57" t="s">
        <v>154</v>
      </c>
      <c r="C426" s="57">
        <v>2026</v>
      </c>
      <c r="D426" s="58">
        <f>MATCH(B426,{"GENNAIO","FEBBRAIO","MARZO","APRILE","MAGGIO","GIUGNO","LUGLIO","AGOSTO","SETTEMBRE","OTTOBRE","NOVEMBRE","DICEMBRE"},0)</f>
        <v>1</v>
      </c>
      <c r="E426" s="57" t="str">
        <f t="shared" si="744"/>
        <v>GENNAIO 2026</v>
      </c>
      <c r="F426" s="57" t="str">
        <f t="shared" si="745"/>
        <v>1 GENNAIO 2026</v>
      </c>
      <c r="G426" s="1309" t="s">
        <v>93</v>
      </c>
      <c r="H426" s="1309" t="str">
        <f>VLOOKUP(G426,CATEGORIE!$H$3:$I$55,2,FALSE)</f>
        <v>COSTO SOPRAVVIVENZA</v>
      </c>
      <c r="I426" s="59">
        <v>7</v>
      </c>
      <c r="J426" s="57"/>
      <c r="K426" s="57"/>
      <c r="L426" s="59"/>
    </row>
    <row r="427" spans="1:12">
      <c r="A427" s="57" t="s">
        <v>97</v>
      </c>
      <c r="B427" s="57" t="s">
        <v>154</v>
      </c>
      <c r="C427" s="57">
        <v>2026</v>
      </c>
      <c r="D427" s="58">
        <f>MATCH(B427,{"GENNAIO","FEBBRAIO","MARZO","APRILE","MAGGIO","GIUGNO","LUGLIO","AGOSTO","SETTEMBRE","OTTOBRE","NOVEMBRE","DICEMBRE"},0)</f>
        <v>1</v>
      </c>
      <c r="E427" s="57" t="str">
        <f t="shared" ref="E427" si="746">CONCATENATE(,B427," ",C427)</f>
        <v>GENNAIO 2026</v>
      </c>
      <c r="F427" s="57" t="str">
        <f t="shared" ref="F427" si="747">CONCATENATE(D427," ",E427)</f>
        <v>1 GENNAIO 2026</v>
      </c>
      <c r="G427" s="1309" t="s">
        <v>789</v>
      </c>
      <c r="H427" s="1309" t="str">
        <f>VLOOKUP(G427,CATEGORIE!$H$3:$I$55,2,FALSE)</f>
        <v>MOVIMENTI CONTO</v>
      </c>
      <c r="I427" s="59">
        <v>50</v>
      </c>
      <c r="J427" s="940"/>
      <c r="K427" s="59" t="s">
        <v>97</v>
      </c>
      <c r="L427" s="59" t="s">
        <v>157</v>
      </c>
    </row>
    <row r="428" spans="1:12">
      <c r="A428" s="57" t="s">
        <v>95</v>
      </c>
      <c r="B428" s="57" t="s">
        <v>154</v>
      </c>
      <c r="C428" s="57">
        <v>2026</v>
      </c>
      <c r="D428" s="58">
        <f>MATCH(B428,{"GENNAIO","FEBBRAIO","MARZO","APRILE","MAGGIO","GIUGNO","LUGLIO","AGOSTO","SETTEMBRE","OTTOBRE","NOVEMBRE","DICEMBRE"},0)</f>
        <v>1</v>
      </c>
      <c r="E428" s="57" t="str">
        <f t="shared" ref="E428" si="748">CONCATENATE(,B428," ",C428)</f>
        <v>GENNAIO 2026</v>
      </c>
      <c r="F428" s="57" t="str">
        <f t="shared" ref="F428" si="749">CONCATENATE(D428," ",E428)</f>
        <v>1 GENNAIO 2026</v>
      </c>
      <c r="G428" s="1309" t="s">
        <v>96</v>
      </c>
      <c r="H428" s="1309" t="str">
        <f>VLOOKUP(G428,CATEGORIE!$H$3:$I$55,2,FALSE)</f>
        <v>COSTO SOPRAVVIVENZA</v>
      </c>
      <c r="I428" s="59">
        <v>21.38</v>
      </c>
      <c r="J428" s="940"/>
      <c r="K428" s="59"/>
      <c r="L428" s="59"/>
    </row>
    <row r="429" spans="1:12">
      <c r="A429" s="57" t="s">
        <v>130</v>
      </c>
      <c r="B429" s="57" t="s">
        <v>154</v>
      </c>
      <c r="C429" s="57">
        <v>2026</v>
      </c>
      <c r="D429" s="58">
        <f>MATCH(B429,{"GENNAIO","FEBBRAIO","MARZO","APRILE","MAGGIO","GIUGNO","LUGLIO","AGOSTO","SETTEMBRE","OTTOBRE","NOVEMBRE","DICEMBRE"},0)</f>
        <v>1</v>
      </c>
      <c r="E429" s="57" t="str">
        <f t="shared" ref="E429" si="750">CONCATENATE(,B429," ",C429)</f>
        <v>GENNAIO 2026</v>
      </c>
      <c r="F429" s="57" t="str">
        <f t="shared" ref="F429" si="751">CONCATENATE(D429," ",E429)</f>
        <v>1 GENNAIO 2026</v>
      </c>
      <c r="G429" s="1309" t="s">
        <v>94</v>
      </c>
      <c r="H429" s="1309" t="str">
        <f>VLOOKUP(G429,CATEGORIE!$H$3:$I$55,2,FALSE)</f>
        <v>COSTO SVAGHI</v>
      </c>
      <c r="I429" s="59">
        <v>40</v>
      </c>
      <c r="J429" s="940"/>
      <c r="K429" s="59"/>
      <c r="L429" s="59"/>
    </row>
    <row r="430" spans="1:12">
      <c r="A430" s="57" t="s">
        <v>97</v>
      </c>
      <c r="B430" s="57" t="s">
        <v>154</v>
      </c>
      <c r="C430" s="57">
        <v>2026</v>
      </c>
      <c r="D430" s="58">
        <f>MATCH(B430,{"GENNAIO","FEBBRAIO","MARZO","APRILE","MAGGIO","GIUGNO","LUGLIO","AGOSTO","SETTEMBRE","OTTOBRE","NOVEMBRE","DICEMBRE"},0)</f>
        <v>1</v>
      </c>
      <c r="E430" s="57" t="str">
        <f t="shared" ref="E430" si="752">CONCATENATE(,B430," ",C430)</f>
        <v>GENNAIO 2026</v>
      </c>
      <c r="F430" s="57" t="str">
        <f t="shared" ref="F430" si="753">CONCATENATE(D430," ",E430)</f>
        <v>1 GENNAIO 2026</v>
      </c>
      <c r="G430" s="1309" t="s">
        <v>789</v>
      </c>
      <c r="H430" s="1309" t="str">
        <f>VLOOKUP(G430,CATEGORIE!$H$3:$I$55,2,FALSE)</f>
        <v>MOVIMENTI CONTO</v>
      </c>
      <c r="I430" s="59">
        <v>50.5</v>
      </c>
      <c r="J430" s="940"/>
      <c r="K430" s="59" t="s">
        <v>97</v>
      </c>
      <c r="L430" s="59" t="s">
        <v>158</v>
      </c>
    </row>
    <row r="431" spans="1:12">
      <c r="A431" s="57" t="s">
        <v>92</v>
      </c>
      <c r="B431" s="57" t="s">
        <v>154</v>
      </c>
      <c r="C431" s="57">
        <v>2026</v>
      </c>
      <c r="D431" s="58">
        <f>MATCH(B431,{"GENNAIO","FEBBRAIO","MARZO","APRILE","MAGGIO","GIUGNO","LUGLIO","AGOSTO","SETTEMBRE","OTTOBRE","NOVEMBRE","DICEMBRE"},0)</f>
        <v>1</v>
      </c>
      <c r="E431" s="57" t="str">
        <f t="shared" ref="E431" si="754">CONCATENATE(,B431," ",C431)</f>
        <v>GENNAIO 2026</v>
      </c>
      <c r="F431" s="57" t="str">
        <f t="shared" ref="F431" si="755">CONCATENATE(D431," ",E431)</f>
        <v>1 GENNAIO 2026</v>
      </c>
      <c r="G431" s="1309" t="s">
        <v>93</v>
      </c>
      <c r="H431" s="1309" t="str">
        <f>VLOOKUP(G431,CATEGORIE!$H$3:$I$55,2,FALSE)</f>
        <v>COSTO SOPRAVVIVENZA</v>
      </c>
      <c r="I431" s="59">
        <v>7</v>
      </c>
      <c r="J431" s="940"/>
      <c r="K431" s="59"/>
      <c r="L431" s="59"/>
    </row>
    <row r="432" spans="1:12">
      <c r="A432" s="57" t="s">
        <v>92</v>
      </c>
      <c r="B432" s="57" t="s">
        <v>154</v>
      </c>
      <c r="C432" s="57">
        <v>2026</v>
      </c>
      <c r="D432" s="58">
        <f>MATCH(B432,{"GENNAIO","FEBBRAIO","MARZO","APRILE","MAGGIO","GIUGNO","LUGLIO","AGOSTO","SETTEMBRE","OTTOBRE","NOVEMBRE","DICEMBRE"},0)</f>
        <v>1</v>
      </c>
      <c r="E432" s="57" t="str">
        <f t="shared" ref="E432" si="756">CONCATENATE(,B432," ",C432)</f>
        <v>GENNAIO 2026</v>
      </c>
      <c r="F432" s="57" t="str">
        <f t="shared" ref="F432" si="757">CONCATENATE(D432," ",E432)</f>
        <v>1 GENNAIO 2026</v>
      </c>
      <c r="G432" s="1309" t="s">
        <v>93</v>
      </c>
      <c r="H432" s="1309" t="str">
        <f>VLOOKUP(G432,CATEGORIE!$H$3:$I$55,2,FALSE)</f>
        <v>COSTO SOPRAVVIVENZA</v>
      </c>
      <c r="I432" s="59">
        <v>7</v>
      </c>
      <c r="J432" s="940"/>
      <c r="K432" s="59"/>
      <c r="L432" s="59"/>
    </row>
    <row r="433" spans="1:12">
      <c r="A433" s="57" t="s">
        <v>102</v>
      </c>
      <c r="B433" s="57" t="s">
        <v>154</v>
      </c>
      <c r="C433" s="57">
        <v>2026</v>
      </c>
      <c r="D433" s="58">
        <f>MATCH(B433,{"GENNAIO","FEBBRAIO","MARZO","APRILE","MAGGIO","GIUGNO","LUGLIO","AGOSTO","SETTEMBRE","OTTOBRE","NOVEMBRE","DICEMBRE"},0)</f>
        <v>1</v>
      </c>
      <c r="E433" s="57" t="str">
        <f t="shared" ref="E433" si="758">CONCATENATE(,B433," ",C433)</f>
        <v>GENNAIO 2026</v>
      </c>
      <c r="F433" s="57" t="str">
        <f t="shared" ref="F433" si="759">CONCATENATE(D433," ",E433)</f>
        <v>1 GENNAIO 2026</v>
      </c>
      <c r="G433" s="1309" t="s">
        <v>96</v>
      </c>
      <c r="H433" s="1309" t="str">
        <f>VLOOKUP(G433,CATEGORIE!$H$3:$I$55,2,FALSE)</f>
        <v>COSTO SOPRAVVIVENZA</v>
      </c>
      <c r="I433" s="59">
        <v>3.08</v>
      </c>
      <c r="J433" s="940"/>
      <c r="K433" s="59"/>
      <c r="L433" s="59"/>
    </row>
    <row r="434" spans="1:12">
      <c r="A434" s="57" t="s">
        <v>92</v>
      </c>
      <c r="B434" s="57" t="s">
        <v>154</v>
      </c>
      <c r="C434" s="57">
        <v>2026</v>
      </c>
      <c r="D434" s="58">
        <f>MATCH(B434,{"GENNAIO","FEBBRAIO","MARZO","APRILE","MAGGIO","GIUGNO","LUGLIO","AGOSTO","SETTEMBRE","OTTOBRE","NOVEMBRE","DICEMBRE"},0)</f>
        <v>1</v>
      </c>
      <c r="E434" s="57" t="str">
        <f t="shared" ref="E434" si="760">CONCATENATE(,B434," ",C434)</f>
        <v>GENNAIO 2026</v>
      </c>
      <c r="F434" s="57" t="str">
        <f t="shared" ref="F434" si="761">CONCATENATE(D434," ",E434)</f>
        <v>1 GENNAIO 2026</v>
      </c>
      <c r="G434" s="1309" t="s">
        <v>94</v>
      </c>
      <c r="H434" s="1309" t="str">
        <f>VLOOKUP(G434,CATEGORIE!$H$3:$I$55,2,FALSE)</f>
        <v>COSTO SVAGHI</v>
      </c>
      <c r="I434" s="59">
        <v>3</v>
      </c>
      <c r="J434" s="940"/>
      <c r="K434" s="59"/>
      <c r="L434" s="59"/>
    </row>
    <row r="435" spans="1:12" ht="16.5" customHeight="1">
      <c r="A435" s="57" t="s">
        <v>143</v>
      </c>
      <c r="B435" s="57" t="s">
        <v>154</v>
      </c>
      <c r="C435" s="57">
        <v>2026</v>
      </c>
      <c r="D435" s="58">
        <f>MATCH(B435,{"GENNAIO","FEBBRAIO","MARZO","APRILE","MAGGIO","GIUGNO","LUGLIO","AGOSTO","SETTEMBRE","OTTOBRE","NOVEMBRE","DICEMBRE"},0)</f>
        <v>1</v>
      </c>
      <c r="E435" s="57" t="str">
        <f t="shared" ref="E435" si="762">CONCATENATE(,B435," ",C435)</f>
        <v>GENNAIO 2026</v>
      </c>
      <c r="F435" s="57" t="str">
        <f t="shared" ref="F435" si="763">CONCATENATE(D435," ",E435)</f>
        <v>1 GENNAIO 2026</v>
      </c>
      <c r="G435" s="1309" t="s">
        <v>96</v>
      </c>
      <c r="H435" s="1309" t="str">
        <f>VLOOKUP(G435,CATEGORIE!$H$3:$I$55,2,FALSE)</f>
        <v>COSTO SOPRAVVIVENZA</v>
      </c>
      <c r="I435" s="59">
        <v>22</v>
      </c>
      <c r="J435" s="940"/>
      <c r="K435" s="59" t="s">
        <v>112</v>
      </c>
      <c r="L435" s="59" t="s">
        <v>144</v>
      </c>
    </row>
    <row r="436" spans="1:12">
      <c r="A436" s="57" t="s">
        <v>95</v>
      </c>
      <c r="B436" s="57" t="s">
        <v>154</v>
      </c>
      <c r="C436" s="57">
        <v>2026</v>
      </c>
      <c r="D436" s="58">
        <f>MATCH(B436,{"GENNAIO","FEBBRAIO","MARZO","APRILE","MAGGIO","GIUGNO","LUGLIO","AGOSTO","SETTEMBRE","OTTOBRE","NOVEMBRE","DICEMBRE"},0)</f>
        <v>1</v>
      </c>
      <c r="E436" s="57" t="str">
        <f t="shared" ref="E436:E437" si="764">CONCATENATE(,B436," ",C436)</f>
        <v>GENNAIO 2026</v>
      </c>
      <c r="F436" s="57" t="str">
        <f t="shared" ref="F436:F437" si="765">CONCATENATE(D436," ",E436)</f>
        <v>1 GENNAIO 2026</v>
      </c>
      <c r="G436" s="1309" t="s">
        <v>96</v>
      </c>
      <c r="H436" s="1309" t="str">
        <f>VLOOKUP(G436,CATEGORIE!$H$3:$I$55,2,FALSE)</f>
        <v>COSTO SOPRAVVIVENZA</v>
      </c>
      <c r="I436" s="59">
        <v>5.76</v>
      </c>
      <c r="J436" s="940"/>
      <c r="K436" s="59"/>
      <c r="L436" s="59"/>
    </row>
    <row r="437" spans="1:12">
      <c r="A437" s="57" t="s">
        <v>159</v>
      </c>
      <c r="B437" s="57" t="s">
        <v>154</v>
      </c>
      <c r="C437" s="57">
        <v>2026</v>
      </c>
      <c r="D437" s="58">
        <f>MATCH(B437,{"GENNAIO","FEBBRAIO","MARZO","APRILE","MAGGIO","GIUGNO","LUGLIO","AGOSTO","SETTEMBRE","OTTOBRE","NOVEMBRE","DICEMBRE"},0)</f>
        <v>1</v>
      </c>
      <c r="E437" s="57" t="str">
        <f t="shared" si="764"/>
        <v>GENNAIO 2026</v>
      </c>
      <c r="F437" s="57" t="str">
        <f t="shared" si="765"/>
        <v>1 GENNAIO 2026</v>
      </c>
      <c r="G437" s="1309" t="s">
        <v>94</v>
      </c>
      <c r="H437" s="1309" t="str">
        <f>VLOOKUP(G437,CATEGORIE!$H$3:$I$55,2,FALSE)</f>
        <v>COSTO SVAGHI</v>
      </c>
      <c r="I437" s="59">
        <v>42</v>
      </c>
      <c r="J437" s="940"/>
      <c r="K437" s="59"/>
      <c r="L437" s="59"/>
    </row>
    <row r="438" spans="1:12">
      <c r="A438" s="57" t="s">
        <v>120</v>
      </c>
      <c r="B438" s="57" t="s">
        <v>154</v>
      </c>
      <c r="C438" s="57">
        <v>2026</v>
      </c>
      <c r="D438" s="58">
        <f>MATCH(B438,{"GENNAIO","FEBBRAIO","MARZO","APRILE","MAGGIO","GIUGNO","LUGLIO","AGOSTO","SETTEMBRE","OTTOBRE","NOVEMBRE","DICEMBRE"},0)</f>
        <v>1</v>
      </c>
      <c r="E438" s="57" t="str">
        <f t="shared" ref="E438" si="766">CONCATENATE(,B438," ",C438)</f>
        <v>GENNAIO 2026</v>
      </c>
      <c r="F438" s="57" t="str">
        <f t="shared" ref="F438" si="767">CONCATENATE(D438," ",E438)</f>
        <v>1 GENNAIO 2026</v>
      </c>
      <c r="G438" s="1309" t="s">
        <v>121</v>
      </c>
      <c r="H438" s="1309" t="str">
        <f>VLOOKUP(G438,CATEGORIE!$H$3:$I$55,2,FALSE)</f>
        <v>COSTO MOBILITA'</v>
      </c>
      <c r="I438" s="59">
        <v>12</v>
      </c>
      <c r="J438" s="940"/>
      <c r="K438" s="59"/>
      <c r="L438" s="59"/>
    </row>
    <row r="439" spans="1:12">
      <c r="A439" s="57" t="s">
        <v>135</v>
      </c>
      <c r="B439" s="57" t="s">
        <v>154</v>
      </c>
      <c r="C439" s="57">
        <v>2026</v>
      </c>
      <c r="D439" s="58">
        <f>MATCH(B439,{"GENNAIO","FEBBRAIO","MARZO","APRILE","MAGGIO","GIUGNO","LUGLIO","AGOSTO","SETTEMBRE","OTTOBRE","NOVEMBRE","DICEMBRE"},0)</f>
        <v>1</v>
      </c>
      <c r="E439" s="57" t="str">
        <f t="shared" ref="E439" si="768">CONCATENATE(,B439," ",C439)</f>
        <v>GENNAIO 2026</v>
      </c>
      <c r="F439" s="57" t="str">
        <f t="shared" ref="F439" si="769">CONCATENATE(D439," ",E439)</f>
        <v>1 GENNAIO 2026</v>
      </c>
      <c r="G439" s="1309" t="s">
        <v>132</v>
      </c>
      <c r="H439" s="1309" t="str">
        <f>VLOOKUP(G439,CATEGORIE!$H$3:$I$55,2,FALSE)</f>
        <v>COSTO CASA</v>
      </c>
      <c r="I439" s="59">
        <v>16.89</v>
      </c>
      <c r="J439" s="940"/>
      <c r="K439" s="59"/>
      <c r="L439" s="59"/>
    </row>
    <row r="440" spans="1:12">
      <c r="A440" s="57" t="s">
        <v>105</v>
      </c>
      <c r="B440" s="57" t="s">
        <v>154</v>
      </c>
      <c r="C440" s="57">
        <v>2026</v>
      </c>
      <c r="D440" s="58">
        <f>MATCH(B440,{"GENNAIO","FEBBRAIO","MARZO","APRILE","MAGGIO","GIUGNO","LUGLIO","AGOSTO","SETTEMBRE","OTTOBRE","NOVEMBRE","DICEMBRE"},0)</f>
        <v>1</v>
      </c>
      <c r="E440" s="57" t="str">
        <f t="shared" ref="E440" si="770">CONCATENATE(,B440," ",C440)</f>
        <v>GENNAIO 2026</v>
      </c>
      <c r="F440" s="57" t="str">
        <f t="shared" ref="F440" si="771">CONCATENATE(D440," ",E440)</f>
        <v>1 GENNAIO 2026</v>
      </c>
      <c r="G440" s="1309" t="s">
        <v>96</v>
      </c>
      <c r="H440" s="1309" t="str">
        <f>VLOOKUP(G440,CATEGORIE!$H$3:$I$55,2,FALSE)</f>
        <v>COSTO SOPRAVVIVENZA</v>
      </c>
      <c r="I440" s="59">
        <v>12.03</v>
      </c>
      <c r="J440" s="940"/>
      <c r="K440" s="59"/>
      <c r="L440" s="59"/>
    </row>
    <row r="441" spans="1:12">
      <c r="A441" s="57" t="s">
        <v>95</v>
      </c>
      <c r="B441" s="57" t="s">
        <v>154</v>
      </c>
      <c r="C441" s="57">
        <v>2026</v>
      </c>
      <c r="D441" s="58">
        <f>MATCH(B441,{"GENNAIO","FEBBRAIO","MARZO","APRILE","MAGGIO","GIUGNO","LUGLIO","AGOSTO","SETTEMBRE","OTTOBRE","NOVEMBRE","DICEMBRE"},0)</f>
        <v>1</v>
      </c>
      <c r="E441" s="57" t="str">
        <f t="shared" ref="E441" si="772">CONCATENATE(,B441," ",C441)</f>
        <v>GENNAIO 2026</v>
      </c>
      <c r="F441" s="57" t="str">
        <f t="shared" ref="F441:F442" si="773">CONCATENATE(D441," ",E441)</f>
        <v>1 GENNAIO 2026</v>
      </c>
      <c r="G441" s="1309" t="s">
        <v>96</v>
      </c>
      <c r="H441" s="1309" t="str">
        <f>VLOOKUP(G441,CATEGORIE!$H$3:$I$55,2,FALSE)</f>
        <v>COSTO SOPRAVVIVENZA</v>
      </c>
      <c r="I441" s="59">
        <v>25.6</v>
      </c>
      <c r="J441" s="940"/>
      <c r="K441" s="59"/>
      <c r="L441" s="59"/>
    </row>
    <row r="442" spans="1:12">
      <c r="A442" s="57" t="s">
        <v>160</v>
      </c>
      <c r="B442" s="57" t="s">
        <v>154</v>
      </c>
      <c r="C442" s="57">
        <v>2026</v>
      </c>
      <c r="D442" s="58">
        <f>MATCH(B442,{"GENNAIO","FEBBRAIO","MARZO","APRILE","MAGGIO","GIUGNO","LUGLIO","AGOSTO","SETTEMBRE","OTTOBRE","NOVEMBRE","DICEMBRE"},0)</f>
        <v>1</v>
      </c>
      <c r="E442" s="57" t="str">
        <f t="shared" ref="E442" si="774">CONCATENATE(,B442," ",C442)</f>
        <v>GENNAIO 2026</v>
      </c>
      <c r="F442" s="57" t="str">
        <f t="shared" si="773"/>
        <v>1 GENNAIO 2026</v>
      </c>
      <c r="G442" s="1309" t="s">
        <v>1250</v>
      </c>
      <c r="H442" s="1309" t="str">
        <f>VLOOKUP(G442,CATEGORIE!$H$3:$I$55,2,FALSE)</f>
        <v>COSTO VACANZE</v>
      </c>
      <c r="I442" s="59">
        <v>9.6</v>
      </c>
      <c r="J442" s="940"/>
      <c r="K442" s="59"/>
      <c r="L442" s="59" t="s">
        <v>161</v>
      </c>
    </row>
    <row r="443" spans="1:12">
      <c r="A443" s="57" t="s">
        <v>162</v>
      </c>
      <c r="B443" s="57" t="s">
        <v>154</v>
      </c>
      <c r="C443" s="57">
        <v>2026</v>
      </c>
      <c r="D443" s="58">
        <f>MATCH(B443,{"GENNAIO","FEBBRAIO","MARZO","APRILE","MAGGIO","GIUGNO","LUGLIO","AGOSTO","SETTEMBRE","OTTOBRE","NOVEMBRE","DICEMBRE"},0)</f>
        <v>1</v>
      </c>
      <c r="E443" s="57" t="str">
        <f t="shared" ref="E443" si="775">CONCATENATE(,B443," ",C443)</f>
        <v>GENNAIO 2026</v>
      </c>
      <c r="F443" s="57" t="str">
        <f t="shared" ref="F443" si="776">CONCATENATE(D443," ",E443)</f>
        <v>1 GENNAIO 2026</v>
      </c>
      <c r="G443" s="1309" t="s">
        <v>163</v>
      </c>
      <c r="H443" s="1309" t="str">
        <f>VLOOKUP(G443,CATEGORIE!$H$3:$I$55,2,FALSE)</f>
        <v>COSTO SVAGHI</v>
      </c>
      <c r="I443" s="59">
        <v>104</v>
      </c>
      <c r="J443" s="940"/>
      <c r="K443" s="59"/>
      <c r="L443" s="59" t="s">
        <v>161</v>
      </c>
    </row>
    <row r="444" spans="1:12">
      <c r="A444" s="57" t="s">
        <v>164</v>
      </c>
      <c r="B444" s="57" t="s">
        <v>154</v>
      </c>
      <c r="C444" s="57">
        <v>2026</v>
      </c>
      <c r="D444" s="58">
        <f>MATCH(B444,{"GENNAIO","FEBBRAIO","MARZO","APRILE","MAGGIO","GIUGNO","LUGLIO","AGOSTO","SETTEMBRE","OTTOBRE","NOVEMBRE","DICEMBRE"},0)</f>
        <v>1</v>
      </c>
      <c r="E444" s="57" t="str">
        <f t="shared" ref="E444" si="777">CONCATENATE(,B444," ",C444)</f>
        <v>GENNAIO 2026</v>
      </c>
      <c r="F444" s="57" t="str">
        <f t="shared" ref="F444:F445" si="778">CONCATENATE(D444," ",E444)</f>
        <v>1 GENNAIO 2026</v>
      </c>
      <c r="G444" s="1309" t="s">
        <v>94</v>
      </c>
      <c r="H444" s="1309" t="str">
        <f>VLOOKUP(G444,CATEGORIE!$H$3:$I$55,2,FALSE)</f>
        <v>COSTO SVAGHI</v>
      </c>
      <c r="I444" s="59">
        <v>64</v>
      </c>
      <c r="J444" s="940"/>
      <c r="K444" s="59"/>
      <c r="L444" s="59" t="s">
        <v>161</v>
      </c>
    </row>
    <row r="445" spans="1:12">
      <c r="A445" s="57" t="s">
        <v>160</v>
      </c>
      <c r="B445" s="57" t="s">
        <v>154</v>
      </c>
      <c r="C445" s="57">
        <v>2026</v>
      </c>
      <c r="D445" s="58">
        <f>MATCH(B445,{"GENNAIO","FEBBRAIO","MARZO","APRILE","MAGGIO","GIUGNO","LUGLIO","AGOSTO","SETTEMBRE","OTTOBRE","NOVEMBRE","DICEMBRE"},0)</f>
        <v>1</v>
      </c>
      <c r="E445" s="57" t="str">
        <f t="shared" ref="E445" si="779">CONCATENATE(,B445," ",C445)</f>
        <v>GENNAIO 2026</v>
      </c>
      <c r="F445" s="57" t="str">
        <f t="shared" si="778"/>
        <v>1 GENNAIO 2026</v>
      </c>
      <c r="G445" s="1309" t="s">
        <v>1250</v>
      </c>
      <c r="H445" s="1309" t="str">
        <f>VLOOKUP(G445,CATEGORIE!$H$3:$I$55,2,FALSE)</f>
        <v>COSTO VACANZE</v>
      </c>
      <c r="I445" s="59">
        <v>12.7</v>
      </c>
      <c r="J445" s="940"/>
      <c r="K445" s="59"/>
      <c r="L445" s="59" t="s">
        <v>161</v>
      </c>
    </row>
    <row r="446" spans="1:12">
      <c r="A446" s="57" t="s">
        <v>165</v>
      </c>
      <c r="B446" s="57" t="s">
        <v>154</v>
      </c>
      <c r="C446" s="57">
        <v>2026</v>
      </c>
      <c r="D446" s="58">
        <f>MATCH(B446,{"GENNAIO","FEBBRAIO","MARZO","APRILE","MAGGIO","GIUGNO","LUGLIO","AGOSTO","SETTEMBRE","OTTOBRE","NOVEMBRE","DICEMBRE"},0)</f>
        <v>1</v>
      </c>
      <c r="E446" s="57" t="str">
        <f t="shared" ref="E446" si="780">CONCATENATE(,B446," ",C446)</f>
        <v>GENNAIO 2026</v>
      </c>
      <c r="F446" s="57" t="str">
        <f t="shared" ref="F446:F448" si="781">CONCATENATE(D446," ",E446)</f>
        <v>1 GENNAIO 2026</v>
      </c>
      <c r="G446" s="1309" t="s">
        <v>94</v>
      </c>
      <c r="H446" s="1309" t="str">
        <f>VLOOKUP(G446,CATEGORIE!$H$3:$I$55,2,FALSE)</f>
        <v>COSTO SVAGHI</v>
      </c>
      <c r="I446" s="59">
        <v>69</v>
      </c>
      <c r="J446" s="940"/>
      <c r="K446" s="59"/>
      <c r="L446" s="59" t="s">
        <v>161</v>
      </c>
    </row>
    <row r="447" spans="1:12">
      <c r="A447" s="57" t="s">
        <v>160</v>
      </c>
      <c r="B447" s="57" t="s">
        <v>154</v>
      </c>
      <c r="C447" s="57">
        <v>2026</v>
      </c>
      <c r="D447" s="58">
        <f>MATCH(B447,{"GENNAIO","FEBBRAIO","MARZO","APRILE","MAGGIO","GIUGNO","LUGLIO","AGOSTO","SETTEMBRE","OTTOBRE","NOVEMBRE","DICEMBRE"},0)</f>
        <v>1</v>
      </c>
      <c r="E447" s="57" t="str">
        <f t="shared" ref="E447" si="782">CONCATENATE(,B447," ",C447)</f>
        <v>GENNAIO 2026</v>
      </c>
      <c r="F447" s="57" t="str">
        <f t="shared" si="781"/>
        <v>1 GENNAIO 2026</v>
      </c>
      <c r="G447" s="1309" t="s">
        <v>1250</v>
      </c>
      <c r="H447" s="1309" t="str">
        <f>VLOOKUP(G447,CATEGORIE!$H$3:$I$55,2,FALSE)</f>
        <v>COSTO VACANZE</v>
      </c>
      <c r="I447" s="59">
        <v>12.1</v>
      </c>
      <c r="J447" s="940"/>
      <c r="K447" s="59"/>
      <c r="L447" s="59" t="s">
        <v>161</v>
      </c>
    </row>
    <row r="448" spans="1:12">
      <c r="A448" s="57" t="s">
        <v>160</v>
      </c>
      <c r="B448" s="57" t="s">
        <v>154</v>
      </c>
      <c r="C448" s="57">
        <v>2026</v>
      </c>
      <c r="D448" s="58">
        <f>MATCH(B448,{"GENNAIO","FEBBRAIO","MARZO","APRILE","MAGGIO","GIUGNO","LUGLIO","AGOSTO","SETTEMBRE","OTTOBRE","NOVEMBRE","DICEMBRE"},0)</f>
        <v>1</v>
      </c>
      <c r="E448" s="57" t="str">
        <f t="shared" ref="E448" si="783">CONCATENATE(,B448," ",C448)</f>
        <v>GENNAIO 2026</v>
      </c>
      <c r="F448" s="57" t="str">
        <f t="shared" si="781"/>
        <v>1 GENNAIO 2026</v>
      </c>
      <c r="G448" s="1309" t="s">
        <v>1250</v>
      </c>
      <c r="H448" s="1309" t="str">
        <f>VLOOKUP(G448,CATEGORIE!$H$3:$I$55,2,FALSE)</f>
        <v>COSTO VACANZE</v>
      </c>
      <c r="I448" s="59">
        <v>12.2</v>
      </c>
      <c r="J448" s="940"/>
      <c r="K448" s="59"/>
      <c r="L448" s="59" t="s">
        <v>161</v>
      </c>
    </row>
    <row r="449" spans="1:12">
      <c r="A449" s="57" t="s">
        <v>166</v>
      </c>
      <c r="B449" s="57" t="s">
        <v>154</v>
      </c>
      <c r="C449" s="57">
        <v>2026</v>
      </c>
      <c r="D449" s="58">
        <f>MATCH(B449,{"GENNAIO","FEBBRAIO","MARZO","APRILE","MAGGIO","GIUGNO","LUGLIO","AGOSTO","SETTEMBRE","OTTOBRE","NOVEMBRE","DICEMBRE"},0)</f>
        <v>1</v>
      </c>
      <c r="E449" s="57" t="str">
        <f t="shared" ref="E449" si="784">CONCATENATE(,B449," ",C449)</f>
        <v>GENNAIO 2026</v>
      </c>
      <c r="F449" s="57" t="str">
        <f t="shared" ref="F449" si="785">CONCATENATE(D449," ",E449)</f>
        <v>1 GENNAIO 2026</v>
      </c>
      <c r="G449" s="1309" t="s">
        <v>94</v>
      </c>
      <c r="H449" s="1309" t="str">
        <f>VLOOKUP(G449,CATEGORIE!$H$3:$I$55,2,FALSE)</f>
        <v>COSTO SVAGHI</v>
      </c>
      <c r="I449" s="59">
        <v>7</v>
      </c>
      <c r="J449" s="940"/>
      <c r="K449" s="59"/>
      <c r="L449" s="59" t="s">
        <v>161</v>
      </c>
    </row>
    <row r="450" spans="1:12">
      <c r="A450" s="57" t="s">
        <v>131</v>
      </c>
      <c r="B450" s="57" t="s">
        <v>154</v>
      </c>
      <c r="C450" s="57">
        <v>2026</v>
      </c>
      <c r="D450" s="58">
        <f>MATCH(B450,{"GENNAIO","FEBBRAIO","MARZO","APRILE","MAGGIO","GIUGNO","LUGLIO","AGOSTO","SETTEMBRE","OTTOBRE","NOVEMBRE","DICEMBRE"},0)</f>
        <v>1</v>
      </c>
      <c r="E450" s="57" t="str">
        <f t="shared" ref="E450" si="786">CONCATENATE(,B450," ",C450)</f>
        <v>GENNAIO 2026</v>
      </c>
      <c r="F450" s="57" t="str">
        <f t="shared" ref="F450" si="787">CONCATENATE(D450," ",E450)</f>
        <v>1 GENNAIO 2026</v>
      </c>
      <c r="G450" s="1309" t="s">
        <v>132</v>
      </c>
      <c r="H450" s="1309" t="str">
        <f>VLOOKUP(G450,CATEGORIE!$H$3:$I$55,2,FALSE)</f>
        <v>COSTO CASA</v>
      </c>
      <c r="I450" s="59">
        <v>9.25</v>
      </c>
      <c r="J450" s="940"/>
      <c r="K450" s="59"/>
      <c r="L450" s="59"/>
    </row>
    <row r="451" spans="1:12">
      <c r="A451" s="57" t="s">
        <v>99</v>
      </c>
      <c r="B451" s="57" t="s">
        <v>154</v>
      </c>
      <c r="C451" s="57">
        <v>2026</v>
      </c>
      <c r="D451" s="58">
        <f>MATCH(B451,{"GENNAIO","FEBBRAIO","MARZO","APRILE","MAGGIO","GIUGNO","LUGLIO","AGOSTO","SETTEMBRE","OTTOBRE","NOVEMBRE","DICEMBRE"},0)</f>
        <v>1</v>
      </c>
      <c r="E451" s="57" t="str">
        <f t="shared" ref="E451:E452" si="788">CONCATENATE(,B451," ",C451)</f>
        <v>GENNAIO 2026</v>
      </c>
      <c r="F451" s="57" t="str">
        <f t="shared" ref="F451:F452" si="789">CONCATENATE(D451," ",E451)</f>
        <v>1 GENNAIO 2026</v>
      </c>
      <c r="G451" s="1309" t="s">
        <v>100</v>
      </c>
      <c r="H451" s="1309" t="str">
        <f>VLOOKUP(G451,CATEGORIE!$H$3:$I$55,2,FALSE)</f>
        <v>COSTO SFIZI</v>
      </c>
      <c r="I451" s="59">
        <v>94.8</v>
      </c>
      <c r="J451" s="940" t="s">
        <v>167</v>
      </c>
      <c r="K451" s="59" t="s">
        <v>99</v>
      </c>
      <c r="L451" s="59" t="s">
        <v>152</v>
      </c>
    </row>
    <row r="452" spans="1:12">
      <c r="A452" s="57" t="s">
        <v>99</v>
      </c>
      <c r="B452" s="57" t="s">
        <v>154</v>
      </c>
      <c r="C452" s="57">
        <v>2026</v>
      </c>
      <c r="D452" s="58">
        <f>MATCH(B452,{"GENNAIO","FEBBRAIO","MARZO","APRILE","MAGGIO","GIUGNO","LUGLIO","AGOSTO","SETTEMBRE","OTTOBRE","NOVEMBRE","DICEMBRE"},0)</f>
        <v>1</v>
      </c>
      <c r="E452" s="57" t="str">
        <f t="shared" si="788"/>
        <v>GENNAIO 2026</v>
      </c>
      <c r="F452" s="57" t="str">
        <f t="shared" si="789"/>
        <v>1 GENNAIO 2026</v>
      </c>
      <c r="G452" s="1309" t="s">
        <v>100</v>
      </c>
      <c r="H452" s="1309" t="str">
        <f>VLOOKUP(G452,CATEGORIE!$H$3:$I$55,2,FALSE)</f>
        <v>COSTO SFIZI</v>
      </c>
      <c r="I452" s="59">
        <v>10.92</v>
      </c>
      <c r="J452" s="940" t="s">
        <v>151</v>
      </c>
      <c r="K452" s="59" t="s">
        <v>99</v>
      </c>
      <c r="L452" s="59" t="s">
        <v>168</v>
      </c>
    </row>
    <row r="453" spans="1:12">
      <c r="A453" s="57" t="s">
        <v>102</v>
      </c>
      <c r="B453" s="57" t="s">
        <v>154</v>
      </c>
      <c r="C453" s="57">
        <v>2026</v>
      </c>
      <c r="D453" s="58">
        <f>MATCH(B453,{"GENNAIO","FEBBRAIO","MARZO","APRILE","MAGGIO","GIUGNO","LUGLIO","AGOSTO","SETTEMBRE","OTTOBRE","NOVEMBRE","DICEMBRE"},0)</f>
        <v>1</v>
      </c>
      <c r="E453" s="57" t="str">
        <f t="shared" ref="E453" si="790">CONCATENATE(,B453," ",C453)</f>
        <v>GENNAIO 2026</v>
      </c>
      <c r="F453" s="57" t="str">
        <f t="shared" ref="F453" si="791">CONCATENATE(D453," ",E453)</f>
        <v>1 GENNAIO 2026</v>
      </c>
      <c r="G453" s="1309" t="s">
        <v>96</v>
      </c>
      <c r="H453" s="1309" t="str">
        <f>VLOOKUP(G453,CATEGORIE!$H$3:$I$55,2,FALSE)</f>
        <v>COSTO SOPRAVVIVENZA</v>
      </c>
      <c r="I453" s="59">
        <v>26.51</v>
      </c>
      <c r="J453" s="940"/>
      <c r="K453" s="59"/>
      <c r="L453" s="59" t="s">
        <v>169</v>
      </c>
    </row>
    <row r="454" spans="1:12">
      <c r="A454" s="57" t="s">
        <v>95</v>
      </c>
      <c r="B454" s="57" t="s">
        <v>154</v>
      </c>
      <c r="C454" s="57">
        <v>2026</v>
      </c>
      <c r="D454" s="58">
        <f>MATCH(B454,{"GENNAIO","FEBBRAIO","MARZO","APRILE","MAGGIO","GIUGNO","LUGLIO","AGOSTO","SETTEMBRE","OTTOBRE","NOVEMBRE","DICEMBRE"},0)</f>
        <v>1</v>
      </c>
      <c r="E454" s="57" t="str">
        <f t="shared" ref="E454" si="792">CONCATENATE(,B454," ",C454)</f>
        <v>GENNAIO 2026</v>
      </c>
      <c r="F454" s="57" t="str">
        <f t="shared" ref="F454" si="793">CONCATENATE(D454," ",E454)</f>
        <v>1 GENNAIO 2026</v>
      </c>
      <c r="G454" s="1309" t="s">
        <v>96</v>
      </c>
      <c r="H454" s="1309" t="str">
        <f>VLOOKUP(G454,CATEGORIE!$H$3:$I$55,2,FALSE)</f>
        <v>COSTO SOPRAVVIVENZA</v>
      </c>
      <c r="I454" s="59">
        <v>28.5</v>
      </c>
      <c r="J454" s="940"/>
      <c r="K454" s="59"/>
      <c r="L454" s="59" t="s">
        <v>169</v>
      </c>
    </row>
    <row r="455" spans="1:12">
      <c r="A455" s="57" t="s">
        <v>170</v>
      </c>
      <c r="B455" s="57" t="s">
        <v>154</v>
      </c>
      <c r="C455" s="57">
        <v>2026</v>
      </c>
      <c r="D455" s="58">
        <f>MATCH(B455,{"GENNAIO","FEBBRAIO","MARZO","APRILE","MAGGIO","GIUGNO","LUGLIO","AGOSTO","SETTEMBRE","OTTOBRE","NOVEMBRE","DICEMBRE"},0)</f>
        <v>1</v>
      </c>
      <c r="E455" s="57" t="str">
        <f t="shared" ref="E455" si="794">CONCATENATE(,B455," ",C455)</f>
        <v>GENNAIO 2026</v>
      </c>
      <c r="F455" s="57" t="str">
        <f t="shared" ref="F455" si="795">CONCATENATE(D455," ",E455)</f>
        <v>1 GENNAIO 2026</v>
      </c>
      <c r="G455" s="1309" t="s">
        <v>132</v>
      </c>
      <c r="H455" s="1309" t="str">
        <f>VLOOKUP(G455,CATEGORIE!$H$3:$I$55,2,FALSE)</f>
        <v>COSTO CASA</v>
      </c>
      <c r="I455" s="59">
        <v>24.4</v>
      </c>
      <c r="J455" s="940"/>
      <c r="K455" s="59"/>
      <c r="L455" s="59" t="s">
        <v>169</v>
      </c>
    </row>
    <row r="456" spans="1:12">
      <c r="A456" s="57" t="s">
        <v>135</v>
      </c>
      <c r="B456" s="57" t="s">
        <v>154</v>
      </c>
      <c r="C456" s="57">
        <v>2026</v>
      </c>
      <c r="D456" s="58">
        <f>MATCH(B456,{"GENNAIO","FEBBRAIO","MARZO","APRILE","MAGGIO","GIUGNO","LUGLIO","AGOSTO","SETTEMBRE","OTTOBRE","NOVEMBRE","DICEMBRE"},0)</f>
        <v>1</v>
      </c>
      <c r="E456" s="57" t="str">
        <f t="shared" ref="E456" si="796">CONCATENATE(,B456," ",C456)</f>
        <v>GENNAIO 2026</v>
      </c>
      <c r="F456" s="57" t="str">
        <f t="shared" ref="F456" si="797">CONCATENATE(D456," ",E456)</f>
        <v>1 GENNAIO 2026</v>
      </c>
      <c r="G456" s="1309" t="s">
        <v>132</v>
      </c>
      <c r="H456" s="1309" t="str">
        <f>VLOOKUP(G456,CATEGORIE!$H$3:$I$55,2,FALSE)</f>
        <v>COSTO CASA</v>
      </c>
      <c r="I456" s="59">
        <v>26.4</v>
      </c>
      <c r="J456" s="940"/>
      <c r="K456" s="59"/>
      <c r="L456" s="59"/>
    </row>
    <row r="457" spans="1:12">
      <c r="A457" s="57" t="s">
        <v>131</v>
      </c>
      <c r="B457" s="57" t="s">
        <v>154</v>
      </c>
      <c r="C457" s="57">
        <v>2026</v>
      </c>
      <c r="D457" s="58">
        <f>MATCH(B457,{"GENNAIO","FEBBRAIO","MARZO","APRILE","MAGGIO","GIUGNO","LUGLIO","AGOSTO","SETTEMBRE","OTTOBRE","NOVEMBRE","DICEMBRE"},0)</f>
        <v>1</v>
      </c>
      <c r="E457" s="57" t="str">
        <f t="shared" ref="E457" si="798">CONCATENATE(,B457," ",C457)</f>
        <v>GENNAIO 2026</v>
      </c>
      <c r="F457" s="57" t="str">
        <f t="shared" ref="F457" si="799">CONCATENATE(D457," ",E457)</f>
        <v>1 GENNAIO 2026</v>
      </c>
      <c r="G457" s="1309" t="s">
        <v>132</v>
      </c>
      <c r="H457" s="1309" t="str">
        <f>VLOOKUP(G457,CATEGORIE!$H$3:$I$55,2,FALSE)</f>
        <v>COSTO CASA</v>
      </c>
      <c r="I457" s="59">
        <v>38.1</v>
      </c>
      <c r="J457" s="940"/>
      <c r="K457" s="59"/>
      <c r="L457" s="59"/>
    </row>
    <row r="458" spans="1:12">
      <c r="A458" s="57" t="s">
        <v>171</v>
      </c>
      <c r="B458" s="57" t="s">
        <v>154</v>
      </c>
      <c r="C458" s="57">
        <v>2026</v>
      </c>
      <c r="D458" s="58">
        <f>MATCH(B458,{"GENNAIO","FEBBRAIO","MARZO","APRILE","MAGGIO","GIUGNO","LUGLIO","AGOSTO","SETTEMBRE","OTTOBRE","NOVEMBRE","DICEMBRE"},0)</f>
        <v>1</v>
      </c>
      <c r="E458" s="57" t="str">
        <f t="shared" ref="E458" si="800">CONCATENATE(,B458," ",C458)</f>
        <v>GENNAIO 2026</v>
      </c>
      <c r="F458" s="57" t="str">
        <f t="shared" ref="F458" si="801">CONCATENATE(D458," ",E458)</f>
        <v>1 GENNAIO 2026</v>
      </c>
      <c r="G458" s="1309" t="s">
        <v>132</v>
      </c>
      <c r="H458" s="1309" t="str">
        <f>VLOOKUP(G458,CATEGORIE!$H$3:$I$55,2,FALSE)</f>
        <v>COSTO CASA</v>
      </c>
      <c r="I458" s="59">
        <v>19.8</v>
      </c>
      <c r="J458" s="940"/>
      <c r="K458" s="59"/>
      <c r="L458" s="59"/>
    </row>
    <row r="459" spans="1:12">
      <c r="A459" s="57" t="s">
        <v>131</v>
      </c>
      <c r="B459" s="57" t="s">
        <v>154</v>
      </c>
      <c r="C459" s="57">
        <v>2026</v>
      </c>
      <c r="D459" s="58">
        <f>MATCH(B459,{"GENNAIO","FEBBRAIO","MARZO","APRILE","MAGGIO","GIUGNO","LUGLIO","AGOSTO","SETTEMBRE","OTTOBRE","NOVEMBRE","DICEMBRE"},0)</f>
        <v>1</v>
      </c>
      <c r="E459" s="57" t="str">
        <f t="shared" ref="E459" si="802">CONCATENATE(,B459," ",C459)</f>
        <v>GENNAIO 2026</v>
      </c>
      <c r="F459" s="57" t="str">
        <f t="shared" ref="F459" si="803">CONCATENATE(D459," ",E459)</f>
        <v>1 GENNAIO 2026</v>
      </c>
      <c r="G459" s="1309" t="s">
        <v>132</v>
      </c>
      <c r="H459" s="1309" t="str">
        <f>VLOOKUP(G459,CATEGORIE!$H$3:$I$55,2,FALSE)</f>
        <v>COSTO CASA</v>
      </c>
      <c r="I459" s="59">
        <v>45.65</v>
      </c>
      <c r="J459" s="940"/>
      <c r="K459" s="59"/>
      <c r="L459" s="59"/>
    </row>
    <row r="460" spans="1:12">
      <c r="A460" s="57" t="s">
        <v>172</v>
      </c>
      <c r="B460" s="57" t="s">
        <v>154</v>
      </c>
      <c r="C460" s="57">
        <v>2026</v>
      </c>
      <c r="D460" s="58">
        <f>MATCH(B460,{"GENNAIO","FEBBRAIO","MARZO","APRILE","MAGGIO","GIUGNO","LUGLIO","AGOSTO","SETTEMBRE","OTTOBRE","NOVEMBRE","DICEMBRE"},0)</f>
        <v>1</v>
      </c>
      <c r="E460" s="57" t="str">
        <f t="shared" ref="E460" si="804">CONCATENATE(,B460," ",C460)</f>
        <v>GENNAIO 2026</v>
      </c>
      <c r="F460" s="57" t="str">
        <f t="shared" ref="F460" si="805">CONCATENATE(D460," ",E460)</f>
        <v>1 GENNAIO 2026</v>
      </c>
      <c r="G460" s="1309" t="s">
        <v>94</v>
      </c>
      <c r="H460" s="1309" t="str">
        <f>VLOOKUP(G460,CATEGORIE!$H$3:$I$55,2,FALSE)</f>
        <v>COSTO SVAGHI</v>
      </c>
      <c r="I460" s="59">
        <v>33.5</v>
      </c>
      <c r="J460" s="940"/>
      <c r="K460" s="59"/>
      <c r="L460" s="59"/>
    </row>
    <row r="461" spans="1:12">
      <c r="A461" s="57" t="s">
        <v>120</v>
      </c>
      <c r="B461" s="57" t="s">
        <v>154</v>
      </c>
      <c r="C461" s="57">
        <v>2026</v>
      </c>
      <c r="D461" s="58">
        <f>MATCH(B461,{"GENNAIO","FEBBRAIO","MARZO","APRILE","MAGGIO","GIUGNO","LUGLIO","AGOSTO","SETTEMBRE","OTTOBRE","NOVEMBRE","DICEMBRE"},0)</f>
        <v>1</v>
      </c>
      <c r="E461" s="57" t="str">
        <f t="shared" ref="E461" si="806">CONCATENATE(,B461," ",C461)</f>
        <v>GENNAIO 2026</v>
      </c>
      <c r="F461" s="57" t="str">
        <f t="shared" ref="F461" si="807">CONCATENATE(D461," ",E461)</f>
        <v>1 GENNAIO 2026</v>
      </c>
      <c r="G461" s="1309" t="s">
        <v>121</v>
      </c>
      <c r="H461" s="1309" t="str">
        <f>VLOOKUP(G461,CATEGORIE!$H$3:$I$55,2,FALSE)</f>
        <v>COSTO MOBILITA'</v>
      </c>
      <c r="I461" s="59">
        <v>13</v>
      </c>
      <c r="J461" s="940"/>
      <c r="K461" s="59"/>
      <c r="L461" s="59"/>
    </row>
    <row r="462" spans="1:12">
      <c r="A462" s="57" t="s">
        <v>92</v>
      </c>
      <c r="B462" s="57" t="s">
        <v>173</v>
      </c>
      <c r="C462" s="57">
        <v>2025</v>
      </c>
      <c r="D462" s="58">
        <f>MATCH(B462,{"GENNAIO","FEBBRAIO","MARZO","APRILE","MAGGIO","GIUGNO","LUGLIO","AGOSTO","SETTEMBRE","OTTOBRE","NOVEMBRE","DICEMBRE"},0)</f>
        <v>12</v>
      </c>
      <c r="E462" s="57" t="str">
        <f t="shared" ref="E462" si="808">CONCATENATE(,B462," ",C462)</f>
        <v>DICEMBRE 2025</v>
      </c>
      <c r="F462" s="57" t="str">
        <f t="shared" ref="F462" si="809">CONCATENATE(D462," ",E462)</f>
        <v>12 DICEMBRE 2025</v>
      </c>
      <c r="G462" s="1309" t="s">
        <v>93</v>
      </c>
      <c r="H462" s="1309" t="str">
        <f>VLOOKUP(G462,CATEGORIE!$H$3:$I$55,2,FALSE)</f>
        <v>COSTO SOPRAVVIVENZA</v>
      </c>
      <c r="I462" s="59">
        <v>7</v>
      </c>
      <c r="J462" s="940"/>
      <c r="K462" s="59"/>
      <c r="L462" s="59"/>
    </row>
    <row r="463" spans="1:12">
      <c r="A463" s="57" t="s">
        <v>99</v>
      </c>
      <c r="B463" s="57" t="s">
        <v>173</v>
      </c>
      <c r="C463" s="57">
        <v>2025</v>
      </c>
      <c r="D463" s="58">
        <f>MATCH(B463,{"GENNAIO","FEBBRAIO","MARZO","APRILE","MAGGIO","GIUGNO","LUGLIO","AGOSTO","SETTEMBRE","OTTOBRE","NOVEMBRE","DICEMBRE"},0)</f>
        <v>12</v>
      </c>
      <c r="E463" s="57" t="str">
        <f t="shared" ref="E463" si="810">CONCATENATE(,B463," ",C463)</f>
        <v>DICEMBRE 2025</v>
      </c>
      <c r="F463" s="57" t="str">
        <f t="shared" ref="F463" si="811">CONCATENATE(D463," ",E463)</f>
        <v>12 DICEMBRE 2025</v>
      </c>
      <c r="G463" s="1309" t="s">
        <v>100</v>
      </c>
      <c r="H463" s="1309" t="str">
        <f>VLOOKUP(G463,CATEGORIE!$H$3:$I$55,2,FALSE)</f>
        <v>COSTO SFIZI</v>
      </c>
      <c r="I463" s="59">
        <v>58.49</v>
      </c>
      <c r="J463" s="940"/>
      <c r="K463" s="59"/>
      <c r="L463" s="59" t="s">
        <v>174</v>
      </c>
    </row>
    <row r="464" spans="1:12">
      <c r="A464" s="57" t="s">
        <v>99</v>
      </c>
      <c r="B464" s="57" t="s">
        <v>173</v>
      </c>
      <c r="C464" s="57">
        <v>2025</v>
      </c>
      <c r="D464" s="58">
        <f>MATCH(B464,{"GENNAIO","FEBBRAIO","MARZO","APRILE","MAGGIO","GIUGNO","LUGLIO","AGOSTO","SETTEMBRE","OTTOBRE","NOVEMBRE","DICEMBRE"},0)</f>
        <v>12</v>
      </c>
      <c r="E464" s="57" t="str">
        <f t="shared" ref="E464" si="812">CONCATENATE(,B464," ",C464)</f>
        <v>DICEMBRE 2025</v>
      </c>
      <c r="F464" s="57" t="str">
        <f t="shared" ref="F464" si="813">CONCATENATE(D464," ",E464)</f>
        <v>12 DICEMBRE 2025</v>
      </c>
      <c r="G464" s="1309" t="s">
        <v>100</v>
      </c>
      <c r="H464" s="1309" t="str">
        <f>VLOOKUP(G464,CATEGORIE!$H$3:$I$55,2,FALSE)</f>
        <v>COSTO SFIZI</v>
      </c>
      <c r="I464" s="59">
        <v>34.5</v>
      </c>
      <c r="J464" s="940"/>
      <c r="K464" s="59"/>
      <c r="L464" s="59" t="s">
        <v>175</v>
      </c>
    </row>
    <row r="465" spans="1:12">
      <c r="A465" s="57" t="s">
        <v>176</v>
      </c>
      <c r="B465" s="57" t="s">
        <v>173</v>
      </c>
      <c r="C465" s="57">
        <v>2025</v>
      </c>
      <c r="D465" s="58">
        <f>MATCH(B465,{"GENNAIO","FEBBRAIO","MARZO","APRILE","MAGGIO","GIUGNO","LUGLIO","AGOSTO","SETTEMBRE","OTTOBRE","NOVEMBRE","DICEMBRE"},0)</f>
        <v>12</v>
      </c>
      <c r="E465" s="57" t="str">
        <f t="shared" ref="E465" si="814">CONCATENATE(,B465," ",C465)</f>
        <v>DICEMBRE 2025</v>
      </c>
      <c r="F465" s="57" t="str">
        <f t="shared" ref="F465" si="815">CONCATENATE(D465," ",E465)</f>
        <v>12 DICEMBRE 2025</v>
      </c>
      <c r="G465" s="1309" t="s">
        <v>96</v>
      </c>
      <c r="H465" s="1309" t="str">
        <f>VLOOKUP(G465,CATEGORIE!$H$3:$I$55,2,FALSE)</f>
        <v>COSTO SOPRAVVIVENZA</v>
      </c>
      <c r="I465" s="59">
        <v>24.14</v>
      </c>
      <c r="J465" s="940"/>
      <c r="K465" s="59"/>
      <c r="L465" s="59" t="s">
        <v>177</v>
      </c>
    </row>
    <row r="466" spans="1:12">
      <c r="A466" s="57" t="s">
        <v>178</v>
      </c>
      <c r="B466" s="57" t="s">
        <v>173</v>
      </c>
      <c r="C466" s="57">
        <v>2025</v>
      </c>
      <c r="D466" s="58">
        <f>MATCH(B466,{"GENNAIO","FEBBRAIO","MARZO","APRILE","MAGGIO","GIUGNO","LUGLIO","AGOSTO","SETTEMBRE","OTTOBRE","NOVEMBRE","DICEMBRE"},0)</f>
        <v>12</v>
      </c>
      <c r="E466" s="57" t="str">
        <f t="shared" ref="E466" si="816">CONCATENATE(,B466," ",C466)</f>
        <v>DICEMBRE 2025</v>
      </c>
      <c r="F466" s="57" t="str">
        <f t="shared" ref="F466" si="817">CONCATENATE(D466," ",E466)</f>
        <v>12 DICEMBRE 2025</v>
      </c>
      <c r="G466" s="1309" t="s">
        <v>94</v>
      </c>
      <c r="H466" s="1309" t="str">
        <f>VLOOKUP(G466,CATEGORIE!$H$3:$I$55,2,FALSE)</f>
        <v>COSTO SVAGHI</v>
      </c>
      <c r="I466" s="59">
        <v>22.6</v>
      </c>
      <c r="J466" s="940"/>
      <c r="K466" s="59"/>
      <c r="L466" s="59"/>
    </row>
    <row r="467" spans="1:12">
      <c r="A467" s="57" t="s">
        <v>130</v>
      </c>
      <c r="B467" s="57" t="s">
        <v>173</v>
      </c>
      <c r="C467" s="57">
        <v>2025</v>
      </c>
      <c r="D467" s="58">
        <f>MATCH(B467,{"GENNAIO","FEBBRAIO","MARZO","APRILE","MAGGIO","GIUGNO","LUGLIO","AGOSTO","SETTEMBRE","OTTOBRE","NOVEMBRE","DICEMBRE"},0)</f>
        <v>12</v>
      </c>
      <c r="E467" s="57" t="str">
        <f t="shared" ref="E467:E468" si="818">CONCATENATE(,B467," ",C467)</f>
        <v>DICEMBRE 2025</v>
      </c>
      <c r="F467" s="57" t="str">
        <f t="shared" ref="F467:F468" si="819">CONCATENATE(D467," ",E467)</f>
        <v>12 DICEMBRE 2025</v>
      </c>
      <c r="G467" s="1309" t="s">
        <v>94</v>
      </c>
      <c r="H467" s="1309" t="str">
        <f>VLOOKUP(G467,CATEGORIE!$H$3:$I$55,2,FALSE)</f>
        <v>COSTO SVAGHI</v>
      </c>
      <c r="I467" s="59">
        <v>22</v>
      </c>
      <c r="J467" s="940"/>
      <c r="K467" s="59"/>
      <c r="L467" s="59"/>
    </row>
    <row r="468" spans="1:12">
      <c r="A468" s="57" t="s">
        <v>92</v>
      </c>
      <c r="B468" s="57" t="s">
        <v>173</v>
      </c>
      <c r="C468" s="57">
        <v>2025</v>
      </c>
      <c r="D468" s="58">
        <f>MATCH(B468,{"GENNAIO","FEBBRAIO","MARZO","APRILE","MAGGIO","GIUGNO","LUGLIO","AGOSTO","SETTEMBRE","OTTOBRE","NOVEMBRE","DICEMBRE"},0)</f>
        <v>12</v>
      </c>
      <c r="E468" s="57" t="str">
        <f t="shared" si="818"/>
        <v>DICEMBRE 2025</v>
      </c>
      <c r="F468" s="57" t="str">
        <f t="shared" si="819"/>
        <v>12 DICEMBRE 2025</v>
      </c>
      <c r="G468" s="1309" t="s">
        <v>93</v>
      </c>
      <c r="H468" s="1309" t="str">
        <f>VLOOKUP(G468,CATEGORIE!$H$3:$I$55,2,FALSE)</f>
        <v>COSTO SOPRAVVIVENZA</v>
      </c>
      <c r="I468" s="59">
        <v>7</v>
      </c>
      <c r="J468" s="940"/>
      <c r="K468" s="59"/>
      <c r="L468" s="59"/>
    </row>
    <row r="469" spans="1:12">
      <c r="A469" s="57" t="s">
        <v>92</v>
      </c>
      <c r="B469" s="57" t="s">
        <v>173</v>
      </c>
      <c r="C469" s="57">
        <v>2025</v>
      </c>
      <c r="D469" s="58">
        <f>MATCH(B469,{"GENNAIO","FEBBRAIO","MARZO","APRILE","MAGGIO","GIUGNO","LUGLIO","AGOSTO","SETTEMBRE","OTTOBRE","NOVEMBRE","DICEMBRE"},0)</f>
        <v>12</v>
      </c>
      <c r="E469" s="57" t="str">
        <f t="shared" ref="E469:E472" si="820">CONCATENATE(,B469," ",C469)</f>
        <v>DICEMBRE 2025</v>
      </c>
      <c r="F469" s="57" t="str">
        <f t="shared" ref="F469:F472" si="821">CONCATENATE(D469," ",E469)</f>
        <v>12 DICEMBRE 2025</v>
      </c>
      <c r="G469" s="1309" t="s">
        <v>93</v>
      </c>
      <c r="H469" s="1309" t="str">
        <f>VLOOKUP(G469,CATEGORIE!$H$3:$I$55,2,FALSE)</f>
        <v>COSTO SOPRAVVIVENZA</v>
      </c>
      <c r="I469" s="59">
        <v>9</v>
      </c>
      <c r="J469" s="940"/>
      <c r="K469" s="59"/>
      <c r="L469" s="59"/>
    </row>
    <row r="470" spans="1:12">
      <c r="A470" s="57" t="s">
        <v>101</v>
      </c>
      <c r="B470" s="57" t="s">
        <v>173</v>
      </c>
      <c r="C470" s="57">
        <v>2025</v>
      </c>
      <c r="D470" s="58">
        <f>MATCH(B470,{"GENNAIO","FEBBRAIO","MARZO","APRILE","MAGGIO","GIUGNO","LUGLIO","AGOSTO","SETTEMBRE","OTTOBRE","NOVEMBRE","DICEMBRE"},0)</f>
        <v>12</v>
      </c>
      <c r="E470" s="57" t="str">
        <f t="shared" si="820"/>
        <v>DICEMBRE 2025</v>
      </c>
      <c r="F470" s="57" t="str">
        <f t="shared" si="821"/>
        <v>12 DICEMBRE 2025</v>
      </c>
      <c r="G470" s="1309" t="s">
        <v>91</v>
      </c>
      <c r="H470" s="1309" t="str">
        <f>VLOOKUP(G470,CATEGORIE!$H$3:$I$55,2,FALSE)</f>
        <v>COSTO SOPRAVVIVENZA</v>
      </c>
      <c r="I470" s="59">
        <v>0.4</v>
      </c>
      <c r="J470" s="940"/>
      <c r="K470" s="59"/>
      <c r="L470" s="59"/>
    </row>
    <row r="471" spans="1:12">
      <c r="A471" s="57" t="s">
        <v>101</v>
      </c>
      <c r="B471" s="57" t="s">
        <v>173</v>
      </c>
      <c r="C471" s="57">
        <v>2025</v>
      </c>
      <c r="D471" s="58">
        <f>MATCH(B471,{"GENNAIO","FEBBRAIO","MARZO","APRILE","MAGGIO","GIUGNO","LUGLIO","AGOSTO","SETTEMBRE","OTTOBRE","NOVEMBRE","DICEMBRE"},0)</f>
        <v>12</v>
      </c>
      <c r="E471" s="57" t="str">
        <f t="shared" ref="E471" si="822">CONCATENATE(,B471," ",C471)</f>
        <v>DICEMBRE 2025</v>
      </c>
      <c r="F471" s="57" t="str">
        <f t="shared" ref="F471" si="823">CONCATENATE(D471," ",E471)</f>
        <v>12 DICEMBRE 2025</v>
      </c>
      <c r="G471" s="1309" t="s">
        <v>91</v>
      </c>
      <c r="H471" s="1309" t="str">
        <f>VLOOKUP(G471,CATEGORIE!$H$3:$I$55,2,FALSE)</f>
        <v>COSTO SOPRAVVIVENZA</v>
      </c>
      <c r="I471" s="59">
        <v>0.4</v>
      </c>
      <c r="J471" s="940"/>
      <c r="K471" s="59"/>
      <c r="L471" s="59"/>
    </row>
    <row r="472" spans="1:12">
      <c r="A472" s="57" t="s">
        <v>101</v>
      </c>
      <c r="B472" s="57" t="s">
        <v>173</v>
      </c>
      <c r="C472" s="57">
        <v>2025</v>
      </c>
      <c r="D472" s="58">
        <f>MATCH(B472,{"GENNAIO","FEBBRAIO","MARZO","APRILE","MAGGIO","GIUGNO","LUGLIO","AGOSTO","SETTEMBRE","OTTOBRE","NOVEMBRE","DICEMBRE"},0)</f>
        <v>12</v>
      </c>
      <c r="E472" s="57" t="str">
        <f t="shared" si="820"/>
        <v>DICEMBRE 2025</v>
      </c>
      <c r="F472" s="57" t="str">
        <f t="shared" si="821"/>
        <v>12 DICEMBRE 2025</v>
      </c>
      <c r="G472" s="1309" t="s">
        <v>91</v>
      </c>
      <c r="H472" s="1309" t="str">
        <f>VLOOKUP(G472,CATEGORIE!$H$3:$I$55,2,FALSE)</f>
        <v>COSTO SOPRAVVIVENZA</v>
      </c>
      <c r="I472" s="59">
        <v>0.4</v>
      </c>
      <c r="J472" s="940"/>
      <c r="K472" s="59"/>
      <c r="L472" s="59"/>
    </row>
    <row r="473" spans="1:12">
      <c r="A473" s="57" t="s">
        <v>101</v>
      </c>
      <c r="B473" s="57" t="s">
        <v>173</v>
      </c>
      <c r="C473" s="57">
        <v>2025</v>
      </c>
      <c r="D473" s="58">
        <f>MATCH(B473,{"GENNAIO","FEBBRAIO","MARZO","APRILE","MAGGIO","GIUGNO","LUGLIO","AGOSTO","SETTEMBRE","OTTOBRE","NOVEMBRE","DICEMBRE"},0)</f>
        <v>12</v>
      </c>
      <c r="E473" s="57" t="str">
        <f t="shared" ref="E473:E474" si="824">CONCATENATE(,B473," ",C473)</f>
        <v>DICEMBRE 2025</v>
      </c>
      <c r="F473" s="57" t="str">
        <f t="shared" ref="F473:F474" si="825">CONCATENATE(D473," ",E473)</f>
        <v>12 DICEMBRE 2025</v>
      </c>
      <c r="G473" s="1309" t="s">
        <v>91</v>
      </c>
      <c r="H473" s="1309" t="str">
        <f>VLOOKUP(G473,CATEGORIE!$H$3:$I$55,2,FALSE)</f>
        <v>COSTO SOPRAVVIVENZA</v>
      </c>
      <c r="I473" s="59">
        <v>0.4</v>
      </c>
      <c r="J473" s="940"/>
      <c r="K473" s="59"/>
      <c r="L473" s="59"/>
    </row>
    <row r="474" spans="1:12">
      <c r="A474" s="57" t="s">
        <v>101</v>
      </c>
      <c r="B474" s="57" t="s">
        <v>173</v>
      </c>
      <c r="C474" s="57">
        <v>2025</v>
      </c>
      <c r="D474" s="58">
        <f>MATCH(B474,{"GENNAIO","FEBBRAIO","MARZO","APRILE","MAGGIO","GIUGNO","LUGLIO","AGOSTO","SETTEMBRE","OTTOBRE","NOVEMBRE","DICEMBRE"},0)</f>
        <v>12</v>
      </c>
      <c r="E474" s="57" t="str">
        <f t="shared" si="824"/>
        <v>DICEMBRE 2025</v>
      </c>
      <c r="F474" s="57" t="str">
        <f t="shared" si="825"/>
        <v>12 DICEMBRE 2025</v>
      </c>
      <c r="G474" s="1309" t="s">
        <v>91</v>
      </c>
      <c r="H474" s="1309" t="str">
        <f>VLOOKUP(G474,CATEGORIE!$H$3:$I$55,2,FALSE)</f>
        <v>COSTO SOPRAVVIVENZA</v>
      </c>
      <c r="I474" s="59">
        <v>0.4</v>
      </c>
      <c r="J474" s="940"/>
      <c r="K474" s="59"/>
      <c r="L474" s="59"/>
    </row>
    <row r="475" spans="1:12">
      <c r="A475" s="57" t="s">
        <v>179</v>
      </c>
      <c r="B475" s="57" t="s">
        <v>173</v>
      </c>
      <c r="C475" s="57">
        <v>2025</v>
      </c>
      <c r="D475" s="58">
        <f>MATCH(B475,{"GENNAIO","FEBBRAIO","MARZO","APRILE","MAGGIO","GIUGNO","LUGLIO","AGOSTO","SETTEMBRE","OTTOBRE","NOVEMBRE","DICEMBRE"},0)</f>
        <v>12</v>
      </c>
      <c r="E475" s="57" t="str">
        <f t="shared" ref="E475" si="826">CONCATENATE(,B475," ",C475)</f>
        <v>DICEMBRE 2025</v>
      </c>
      <c r="F475" s="57" t="str">
        <f t="shared" ref="F475" si="827">CONCATENATE(D475," ",E475)</f>
        <v>12 DICEMBRE 2025</v>
      </c>
      <c r="G475" s="1309" t="s">
        <v>94</v>
      </c>
      <c r="H475" s="1309" t="str">
        <f>VLOOKUP(G475,CATEGORIE!$H$3:$I$55,2,FALSE)</f>
        <v>COSTO SVAGHI</v>
      </c>
      <c r="I475" s="59">
        <v>40</v>
      </c>
      <c r="J475" s="940"/>
      <c r="K475" s="59"/>
      <c r="L475" s="59" t="s">
        <v>177</v>
      </c>
    </row>
    <row r="476" spans="1:12">
      <c r="A476" s="57" t="s">
        <v>99</v>
      </c>
      <c r="B476" s="57" t="s">
        <v>173</v>
      </c>
      <c r="C476" s="57">
        <v>2025</v>
      </c>
      <c r="D476" s="58">
        <f>MATCH(B476,{"GENNAIO","FEBBRAIO","MARZO","APRILE","MAGGIO","GIUGNO","LUGLIO","AGOSTO","SETTEMBRE","OTTOBRE","NOVEMBRE","DICEMBRE"},0)</f>
        <v>12</v>
      </c>
      <c r="E476" s="57" t="str">
        <f t="shared" ref="E476" si="828">CONCATENATE(,B476," ",C476)</f>
        <v>DICEMBRE 2025</v>
      </c>
      <c r="F476" s="57" t="str">
        <f t="shared" ref="F476" si="829">CONCATENATE(D476," ",E476)</f>
        <v>12 DICEMBRE 2025</v>
      </c>
      <c r="G476" s="1309" t="s">
        <v>100</v>
      </c>
      <c r="H476" s="1309" t="str">
        <f>VLOOKUP(G476,CATEGORIE!$H$3:$I$55,2,FALSE)</f>
        <v>COSTO SFIZI</v>
      </c>
      <c r="I476" s="59">
        <v>20.39</v>
      </c>
      <c r="J476" s="940"/>
      <c r="K476" s="59"/>
      <c r="L476" s="59"/>
    </row>
    <row r="477" spans="1:12">
      <c r="A477" s="57" t="s">
        <v>99</v>
      </c>
      <c r="B477" s="57" t="s">
        <v>173</v>
      </c>
      <c r="C477" s="57">
        <v>2025</v>
      </c>
      <c r="D477" s="58">
        <f>MATCH(B477,{"GENNAIO","FEBBRAIO","MARZO","APRILE","MAGGIO","GIUGNO","LUGLIO","AGOSTO","SETTEMBRE","OTTOBRE","NOVEMBRE","DICEMBRE"},0)</f>
        <v>12</v>
      </c>
      <c r="E477" s="57" t="str">
        <f t="shared" ref="E477" si="830">CONCATENATE(,B477," ",C477)</f>
        <v>DICEMBRE 2025</v>
      </c>
      <c r="F477" s="57" t="str">
        <f t="shared" ref="F477" si="831">CONCATENATE(D477," ",E477)</f>
        <v>12 DICEMBRE 2025</v>
      </c>
      <c r="G477" s="1309" t="s">
        <v>100</v>
      </c>
      <c r="H477" s="1309" t="str">
        <f>VLOOKUP(G477,CATEGORIE!$H$3:$I$55,2,FALSE)</f>
        <v>COSTO SFIZI</v>
      </c>
      <c r="I477" s="59">
        <v>39.58</v>
      </c>
      <c r="J477" s="940"/>
      <c r="K477" s="59"/>
      <c r="L477" s="59"/>
    </row>
    <row r="478" spans="1:12">
      <c r="A478" s="57" t="s">
        <v>92</v>
      </c>
      <c r="B478" s="57" t="s">
        <v>173</v>
      </c>
      <c r="C478" s="57">
        <v>2025</v>
      </c>
      <c r="D478" s="58">
        <f>MATCH(B478,{"GENNAIO","FEBBRAIO","MARZO","APRILE","MAGGIO","GIUGNO","LUGLIO","AGOSTO","SETTEMBRE","OTTOBRE","NOVEMBRE","DICEMBRE"},0)</f>
        <v>12</v>
      </c>
      <c r="E478" s="57" t="str">
        <f t="shared" ref="E478" si="832">CONCATENATE(,B478," ",C478)</f>
        <v>DICEMBRE 2025</v>
      </c>
      <c r="F478" s="57" t="str">
        <f t="shared" ref="F478" si="833">CONCATENATE(D478," ",E478)</f>
        <v>12 DICEMBRE 2025</v>
      </c>
      <c r="G478" s="1309" t="s">
        <v>93</v>
      </c>
      <c r="H478" s="1309" t="str">
        <f>VLOOKUP(G478,CATEGORIE!$H$3:$I$55,2,FALSE)</f>
        <v>COSTO SOPRAVVIVENZA</v>
      </c>
      <c r="I478" s="59">
        <v>7</v>
      </c>
      <c r="J478" s="940"/>
      <c r="K478" s="59"/>
      <c r="L478" s="59"/>
    </row>
    <row r="479" spans="1:12">
      <c r="A479" s="57" t="s">
        <v>180</v>
      </c>
      <c r="B479" s="57" t="s">
        <v>173</v>
      </c>
      <c r="C479" s="57">
        <v>2025</v>
      </c>
      <c r="D479" s="58">
        <f>MATCH(B479,{"GENNAIO","FEBBRAIO","MARZO","APRILE","MAGGIO","GIUGNO","LUGLIO","AGOSTO","SETTEMBRE","OTTOBRE","NOVEMBRE","DICEMBRE"},0)</f>
        <v>12</v>
      </c>
      <c r="E479" s="57" t="str">
        <f t="shared" ref="E479:E484" si="834">CONCATENATE(,B479," ",C479)</f>
        <v>DICEMBRE 2025</v>
      </c>
      <c r="F479" s="57" t="str">
        <f t="shared" ref="F479:F484" si="835">CONCATENATE(D479," ",E479)</f>
        <v>12 DICEMBRE 2025</v>
      </c>
      <c r="G479" s="1309" t="s">
        <v>94</v>
      </c>
      <c r="H479" s="1309" t="str">
        <f>VLOOKUP(G479,CATEGORIE!$H$3:$I$55,2,FALSE)</f>
        <v>COSTO SVAGHI</v>
      </c>
      <c r="I479" s="59">
        <v>37</v>
      </c>
      <c r="J479" s="940"/>
      <c r="K479" s="59"/>
      <c r="L479" s="59" t="s">
        <v>177</v>
      </c>
    </row>
    <row r="480" spans="1:12">
      <c r="A480" s="57" t="s">
        <v>104</v>
      </c>
      <c r="B480" s="57" t="s">
        <v>173</v>
      </c>
      <c r="C480" s="57">
        <v>2025</v>
      </c>
      <c r="D480" s="58">
        <f>MATCH(B480,{"GENNAIO","FEBBRAIO","MARZO","APRILE","MAGGIO","GIUGNO","LUGLIO","AGOSTO","SETTEMBRE","OTTOBRE","NOVEMBRE","DICEMBRE"},0)</f>
        <v>12</v>
      </c>
      <c r="E480" s="57" t="str">
        <f t="shared" si="834"/>
        <v>DICEMBRE 2025</v>
      </c>
      <c r="F480" s="57" t="str">
        <f t="shared" si="835"/>
        <v>12 DICEMBRE 2025</v>
      </c>
      <c r="G480" s="1309" t="s">
        <v>94</v>
      </c>
      <c r="H480" s="1309" t="str">
        <f>VLOOKUP(G480,CATEGORIE!$H$3:$I$55,2,FALSE)</f>
        <v>COSTO SVAGHI</v>
      </c>
      <c r="I480" s="59">
        <v>36.4</v>
      </c>
      <c r="J480" s="940"/>
      <c r="K480" s="59"/>
      <c r="L480" s="59"/>
    </row>
    <row r="481" spans="1:12">
      <c r="A481" s="57" t="s">
        <v>181</v>
      </c>
      <c r="B481" s="57" t="s">
        <v>173</v>
      </c>
      <c r="C481" s="57">
        <v>2025</v>
      </c>
      <c r="D481" s="58">
        <f>MATCH(B481,{"GENNAIO","FEBBRAIO","MARZO","APRILE","MAGGIO","GIUGNO","LUGLIO","AGOSTO","SETTEMBRE","OTTOBRE","NOVEMBRE","DICEMBRE"},0)</f>
        <v>12</v>
      </c>
      <c r="E481" s="57" t="str">
        <f t="shared" si="834"/>
        <v>DICEMBRE 2025</v>
      </c>
      <c r="F481" s="57" t="str">
        <f t="shared" si="835"/>
        <v>12 DICEMBRE 2025</v>
      </c>
      <c r="G481" s="1309" t="s">
        <v>1250</v>
      </c>
      <c r="H481" s="1309" t="str">
        <f>VLOOKUP(G481,CATEGORIE!$H$3:$I$55,2,FALSE)</f>
        <v>COSTO VACANZE</v>
      </c>
      <c r="I481" s="59">
        <v>15.74</v>
      </c>
      <c r="J481" s="940"/>
      <c r="K481" s="59"/>
      <c r="L481" s="59" t="s">
        <v>182</v>
      </c>
    </row>
    <row r="482" spans="1:12">
      <c r="A482" s="57" t="s">
        <v>183</v>
      </c>
      <c r="B482" s="57" t="s">
        <v>173</v>
      </c>
      <c r="C482" s="57">
        <v>2025</v>
      </c>
      <c r="D482" s="58">
        <f>MATCH(B482,{"GENNAIO","FEBBRAIO","MARZO","APRILE","MAGGIO","GIUGNO","LUGLIO","AGOSTO","SETTEMBRE","OTTOBRE","NOVEMBRE","DICEMBRE"},0)</f>
        <v>12</v>
      </c>
      <c r="E482" s="57" t="str">
        <f t="shared" si="834"/>
        <v>DICEMBRE 2025</v>
      </c>
      <c r="F482" s="57" t="str">
        <f t="shared" si="835"/>
        <v>12 DICEMBRE 2025</v>
      </c>
      <c r="G482" s="1309" t="s">
        <v>94</v>
      </c>
      <c r="H482" s="1309" t="str">
        <f>VLOOKUP(G482,CATEGORIE!$H$3:$I$55,2,FALSE)</f>
        <v>COSTO SVAGHI</v>
      </c>
      <c r="I482" s="59">
        <v>33.9</v>
      </c>
      <c r="J482" s="940"/>
      <c r="K482" s="59"/>
      <c r="L482" s="59" t="s">
        <v>182</v>
      </c>
    </row>
    <row r="483" spans="1:12">
      <c r="A483" s="57" t="s">
        <v>184</v>
      </c>
      <c r="B483" s="57" t="s">
        <v>173</v>
      </c>
      <c r="C483" s="57">
        <v>2025</v>
      </c>
      <c r="D483" s="58">
        <f>MATCH(B483,{"GENNAIO","FEBBRAIO","MARZO","APRILE","MAGGIO","GIUGNO","LUGLIO","AGOSTO","SETTEMBRE","OTTOBRE","NOVEMBRE","DICEMBRE"},0)</f>
        <v>12</v>
      </c>
      <c r="E483" s="57" t="str">
        <f t="shared" si="834"/>
        <v>DICEMBRE 2025</v>
      </c>
      <c r="F483" s="57" t="str">
        <f t="shared" si="835"/>
        <v>12 DICEMBRE 2025</v>
      </c>
      <c r="G483" s="1309" t="s">
        <v>185</v>
      </c>
      <c r="H483" s="1309" t="str">
        <f>VLOOKUP(G483,CATEGORIE!$H$3:$I$55,2,FALSE)</f>
        <v>COSTO SFIZI</v>
      </c>
      <c r="I483" s="59">
        <v>21</v>
      </c>
      <c r="J483" s="940"/>
      <c r="K483" s="59"/>
      <c r="L483" s="59" t="s">
        <v>186</v>
      </c>
    </row>
    <row r="484" spans="1:12">
      <c r="A484" s="57" t="s">
        <v>184</v>
      </c>
      <c r="B484" s="57" t="s">
        <v>173</v>
      </c>
      <c r="C484" s="57">
        <v>2025</v>
      </c>
      <c r="D484" s="58">
        <f>MATCH(B484,{"GENNAIO","FEBBRAIO","MARZO","APRILE","MAGGIO","GIUGNO","LUGLIO","AGOSTO","SETTEMBRE","OTTOBRE","NOVEMBRE","DICEMBRE"},0)</f>
        <v>12</v>
      </c>
      <c r="E484" s="57" t="str">
        <f t="shared" si="834"/>
        <v>DICEMBRE 2025</v>
      </c>
      <c r="F484" s="57" t="str">
        <f t="shared" si="835"/>
        <v>12 DICEMBRE 2025</v>
      </c>
      <c r="G484" s="1309" t="s">
        <v>185</v>
      </c>
      <c r="H484" s="1309" t="str">
        <f>VLOOKUP(G484,CATEGORIE!$H$3:$I$55,2,FALSE)</f>
        <v>COSTO SFIZI</v>
      </c>
      <c r="I484" s="59">
        <v>34.47</v>
      </c>
      <c r="J484" s="940"/>
      <c r="K484" s="59"/>
      <c r="L484" s="59" t="s">
        <v>186</v>
      </c>
    </row>
    <row r="485" spans="1:12">
      <c r="A485" s="57" t="s">
        <v>187</v>
      </c>
      <c r="B485" s="57" t="s">
        <v>173</v>
      </c>
      <c r="C485" s="57">
        <v>2025</v>
      </c>
      <c r="D485" s="58">
        <f>MATCH(B485,{"GENNAIO","FEBBRAIO","MARZO","APRILE","MAGGIO","GIUGNO","LUGLIO","AGOSTO","SETTEMBRE","OTTOBRE","NOVEMBRE","DICEMBRE"},0)</f>
        <v>12</v>
      </c>
      <c r="E485" s="57" t="str">
        <f t="shared" ref="E485" si="836">CONCATENATE(,B485," ",C485)</f>
        <v>DICEMBRE 2025</v>
      </c>
      <c r="F485" s="57" t="str">
        <f t="shared" ref="F485" si="837">CONCATENATE(D485," ",E485)</f>
        <v>12 DICEMBRE 2025</v>
      </c>
      <c r="G485" s="1309" t="s">
        <v>188</v>
      </c>
      <c r="H485" s="1309" t="str">
        <f>VLOOKUP(G485,CATEGORIE!$H$3:$I$55,2,FALSE)</f>
        <v>COSTO VACANZE</v>
      </c>
      <c r="I485" s="59">
        <v>478.37</v>
      </c>
      <c r="J485" s="940"/>
      <c r="K485" s="59"/>
      <c r="L485" s="59" t="s">
        <v>182</v>
      </c>
    </row>
    <row r="486" spans="1:12">
      <c r="A486" s="57" t="s">
        <v>189</v>
      </c>
      <c r="B486" s="57" t="s">
        <v>173</v>
      </c>
      <c r="C486" s="57">
        <v>2025</v>
      </c>
      <c r="D486" s="58">
        <f>MATCH(B486,{"GENNAIO","FEBBRAIO","MARZO","APRILE","MAGGIO","GIUGNO","LUGLIO","AGOSTO","SETTEMBRE","OTTOBRE","NOVEMBRE","DICEMBRE"},0)</f>
        <v>12</v>
      </c>
      <c r="E486" s="57" t="str">
        <f t="shared" ref="E486:E498" si="838">CONCATENATE(,B486," ",C486)</f>
        <v>DICEMBRE 2025</v>
      </c>
      <c r="F486" s="57" t="str">
        <f t="shared" ref="F486:F498" si="839">CONCATENATE(D486," ",E486)</f>
        <v>12 DICEMBRE 2025</v>
      </c>
      <c r="G486" s="1309" t="s">
        <v>94</v>
      </c>
      <c r="H486" s="1309" t="str">
        <f>VLOOKUP(G486,CATEGORIE!$H$3:$I$55,2,FALSE)</f>
        <v>COSTO SVAGHI</v>
      </c>
      <c r="I486" s="59">
        <v>4</v>
      </c>
      <c r="J486" s="940"/>
      <c r="K486" s="59"/>
      <c r="L486" s="59" t="s">
        <v>182</v>
      </c>
    </row>
    <row r="487" spans="1:12">
      <c r="A487" s="57" t="s">
        <v>190</v>
      </c>
      <c r="B487" s="57" t="s">
        <v>173</v>
      </c>
      <c r="C487" s="57">
        <v>2025</v>
      </c>
      <c r="D487" s="58">
        <f>MATCH(B487,{"GENNAIO","FEBBRAIO","MARZO","APRILE","MAGGIO","GIUGNO","LUGLIO","AGOSTO","SETTEMBRE","OTTOBRE","NOVEMBRE","DICEMBRE"},0)</f>
        <v>12</v>
      </c>
      <c r="E487" s="57" t="str">
        <f t="shared" si="838"/>
        <v>DICEMBRE 2025</v>
      </c>
      <c r="F487" s="57" t="str">
        <f t="shared" si="839"/>
        <v>12 DICEMBRE 2025</v>
      </c>
      <c r="G487" s="1309" t="s">
        <v>94</v>
      </c>
      <c r="H487" s="1309" t="str">
        <f>VLOOKUP(G487,CATEGORIE!$H$3:$I$55,2,FALSE)</f>
        <v>COSTO SVAGHI</v>
      </c>
      <c r="I487" s="59">
        <v>33</v>
      </c>
      <c r="J487" s="940"/>
      <c r="K487" s="59"/>
      <c r="L487" s="59" t="s">
        <v>182</v>
      </c>
    </row>
    <row r="488" spans="1:12">
      <c r="A488" s="57" t="s">
        <v>191</v>
      </c>
      <c r="B488" s="57" t="s">
        <v>173</v>
      </c>
      <c r="C488" s="57">
        <v>2025</v>
      </c>
      <c r="D488" s="58">
        <f>MATCH(B488,{"GENNAIO","FEBBRAIO","MARZO","APRILE","MAGGIO","GIUGNO","LUGLIO","AGOSTO","SETTEMBRE","OTTOBRE","NOVEMBRE","DICEMBRE"},0)</f>
        <v>12</v>
      </c>
      <c r="E488" s="57" t="str">
        <f t="shared" si="838"/>
        <v>DICEMBRE 2025</v>
      </c>
      <c r="F488" s="57" t="str">
        <f t="shared" si="839"/>
        <v>12 DICEMBRE 2025</v>
      </c>
      <c r="G488" s="1309" t="s">
        <v>163</v>
      </c>
      <c r="H488" s="1309" t="str">
        <f>VLOOKUP(G488,CATEGORIE!$H$3:$I$55,2,FALSE)</f>
        <v>COSTO SVAGHI</v>
      </c>
      <c r="I488" s="59">
        <v>36.799999999999997</v>
      </c>
      <c r="J488" s="940"/>
      <c r="K488" s="59"/>
      <c r="L488" s="59" t="s">
        <v>182</v>
      </c>
    </row>
    <row r="489" spans="1:12">
      <c r="A489" s="57" t="s">
        <v>192</v>
      </c>
      <c r="B489" s="57" t="s">
        <v>173</v>
      </c>
      <c r="C489" s="57">
        <v>2025</v>
      </c>
      <c r="D489" s="58">
        <f>MATCH(B489,{"GENNAIO","FEBBRAIO","MARZO","APRILE","MAGGIO","GIUGNO","LUGLIO","AGOSTO","SETTEMBRE","OTTOBRE","NOVEMBRE","DICEMBRE"},0)</f>
        <v>12</v>
      </c>
      <c r="E489" s="57" t="str">
        <f t="shared" si="838"/>
        <v>DICEMBRE 2025</v>
      </c>
      <c r="F489" s="57" t="str">
        <f t="shared" si="839"/>
        <v>12 DICEMBRE 2025</v>
      </c>
      <c r="G489" s="1309" t="s">
        <v>94</v>
      </c>
      <c r="H489" s="1309" t="str">
        <f>VLOOKUP(G489,CATEGORIE!$H$3:$I$55,2,FALSE)</f>
        <v>COSTO SVAGHI</v>
      </c>
      <c r="I489" s="59">
        <v>27.5</v>
      </c>
      <c r="J489" s="940"/>
      <c r="K489" s="59"/>
      <c r="L489" s="59" t="s">
        <v>182</v>
      </c>
    </row>
    <row r="490" spans="1:12">
      <c r="A490" s="57" t="s">
        <v>181</v>
      </c>
      <c r="B490" s="57" t="s">
        <v>173</v>
      </c>
      <c r="C490" s="57">
        <v>2025</v>
      </c>
      <c r="D490" s="58">
        <f>MATCH(B490,{"GENNAIO","FEBBRAIO","MARZO","APRILE","MAGGIO","GIUGNO","LUGLIO","AGOSTO","SETTEMBRE","OTTOBRE","NOVEMBRE","DICEMBRE"},0)</f>
        <v>12</v>
      </c>
      <c r="E490" s="57" t="str">
        <f t="shared" si="838"/>
        <v>DICEMBRE 2025</v>
      </c>
      <c r="F490" s="57" t="str">
        <f t="shared" si="839"/>
        <v>12 DICEMBRE 2025</v>
      </c>
      <c r="G490" s="1309" t="s">
        <v>1250</v>
      </c>
      <c r="H490" s="1309" t="str">
        <f>VLOOKUP(G490,CATEGORIE!$H$3:$I$55,2,FALSE)</f>
        <v>COSTO VACANZE</v>
      </c>
      <c r="I490" s="59">
        <v>8.9600000000000009</v>
      </c>
      <c r="J490" s="940"/>
      <c r="K490" s="59"/>
      <c r="L490" s="59" t="s">
        <v>182</v>
      </c>
    </row>
    <row r="491" spans="1:12">
      <c r="A491" s="57" t="s">
        <v>193</v>
      </c>
      <c r="B491" s="57" t="s">
        <v>173</v>
      </c>
      <c r="C491" s="57">
        <v>2025</v>
      </c>
      <c r="D491" s="58">
        <f>MATCH(B491,{"GENNAIO","FEBBRAIO","MARZO","APRILE","MAGGIO","GIUGNO","LUGLIO","AGOSTO","SETTEMBRE","OTTOBRE","NOVEMBRE","DICEMBRE"},0)</f>
        <v>12</v>
      </c>
      <c r="E491" s="57" t="str">
        <f t="shared" si="838"/>
        <v>DICEMBRE 2025</v>
      </c>
      <c r="F491" s="57" t="str">
        <f t="shared" si="839"/>
        <v>12 DICEMBRE 2025</v>
      </c>
      <c r="G491" s="1309" t="s">
        <v>1250</v>
      </c>
      <c r="H491" s="1309" t="str">
        <f>VLOOKUP(G491,CATEGORIE!$H$3:$I$55,2,FALSE)</f>
        <v>COSTO VACANZE</v>
      </c>
      <c r="I491" s="59">
        <v>2.8</v>
      </c>
      <c r="J491" s="940"/>
      <c r="K491" s="59"/>
      <c r="L491" s="59" t="s">
        <v>182</v>
      </c>
    </row>
    <row r="492" spans="1:12">
      <c r="A492" s="57" t="s">
        <v>194</v>
      </c>
      <c r="B492" s="57" t="s">
        <v>173</v>
      </c>
      <c r="C492" s="57">
        <v>2025</v>
      </c>
      <c r="D492" s="58">
        <f>MATCH(B492,{"GENNAIO","FEBBRAIO","MARZO","APRILE","MAGGIO","GIUGNO","LUGLIO","AGOSTO","SETTEMBRE","OTTOBRE","NOVEMBRE","DICEMBRE"},0)</f>
        <v>12</v>
      </c>
      <c r="E492" s="57" t="str">
        <f t="shared" si="838"/>
        <v>DICEMBRE 2025</v>
      </c>
      <c r="F492" s="57" t="str">
        <f t="shared" si="839"/>
        <v>12 DICEMBRE 2025</v>
      </c>
      <c r="G492" s="1309" t="s">
        <v>1250</v>
      </c>
      <c r="H492" s="1309" t="str">
        <f>VLOOKUP(G492,CATEGORIE!$H$3:$I$55,2,FALSE)</f>
        <v>COSTO VACANZE</v>
      </c>
      <c r="I492" s="59">
        <v>98.82</v>
      </c>
      <c r="J492" s="940"/>
      <c r="K492" s="59"/>
      <c r="L492" s="59" t="s">
        <v>182</v>
      </c>
    </row>
    <row r="493" spans="1:12">
      <c r="A493" s="57" t="s">
        <v>195</v>
      </c>
      <c r="B493" s="57" t="s">
        <v>173</v>
      </c>
      <c r="C493" s="57">
        <v>2025</v>
      </c>
      <c r="D493" s="58">
        <f>MATCH(B493,{"GENNAIO","FEBBRAIO","MARZO","APRILE","MAGGIO","GIUGNO","LUGLIO","AGOSTO","SETTEMBRE","OTTOBRE","NOVEMBRE","DICEMBRE"},0)</f>
        <v>12</v>
      </c>
      <c r="E493" s="57" t="str">
        <f t="shared" si="838"/>
        <v>DICEMBRE 2025</v>
      </c>
      <c r="F493" s="57" t="str">
        <f t="shared" si="839"/>
        <v>12 DICEMBRE 2025</v>
      </c>
      <c r="G493" s="1309" t="s">
        <v>94</v>
      </c>
      <c r="H493" s="1309" t="str">
        <f>VLOOKUP(G493,CATEGORIE!$H$3:$I$55,2,FALSE)</f>
        <v>COSTO SVAGHI</v>
      </c>
      <c r="I493" s="59">
        <v>2.2000000000000002</v>
      </c>
      <c r="J493" s="940"/>
      <c r="K493" s="59"/>
      <c r="L493" s="59" t="s">
        <v>182</v>
      </c>
    </row>
    <row r="494" spans="1:12">
      <c r="A494" s="57" t="s">
        <v>195</v>
      </c>
      <c r="B494" s="57" t="s">
        <v>173</v>
      </c>
      <c r="C494" s="57">
        <v>2025</v>
      </c>
      <c r="D494" s="58">
        <f>MATCH(B494,{"GENNAIO","FEBBRAIO","MARZO","APRILE","MAGGIO","GIUGNO","LUGLIO","AGOSTO","SETTEMBRE","OTTOBRE","NOVEMBRE","DICEMBRE"},0)</f>
        <v>12</v>
      </c>
      <c r="E494" s="57" t="str">
        <f t="shared" si="838"/>
        <v>DICEMBRE 2025</v>
      </c>
      <c r="F494" s="57" t="str">
        <f t="shared" si="839"/>
        <v>12 DICEMBRE 2025</v>
      </c>
      <c r="G494" s="1309" t="s">
        <v>94</v>
      </c>
      <c r="H494" s="1309" t="str">
        <f>VLOOKUP(G494,CATEGORIE!$H$3:$I$55,2,FALSE)</f>
        <v>COSTO SVAGHI</v>
      </c>
      <c r="I494" s="59">
        <v>2.2000000000000002</v>
      </c>
      <c r="J494" s="940"/>
      <c r="K494" s="59"/>
      <c r="L494" s="59" t="s">
        <v>182</v>
      </c>
    </row>
    <row r="495" spans="1:12">
      <c r="A495" s="57" t="s">
        <v>181</v>
      </c>
      <c r="B495" s="57" t="s">
        <v>173</v>
      </c>
      <c r="C495" s="57">
        <v>2025</v>
      </c>
      <c r="D495" s="58">
        <f>MATCH(B495,{"GENNAIO","FEBBRAIO","MARZO","APRILE","MAGGIO","GIUGNO","LUGLIO","AGOSTO","SETTEMBRE","OTTOBRE","NOVEMBRE","DICEMBRE"},0)</f>
        <v>12</v>
      </c>
      <c r="E495" s="57" t="str">
        <f t="shared" si="838"/>
        <v>DICEMBRE 2025</v>
      </c>
      <c r="F495" s="57" t="str">
        <f t="shared" si="839"/>
        <v>12 DICEMBRE 2025</v>
      </c>
      <c r="G495" s="1309" t="s">
        <v>1250</v>
      </c>
      <c r="H495" s="1309" t="str">
        <f>VLOOKUP(G495,CATEGORIE!$H$3:$I$55,2,FALSE)</f>
        <v>COSTO VACANZE</v>
      </c>
      <c r="I495" s="59">
        <v>31.83</v>
      </c>
      <c r="J495" s="940"/>
      <c r="K495" s="59"/>
      <c r="L495" s="59" t="s">
        <v>182</v>
      </c>
    </row>
    <row r="496" spans="1:12">
      <c r="A496" s="57" t="s">
        <v>196</v>
      </c>
      <c r="B496" s="57" t="s">
        <v>173</v>
      </c>
      <c r="C496" s="57">
        <v>2025</v>
      </c>
      <c r="D496" s="58">
        <f>MATCH(B496,{"GENNAIO","FEBBRAIO","MARZO","APRILE","MAGGIO","GIUGNO","LUGLIO","AGOSTO","SETTEMBRE","OTTOBRE","NOVEMBRE","DICEMBRE"},0)</f>
        <v>12</v>
      </c>
      <c r="E496" s="57" t="str">
        <f t="shared" si="838"/>
        <v>DICEMBRE 2025</v>
      </c>
      <c r="F496" s="57" t="str">
        <f t="shared" si="839"/>
        <v>12 DICEMBRE 2025</v>
      </c>
      <c r="G496" s="1309" t="s">
        <v>94</v>
      </c>
      <c r="H496" s="1309" t="str">
        <f>VLOOKUP(G496,CATEGORIE!$H$3:$I$55,2,FALSE)</f>
        <v>COSTO SVAGHI</v>
      </c>
      <c r="I496" s="59">
        <v>15</v>
      </c>
      <c r="J496" s="940"/>
      <c r="K496" s="59"/>
      <c r="L496" s="59" t="s">
        <v>182</v>
      </c>
    </row>
    <row r="497" spans="1:12">
      <c r="A497" s="57" t="s">
        <v>92</v>
      </c>
      <c r="B497" s="57" t="s">
        <v>173</v>
      </c>
      <c r="C497" s="57">
        <v>2025</v>
      </c>
      <c r="D497" s="58">
        <f>MATCH(B497,{"GENNAIO","FEBBRAIO","MARZO","APRILE","MAGGIO","GIUGNO","LUGLIO","AGOSTO","SETTEMBRE","OTTOBRE","NOVEMBRE","DICEMBRE"},0)</f>
        <v>12</v>
      </c>
      <c r="E497" s="57" t="str">
        <f t="shared" si="838"/>
        <v>DICEMBRE 2025</v>
      </c>
      <c r="F497" s="57" t="str">
        <f t="shared" si="839"/>
        <v>12 DICEMBRE 2025</v>
      </c>
      <c r="G497" s="1309" t="s">
        <v>94</v>
      </c>
      <c r="H497" s="1309" t="str">
        <f>VLOOKUP(G497,CATEGORIE!$H$3:$I$55,2,FALSE)</f>
        <v>COSTO SVAGHI</v>
      </c>
      <c r="I497" s="59">
        <v>43.5</v>
      </c>
      <c r="J497" s="940"/>
      <c r="K497" s="59"/>
      <c r="L497" s="59" t="s">
        <v>177</v>
      </c>
    </row>
    <row r="498" spans="1:12">
      <c r="A498" s="57" t="s">
        <v>92</v>
      </c>
      <c r="B498" s="57" t="s">
        <v>173</v>
      </c>
      <c r="C498" s="57">
        <v>2025</v>
      </c>
      <c r="D498" s="58">
        <f>MATCH(B498,{"GENNAIO","FEBBRAIO","MARZO","APRILE","MAGGIO","GIUGNO","LUGLIO","AGOSTO","SETTEMBRE","OTTOBRE","NOVEMBRE","DICEMBRE"},0)</f>
        <v>12</v>
      </c>
      <c r="E498" s="57" t="str">
        <f t="shared" si="838"/>
        <v>DICEMBRE 2025</v>
      </c>
      <c r="F498" s="57" t="str">
        <f t="shared" si="839"/>
        <v>12 DICEMBRE 2025</v>
      </c>
      <c r="G498" s="1309" t="s">
        <v>93</v>
      </c>
      <c r="H498" s="1309" t="str">
        <f>VLOOKUP(G498,CATEGORIE!$H$3:$I$55,2,FALSE)</f>
        <v>COSTO SOPRAVVIVENZA</v>
      </c>
      <c r="I498" s="59">
        <v>7</v>
      </c>
      <c r="J498" s="940"/>
      <c r="K498" s="59"/>
      <c r="L498" s="59"/>
    </row>
    <row r="499" spans="1:12">
      <c r="A499" s="57" t="s">
        <v>101</v>
      </c>
      <c r="B499" s="57" t="s">
        <v>173</v>
      </c>
      <c r="C499" s="57">
        <v>2025</v>
      </c>
      <c r="D499" s="58">
        <f>MATCH(B499,{"GENNAIO","FEBBRAIO","MARZO","APRILE","MAGGIO","GIUGNO","LUGLIO","AGOSTO","SETTEMBRE","OTTOBRE","NOVEMBRE","DICEMBRE"},0)</f>
        <v>12</v>
      </c>
      <c r="E499" s="57" t="str">
        <f t="shared" ref="E499:E500" si="840">CONCATENATE(,B499," ",C499)</f>
        <v>DICEMBRE 2025</v>
      </c>
      <c r="F499" s="57" t="str">
        <f t="shared" ref="F499:F500" si="841">CONCATENATE(D499," ",E499)</f>
        <v>12 DICEMBRE 2025</v>
      </c>
      <c r="G499" s="1309" t="s">
        <v>91</v>
      </c>
      <c r="H499" s="1309" t="str">
        <f>VLOOKUP(G499,CATEGORIE!$H$3:$I$55,2,FALSE)</f>
        <v>COSTO SOPRAVVIVENZA</v>
      </c>
      <c r="I499" s="59">
        <v>0.4</v>
      </c>
      <c r="J499" s="940"/>
      <c r="K499" s="59"/>
      <c r="L499" s="59"/>
    </row>
    <row r="500" spans="1:12">
      <c r="A500" s="57" t="s">
        <v>101</v>
      </c>
      <c r="B500" s="57" t="s">
        <v>173</v>
      </c>
      <c r="C500" s="57">
        <v>2025</v>
      </c>
      <c r="D500" s="58">
        <f>MATCH(B500,{"GENNAIO","FEBBRAIO","MARZO","APRILE","MAGGIO","GIUGNO","LUGLIO","AGOSTO","SETTEMBRE","OTTOBRE","NOVEMBRE","DICEMBRE"},0)</f>
        <v>12</v>
      </c>
      <c r="E500" s="57" t="str">
        <f t="shared" si="840"/>
        <v>DICEMBRE 2025</v>
      </c>
      <c r="F500" s="57" t="str">
        <f t="shared" si="841"/>
        <v>12 DICEMBRE 2025</v>
      </c>
      <c r="G500" s="1309" t="s">
        <v>91</v>
      </c>
      <c r="H500" s="1309" t="str">
        <f>VLOOKUP(G500,CATEGORIE!$H$3:$I$55,2,FALSE)</f>
        <v>COSTO SOPRAVVIVENZA</v>
      </c>
      <c r="I500" s="59">
        <v>0.4</v>
      </c>
      <c r="J500" s="940"/>
      <c r="K500" s="59"/>
      <c r="L500" s="59"/>
    </row>
    <row r="501" spans="1:12">
      <c r="A501" s="57" t="s">
        <v>101</v>
      </c>
      <c r="B501" s="57" t="s">
        <v>173</v>
      </c>
      <c r="C501" s="57">
        <v>2025</v>
      </c>
      <c r="D501" s="58">
        <f>MATCH(B501,{"GENNAIO","FEBBRAIO","MARZO","APRILE","MAGGIO","GIUGNO","LUGLIO","AGOSTO","SETTEMBRE","OTTOBRE","NOVEMBRE","DICEMBRE"},0)</f>
        <v>12</v>
      </c>
      <c r="E501" s="57" t="str">
        <f t="shared" ref="E501" si="842">CONCATENATE(,B501," ",C501)</f>
        <v>DICEMBRE 2025</v>
      </c>
      <c r="F501" s="57" t="str">
        <f t="shared" ref="F501" si="843">CONCATENATE(D501," ",E501)</f>
        <v>12 DICEMBRE 2025</v>
      </c>
      <c r="G501" s="1309" t="s">
        <v>91</v>
      </c>
      <c r="H501" s="1309" t="str">
        <f>VLOOKUP(G501,CATEGORIE!$H$3:$I$55,2,FALSE)</f>
        <v>COSTO SOPRAVVIVENZA</v>
      </c>
      <c r="I501" s="59">
        <v>0.4</v>
      </c>
      <c r="J501" s="940"/>
      <c r="K501" s="59"/>
      <c r="L501" s="59"/>
    </row>
    <row r="502" spans="1:12">
      <c r="A502" s="57" t="s">
        <v>101</v>
      </c>
      <c r="B502" s="57" t="s">
        <v>173</v>
      </c>
      <c r="C502" s="57">
        <v>2025</v>
      </c>
      <c r="D502" s="58">
        <f>MATCH(B502,{"GENNAIO","FEBBRAIO","MARZO","APRILE","MAGGIO","GIUGNO","LUGLIO","AGOSTO","SETTEMBRE","OTTOBRE","NOVEMBRE","DICEMBRE"},0)</f>
        <v>12</v>
      </c>
      <c r="E502" s="57" t="str">
        <f t="shared" ref="E502" si="844">CONCATENATE(,B502," ",C502)</f>
        <v>DICEMBRE 2025</v>
      </c>
      <c r="F502" s="57" t="str">
        <f t="shared" ref="F502" si="845">CONCATENATE(D502," ",E502)</f>
        <v>12 DICEMBRE 2025</v>
      </c>
      <c r="G502" s="1309" t="s">
        <v>91</v>
      </c>
      <c r="H502" s="1309" t="str">
        <f>VLOOKUP(G502,CATEGORIE!$H$3:$I$55,2,FALSE)</f>
        <v>COSTO SOPRAVVIVENZA</v>
      </c>
      <c r="I502" s="59">
        <v>0.4</v>
      </c>
      <c r="J502" s="940"/>
      <c r="K502" s="59"/>
      <c r="L502" s="59"/>
    </row>
    <row r="503" spans="1:12">
      <c r="A503" s="57" t="s">
        <v>101</v>
      </c>
      <c r="B503" s="57" t="s">
        <v>173</v>
      </c>
      <c r="C503" s="57">
        <v>2025</v>
      </c>
      <c r="D503" s="58">
        <f>MATCH(B503,{"GENNAIO","FEBBRAIO","MARZO","APRILE","MAGGIO","GIUGNO","LUGLIO","AGOSTO","SETTEMBRE","OTTOBRE","NOVEMBRE","DICEMBRE"},0)</f>
        <v>12</v>
      </c>
      <c r="E503" s="57" t="str">
        <f t="shared" ref="E503" si="846">CONCATENATE(,B503," ",C503)</f>
        <v>DICEMBRE 2025</v>
      </c>
      <c r="F503" s="57" t="str">
        <f t="shared" ref="F503" si="847">CONCATENATE(D503," ",E503)</f>
        <v>12 DICEMBRE 2025</v>
      </c>
      <c r="G503" s="1309" t="s">
        <v>91</v>
      </c>
      <c r="H503" s="1309" t="str">
        <f>VLOOKUP(G503,CATEGORIE!$H$3:$I$55,2,FALSE)</f>
        <v>COSTO SOPRAVVIVENZA</v>
      </c>
      <c r="I503" s="59">
        <v>0.4</v>
      </c>
      <c r="J503" s="940"/>
      <c r="K503" s="59"/>
      <c r="L503" s="59"/>
    </row>
    <row r="504" spans="1:12">
      <c r="A504" s="57" t="s">
        <v>97</v>
      </c>
      <c r="B504" s="57" t="s">
        <v>173</v>
      </c>
      <c r="C504" s="57">
        <v>2025</v>
      </c>
      <c r="D504" s="58">
        <f>MATCH(B504,{"GENNAIO","FEBBRAIO","MARZO","APRILE","MAGGIO","GIUGNO","LUGLIO","AGOSTO","SETTEMBRE","OTTOBRE","NOVEMBRE","DICEMBRE"},0)</f>
        <v>12</v>
      </c>
      <c r="E504" s="57" t="str">
        <f t="shared" ref="E504" si="848">CONCATENATE(,B504," ",C504)</f>
        <v>DICEMBRE 2025</v>
      </c>
      <c r="F504" s="57" t="str">
        <f t="shared" ref="F504" si="849">CONCATENATE(D504," ",E504)</f>
        <v>12 DICEMBRE 2025</v>
      </c>
      <c r="G504" s="1309" t="s">
        <v>789</v>
      </c>
      <c r="H504" s="1309" t="str">
        <f>VLOOKUP(G504,CATEGORIE!$H$3:$I$55,2,FALSE)</f>
        <v>MOVIMENTI CONTO</v>
      </c>
      <c r="I504" s="59">
        <v>50</v>
      </c>
      <c r="J504" s="940"/>
      <c r="K504" s="59" t="s">
        <v>97</v>
      </c>
      <c r="L504" s="59" t="s">
        <v>98</v>
      </c>
    </row>
    <row r="505" spans="1:12">
      <c r="A505" s="57" t="s">
        <v>99</v>
      </c>
      <c r="B505" s="57" t="s">
        <v>173</v>
      </c>
      <c r="C505" s="57">
        <v>2025</v>
      </c>
      <c r="D505" s="58">
        <f>MATCH(B505,{"GENNAIO","FEBBRAIO","MARZO","APRILE","MAGGIO","GIUGNO","LUGLIO","AGOSTO","SETTEMBRE","OTTOBRE","NOVEMBRE","DICEMBRE"},0)</f>
        <v>12</v>
      </c>
      <c r="E505" s="57" t="str">
        <f t="shared" ref="E505" si="850">CONCATENATE(,B505," ",C505)</f>
        <v>DICEMBRE 2025</v>
      </c>
      <c r="F505" s="57" t="str">
        <f t="shared" ref="F505" si="851">CONCATENATE(D505," ",E505)</f>
        <v>12 DICEMBRE 2025</v>
      </c>
      <c r="G505" s="1309" t="s">
        <v>108</v>
      </c>
      <c r="H505" s="1309" t="str">
        <f>VLOOKUP(G505,CATEGORIE!$H$3:$I$55,2,FALSE)</f>
        <v>COSTO SFIZI</v>
      </c>
      <c r="I505" s="59">
        <v>78</v>
      </c>
      <c r="J505" s="940"/>
      <c r="K505" s="59"/>
      <c r="L505" s="59"/>
    </row>
    <row r="506" spans="1:12">
      <c r="A506" s="57" t="s">
        <v>99</v>
      </c>
      <c r="B506" s="57" t="s">
        <v>173</v>
      </c>
      <c r="C506" s="57">
        <v>2025</v>
      </c>
      <c r="D506" s="58">
        <f>MATCH(B506,{"GENNAIO","FEBBRAIO","MARZO","APRILE","MAGGIO","GIUGNO","LUGLIO","AGOSTO","SETTEMBRE","OTTOBRE","NOVEMBRE","DICEMBRE"},0)</f>
        <v>12</v>
      </c>
      <c r="E506" s="57" t="str">
        <f t="shared" ref="E506" si="852">CONCATENATE(,B506," ",C506)</f>
        <v>DICEMBRE 2025</v>
      </c>
      <c r="F506" s="57" t="str">
        <f t="shared" ref="F506" si="853">CONCATENATE(D506," ",E506)</f>
        <v>12 DICEMBRE 2025</v>
      </c>
      <c r="G506" s="1309" t="s">
        <v>100</v>
      </c>
      <c r="H506" s="1309" t="str">
        <f>VLOOKUP(G506,CATEGORIE!$H$3:$I$55,2,FALSE)</f>
        <v>COSTO SFIZI</v>
      </c>
      <c r="I506" s="59">
        <v>10.08</v>
      </c>
      <c r="J506" s="940"/>
      <c r="K506" s="59"/>
      <c r="L506" s="59"/>
    </row>
    <row r="507" spans="1:12">
      <c r="A507" s="57" t="s">
        <v>99</v>
      </c>
      <c r="B507" s="57" t="s">
        <v>173</v>
      </c>
      <c r="C507" s="57">
        <v>2025</v>
      </c>
      <c r="D507" s="58">
        <f>MATCH(B507,{"GENNAIO","FEBBRAIO","MARZO","APRILE","MAGGIO","GIUGNO","LUGLIO","AGOSTO","SETTEMBRE","OTTOBRE","NOVEMBRE","DICEMBRE"},0)</f>
        <v>12</v>
      </c>
      <c r="E507" s="57" t="str">
        <f t="shared" ref="E507" si="854">CONCATENATE(,B507," ",C507)</f>
        <v>DICEMBRE 2025</v>
      </c>
      <c r="F507" s="57" t="str">
        <f t="shared" ref="F507" si="855">CONCATENATE(D507," ",E507)</f>
        <v>12 DICEMBRE 2025</v>
      </c>
      <c r="G507" s="1309" t="s">
        <v>100</v>
      </c>
      <c r="H507" s="1309" t="str">
        <f>VLOOKUP(G507,CATEGORIE!$H$3:$I$55,2,FALSE)</f>
        <v>COSTO SFIZI</v>
      </c>
      <c r="I507" s="59">
        <v>49</v>
      </c>
      <c r="J507" s="940"/>
      <c r="K507" s="59"/>
      <c r="L507" s="59" t="s">
        <v>175</v>
      </c>
    </row>
    <row r="508" spans="1:12">
      <c r="A508" s="57" t="s">
        <v>92</v>
      </c>
      <c r="B508" s="57" t="s">
        <v>173</v>
      </c>
      <c r="C508" s="57">
        <v>2025</v>
      </c>
      <c r="D508" s="58">
        <f>MATCH(B508,{"GENNAIO","FEBBRAIO","MARZO","APRILE","MAGGIO","GIUGNO","LUGLIO","AGOSTO","SETTEMBRE","OTTOBRE","NOVEMBRE","DICEMBRE"},0)</f>
        <v>12</v>
      </c>
      <c r="E508" s="57" t="str">
        <f>CONCATENATE(,B508," ",C508)</f>
        <v>DICEMBRE 2025</v>
      </c>
      <c r="F508" s="57" t="str">
        <f>CONCATENATE(D508," ",E508)</f>
        <v>12 DICEMBRE 2025</v>
      </c>
      <c r="G508" s="1309" t="s">
        <v>94</v>
      </c>
      <c r="H508" s="1309" t="str">
        <f>VLOOKUP(G508,CATEGORIE!$H$3:$I$55,2,FALSE)</f>
        <v>COSTO SVAGHI</v>
      </c>
      <c r="I508" s="59">
        <v>2.8</v>
      </c>
      <c r="J508" s="940"/>
      <c r="K508" s="59"/>
      <c r="L508" s="59"/>
    </row>
    <row r="509" spans="1:12">
      <c r="A509" s="57" t="s">
        <v>102</v>
      </c>
      <c r="B509" s="57" t="s">
        <v>173</v>
      </c>
      <c r="C509" s="57">
        <v>2025</v>
      </c>
      <c r="D509" s="58">
        <f>MATCH(B509,{"GENNAIO","FEBBRAIO","MARZO","APRILE","MAGGIO","GIUGNO","LUGLIO","AGOSTO","SETTEMBRE","OTTOBRE","NOVEMBRE","DICEMBRE"},0)</f>
        <v>12</v>
      </c>
      <c r="E509" s="57" t="str">
        <f t="shared" ref="E509" si="856">CONCATENATE(,B509," ",C509)</f>
        <v>DICEMBRE 2025</v>
      </c>
      <c r="F509" s="57" t="str">
        <f t="shared" ref="F509" si="857">CONCATENATE(D509," ",E509)</f>
        <v>12 DICEMBRE 2025</v>
      </c>
      <c r="G509" s="1309" t="s">
        <v>96</v>
      </c>
      <c r="H509" s="1309" t="str">
        <f>VLOOKUP(G509,CATEGORIE!$H$3:$I$55,2,FALSE)</f>
        <v>COSTO SOPRAVVIVENZA</v>
      </c>
      <c r="I509" s="59">
        <v>5.95</v>
      </c>
      <c r="J509" s="940"/>
      <c r="K509" s="59"/>
      <c r="L509" s="59"/>
    </row>
    <row r="510" spans="1:12">
      <c r="A510" s="57" t="s">
        <v>95</v>
      </c>
      <c r="B510" s="57" t="s">
        <v>173</v>
      </c>
      <c r="C510" s="57">
        <v>2025</v>
      </c>
      <c r="D510" s="58">
        <f>MATCH(B510,{"GENNAIO","FEBBRAIO","MARZO","APRILE","MAGGIO","GIUGNO","LUGLIO","AGOSTO","SETTEMBRE","OTTOBRE","NOVEMBRE","DICEMBRE"},0)</f>
        <v>12</v>
      </c>
      <c r="E510" s="57" t="str">
        <f t="shared" ref="E510" si="858">CONCATENATE(,B510," ",C510)</f>
        <v>DICEMBRE 2025</v>
      </c>
      <c r="F510" s="57" t="str">
        <f t="shared" ref="F510" si="859">CONCATENATE(D510," ",E510)</f>
        <v>12 DICEMBRE 2025</v>
      </c>
      <c r="G510" s="1309" t="s">
        <v>96</v>
      </c>
      <c r="H510" s="1309" t="str">
        <f>VLOOKUP(G510,CATEGORIE!$H$3:$I$55,2,FALSE)</f>
        <v>COSTO SOPRAVVIVENZA</v>
      </c>
      <c r="I510" s="59">
        <v>20.91</v>
      </c>
      <c r="J510" s="940"/>
      <c r="K510" s="59"/>
      <c r="L510" s="59"/>
    </row>
    <row r="511" spans="1:12">
      <c r="A511" s="57" t="s">
        <v>92</v>
      </c>
      <c r="B511" s="57" t="s">
        <v>173</v>
      </c>
      <c r="C511" s="57">
        <v>2025</v>
      </c>
      <c r="D511" s="58">
        <f>MATCH(B511,{"GENNAIO","FEBBRAIO","MARZO","APRILE","MAGGIO","GIUGNO","LUGLIO","AGOSTO","SETTEMBRE","OTTOBRE","NOVEMBRE","DICEMBRE"},0)</f>
        <v>12</v>
      </c>
      <c r="E511" s="57" t="str">
        <f>CONCATENATE(,B511," ",C511)</f>
        <v>DICEMBRE 2025</v>
      </c>
      <c r="F511" s="57" t="str">
        <f>CONCATENATE(D511," ",E511)</f>
        <v>12 DICEMBRE 2025</v>
      </c>
      <c r="G511" s="1309" t="s">
        <v>93</v>
      </c>
      <c r="H511" s="1309" t="str">
        <f>VLOOKUP(G511,CATEGORIE!$H$3:$I$55,2,FALSE)</f>
        <v>COSTO SOPRAVVIVENZA</v>
      </c>
      <c r="I511" s="59">
        <v>7</v>
      </c>
      <c r="J511" s="940"/>
      <c r="K511" s="59"/>
      <c r="L511" s="59"/>
    </row>
    <row r="512" spans="1:12">
      <c r="A512" s="57" t="s">
        <v>99</v>
      </c>
      <c r="B512" s="57" t="s">
        <v>173</v>
      </c>
      <c r="C512" s="57">
        <v>2025</v>
      </c>
      <c r="D512" s="58">
        <f>MATCH(B512,{"GENNAIO","FEBBRAIO","MARZO","APRILE","MAGGIO","GIUGNO","LUGLIO","AGOSTO","SETTEMBRE","OTTOBRE","NOVEMBRE","DICEMBRE"},0)</f>
        <v>12</v>
      </c>
      <c r="E512" s="57" t="str">
        <f t="shared" ref="E512:E513" si="860">CONCATENATE(,B512," ",C512)</f>
        <v>DICEMBRE 2025</v>
      </c>
      <c r="F512" s="57" t="str">
        <f t="shared" ref="F512:F513" si="861">CONCATENATE(D512," ",E512)</f>
        <v>12 DICEMBRE 2025</v>
      </c>
      <c r="G512" s="1309" t="s">
        <v>100</v>
      </c>
      <c r="H512" s="1309" t="str">
        <f>VLOOKUP(G512,CATEGORIE!$H$3:$I$55,2,FALSE)</f>
        <v>COSTO SFIZI</v>
      </c>
      <c r="I512" s="59">
        <v>94.8</v>
      </c>
      <c r="J512" s="940" t="s">
        <v>197</v>
      </c>
      <c r="K512" s="59" t="s">
        <v>99</v>
      </c>
      <c r="L512" s="59" t="s">
        <v>152</v>
      </c>
    </row>
    <row r="513" spans="1:12">
      <c r="A513" s="57" t="s">
        <v>99</v>
      </c>
      <c r="B513" s="57" t="s">
        <v>173</v>
      </c>
      <c r="C513" s="57">
        <v>2025</v>
      </c>
      <c r="D513" s="58">
        <f>MATCH(B513,{"GENNAIO","FEBBRAIO","MARZO","APRILE","MAGGIO","GIUGNO","LUGLIO","AGOSTO","SETTEMBRE","OTTOBRE","NOVEMBRE","DICEMBRE"},0)</f>
        <v>12</v>
      </c>
      <c r="E513" s="57" t="str">
        <f t="shared" si="860"/>
        <v>DICEMBRE 2025</v>
      </c>
      <c r="F513" s="57" t="str">
        <f t="shared" si="861"/>
        <v>12 DICEMBRE 2025</v>
      </c>
      <c r="G513" s="1309" t="s">
        <v>100</v>
      </c>
      <c r="H513" s="1309" t="str">
        <f>VLOOKUP(G513,CATEGORIE!$H$3:$I$55,2,FALSE)</f>
        <v>COSTO SFIZI</v>
      </c>
      <c r="I513" s="59">
        <v>10.95</v>
      </c>
      <c r="J513" s="940" t="s">
        <v>167</v>
      </c>
      <c r="K513" s="59" t="s">
        <v>99</v>
      </c>
      <c r="L513" s="59" t="s">
        <v>168</v>
      </c>
    </row>
    <row r="514" spans="1:12">
      <c r="A514" s="57" t="s">
        <v>101</v>
      </c>
      <c r="B514" s="57" t="s">
        <v>173</v>
      </c>
      <c r="C514" s="57">
        <v>2025</v>
      </c>
      <c r="D514" s="58">
        <f>MATCH(B514,{"GENNAIO","FEBBRAIO","MARZO","APRILE","MAGGIO","GIUGNO","LUGLIO","AGOSTO","SETTEMBRE","OTTOBRE","NOVEMBRE","DICEMBRE"},0)</f>
        <v>12</v>
      </c>
      <c r="E514" s="57" t="str">
        <f t="shared" ref="E514:E516" si="862">CONCATENATE(,B514," ",C514)</f>
        <v>DICEMBRE 2025</v>
      </c>
      <c r="F514" s="57" t="str">
        <f t="shared" ref="F514:F516" si="863">CONCATENATE(D514," ",E514)</f>
        <v>12 DICEMBRE 2025</v>
      </c>
      <c r="G514" s="1309" t="s">
        <v>91</v>
      </c>
      <c r="H514" s="1309" t="str">
        <f>VLOOKUP(G514,CATEGORIE!$H$3:$I$55,2,FALSE)</f>
        <v>COSTO SOPRAVVIVENZA</v>
      </c>
      <c r="I514" s="59">
        <v>0.4</v>
      </c>
      <c r="J514" s="940"/>
      <c r="K514" s="59"/>
      <c r="L514" s="59"/>
    </row>
    <row r="515" spans="1:12">
      <c r="A515" s="57" t="s">
        <v>101</v>
      </c>
      <c r="B515" s="57" t="s">
        <v>173</v>
      </c>
      <c r="C515" s="57">
        <v>2025</v>
      </c>
      <c r="D515" s="58">
        <f>MATCH(B515,{"GENNAIO","FEBBRAIO","MARZO","APRILE","MAGGIO","GIUGNO","LUGLIO","AGOSTO","SETTEMBRE","OTTOBRE","NOVEMBRE","DICEMBRE"},0)</f>
        <v>12</v>
      </c>
      <c r="E515" s="57" t="str">
        <f t="shared" si="862"/>
        <v>DICEMBRE 2025</v>
      </c>
      <c r="F515" s="57" t="str">
        <f t="shared" si="863"/>
        <v>12 DICEMBRE 2025</v>
      </c>
      <c r="G515" s="1309" t="s">
        <v>91</v>
      </c>
      <c r="H515" s="1309" t="str">
        <f>VLOOKUP(G515,CATEGORIE!$H$3:$I$55,2,FALSE)</f>
        <v>COSTO SOPRAVVIVENZA</v>
      </c>
      <c r="I515" s="59">
        <v>0.4</v>
      </c>
      <c r="J515" s="940"/>
      <c r="K515" s="59"/>
      <c r="L515" s="59"/>
    </row>
    <row r="516" spans="1:12">
      <c r="A516" s="57" t="s">
        <v>101</v>
      </c>
      <c r="B516" s="57" t="s">
        <v>173</v>
      </c>
      <c r="C516" s="57">
        <v>2025</v>
      </c>
      <c r="D516" s="58">
        <f>MATCH(B516,{"GENNAIO","FEBBRAIO","MARZO","APRILE","MAGGIO","GIUGNO","LUGLIO","AGOSTO","SETTEMBRE","OTTOBRE","NOVEMBRE","DICEMBRE"},0)</f>
        <v>12</v>
      </c>
      <c r="E516" s="57" t="str">
        <f t="shared" si="862"/>
        <v>DICEMBRE 2025</v>
      </c>
      <c r="F516" s="57" t="str">
        <f t="shared" si="863"/>
        <v>12 DICEMBRE 2025</v>
      </c>
      <c r="G516" s="1309" t="s">
        <v>91</v>
      </c>
      <c r="H516" s="1309" t="str">
        <f>VLOOKUP(G516,CATEGORIE!$H$3:$I$55,2,FALSE)</f>
        <v>COSTO SOPRAVVIVENZA</v>
      </c>
      <c r="I516" s="59">
        <v>0.4</v>
      </c>
      <c r="J516" s="940"/>
      <c r="K516" s="59"/>
      <c r="L516" s="59"/>
    </row>
    <row r="517" spans="1:12">
      <c r="A517" s="57" t="s">
        <v>198</v>
      </c>
      <c r="B517" s="57" t="s">
        <v>173</v>
      </c>
      <c r="C517" s="57">
        <v>2025</v>
      </c>
      <c r="D517" s="58">
        <f>MATCH(B517,{"GENNAIO","FEBBRAIO","MARZO","APRILE","MAGGIO","GIUGNO","LUGLIO","AGOSTO","SETTEMBRE","OTTOBRE","NOVEMBRE","DICEMBRE"},0)</f>
        <v>12</v>
      </c>
      <c r="E517" s="57" t="str">
        <f t="shared" ref="E517" si="864">CONCATENATE(,B517," ",C517)</f>
        <v>DICEMBRE 2025</v>
      </c>
      <c r="F517" s="57" t="str">
        <f t="shared" ref="F517" si="865">CONCATENATE(D517," ",E517)</f>
        <v>12 DICEMBRE 2025</v>
      </c>
      <c r="G517" s="1309" t="s">
        <v>108</v>
      </c>
      <c r="H517" s="1309" t="str">
        <f>VLOOKUP(G517,CATEGORIE!$H$3:$I$55,2,FALSE)</f>
        <v>COSTO SFIZI</v>
      </c>
      <c r="I517" s="59">
        <v>48.1</v>
      </c>
      <c r="J517" s="940"/>
      <c r="K517" s="59"/>
      <c r="L517" s="59"/>
    </row>
    <row r="518" spans="1:12">
      <c r="A518" s="57" t="s">
        <v>104</v>
      </c>
      <c r="B518" s="57" t="s">
        <v>173</v>
      </c>
      <c r="C518" s="57">
        <v>2025</v>
      </c>
      <c r="D518" s="58">
        <f>MATCH(B518,{"GENNAIO","FEBBRAIO","MARZO","APRILE","MAGGIO","GIUGNO","LUGLIO","AGOSTO","SETTEMBRE","OTTOBRE","NOVEMBRE","DICEMBRE"},0)</f>
        <v>12</v>
      </c>
      <c r="E518" s="57" t="str">
        <f t="shared" ref="E518" si="866">CONCATENATE(,B518," ",C518)</f>
        <v>DICEMBRE 2025</v>
      </c>
      <c r="F518" s="57" t="str">
        <f t="shared" ref="F518" si="867">CONCATENATE(D518," ",E518)</f>
        <v>12 DICEMBRE 2025</v>
      </c>
      <c r="G518" s="1309" t="s">
        <v>94</v>
      </c>
      <c r="H518" s="1309" t="str">
        <f>VLOOKUP(G518,CATEGORIE!$H$3:$I$55,2,FALSE)</f>
        <v>COSTO SVAGHI</v>
      </c>
      <c r="I518" s="59">
        <v>51</v>
      </c>
      <c r="J518" s="940"/>
      <c r="K518" s="59"/>
      <c r="L518" s="59"/>
    </row>
    <row r="519" spans="1:12">
      <c r="A519" s="57" t="s">
        <v>130</v>
      </c>
      <c r="B519" s="57" t="s">
        <v>173</v>
      </c>
      <c r="C519" s="57">
        <v>2025</v>
      </c>
      <c r="D519" s="58">
        <f>MATCH(B519,{"GENNAIO","FEBBRAIO","MARZO","APRILE","MAGGIO","GIUGNO","LUGLIO","AGOSTO","SETTEMBRE","OTTOBRE","NOVEMBRE","DICEMBRE"},0)</f>
        <v>12</v>
      </c>
      <c r="E519" s="57" t="str">
        <f t="shared" ref="E519" si="868">CONCATENATE(,B519," ",C519)</f>
        <v>DICEMBRE 2025</v>
      </c>
      <c r="F519" s="57" t="str">
        <f t="shared" ref="F519" si="869">CONCATENATE(D519," ",E519)</f>
        <v>12 DICEMBRE 2025</v>
      </c>
      <c r="G519" s="1309" t="s">
        <v>94</v>
      </c>
      <c r="H519" s="1309" t="str">
        <f>VLOOKUP(G519,CATEGORIE!$H$3:$I$55,2,FALSE)</f>
        <v>COSTO SVAGHI</v>
      </c>
      <c r="I519" s="59">
        <v>33.5</v>
      </c>
      <c r="J519" s="940"/>
      <c r="K519" s="59"/>
      <c r="L519" s="59"/>
    </row>
    <row r="520" spans="1:12">
      <c r="A520" s="57" t="s">
        <v>92</v>
      </c>
      <c r="B520" s="57" t="s">
        <v>173</v>
      </c>
      <c r="C520" s="57">
        <v>2025</v>
      </c>
      <c r="D520" s="58">
        <f>MATCH(B520,{"GENNAIO","FEBBRAIO","MARZO","APRILE","MAGGIO","GIUGNO","LUGLIO","AGOSTO","SETTEMBRE","OTTOBRE","NOVEMBRE","DICEMBRE"},0)</f>
        <v>12</v>
      </c>
      <c r="E520" s="57" t="str">
        <f>CONCATENATE(,B520," ",C520)</f>
        <v>DICEMBRE 2025</v>
      </c>
      <c r="F520" s="57" t="str">
        <f>CONCATENATE(D520," ",E520)</f>
        <v>12 DICEMBRE 2025</v>
      </c>
      <c r="G520" s="1309" t="s">
        <v>93</v>
      </c>
      <c r="H520" s="1309" t="str">
        <f>VLOOKUP(G520,CATEGORIE!$H$3:$I$55,2,FALSE)</f>
        <v>COSTO SOPRAVVIVENZA</v>
      </c>
      <c r="I520" s="59">
        <v>7</v>
      </c>
      <c r="J520" s="940"/>
      <c r="K520" s="59"/>
      <c r="L520" s="59"/>
    </row>
    <row r="521" spans="1:12">
      <c r="A521" s="57" t="s">
        <v>199</v>
      </c>
      <c r="B521" s="57" t="s">
        <v>173</v>
      </c>
      <c r="C521" s="57">
        <v>2025</v>
      </c>
      <c r="D521" s="58">
        <f>MATCH(B521,{"GENNAIO","FEBBRAIO","MARZO","APRILE","MAGGIO","GIUGNO","LUGLIO","AGOSTO","SETTEMBRE","OTTOBRE","NOVEMBRE","DICEMBRE"},0)</f>
        <v>12</v>
      </c>
      <c r="E521" s="57" t="str">
        <f t="shared" ref="E521" si="870">CONCATENATE(,B521," ",C521)</f>
        <v>DICEMBRE 2025</v>
      </c>
      <c r="F521" s="57" t="str">
        <f t="shared" ref="F521" si="871">CONCATENATE(D521," ",E521)</f>
        <v>12 DICEMBRE 2025</v>
      </c>
      <c r="G521" s="1309" t="s">
        <v>1250</v>
      </c>
      <c r="H521" s="1309" t="str">
        <f>VLOOKUP(G521,CATEGORIE!$H$3:$I$55,2,FALSE)</f>
        <v>COSTO VACANZE</v>
      </c>
      <c r="I521" s="59">
        <v>79.2</v>
      </c>
      <c r="J521" s="940"/>
      <c r="K521" s="59"/>
      <c r="L521" s="59" t="s">
        <v>182</v>
      </c>
    </row>
    <row r="522" spans="1:12">
      <c r="A522" s="57" t="s">
        <v>97</v>
      </c>
      <c r="B522" s="57" t="s">
        <v>200</v>
      </c>
      <c r="C522" s="57">
        <v>2025</v>
      </c>
      <c r="D522" s="58">
        <f>MATCH(B522,{"GENNAIO","FEBBRAIO","MARZO","APRILE","MAGGIO","GIUGNO","LUGLIO","AGOSTO","SETTEMBRE","OTTOBRE","NOVEMBRE","DICEMBRE"},0)</f>
        <v>11</v>
      </c>
      <c r="E522" s="57" t="str">
        <f t="shared" ref="E522" si="872">CONCATENATE(,B522," ",C522)</f>
        <v>NOVEMBRE 2025</v>
      </c>
      <c r="F522" s="57" t="str">
        <f t="shared" ref="F522" si="873">CONCATENATE(D522," ",E522)</f>
        <v>11 NOVEMBRE 2025</v>
      </c>
      <c r="G522" s="1309" t="s">
        <v>1253</v>
      </c>
      <c r="H522" s="1309" t="str">
        <f>VLOOKUP(G522,CATEGORIE!$H$3:$I$55,2,FALSE)</f>
        <v>MOVIMENTI CONTO</v>
      </c>
      <c r="I522" s="59">
        <v>250</v>
      </c>
      <c r="J522" s="940"/>
      <c r="K522" s="59" t="s">
        <v>97</v>
      </c>
      <c r="L522" s="59" t="s">
        <v>149</v>
      </c>
    </row>
    <row r="523" spans="1:12">
      <c r="A523" s="57" t="s">
        <v>99</v>
      </c>
      <c r="B523" s="57" t="s">
        <v>200</v>
      </c>
      <c r="C523" s="57">
        <v>2025</v>
      </c>
      <c r="D523" s="58">
        <f>MATCH(B523,{"GENNAIO","FEBBRAIO","MARZO","APRILE","MAGGIO","GIUGNO","LUGLIO","AGOSTO","SETTEMBRE","OTTOBRE","NOVEMBRE","DICEMBRE"},0)</f>
        <v>11</v>
      </c>
      <c r="E523" s="57" t="str">
        <f t="shared" ref="E523" si="874">CONCATENATE(,B523," ",C523)</f>
        <v>NOVEMBRE 2025</v>
      </c>
      <c r="F523" s="57" t="str">
        <f t="shared" ref="F523" si="875">CONCATENATE(D523," ",E523)</f>
        <v>11 NOVEMBRE 2025</v>
      </c>
      <c r="G523" s="1309" t="s">
        <v>100</v>
      </c>
      <c r="H523" s="1309" t="str">
        <f>VLOOKUP(G523,CATEGORIE!$H$3:$I$55,2,FALSE)</f>
        <v>COSTO SFIZI</v>
      </c>
      <c r="I523" s="59">
        <v>15.59</v>
      </c>
      <c r="J523" s="940"/>
      <c r="K523" s="59"/>
      <c r="L523" s="59"/>
    </row>
    <row r="524" spans="1:12">
      <c r="A524" s="57" t="s">
        <v>99</v>
      </c>
      <c r="B524" s="57" t="s">
        <v>200</v>
      </c>
      <c r="C524" s="57">
        <v>2025</v>
      </c>
      <c r="D524" s="58">
        <f>MATCH(B524,{"GENNAIO","FEBBRAIO","MARZO","APRILE","MAGGIO","GIUGNO","LUGLIO","AGOSTO","SETTEMBRE","OTTOBRE","NOVEMBRE","DICEMBRE"},0)</f>
        <v>11</v>
      </c>
      <c r="E524" s="57" t="str">
        <f>CONCATENATE(,B524," ",C524)</f>
        <v>NOVEMBRE 2025</v>
      </c>
      <c r="F524" s="57" t="str">
        <f>CONCATENATE(D524," ",E524)</f>
        <v>11 NOVEMBRE 2025</v>
      </c>
      <c r="G524" s="1309" t="s">
        <v>100</v>
      </c>
      <c r="H524" s="1309" t="str">
        <f>VLOOKUP(G524,CATEGORIE!$H$3:$I$55,2,FALSE)</f>
        <v>COSTO SFIZI</v>
      </c>
      <c r="I524" s="59">
        <v>35.99</v>
      </c>
      <c r="J524" s="940"/>
      <c r="K524" s="59"/>
      <c r="L524" s="59"/>
    </row>
    <row r="525" spans="1:12">
      <c r="A525" s="57" t="s">
        <v>92</v>
      </c>
      <c r="B525" s="57" t="s">
        <v>200</v>
      </c>
      <c r="C525" s="57">
        <v>2025</v>
      </c>
      <c r="D525" s="58">
        <f>MATCH(B525,{"GENNAIO","FEBBRAIO","MARZO","APRILE","MAGGIO","GIUGNO","LUGLIO","AGOSTO","SETTEMBRE","OTTOBRE","NOVEMBRE","DICEMBRE"},0)</f>
        <v>11</v>
      </c>
      <c r="E525" s="57" t="str">
        <f>CONCATENATE(,B525," ",C525)</f>
        <v>NOVEMBRE 2025</v>
      </c>
      <c r="F525" s="57" t="str">
        <f>CONCATENATE(D525," ",E525)</f>
        <v>11 NOVEMBRE 2025</v>
      </c>
      <c r="G525" s="1309" t="s">
        <v>93</v>
      </c>
      <c r="H525" s="1309" t="str">
        <f>VLOOKUP(G525,CATEGORIE!$H$3:$I$55,2,FALSE)</f>
        <v>COSTO SOPRAVVIVENZA</v>
      </c>
      <c r="I525" s="59">
        <v>7</v>
      </c>
      <c r="J525" s="940"/>
      <c r="K525" s="59"/>
      <c r="L525" s="59"/>
    </row>
    <row r="526" spans="1:12">
      <c r="A526" s="57" t="s">
        <v>95</v>
      </c>
      <c r="B526" s="57" t="s">
        <v>200</v>
      </c>
      <c r="C526" s="57">
        <v>2025</v>
      </c>
      <c r="D526" s="58">
        <f>MATCH(B526,{"GENNAIO","FEBBRAIO","MARZO","APRILE","MAGGIO","GIUGNO","LUGLIO","AGOSTO","SETTEMBRE","OTTOBRE","NOVEMBRE","DICEMBRE"},0)</f>
        <v>11</v>
      </c>
      <c r="E526" s="57" t="str">
        <f t="shared" ref="E526" si="876">CONCATENATE(,B526," ",C526)</f>
        <v>NOVEMBRE 2025</v>
      </c>
      <c r="F526" s="57" t="str">
        <f t="shared" ref="F526" si="877">CONCATENATE(D526," ",E526)</f>
        <v>11 NOVEMBRE 2025</v>
      </c>
      <c r="G526" s="1309" t="s">
        <v>96</v>
      </c>
      <c r="H526" s="1309" t="str">
        <f>VLOOKUP(G526,CATEGORIE!$H$3:$I$55,2,FALSE)</f>
        <v>COSTO SOPRAVVIVENZA</v>
      </c>
      <c r="I526" s="59">
        <v>9.43</v>
      </c>
      <c r="J526" s="940"/>
      <c r="K526" s="59"/>
      <c r="L526" s="59"/>
    </row>
    <row r="527" spans="1:12">
      <c r="A527" s="57" t="s">
        <v>95</v>
      </c>
      <c r="B527" s="57" t="s">
        <v>200</v>
      </c>
      <c r="C527" s="57">
        <v>2025</v>
      </c>
      <c r="D527" s="58">
        <f>MATCH(B527,{"GENNAIO","FEBBRAIO","MARZO","APRILE","MAGGIO","GIUGNO","LUGLIO","AGOSTO","SETTEMBRE","OTTOBRE","NOVEMBRE","DICEMBRE"},0)</f>
        <v>11</v>
      </c>
      <c r="E527" s="57" t="str">
        <f t="shared" ref="E527:E529" si="878">CONCATENATE(,B527," ",C527)</f>
        <v>NOVEMBRE 2025</v>
      </c>
      <c r="F527" s="57" t="str">
        <f t="shared" ref="F527:F529" si="879">CONCATENATE(D527," ",E527)</f>
        <v>11 NOVEMBRE 2025</v>
      </c>
      <c r="G527" s="1309" t="s">
        <v>96</v>
      </c>
      <c r="H527" s="1309" t="str">
        <f>VLOOKUP(G527,CATEGORIE!$H$3:$I$55,2,FALSE)</f>
        <v>COSTO SOPRAVVIVENZA</v>
      </c>
      <c r="I527" s="59">
        <v>23.56</v>
      </c>
      <c r="J527" s="940"/>
      <c r="K527" s="59"/>
      <c r="L527" s="59"/>
    </row>
    <row r="528" spans="1:12">
      <c r="A528" s="57" t="s">
        <v>92</v>
      </c>
      <c r="B528" s="57" t="s">
        <v>200</v>
      </c>
      <c r="C528" s="57">
        <v>2025</v>
      </c>
      <c r="D528" s="58">
        <f>MATCH(B528,{"GENNAIO","FEBBRAIO","MARZO","APRILE","MAGGIO","GIUGNO","LUGLIO","AGOSTO","SETTEMBRE","OTTOBRE","NOVEMBRE","DICEMBRE"},0)</f>
        <v>11</v>
      </c>
      <c r="E528" s="57" t="str">
        <f t="shared" si="878"/>
        <v>NOVEMBRE 2025</v>
      </c>
      <c r="F528" s="57" t="str">
        <f t="shared" si="879"/>
        <v>11 NOVEMBRE 2025</v>
      </c>
      <c r="G528" s="1309" t="s">
        <v>93</v>
      </c>
      <c r="H528" s="1309" t="str">
        <f>VLOOKUP(G528,CATEGORIE!$H$3:$I$55,2,FALSE)</f>
        <v>COSTO SOPRAVVIVENZA</v>
      </c>
      <c r="I528" s="59">
        <v>7</v>
      </c>
      <c r="J528" s="940"/>
      <c r="K528" s="59"/>
      <c r="L528" s="59"/>
    </row>
    <row r="529" spans="1:12">
      <c r="A529" s="57" t="s">
        <v>92</v>
      </c>
      <c r="B529" s="57" t="s">
        <v>200</v>
      </c>
      <c r="C529" s="57">
        <v>2025</v>
      </c>
      <c r="D529" s="58">
        <f>MATCH(B529,{"GENNAIO","FEBBRAIO","MARZO","APRILE","MAGGIO","GIUGNO","LUGLIO","AGOSTO","SETTEMBRE","OTTOBRE","NOVEMBRE","DICEMBRE"},0)</f>
        <v>11</v>
      </c>
      <c r="E529" s="57" t="str">
        <f t="shared" si="878"/>
        <v>NOVEMBRE 2025</v>
      </c>
      <c r="F529" s="57" t="str">
        <f t="shared" si="879"/>
        <v>11 NOVEMBRE 2025</v>
      </c>
      <c r="G529" s="1309" t="s">
        <v>94</v>
      </c>
      <c r="H529" s="1309" t="str">
        <f>VLOOKUP(G529,CATEGORIE!$H$3:$I$55,2,FALSE)</f>
        <v>COSTO SVAGHI</v>
      </c>
      <c r="I529" s="59">
        <v>2.8</v>
      </c>
      <c r="J529" s="940"/>
      <c r="K529" s="59"/>
      <c r="L529" s="59"/>
    </row>
    <row r="530" spans="1:12">
      <c r="A530" s="57" t="s">
        <v>99</v>
      </c>
      <c r="B530" s="57" t="s">
        <v>200</v>
      </c>
      <c r="C530" s="57">
        <v>2025</v>
      </c>
      <c r="D530" s="58">
        <f>MATCH(B530,{"GENNAIO","FEBBRAIO","MARZO","APRILE","MAGGIO","GIUGNO","LUGLIO","AGOSTO","SETTEMBRE","OTTOBRE","NOVEMBRE","DICEMBRE"},0)</f>
        <v>11</v>
      </c>
      <c r="E530" s="57" t="str">
        <f>CONCATENATE(,B530," ",C530)</f>
        <v>NOVEMBRE 2025</v>
      </c>
      <c r="F530" s="57" t="str">
        <f>CONCATENATE(D530," ",E530)</f>
        <v>11 NOVEMBRE 2025</v>
      </c>
      <c r="G530" s="1309" t="s">
        <v>100</v>
      </c>
      <c r="H530" s="1309" t="str">
        <f>VLOOKUP(G530,CATEGORIE!$H$3:$I$55,2,FALSE)</f>
        <v>COSTO SFIZI</v>
      </c>
      <c r="I530" s="59">
        <v>14.9</v>
      </c>
      <c r="J530" s="940"/>
      <c r="K530" s="59"/>
      <c r="L530" s="59"/>
    </row>
    <row r="531" spans="1:12">
      <c r="A531" s="57" t="s">
        <v>130</v>
      </c>
      <c r="B531" s="57" t="s">
        <v>200</v>
      </c>
      <c r="C531" s="57">
        <v>2025</v>
      </c>
      <c r="D531" s="58">
        <f>MATCH(B531,{"GENNAIO","FEBBRAIO","MARZO","APRILE","MAGGIO","GIUGNO","LUGLIO","AGOSTO","SETTEMBRE","OTTOBRE","NOVEMBRE","DICEMBRE"},0)</f>
        <v>11</v>
      </c>
      <c r="E531" s="57" t="str">
        <f t="shared" ref="E531" si="880">CONCATENATE(,B531," ",C531)</f>
        <v>NOVEMBRE 2025</v>
      </c>
      <c r="F531" s="57" t="str">
        <f t="shared" ref="F531" si="881">CONCATENATE(D531," ",E531)</f>
        <v>11 NOVEMBRE 2025</v>
      </c>
      <c r="G531" s="1309" t="s">
        <v>94</v>
      </c>
      <c r="H531" s="1309" t="str">
        <f>VLOOKUP(G531,CATEGORIE!$H$3:$I$55,2,FALSE)</f>
        <v>COSTO SVAGHI</v>
      </c>
      <c r="I531" s="59">
        <v>20</v>
      </c>
      <c r="J531" s="940"/>
      <c r="K531" s="59"/>
      <c r="L531" s="59"/>
    </row>
    <row r="532" spans="1:12">
      <c r="A532" s="57" t="s">
        <v>99</v>
      </c>
      <c r="B532" s="57" t="s">
        <v>200</v>
      </c>
      <c r="C532" s="57">
        <v>2025</v>
      </c>
      <c r="D532" s="58">
        <f>MATCH(B532,{"GENNAIO","FEBBRAIO","MARZO","APRILE","MAGGIO","GIUGNO","LUGLIO","AGOSTO","SETTEMBRE","OTTOBRE","NOVEMBRE","DICEMBRE"},0)</f>
        <v>11</v>
      </c>
      <c r="E532" s="57" t="str">
        <f t="shared" ref="E532" si="882">CONCATENATE(,B532," ",C532)</f>
        <v>NOVEMBRE 2025</v>
      </c>
      <c r="F532" s="57" t="str">
        <f t="shared" ref="F532" si="883">CONCATENATE(D532," ",E532)</f>
        <v>11 NOVEMBRE 2025</v>
      </c>
      <c r="G532" s="1309" t="s">
        <v>100</v>
      </c>
      <c r="H532" s="1309" t="str">
        <f>VLOOKUP(G532,CATEGORIE!$H$3:$I$55,2,FALSE)</f>
        <v>COSTO SFIZI</v>
      </c>
      <c r="I532" s="59">
        <v>8.99</v>
      </c>
      <c r="J532" s="940"/>
      <c r="K532" s="59"/>
      <c r="L532" s="59"/>
    </row>
    <row r="533" spans="1:12">
      <c r="A533" s="57" t="s">
        <v>120</v>
      </c>
      <c r="B533" s="57" t="s">
        <v>200</v>
      </c>
      <c r="C533" s="57">
        <v>2025</v>
      </c>
      <c r="D533" s="58">
        <f>MATCH(B533,{"GENNAIO","FEBBRAIO","MARZO","APRILE","MAGGIO","GIUGNO","LUGLIO","AGOSTO","SETTEMBRE","OTTOBRE","NOVEMBRE","DICEMBRE"},0)</f>
        <v>11</v>
      </c>
      <c r="E533" s="57" t="str">
        <f t="shared" ref="E533" si="884">CONCATENATE(,B533," ",C533)</f>
        <v>NOVEMBRE 2025</v>
      </c>
      <c r="F533" s="57" t="str">
        <f t="shared" ref="F533" si="885">CONCATENATE(D533," ",E533)</f>
        <v>11 NOVEMBRE 2025</v>
      </c>
      <c r="G533" s="1309" t="s">
        <v>121</v>
      </c>
      <c r="H533" s="1309" t="str">
        <f>VLOOKUP(G533,CATEGORIE!$H$3:$I$55,2,FALSE)</f>
        <v>COSTO MOBILITA'</v>
      </c>
      <c r="I533" s="59">
        <v>15</v>
      </c>
      <c r="J533" s="940"/>
      <c r="K533" s="59"/>
      <c r="L533" s="59"/>
    </row>
    <row r="534" spans="1:12">
      <c r="A534" s="57" t="s">
        <v>105</v>
      </c>
      <c r="B534" s="57" t="s">
        <v>200</v>
      </c>
      <c r="C534" s="57">
        <v>2025</v>
      </c>
      <c r="D534" s="58">
        <f>MATCH(B534,{"GENNAIO","FEBBRAIO","MARZO","APRILE","MAGGIO","GIUGNO","LUGLIO","AGOSTO","SETTEMBRE","OTTOBRE","NOVEMBRE","DICEMBRE"},0)</f>
        <v>11</v>
      </c>
      <c r="E534" s="57" t="str">
        <f t="shared" ref="E534" si="886">CONCATENATE(,B534," ",C534)</f>
        <v>NOVEMBRE 2025</v>
      </c>
      <c r="F534" s="57" t="str">
        <f t="shared" ref="F534" si="887">CONCATENATE(D534," ",E534)</f>
        <v>11 NOVEMBRE 2025</v>
      </c>
      <c r="G534" s="1309" t="s">
        <v>96</v>
      </c>
      <c r="H534" s="1309" t="str">
        <f>VLOOKUP(G534,CATEGORIE!$H$3:$I$55,2,FALSE)</f>
        <v>COSTO SOPRAVVIVENZA</v>
      </c>
      <c r="I534" s="59">
        <v>2.99</v>
      </c>
      <c r="J534" s="940"/>
      <c r="K534" s="59"/>
      <c r="L534" s="59"/>
    </row>
    <row r="535" spans="1:12">
      <c r="A535" s="57" t="s">
        <v>105</v>
      </c>
      <c r="B535" s="57" t="s">
        <v>200</v>
      </c>
      <c r="C535" s="57">
        <v>2025</v>
      </c>
      <c r="D535" s="58">
        <f>MATCH(B535,{"GENNAIO","FEBBRAIO","MARZO","APRILE","MAGGIO","GIUGNO","LUGLIO","AGOSTO","SETTEMBRE","OTTOBRE","NOVEMBRE","DICEMBRE"},0)</f>
        <v>11</v>
      </c>
      <c r="E535" s="57" t="str">
        <f t="shared" ref="E535" si="888">CONCATENATE(,B535," ",C535)</f>
        <v>NOVEMBRE 2025</v>
      </c>
      <c r="F535" s="57" t="str">
        <f t="shared" ref="F535" si="889">CONCATENATE(D535," ",E535)</f>
        <v>11 NOVEMBRE 2025</v>
      </c>
      <c r="G535" s="1309" t="s">
        <v>96</v>
      </c>
      <c r="H535" s="1309" t="str">
        <f>VLOOKUP(G535,CATEGORIE!$H$3:$I$55,2,FALSE)</f>
        <v>COSTO SOPRAVVIVENZA</v>
      </c>
      <c r="I535" s="59">
        <v>15.83</v>
      </c>
      <c r="J535" s="940"/>
      <c r="K535" s="59"/>
      <c r="L535" s="59"/>
    </row>
    <row r="536" spans="1:12">
      <c r="A536" s="57" t="s">
        <v>92</v>
      </c>
      <c r="B536" s="57" t="s">
        <v>200</v>
      </c>
      <c r="C536" s="57">
        <v>2025</v>
      </c>
      <c r="D536" s="58">
        <f>MATCH(B536,{"GENNAIO","FEBBRAIO","MARZO","APRILE","MAGGIO","GIUGNO","LUGLIO","AGOSTO","SETTEMBRE","OTTOBRE","NOVEMBRE","DICEMBRE"},0)</f>
        <v>11</v>
      </c>
      <c r="E536" s="57" t="str">
        <f t="shared" ref="E536" si="890">CONCATENATE(,B536," ",C536)</f>
        <v>NOVEMBRE 2025</v>
      </c>
      <c r="F536" s="57" t="str">
        <f t="shared" ref="F536" si="891">CONCATENATE(D536," ",E536)</f>
        <v>11 NOVEMBRE 2025</v>
      </c>
      <c r="G536" s="1309" t="s">
        <v>93</v>
      </c>
      <c r="H536" s="1309" t="str">
        <f>VLOOKUP(G536,CATEGORIE!$H$3:$I$55,2,FALSE)</f>
        <v>COSTO SOPRAVVIVENZA</v>
      </c>
      <c r="I536" s="59">
        <v>7</v>
      </c>
      <c r="J536" s="940"/>
      <c r="K536" s="59"/>
      <c r="L536" s="59"/>
    </row>
    <row r="537" spans="1:12">
      <c r="A537" s="57" t="s">
        <v>102</v>
      </c>
      <c r="B537" s="57" t="s">
        <v>200</v>
      </c>
      <c r="C537" s="57">
        <v>2025</v>
      </c>
      <c r="D537" s="58">
        <f>MATCH(B537,{"GENNAIO","FEBBRAIO","MARZO","APRILE","MAGGIO","GIUGNO","LUGLIO","AGOSTO","SETTEMBRE","OTTOBRE","NOVEMBRE","DICEMBRE"},0)</f>
        <v>11</v>
      </c>
      <c r="E537" s="57" t="str">
        <f t="shared" ref="E537:E538" si="892">CONCATENATE(,B537," ",C537)</f>
        <v>NOVEMBRE 2025</v>
      </c>
      <c r="F537" s="57" t="str">
        <f t="shared" ref="F537:F538" si="893">CONCATENATE(D537," ",E537)</f>
        <v>11 NOVEMBRE 2025</v>
      </c>
      <c r="G537" s="1309" t="s">
        <v>96</v>
      </c>
      <c r="H537" s="1309" t="str">
        <f>VLOOKUP(G537,CATEGORIE!$H$3:$I$55,2,FALSE)</f>
        <v>COSTO SOPRAVVIVENZA</v>
      </c>
      <c r="I537" s="59">
        <v>4.8600000000000003</v>
      </c>
      <c r="J537" s="940"/>
      <c r="K537" s="59"/>
      <c r="L537" s="59"/>
    </row>
    <row r="538" spans="1:12">
      <c r="A538" s="57" t="s">
        <v>92</v>
      </c>
      <c r="B538" s="57" t="s">
        <v>200</v>
      </c>
      <c r="C538" s="57">
        <v>2025</v>
      </c>
      <c r="D538" s="58">
        <f>MATCH(B538,{"GENNAIO","FEBBRAIO","MARZO","APRILE","MAGGIO","GIUGNO","LUGLIO","AGOSTO","SETTEMBRE","OTTOBRE","NOVEMBRE","DICEMBRE"},0)</f>
        <v>11</v>
      </c>
      <c r="E538" s="57" t="str">
        <f t="shared" si="892"/>
        <v>NOVEMBRE 2025</v>
      </c>
      <c r="F538" s="57" t="str">
        <f t="shared" si="893"/>
        <v>11 NOVEMBRE 2025</v>
      </c>
      <c r="G538" s="1309" t="s">
        <v>94</v>
      </c>
      <c r="H538" s="1309" t="str">
        <f>VLOOKUP(G538,CATEGORIE!$H$3:$I$55,2,FALSE)</f>
        <v>COSTO SVAGHI</v>
      </c>
      <c r="I538" s="59">
        <v>2.4</v>
      </c>
      <c r="J538" s="940"/>
      <c r="K538" s="59"/>
      <c r="L538" s="59"/>
    </row>
    <row r="539" spans="1:12">
      <c r="A539" s="57" t="s">
        <v>101</v>
      </c>
      <c r="B539" s="57" t="s">
        <v>200</v>
      </c>
      <c r="C539" s="57">
        <v>2025</v>
      </c>
      <c r="D539" s="58">
        <f>MATCH(B539,{"GENNAIO","FEBBRAIO","MARZO","APRILE","MAGGIO","GIUGNO","LUGLIO","AGOSTO","SETTEMBRE","OTTOBRE","NOVEMBRE","DICEMBRE"},0)</f>
        <v>11</v>
      </c>
      <c r="E539" s="57" t="str">
        <f t="shared" ref="E539:E541" si="894">CONCATENATE(,B539," ",C539)</f>
        <v>NOVEMBRE 2025</v>
      </c>
      <c r="F539" s="57" t="str">
        <f t="shared" ref="F539:F541" si="895">CONCATENATE(D539," ",E539)</f>
        <v>11 NOVEMBRE 2025</v>
      </c>
      <c r="G539" s="1309" t="s">
        <v>91</v>
      </c>
      <c r="H539" s="1309" t="str">
        <f>VLOOKUP(G539,CATEGORIE!$H$3:$I$55,2,FALSE)</f>
        <v>COSTO SOPRAVVIVENZA</v>
      </c>
      <c r="I539" s="59">
        <v>0.4</v>
      </c>
      <c r="J539" s="940"/>
      <c r="K539" s="59"/>
      <c r="L539" s="59"/>
    </row>
    <row r="540" spans="1:12">
      <c r="A540" s="57" t="s">
        <v>101</v>
      </c>
      <c r="B540" s="57" t="s">
        <v>200</v>
      </c>
      <c r="C540" s="57">
        <v>2025</v>
      </c>
      <c r="D540" s="58">
        <f>MATCH(B540,{"GENNAIO","FEBBRAIO","MARZO","APRILE","MAGGIO","GIUGNO","LUGLIO","AGOSTO","SETTEMBRE","OTTOBRE","NOVEMBRE","DICEMBRE"},0)</f>
        <v>11</v>
      </c>
      <c r="E540" s="57" t="str">
        <f t="shared" si="894"/>
        <v>NOVEMBRE 2025</v>
      </c>
      <c r="F540" s="57" t="str">
        <f t="shared" si="895"/>
        <v>11 NOVEMBRE 2025</v>
      </c>
      <c r="G540" s="1309" t="s">
        <v>91</v>
      </c>
      <c r="H540" s="1309" t="str">
        <f>VLOOKUP(G540,CATEGORIE!$H$3:$I$55,2,FALSE)</f>
        <v>COSTO SOPRAVVIVENZA</v>
      </c>
      <c r="I540" s="59">
        <v>0.4</v>
      </c>
      <c r="J540" s="940"/>
      <c r="K540" s="59"/>
      <c r="L540" s="59"/>
    </row>
    <row r="541" spans="1:12">
      <c r="A541" s="57" t="s">
        <v>101</v>
      </c>
      <c r="B541" s="57" t="s">
        <v>200</v>
      </c>
      <c r="C541" s="57">
        <v>2025</v>
      </c>
      <c r="D541" s="58">
        <f>MATCH(B541,{"GENNAIO","FEBBRAIO","MARZO","APRILE","MAGGIO","GIUGNO","LUGLIO","AGOSTO","SETTEMBRE","OTTOBRE","NOVEMBRE","DICEMBRE"},0)</f>
        <v>11</v>
      </c>
      <c r="E541" s="57" t="str">
        <f t="shared" si="894"/>
        <v>NOVEMBRE 2025</v>
      </c>
      <c r="F541" s="57" t="str">
        <f t="shared" si="895"/>
        <v>11 NOVEMBRE 2025</v>
      </c>
      <c r="G541" s="1309" t="s">
        <v>91</v>
      </c>
      <c r="H541" s="1309" t="str">
        <f>VLOOKUP(G541,CATEGORIE!$H$3:$I$55,2,FALSE)</f>
        <v>COSTO SOPRAVVIVENZA</v>
      </c>
      <c r="I541" s="59">
        <v>0.4</v>
      </c>
      <c r="J541" s="940"/>
      <c r="K541" s="59"/>
      <c r="L541" s="59"/>
    </row>
    <row r="542" spans="1:12">
      <c r="A542" s="57" t="s">
        <v>101</v>
      </c>
      <c r="B542" s="57" t="s">
        <v>200</v>
      </c>
      <c r="C542" s="57">
        <v>2025</v>
      </c>
      <c r="D542" s="58">
        <f>MATCH(B542,{"GENNAIO","FEBBRAIO","MARZO","APRILE","MAGGIO","GIUGNO","LUGLIO","AGOSTO","SETTEMBRE","OTTOBRE","NOVEMBRE","DICEMBRE"},0)</f>
        <v>11</v>
      </c>
      <c r="E542" s="57" t="str">
        <f t="shared" ref="E542:E544" si="896">CONCATENATE(,B542," ",C542)</f>
        <v>NOVEMBRE 2025</v>
      </c>
      <c r="F542" s="57" t="str">
        <f t="shared" ref="F542:F544" si="897">CONCATENATE(D542," ",E542)</f>
        <v>11 NOVEMBRE 2025</v>
      </c>
      <c r="G542" s="1309" t="s">
        <v>91</v>
      </c>
      <c r="H542" s="1309" t="str">
        <f>VLOOKUP(G542,CATEGORIE!$H$3:$I$55,2,FALSE)</f>
        <v>COSTO SOPRAVVIVENZA</v>
      </c>
      <c r="I542" s="59">
        <v>0.4</v>
      </c>
      <c r="J542" s="940"/>
      <c r="K542" s="59"/>
      <c r="L542" s="59"/>
    </row>
    <row r="543" spans="1:12">
      <c r="A543" s="57" t="s">
        <v>101</v>
      </c>
      <c r="B543" s="57" t="s">
        <v>200</v>
      </c>
      <c r="C543" s="57">
        <v>2025</v>
      </c>
      <c r="D543" s="58">
        <f>MATCH(B543,{"GENNAIO","FEBBRAIO","MARZO","APRILE","MAGGIO","GIUGNO","LUGLIO","AGOSTO","SETTEMBRE","OTTOBRE","NOVEMBRE","DICEMBRE"},0)</f>
        <v>11</v>
      </c>
      <c r="E543" s="57" t="str">
        <f t="shared" si="896"/>
        <v>NOVEMBRE 2025</v>
      </c>
      <c r="F543" s="57" t="str">
        <f t="shared" si="897"/>
        <v>11 NOVEMBRE 2025</v>
      </c>
      <c r="G543" s="1309" t="s">
        <v>91</v>
      </c>
      <c r="H543" s="1309" t="str">
        <f>VLOOKUP(G543,CATEGORIE!$H$3:$I$55,2,FALSE)</f>
        <v>COSTO SOPRAVVIVENZA</v>
      </c>
      <c r="I543" s="59">
        <v>0.4</v>
      </c>
      <c r="J543" s="940"/>
      <c r="K543" s="59"/>
      <c r="L543" s="59"/>
    </row>
    <row r="544" spans="1:12">
      <c r="A544" s="57" t="s">
        <v>101</v>
      </c>
      <c r="B544" s="57" t="s">
        <v>200</v>
      </c>
      <c r="C544" s="57">
        <v>2025</v>
      </c>
      <c r="D544" s="58">
        <f>MATCH(B544,{"GENNAIO","FEBBRAIO","MARZO","APRILE","MAGGIO","GIUGNO","LUGLIO","AGOSTO","SETTEMBRE","OTTOBRE","NOVEMBRE","DICEMBRE"},0)</f>
        <v>11</v>
      </c>
      <c r="E544" s="57" t="str">
        <f t="shared" si="896"/>
        <v>NOVEMBRE 2025</v>
      </c>
      <c r="F544" s="57" t="str">
        <f t="shared" si="897"/>
        <v>11 NOVEMBRE 2025</v>
      </c>
      <c r="G544" s="1309" t="s">
        <v>91</v>
      </c>
      <c r="H544" s="1309" t="str">
        <f>VLOOKUP(G544,CATEGORIE!$H$3:$I$55,2,FALSE)</f>
        <v>COSTO SOPRAVVIVENZA</v>
      </c>
      <c r="I544" s="59">
        <v>0.4</v>
      </c>
      <c r="J544" s="940"/>
      <c r="K544" s="59"/>
      <c r="L544" s="59"/>
    </row>
    <row r="545" spans="1:12">
      <c r="A545" s="57" t="s">
        <v>201</v>
      </c>
      <c r="B545" s="57" t="s">
        <v>200</v>
      </c>
      <c r="C545" s="57">
        <v>2025</v>
      </c>
      <c r="D545" s="58">
        <f>MATCH(B545,{"GENNAIO","FEBBRAIO","MARZO","APRILE","MAGGIO","GIUGNO","LUGLIO","AGOSTO","SETTEMBRE","OTTOBRE","NOVEMBRE","DICEMBRE"},0)</f>
        <v>11</v>
      </c>
      <c r="E545" s="57" t="str">
        <f t="shared" ref="E545:E548" si="898">CONCATENATE(,B545," ",C545)</f>
        <v>NOVEMBRE 2025</v>
      </c>
      <c r="F545" s="57" t="str">
        <f t="shared" ref="F545:F548" si="899">CONCATENATE(D545," ",E545)</f>
        <v>11 NOVEMBRE 2025</v>
      </c>
      <c r="G545" s="1309" t="s">
        <v>94</v>
      </c>
      <c r="H545" s="1309" t="str">
        <f>VLOOKUP(G545,CATEGORIE!$H$3:$I$55,2,FALSE)</f>
        <v>COSTO SVAGHI</v>
      </c>
      <c r="I545" s="59">
        <v>17.5</v>
      </c>
      <c r="J545" s="940"/>
      <c r="K545" s="59"/>
      <c r="L545" s="59" t="s">
        <v>202</v>
      </c>
    </row>
    <row r="546" spans="1:12">
      <c r="A546" s="57" t="s">
        <v>101</v>
      </c>
      <c r="B546" s="57" t="s">
        <v>200</v>
      </c>
      <c r="C546" s="57">
        <v>2025</v>
      </c>
      <c r="D546" s="58">
        <f>MATCH(B546,{"GENNAIO","FEBBRAIO","MARZO","APRILE","MAGGIO","GIUGNO","LUGLIO","AGOSTO","SETTEMBRE","OTTOBRE","NOVEMBRE","DICEMBRE"},0)</f>
        <v>11</v>
      </c>
      <c r="E546" s="57" t="str">
        <f t="shared" si="898"/>
        <v>NOVEMBRE 2025</v>
      </c>
      <c r="F546" s="57" t="str">
        <f t="shared" si="899"/>
        <v>11 NOVEMBRE 2025</v>
      </c>
      <c r="G546" s="1309" t="s">
        <v>91</v>
      </c>
      <c r="H546" s="1309" t="str">
        <f>VLOOKUP(G546,CATEGORIE!$H$3:$I$55,2,FALSE)</f>
        <v>COSTO SOPRAVVIVENZA</v>
      </c>
      <c r="I546" s="59">
        <v>0.4</v>
      </c>
      <c r="J546" s="940"/>
      <c r="K546" s="59"/>
      <c r="L546" s="59"/>
    </row>
    <row r="547" spans="1:12">
      <c r="A547" s="57" t="s">
        <v>101</v>
      </c>
      <c r="B547" s="57" t="s">
        <v>200</v>
      </c>
      <c r="C547" s="57">
        <v>2025</v>
      </c>
      <c r="D547" s="58">
        <f>MATCH(B547,{"GENNAIO","FEBBRAIO","MARZO","APRILE","MAGGIO","GIUGNO","LUGLIO","AGOSTO","SETTEMBRE","OTTOBRE","NOVEMBRE","DICEMBRE"},0)</f>
        <v>11</v>
      </c>
      <c r="E547" s="57" t="str">
        <f t="shared" ref="E547" si="900">CONCATENATE(,B547," ",C547)</f>
        <v>NOVEMBRE 2025</v>
      </c>
      <c r="F547" s="57" t="str">
        <f t="shared" ref="F547" si="901">CONCATENATE(D547," ",E547)</f>
        <v>11 NOVEMBRE 2025</v>
      </c>
      <c r="G547" s="1309" t="s">
        <v>91</v>
      </c>
      <c r="H547" s="1309" t="str">
        <f>VLOOKUP(G547,CATEGORIE!$H$3:$I$55,2,FALSE)</f>
        <v>COSTO SOPRAVVIVENZA</v>
      </c>
      <c r="I547" s="59">
        <v>0.4</v>
      </c>
      <c r="J547" s="940"/>
      <c r="K547" s="59"/>
      <c r="L547" s="59"/>
    </row>
    <row r="548" spans="1:12">
      <c r="A548" s="57" t="s">
        <v>101</v>
      </c>
      <c r="B548" s="57" t="s">
        <v>200</v>
      </c>
      <c r="C548" s="57">
        <v>2025</v>
      </c>
      <c r="D548" s="58">
        <f>MATCH(B548,{"GENNAIO","FEBBRAIO","MARZO","APRILE","MAGGIO","GIUGNO","LUGLIO","AGOSTO","SETTEMBRE","OTTOBRE","NOVEMBRE","DICEMBRE"},0)</f>
        <v>11</v>
      </c>
      <c r="E548" s="57" t="str">
        <f t="shared" si="898"/>
        <v>NOVEMBRE 2025</v>
      </c>
      <c r="F548" s="57" t="str">
        <f t="shared" si="899"/>
        <v>11 NOVEMBRE 2025</v>
      </c>
      <c r="G548" s="1309" t="s">
        <v>91</v>
      </c>
      <c r="H548" s="1309" t="str">
        <f>VLOOKUP(G548,CATEGORIE!$H$3:$I$55,2,FALSE)</f>
        <v>COSTO SOPRAVVIVENZA</v>
      </c>
      <c r="I548" s="59">
        <v>0.4</v>
      </c>
      <c r="J548" s="940"/>
      <c r="K548" s="59"/>
      <c r="L548" s="59"/>
    </row>
    <row r="549" spans="1:12">
      <c r="A549" s="57" t="s">
        <v>203</v>
      </c>
      <c r="B549" s="57" t="s">
        <v>200</v>
      </c>
      <c r="C549" s="57">
        <v>2025</v>
      </c>
      <c r="D549" s="58">
        <f>MATCH(B549,{"GENNAIO","FEBBRAIO","MARZO","APRILE","MAGGIO","GIUGNO","LUGLIO","AGOSTO","SETTEMBRE","OTTOBRE","NOVEMBRE","DICEMBRE"},0)</f>
        <v>11</v>
      </c>
      <c r="E549" s="57" t="str">
        <f t="shared" ref="E549" si="902">CONCATENATE(,B549," ",C549)</f>
        <v>NOVEMBRE 2025</v>
      </c>
      <c r="F549" s="57" t="str">
        <f t="shared" ref="F549" si="903">CONCATENATE(D549," ",E549)</f>
        <v>11 NOVEMBRE 2025</v>
      </c>
      <c r="G549" s="1309" t="s">
        <v>94</v>
      </c>
      <c r="H549" s="1309" t="str">
        <f>VLOOKUP(G549,CATEGORIE!$H$3:$I$55,2,FALSE)</f>
        <v>COSTO SVAGHI</v>
      </c>
      <c r="I549" s="59">
        <v>32.5</v>
      </c>
      <c r="J549" s="940"/>
      <c r="K549" s="59"/>
      <c r="L549" s="59" t="s">
        <v>202</v>
      </c>
    </row>
    <row r="550" spans="1:12">
      <c r="A550" s="57" t="s">
        <v>204</v>
      </c>
      <c r="B550" s="57" t="s">
        <v>200</v>
      </c>
      <c r="C550" s="57">
        <v>2025</v>
      </c>
      <c r="D550" s="58">
        <f>MATCH(B550,{"GENNAIO","FEBBRAIO","MARZO","APRILE","MAGGIO","GIUGNO","LUGLIO","AGOSTO","SETTEMBRE","OTTOBRE","NOVEMBRE","DICEMBRE"},0)</f>
        <v>11</v>
      </c>
      <c r="E550" s="57" t="str">
        <f t="shared" ref="E550" si="904">CONCATENATE(,B550," ",C550)</f>
        <v>NOVEMBRE 2025</v>
      </c>
      <c r="F550" s="57" t="str">
        <f t="shared" ref="F550" si="905">CONCATENATE(D550," ",E550)</f>
        <v>11 NOVEMBRE 2025</v>
      </c>
      <c r="G550" s="1309" t="s">
        <v>94</v>
      </c>
      <c r="H550" s="1309" t="str">
        <f>VLOOKUP(G550,CATEGORIE!$H$3:$I$55,2,FALSE)</f>
        <v>COSTO SVAGHI</v>
      </c>
      <c r="I550" s="59">
        <v>36</v>
      </c>
      <c r="J550" s="940"/>
      <c r="K550" s="59"/>
      <c r="L550" s="59" t="s">
        <v>202</v>
      </c>
    </row>
    <row r="551" spans="1:12">
      <c r="A551" s="57" t="s">
        <v>201</v>
      </c>
      <c r="B551" s="57" t="s">
        <v>200</v>
      </c>
      <c r="C551" s="57">
        <v>2025</v>
      </c>
      <c r="D551" s="58">
        <f>MATCH(B551,{"GENNAIO","FEBBRAIO","MARZO","APRILE","MAGGIO","GIUGNO","LUGLIO","AGOSTO","SETTEMBRE","OTTOBRE","NOVEMBRE","DICEMBRE"},0)</f>
        <v>11</v>
      </c>
      <c r="E551" s="57" t="str">
        <f t="shared" ref="E551" si="906">CONCATENATE(,B551," ",C551)</f>
        <v>NOVEMBRE 2025</v>
      </c>
      <c r="F551" s="57" t="str">
        <f t="shared" ref="F551" si="907">CONCATENATE(D551," ",E551)</f>
        <v>11 NOVEMBRE 2025</v>
      </c>
      <c r="G551" s="1309" t="s">
        <v>94</v>
      </c>
      <c r="H551" s="1309" t="str">
        <f>VLOOKUP(G551,CATEGORIE!$H$3:$I$55,2,FALSE)</f>
        <v>COSTO SVAGHI</v>
      </c>
      <c r="I551" s="59">
        <v>22.5</v>
      </c>
      <c r="J551" s="940"/>
      <c r="K551" s="59"/>
      <c r="L551" s="59" t="s">
        <v>202</v>
      </c>
    </row>
    <row r="552" spans="1:12">
      <c r="A552" s="57" t="s">
        <v>205</v>
      </c>
      <c r="B552" s="57" t="s">
        <v>200</v>
      </c>
      <c r="C552" s="57">
        <v>2025</v>
      </c>
      <c r="D552" s="58">
        <f>MATCH(B552,{"GENNAIO","FEBBRAIO","MARZO","APRILE","MAGGIO","GIUGNO","LUGLIO","AGOSTO","SETTEMBRE","OTTOBRE","NOVEMBRE","DICEMBRE"},0)</f>
        <v>11</v>
      </c>
      <c r="E552" s="57" t="str">
        <f t="shared" ref="E552" si="908">CONCATENATE(,B552," ",C552)</f>
        <v>NOVEMBRE 2025</v>
      </c>
      <c r="F552" s="57" t="str">
        <f t="shared" ref="F552" si="909">CONCATENATE(D552," ",E552)</f>
        <v>11 NOVEMBRE 2025</v>
      </c>
      <c r="G552" s="1309" t="s">
        <v>94</v>
      </c>
      <c r="H552" s="1309" t="str">
        <f>VLOOKUP(G552,CATEGORIE!$H$3:$I$55,2,FALSE)</f>
        <v>COSTO SVAGHI</v>
      </c>
      <c r="I552" s="59">
        <v>12.5</v>
      </c>
      <c r="J552" s="940"/>
      <c r="K552" s="59"/>
      <c r="L552" s="59" t="s">
        <v>202</v>
      </c>
    </row>
    <row r="553" spans="1:12">
      <c r="A553" s="57" t="s">
        <v>130</v>
      </c>
      <c r="B553" s="57" t="s">
        <v>200</v>
      </c>
      <c r="C553" s="57">
        <v>2025</v>
      </c>
      <c r="D553" s="58">
        <f>MATCH(B553,{"GENNAIO","FEBBRAIO","MARZO","APRILE","MAGGIO","GIUGNO","LUGLIO","AGOSTO","SETTEMBRE","OTTOBRE","NOVEMBRE","DICEMBRE"},0)</f>
        <v>11</v>
      </c>
      <c r="E553" s="57" t="str">
        <f t="shared" ref="E553" si="910">CONCATENATE(,B553," ",C553)</f>
        <v>NOVEMBRE 2025</v>
      </c>
      <c r="F553" s="57" t="str">
        <f t="shared" ref="F553" si="911">CONCATENATE(D553," ",E553)</f>
        <v>11 NOVEMBRE 2025</v>
      </c>
      <c r="G553" s="1309" t="s">
        <v>94</v>
      </c>
      <c r="H553" s="1309" t="str">
        <f>VLOOKUP(G553,CATEGORIE!$H$3:$I$55,2,FALSE)</f>
        <v>COSTO SVAGHI</v>
      </c>
      <c r="I553" s="59">
        <v>27.5</v>
      </c>
      <c r="J553" s="940"/>
      <c r="K553" s="59"/>
      <c r="L553" s="59" t="s">
        <v>202</v>
      </c>
    </row>
    <row r="554" spans="1:12">
      <c r="A554" s="57" t="s">
        <v>92</v>
      </c>
      <c r="B554" s="57" t="s">
        <v>200</v>
      </c>
      <c r="C554" s="57">
        <v>2025</v>
      </c>
      <c r="D554" s="58">
        <f>MATCH(B554,{"GENNAIO","FEBBRAIO","MARZO","APRILE","MAGGIO","GIUGNO","LUGLIO","AGOSTO","SETTEMBRE","OTTOBRE","NOVEMBRE","DICEMBRE"},0)</f>
        <v>11</v>
      </c>
      <c r="E554" s="57" t="str">
        <f t="shared" ref="E554" si="912">CONCATENATE(,B554," ",C554)</f>
        <v>NOVEMBRE 2025</v>
      </c>
      <c r="F554" s="57" t="str">
        <f t="shared" ref="F554" si="913">CONCATENATE(D554," ",E554)</f>
        <v>11 NOVEMBRE 2025</v>
      </c>
      <c r="G554" s="1309" t="s">
        <v>93</v>
      </c>
      <c r="H554" s="1309" t="str">
        <f>VLOOKUP(G554,CATEGORIE!$H$3:$I$55,2,FALSE)</f>
        <v>COSTO SOPRAVVIVENZA</v>
      </c>
      <c r="I554" s="59">
        <v>7</v>
      </c>
      <c r="J554" s="940"/>
      <c r="K554" s="59"/>
      <c r="L554" s="59"/>
    </row>
    <row r="555" spans="1:12">
      <c r="A555" s="57" t="s">
        <v>101</v>
      </c>
      <c r="B555" s="57" t="s">
        <v>200</v>
      </c>
      <c r="C555" s="57">
        <v>2025</v>
      </c>
      <c r="D555" s="58">
        <f>MATCH(B555,{"GENNAIO","FEBBRAIO","MARZO","APRILE","MAGGIO","GIUGNO","LUGLIO","AGOSTO","SETTEMBRE","OTTOBRE","NOVEMBRE","DICEMBRE"},0)</f>
        <v>11</v>
      </c>
      <c r="E555" s="57" t="str">
        <f t="shared" ref="E555:E560" si="914">CONCATENATE(,B555," ",C555)</f>
        <v>NOVEMBRE 2025</v>
      </c>
      <c r="F555" s="57" t="str">
        <f t="shared" ref="F555:F560" si="915">CONCATENATE(D555," ",E555)</f>
        <v>11 NOVEMBRE 2025</v>
      </c>
      <c r="G555" s="1309" t="s">
        <v>91</v>
      </c>
      <c r="H555" s="1309" t="str">
        <f>VLOOKUP(G555,CATEGORIE!$H$3:$I$55,2,FALSE)</f>
        <v>COSTO SOPRAVVIVENZA</v>
      </c>
      <c r="I555" s="59">
        <v>0.4</v>
      </c>
      <c r="J555" s="940"/>
      <c r="K555" s="59"/>
      <c r="L555" s="59"/>
    </row>
    <row r="556" spans="1:12">
      <c r="A556" s="57" t="s">
        <v>101</v>
      </c>
      <c r="B556" s="57" t="s">
        <v>200</v>
      </c>
      <c r="C556" s="57">
        <v>2025</v>
      </c>
      <c r="D556" s="58">
        <f>MATCH(B556,{"GENNAIO","FEBBRAIO","MARZO","APRILE","MAGGIO","GIUGNO","LUGLIO","AGOSTO","SETTEMBRE","OTTOBRE","NOVEMBRE","DICEMBRE"},0)</f>
        <v>11</v>
      </c>
      <c r="E556" s="57" t="str">
        <f t="shared" si="914"/>
        <v>NOVEMBRE 2025</v>
      </c>
      <c r="F556" s="57" t="str">
        <f t="shared" si="915"/>
        <v>11 NOVEMBRE 2025</v>
      </c>
      <c r="G556" s="1309" t="s">
        <v>91</v>
      </c>
      <c r="H556" s="1309" t="str">
        <f>VLOOKUP(G556,CATEGORIE!$H$3:$I$55,2,FALSE)</f>
        <v>COSTO SOPRAVVIVENZA</v>
      </c>
      <c r="I556" s="59">
        <v>0.4</v>
      </c>
      <c r="J556" s="940"/>
      <c r="K556" s="59"/>
      <c r="L556" s="59"/>
    </row>
    <row r="557" spans="1:12">
      <c r="A557" s="57" t="s">
        <v>101</v>
      </c>
      <c r="B557" s="57" t="s">
        <v>200</v>
      </c>
      <c r="C557" s="57">
        <v>2025</v>
      </c>
      <c r="D557" s="58">
        <f>MATCH(B557,{"GENNAIO","FEBBRAIO","MARZO","APRILE","MAGGIO","GIUGNO","LUGLIO","AGOSTO","SETTEMBRE","OTTOBRE","NOVEMBRE","DICEMBRE"},0)</f>
        <v>11</v>
      </c>
      <c r="E557" s="57" t="str">
        <f>CONCATENATE(,B557," ",C557)</f>
        <v>NOVEMBRE 2025</v>
      </c>
      <c r="F557" s="57" t="str">
        <f t="shared" si="915"/>
        <v>11 NOVEMBRE 2025</v>
      </c>
      <c r="G557" s="1309" t="s">
        <v>91</v>
      </c>
      <c r="H557" s="1309" t="str">
        <f>VLOOKUP(G557,CATEGORIE!$H$3:$I$55,2,FALSE)</f>
        <v>COSTO SOPRAVVIVENZA</v>
      </c>
      <c r="I557" s="59">
        <v>0.4</v>
      </c>
      <c r="J557" s="940"/>
      <c r="K557" s="59"/>
      <c r="L557" s="59"/>
    </row>
    <row r="558" spans="1:12">
      <c r="A558" s="57" t="s">
        <v>101</v>
      </c>
      <c r="B558" s="57" t="s">
        <v>200</v>
      </c>
      <c r="C558" s="57">
        <v>2025</v>
      </c>
      <c r="D558" s="58">
        <f>MATCH(B558,{"GENNAIO","FEBBRAIO","MARZO","APRILE","MAGGIO","GIUGNO","LUGLIO","AGOSTO","SETTEMBRE","OTTOBRE","NOVEMBRE","DICEMBRE"},0)</f>
        <v>11</v>
      </c>
      <c r="E558" s="57" t="str">
        <f t="shared" si="914"/>
        <v>NOVEMBRE 2025</v>
      </c>
      <c r="F558" s="57" t="str">
        <f t="shared" si="915"/>
        <v>11 NOVEMBRE 2025</v>
      </c>
      <c r="G558" s="1309" t="s">
        <v>91</v>
      </c>
      <c r="H558" s="1309" t="str">
        <f>VLOOKUP(G558,CATEGORIE!$H$3:$I$55,2,FALSE)</f>
        <v>COSTO SOPRAVVIVENZA</v>
      </c>
      <c r="I558" s="59">
        <v>0.4</v>
      </c>
      <c r="J558" s="940"/>
      <c r="K558" s="59"/>
      <c r="L558" s="59"/>
    </row>
    <row r="559" spans="1:12">
      <c r="A559" s="57" t="s">
        <v>101</v>
      </c>
      <c r="B559" s="57" t="s">
        <v>200</v>
      </c>
      <c r="C559" s="57">
        <v>2025</v>
      </c>
      <c r="D559" s="58">
        <f>MATCH(B559,{"GENNAIO","FEBBRAIO","MARZO","APRILE","MAGGIO","GIUGNO","LUGLIO","AGOSTO","SETTEMBRE","OTTOBRE","NOVEMBRE","DICEMBRE"},0)</f>
        <v>11</v>
      </c>
      <c r="E559" s="57" t="str">
        <f t="shared" si="914"/>
        <v>NOVEMBRE 2025</v>
      </c>
      <c r="F559" s="57" t="str">
        <f t="shared" si="915"/>
        <v>11 NOVEMBRE 2025</v>
      </c>
      <c r="G559" s="1309" t="s">
        <v>91</v>
      </c>
      <c r="H559" s="1309" t="str">
        <f>VLOOKUP(G559,CATEGORIE!$H$3:$I$55,2,FALSE)</f>
        <v>COSTO SOPRAVVIVENZA</v>
      </c>
      <c r="I559" s="59">
        <v>0.4</v>
      </c>
      <c r="J559" s="940"/>
      <c r="K559" s="59"/>
      <c r="L559" s="59"/>
    </row>
    <row r="560" spans="1:12">
      <c r="A560" s="57" t="s">
        <v>101</v>
      </c>
      <c r="B560" s="57" t="s">
        <v>200</v>
      </c>
      <c r="C560" s="57">
        <v>2025</v>
      </c>
      <c r="D560" s="58">
        <f>MATCH(B560,{"GENNAIO","FEBBRAIO","MARZO","APRILE","MAGGIO","GIUGNO","LUGLIO","AGOSTO","SETTEMBRE","OTTOBRE","NOVEMBRE","DICEMBRE"},0)</f>
        <v>11</v>
      </c>
      <c r="E560" s="57" t="str">
        <f t="shared" si="914"/>
        <v>NOVEMBRE 2025</v>
      </c>
      <c r="F560" s="57" t="str">
        <f t="shared" si="915"/>
        <v>11 NOVEMBRE 2025</v>
      </c>
      <c r="G560" s="1309" t="s">
        <v>91</v>
      </c>
      <c r="H560" s="1309" t="str">
        <f>VLOOKUP(G560,CATEGORIE!$H$3:$I$55,2,FALSE)</f>
        <v>COSTO SOPRAVVIVENZA</v>
      </c>
      <c r="I560" s="59">
        <v>0.4</v>
      </c>
      <c r="J560" s="940"/>
      <c r="K560" s="59"/>
      <c r="L560" s="59"/>
    </row>
    <row r="561" spans="1:12">
      <c r="A561" s="57" t="s">
        <v>106</v>
      </c>
      <c r="B561" s="57" t="s">
        <v>200</v>
      </c>
      <c r="C561" s="57">
        <v>2025</v>
      </c>
      <c r="D561" s="58">
        <f>MATCH(B561,{"GENNAIO","FEBBRAIO","MARZO","APRILE","MAGGIO","GIUGNO","LUGLIO","AGOSTO","SETTEMBRE","OTTOBRE","NOVEMBRE","DICEMBRE"},0)</f>
        <v>11</v>
      </c>
      <c r="E561" s="57" t="str">
        <f t="shared" ref="E561" si="916">CONCATENATE(,B561," ",C561)</f>
        <v>NOVEMBRE 2025</v>
      </c>
      <c r="F561" s="57" t="str">
        <f t="shared" ref="F561" si="917">CONCATENATE(D561," ",E561)</f>
        <v>11 NOVEMBRE 2025</v>
      </c>
      <c r="G561" s="1309" t="s">
        <v>107</v>
      </c>
      <c r="H561" s="1309" t="str">
        <f>VLOOKUP(G561,CATEGORIE!$H$3:$I$55,2,FALSE)</f>
        <v>COSTO SOPRAVVIVENZA</v>
      </c>
      <c r="I561" s="59">
        <v>33</v>
      </c>
      <c r="J561" s="940"/>
      <c r="K561" s="59"/>
      <c r="L561" s="59"/>
    </row>
    <row r="562" spans="1:12">
      <c r="A562" s="57" t="s">
        <v>99</v>
      </c>
      <c r="B562" s="57" t="s">
        <v>200</v>
      </c>
      <c r="C562" s="57">
        <v>2025</v>
      </c>
      <c r="D562" s="58">
        <f>MATCH(B562,{"GENNAIO","FEBBRAIO","MARZO","APRILE","MAGGIO","GIUGNO","LUGLIO","AGOSTO","SETTEMBRE","OTTOBRE","NOVEMBRE","DICEMBRE"},0)</f>
        <v>11</v>
      </c>
      <c r="E562" s="57" t="str">
        <f t="shared" ref="E562" si="918">CONCATENATE(,B562," ",C562)</f>
        <v>NOVEMBRE 2025</v>
      </c>
      <c r="F562" s="57" t="str">
        <f t="shared" ref="F562" si="919">CONCATENATE(D562," ",E562)</f>
        <v>11 NOVEMBRE 2025</v>
      </c>
      <c r="G562" s="1309" t="s">
        <v>100</v>
      </c>
      <c r="H562" s="1309" t="str">
        <f>VLOOKUP(G562,CATEGORIE!$H$3:$I$55,2,FALSE)</f>
        <v>COSTO SFIZI</v>
      </c>
      <c r="I562" s="59">
        <v>7.31</v>
      </c>
      <c r="J562" s="940"/>
      <c r="K562" s="59"/>
      <c r="L562" s="59"/>
    </row>
    <row r="563" spans="1:12">
      <c r="A563" s="57" t="s">
        <v>97</v>
      </c>
      <c r="B563" s="57" t="s">
        <v>200</v>
      </c>
      <c r="C563" s="57">
        <v>2025</v>
      </c>
      <c r="D563" s="58">
        <f>MATCH(B563,{"GENNAIO","FEBBRAIO","MARZO","APRILE","MAGGIO","GIUGNO","LUGLIO","AGOSTO","SETTEMBRE","OTTOBRE","NOVEMBRE","DICEMBRE"},0)</f>
        <v>11</v>
      </c>
      <c r="E563" s="57" t="str">
        <f t="shared" ref="E563" si="920">CONCATENATE(,B563," ",C563)</f>
        <v>NOVEMBRE 2025</v>
      </c>
      <c r="F563" s="57" t="str">
        <f t="shared" ref="F563" si="921">CONCATENATE(D563," ",E563)</f>
        <v>11 NOVEMBRE 2025</v>
      </c>
      <c r="G563" s="1309" t="s">
        <v>1246</v>
      </c>
      <c r="H563" s="1309" t="str">
        <f>VLOOKUP(G563,CATEGORIE!$H$3:$I$104,2,FALSE)</f>
        <v>COSTO SVAGHI</v>
      </c>
      <c r="I563" s="59">
        <v>180</v>
      </c>
      <c r="J563" s="940"/>
      <c r="K563" s="59" t="s">
        <v>97</v>
      </c>
      <c r="L563" s="59" t="s">
        <v>206</v>
      </c>
    </row>
    <row r="564" spans="1:12">
      <c r="A564" s="57" t="s">
        <v>135</v>
      </c>
      <c r="B564" s="57" t="s">
        <v>200</v>
      </c>
      <c r="C564" s="57">
        <v>2025</v>
      </c>
      <c r="D564" s="58">
        <f>MATCH(B564,{"GENNAIO","FEBBRAIO","MARZO","APRILE","MAGGIO","GIUGNO","LUGLIO","AGOSTO","SETTEMBRE","OTTOBRE","NOVEMBRE","DICEMBRE"},0)</f>
        <v>11</v>
      </c>
      <c r="E564" s="57" t="str">
        <f t="shared" ref="E564" si="922">CONCATENATE(,B564," ",C564)</f>
        <v>NOVEMBRE 2025</v>
      </c>
      <c r="F564" s="57" t="str">
        <f t="shared" ref="F564" si="923">CONCATENATE(D564," ",E564)</f>
        <v>11 NOVEMBRE 2025</v>
      </c>
      <c r="G564" s="1309" t="s">
        <v>132</v>
      </c>
      <c r="H564" s="1309" t="str">
        <f>VLOOKUP(G564,CATEGORIE!$H$3:$I$104,2,FALSE)</f>
        <v>COSTO CASA</v>
      </c>
      <c r="I564" s="59">
        <v>8</v>
      </c>
      <c r="J564" s="940"/>
      <c r="K564" s="59"/>
      <c r="L564" s="59"/>
    </row>
    <row r="565" spans="1:12">
      <c r="A565" s="57" t="s">
        <v>102</v>
      </c>
      <c r="B565" s="57" t="s">
        <v>200</v>
      </c>
      <c r="C565" s="57">
        <v>2025</v>
      </c>
      <c r="D565" s="58">
        <f>MATCH(B565,{"GENNAIO","FEBBRAIO","MARZO","APRILE","MAGGIO","GIUGNO","LUGLIO","AGOSTO","SETTEMBRE","OTTOBRE","NOVEMBRE","DICEMBRE"},0)</f>
        <v>11</v>
      </c>
      <c r="E565" s="57" t="str">
        <f t="shared" ref="E565" si="924">CONCATENATE(,B565," ",C565)</f>
        <v>NOVEMBRE 2025</v>
      </c>
      <c r="F565" s="57" t="str">
        <f t="shared" ref="F565" si="925">CONCATENATE(D565," ",E565)</f>
        <v>11 NOVEMBRE 2025</v>
      </c>
      <c r="G565" s="1309" t="s">
        <v>96</v>
      </c>
      <c r="H565" s="1309" t="str">
        <f>VLOOKUP(G565,CATEGORIE!$H$3:$I$104,2,FALSE)</f>
        <v>COSTO SOPRAVVIVENZA</v>
      </c>
      <c r="I565" s="59">
        <v>13.64</v>
      </c>
      <c r="J565" s="940"/>
      <c r="K565" s="59"/>
      <c r="L565" s="59"/>
    </row>
    <row r="566" spans="1:12">
      <c r="A566" s="57" t="s">
        <v>101</v>
      </c>
      <c r="B566" s="57" t="s">
        <v>200</v>
      </c>
      <c r="C566" s="57">
        <v>2025</v>
      </c>
      <c r="D566" s="58">
        <f>MATCH(B566,{"GENNAIO","FEBBRAIO","MARZO","APRILE","MAGGIO","GIUGNO","LUGLIO","AGOSTO","SETTEMBRE","OTTOBRE","NOVEMBRE","DICEMBRE"},0)</f>
        <v>11</v>
      </c>
      <c r="E566" s="57" t="str">
        <f>CONCATENATE(,B566," ",C566)</f>
        <v>NOVEMBRE 2025</v>
      </c>
      <c r="F566" s="57" t="str">
        <f>CONCATENATE(D566," ",E566)</f>
        <v>11 NOVEMBRE 2025</v>
      </c>
      <c r="G566" s="1309" t="s">
        <v>91</v>
      </c>
      <c r="H566" s="1309" t="str">
        <f>VLOOKUP(G566,CATEGORIE!$H$3:$I$104,2,FALSE)</f>
        <v>COSTO SOPRAVVIVENZA</v>
      </c>
      <c r="I566" s="59">
        <v>0.4</v>
      </c>
      <c r="J566" s="940"/>
      <c r="K566" s="59"/>
      <c r="L566" s="59"/>
    </row>
    <row r="567" spans="1:12">
      <c r="A567" s="57" t="s">
        <v>207</v>
      </c>
      <c r="B567" s="57" t="s">
        <v>200</v>
      </c>
      <c r="C567" s="57">
        <v>2025</v>
      </c>
      <c r="D567" s="58">
        <f>MATCH(B567,{"GENNAIO","FEBBRAIO","MARZO","APRILE","MAGGIO","GIUGNO","LUGLIO","AGOSTO","SETTEMBRE","OTTOBRE","NOVEMBRE","DICEMBRE"},0)</f>
        <v>11</v>
      </c>
      <c r="E567" s="57" t="str">
        <f t="shared" ref="E567" si="926">CONCATENATE(,B567," ",C567)</f>
        <v>NOVEMBRE 2025</v>
      </c>
      <c r="F567" s="57" t="str">
        <f t="shared" ref="F567" si="927">CONCATENATE(D567," ",E567)</f>
        <v>11 NOVEMBRE 2025</v>
      </c>
      <c r="G567" s="1309" t="s">
        <v>94</v>
      </c>
      <c r="H567" s="1309" t="str">
        <f>VLOOKUP(G567,CATEGORIE!$H$3:$I$104,2,FALSE)</f>
        <v>COSTO SVAGHI</v>
      </c>
      <c r="I567" s="59">
        <v>30</v>
      </c>
      <c r="J567" s="940"/>
      <c r="K567" s="59"/>
      <c r="L567" s="59"/>
    </row>
    <row r="568" spans="1:12">
      <c r="A568" s="57" t="s">
        <v>208</v>
      </c>
      <c r="B568" s="57" t="s">
        <v>200</v>
      </c>
      <c r="C568" s="57">
        <v>2025</v>
      </c>
      <c r="D568" s="58">
        <f>MATCH(B568,{"GENNAIO","FEBBRAIO","MARZO","APRILE","MAGGIO","GIUGNO","LUGLIO","AGOSTO","SETTEMBRE","OTTOBRE","NOVEMBRE","DICEMBRE"},0)</f>
        <v>11</v>
      </c>
      <c r="E568" s="57" t="str">
        <f t="shared" ref="E568" si="928">CONCATENATE(,B568," ",C568)</f>
        <v>NOVEMBRE 2025</v>
      </c>
      <c r="F568" s="57" t="str">
        <f t="shared" ref="F568" si="929">CONCATENATE(D568," ",E568)</f>
        <v>11 NOVEMBRE 2025</v>
      </c>
      <c r="G568" s="1309" t="s">
        <v>94</v>
      </c>
      <c r="H568" s="1309" t="str">
        <f>VLOOKUP(G568,CATEGORIE!$H$3:$I$104,2,FALSE)</f>
        <v>COSTO SVAGHI</v>
      </c>
      <c r="I568" s="59">
        <v>18</v>
      </c>
      <c r="J568" s="940"/>
      <c r="K568" s="59"/>
      <c r="L568" s="59"/>
    </row>
    <row r="569" spans="1:12">
      <c r="A569" s="57" t="s">
        <v>92</v>
      </c>
      <c r="B569" s="57" t="s">
        <v>200</v>
      </c>
      <c r="C569" s="57">
        <v>2025</v>
      </c>
      <c r="D569" s="58">
        <f>MATCH(B569,{"GENNAIO","FEBBRAIO","MARZO","APRILE","MAGGIO","GIUGNO","LUGLIO","AGOSTO","SETTEMBRE","OTTOBRE","NOVEMBRE","DICEMBRE"},0)</f>
        <v>11</v>
      </c>
      <c r="E569" s="57" t="str">
        <f t="shared" ref="E569" si="930">CONCATENATE(,B569," ",C569)</f>
        <v>NOVEMBRE 2025</v>
      </c>
      <c r="F569" s="57" t="str">
        <f t="shared" ref="F569" si="931">CONCATENATE(D569," ",E569)</f>
        <v>11 NOVEMBRE 2025</v>
      </c>
      <c r="G569" s="1309" t="s">
        <v>93</v>
      </c>
      <c r="H569" s="1309" t="str">
        <f>VLOOKUP(G569,CATEGORIE!$H$3:$I$104,2,FALSE)</f>
        <v>COSTO SOPRAVVIVENZA</v>
      </c>
      <c r="I569" s="59">
        <v>8.5</v>
      </c>
      <c r="J569" s="940"/>
      <c r="K569" s="59"/>
      <c r="L569" s="59"/>
    </row>
    <row r="570" spans="1:12">
      <c r="A570" s="57" t="s">
        <v>101</v>
      </c>
      <c r="B570" s="57" t="s">
        <v>200</v>
      </c>
      <c r="C570" s="57">
        <v>2025</v>
      </c>
      <c r="D570" s="58">
        <f>MATCH(B570,{"GENNAIO","FEBBRAIO","MARZO","APRILE","MAGGIO","GIUGNO","LUGLIO","AGOSTO","SETTEMBRE","OTTOBRE","NOVEMBRE","DICEMBRE"},0)</f>
        <v>11</v>
      </c>
      <c r="E570" s="57" t="str">
        <f>CONCATENATE(,B570," ",C570)</f>
        <v>NOVEMBRE 2025</v>
      </c>
      <c r="F570" s="57" t="str">
        <f>CONCATENATE(D570," ",E570)</f>
        <v>11 NOVEMBRE 2025</v>
      </c>
      <c r="G570" s="1309" t="s">
        <v>91</v>
      </c>
      <c r="H570" s="1309" t="str">
        <f>VLOOKUP(G570,CATEGORIE!$H$3:$I$104,2,FALSE)</f>
        <v>COSTO SOPRAVVIVENZA</v>
      </c>
      <c r="I570" s="59">
        <v>0.4</v>
      </c>
      <c r="J570" s="940"/>
      <c r="K570" s="59"/>
      <c r="L570" s="59"/>
    </row>
    <row r="571" spans="1:12">
      <c r="A571" s="57" t="s">
        <v>101</v>
      </c>
      <c r="B571" s="57" t="s">
        <v>200</v>
      </c>
      <c r="C571" s="57">
        <v>2025</v>
      </c>
      <c r="D571" s="58">
        <f>MATCH(B571,{"GENNAIO","FEBBRAIO","MARZO","APRILE","MAGGIO","GIUGNO","LUGLIO","AGOSTO","SETTEMBRE","OTTOBRE","NOVEMBRE","DICEMBRE"},0)</f>
        <v>11</v>
      </c>
      <c r="E571" s="57" t="str">
        <f>CONCATENATE(,B571," ",C571)</f>
        <v>NOVEMBRE 2025</v>
      </c>
      <c r="F571" s="57" t="str">
        <f>CONCATENATE(D571," ",E571)</f>
        <v>11 NOVEMBRE 2025</v>
      </c>
      <c r="G571" s="1309" t="s">
        <v>91</v>
      </c>
      <c r="H571" s="1309" t="str">
        <f>VLOOKUP(G571,CATEGORIE!$H$3:$I$104,2,FALSE)</f>
        <v>COSTO SOPRAVVIVENZA</v>
      </c>
      <c r="I571" s="59">
        <v>0.4</v>
      </c>
      <c r="J571" s="940"/>
      <c r="K571" s="59"/>
      <c r="L571" s="59"/>
    </row>
    <row r="572" spans="1:12">
      <c r="A572" s="57" t="s">
        <v>92</v>
      </c>
      <c r="B572" s="57" t="s">
        <v>200</v>
      </c>
      <c r="C572" s="57">
        <v>2025</v>
      </c>
      <c r="D572" s="58">
        <f>MATCH(B572,{"GENNAIO","FEBBRAIO","MARZO","APRILE","MAGGIO","GIUGNO","LUGLIO","AGOSTO","SETTEMBRE","OTTOBRE","NOVEMBRE","DICEMBRE"},0)</f>
        <v>11</v>
      </c>
      <c r="E572" s="57" t="str">
        <f t="shared" ref="E572" si="932">CONCATENATE(,B572," ",C572)</f>
        <v>NOVEMBRE 2025</v>
      </c>
      <c r="F572" s="57" t="str">
        <f t="shared" ref="F572" si="933">CONCATENATE(D572," ",E572)</f>
        <v>11 NOVEMBRE 2025</v>
      </c>
      <c r="G572" s="1309" t="s">
        <v>93</v>
      </c>
      <c r="H572" s="1309" t="str">
        <f>VLOOKUP(G572,CATEGORIE!$H$3:$I$104,2,FALSE)</f>
        <v>COSTO SOPRAVVIVENZA</v>
      </c>
      <c r="I572" s="59">
        <v>7</v>
      </c>
      <c r="J572" s="940"/>
      <c r="K572" s="59"/>
      <c r="L572" s="59"/>
    </row>
    <row r="573" spans="1:12">
      <c r="A573" s="57" t="s">
        <v>101</v>
      </c>
      <c r="B573" s="57" t="s">
        <v>200</v>
      </c>
      <c r="C573" s="57">
        <v>2025</v>
      </c>
      <c r="D573" s="58">
        <f>MATCH(B573,{"GENNAIO","FEBBRAIO","MARZO","APRILE","MAGGIO","GIUGNO","LUGLIO","AGOSTO","SETTEMBRE","OTTOBRE","NOVEMBRE","DICEMBRE"},0)</f>
        <v>11</v>
      </c>
      <c r="E573" s="57" t="str">
        <f>CONCATENATE(,B573," ",C573)</f>
        <v>NOVEMBRE 2025</v>
      </c>
      <c r="F573" s="57" t="str">
        <f>CONCATENATE(D573," ",E573)</f>
        <v>11 NOVEMBRE 2025</v>
      </c>
      <c r="G573" s="1309" t="s">
        <v>91</v>
      </c>
      <c r="H573" s="1309" t="str">
        <f>VLOOKUP(G573,CATEGORIE!$H$3:$I$104,2,FALSE)</f>
        <v>COSTO SOPRAVVIVENZA</v>
      </c>
      <c r="I573" s="59">
        <v>0.4</v>
      </c>
      <c r="J573" s="940"/>
      <c r="K573" s="59"/>
      <c r="L573" s="59"/>
    </row>
    <row r="574" spans="1:12">
      <c r="A574" s="57" t="s">
        <v>209</v>
      </c>
      <c r="B574" s="57" t="s">
        <v>200</v>
      </c>
      <c r="C574" s="57">
        <v>2025</v>
      </c>
      <c r="D574" s="58">
        <f>MATCH(B574,{"GENNAIO","FEBBRAIO","MARZO","APRILE","MAGGIO","GIUGNO","LUGLIO","AGOSTO","SETTEMBRE","OTTOBRE","NOVEMBRE","DICEMBRE"},0)</f>
        <v>11</v>
      </c>
      <c r="E574" s="57" t="str">
        <f t="shared" ref="E574" si="934">CONCATENATE(,B574," ",C574)</f>
        <v>NOVEMBRE 2025</v>
      </c>
      <c r="F574" s="57" t="str">
        <f t="shared" ref="F574" si="935">CONCATENATE(D574," ",E574)</f>
        <v>11 NOVEMBRE 2025</v>
      </c>
      <c r="G574" s="1309" t="s">
        <v>94</v>
      </c>
      <c r="H574" s="1309" t="str">
        <f>VLOOKUP(G574,CATEGORIE!$H$3:$I$104,2,FALSE)</f>
        <v>COSTO SVAGHI</v>
      </c>
      <c r="I574" s="59">
        <v>11</v>
      </c>
      <c r="J574" s="940"/>
      <c r="K574" s="59"/>
      <c r="L574" s="59"/>
    </row>
    <row r="575" spans="1:12">
      <c r="A575" s="57" t="s">
        <v>97</v>
      </c>
      <c r="B575" s="57" t="s">
        <v>200</v>
      </c>
      <c r="C575" s="57">
        <v>2025</v>
      </c>
      <c r="D575" s="58">
        <f>MATCH(B575,{"GENNAIO","FEBBRAIO","MARZO","APRILE","MAGGIO","GIUGNO","LUGLIO","AGOSTO","SETTEMBRE","OTTOBRE","NOVEMBRE","DICEMBRE"},0)</f>
        <v>11</v>
      </c>
      <c r="E575" s="57" t="str">
        <f t="shared" ref="E575" si="936">CONCATENATE(,B575," ",C575)</f>
        <v>NOVEMBRE 2025</v>
      </c>
      <c r="F575" s="57" t="str">
        <f t="shared" ref="F575" si="937">CONCATENATE(D575," ",E575)</f>
        <v>11 NOVEMBRE 2025</v>
      </c>
      <c r="G575" s="1309" t="s">
        <v>789</v>
      </c>
      <c r="H575" s="1309" t="str">
        <f>VLOOKUP(G575,CATEGORIE!$H$3:$I$104,2,FALSE)</f>
        <v>MOVIMENTI CONTO</v>
      </c>
      <c r="I575" s="59">
        <v>45</v>
      </c>
      <c r="J575" s="940"/>
      <c r="K575" s="59" t="s">
        <v>97</v>
      </c>
      <c r="L575" s="59" t="s">
        <v>98</v>
      </c>
    </row>
    <row r="576" spans="1:12">
      <c r="A576" s="57" t="s">
        <v>92</v>
      </c>
      <c r="B576" s="57" t="s">
        <v>200</v>
      </c>
      <c r="C576" s="57">
        <v>2025</v>
      </c>
      <c r="D576" s="58">
        <f>MATCH(B576,{"GENNAIO","FEBBRAIO","MARZO","APRILE","MAGGIO","GIUGNO","LUGLIO","AGOSTO","SETTEMBRE","OTTOBRE","NOVEMBRE","DICEMBRE"},0)</f>
        <v>11</v>
      </c>
      <c r="E576" s="57" t="str">
        <f t="shared" ref="E576" si="938">CONCATENATE(,B576," ",C576)</f>
        <v>NOVEMBRE 2025</v>
      </c>
      <c r="F576" s="57" t="str">
        <f t="shared" ref="F576" si="939">CONCATENATE(D576," ",E576)</f>
        <v>11 NOVEMBRE 2025</v>
      </c>
      <c r="G576" s="1309" t="s">
        <v>94</v>
      </c>
      <c r="H576" s="1309" t="str">
        <f>VLOOKUP(G576,CATEGORIE!$H$3:$I$104,2,FALSE)</f>
        <v>COSTO SVAGHI</v>
      </c>
      <c r="I576" s="59">
        <v>4.2</v>
      </c>
      <c r="J576" s="940"/>
      <c r="K576" s="59"/>
      <c r="L576" s="59"/>
    </row>
    <row r="577" spans="1:12">
      <c r="A577" s="57" t="s">
        <v>99</v>
      </c>
      <c r="B577" s="57" t="s">
        <v>200</v>
      </c>
      <c r="C577" s="57">
        <v>2025</v>
      </c>
      <c r="D577" s="58">
        <f>MATCH(B577,{"GENNAIO","FEBBRAIO","MARZO","APRILE","MAGGIO","GIUGNO","LUGLIO","AGOSTO","SETTEMBRE","OTTOBRE","NOVEMBRE","DICEMBRE"},0)</f>
        <v>11</v>
      </c>
      <c r="E577" s="57" t="str">
        <f t="shared" ref="E577" si="940">CONCATENATE(,B577," ",C577)</f>
        <v>NOVEMBRE 2025</v>
      </c>
      <c r="F577" s="57" t="str">
        <f t="shared" ref="F577" si="941">CONCATENATE(D577," ",E577)</f>
        <v>11 NOVEMBRE 2025</v>
      </c>
      <c r="G577" s="1309" t="s">
        <v>100</v>
      </c>
      <c r="H577" s="1309" t="str">
        <f>VLOOKUP(G577,CATEGORIE!$H$3:$I$104,2,FALSE)</f>
        <v>COSTO SFIZI</v>
      </c>
      <c r="I577" s="59">
        <v>6.99</v>
      </c>
      <c r="J577" s="940"/>
      <c r="K577" s="59"/>
      <c r="L577" s="59"/>
    </row>
    <row r="578" spans="1:12">
      <c r="A578" s="57" t="s">
        <v>210</v>
      </c>
      <c r="B578" s="57" t="s">
        <v>200</v>
      </c>
      <c r="C578" s="57">
        <v>2025</v>
      </c>
      <c r="D578" s="58">
        <f>MATCH(B578,{"GENNAIO","FEBBRAIO","MARZO","APRILE","MAGGIO","GIUGNO","LUGLIO","AGOSTO","SETTEMBRE","OTTOBRE","NOVEMBRE","DICEMBRE"},0)</f>
        <v>11</v>
      </c>
      <c r="E578" s="57" t="str">
        <f t="shared" ref="E578" si="942">CONCATENATE(,B578," ",C578)</f>
        <v>NOVEMBRE 2025</v>
      </c>
      <c r="F578" s="57" t="str">
        <f t="shared" ref="F578" si="943">CONCATENATE(D578," ",E578)</f>
        <v>11 NOVEMBRE 2025</v>
      </c>
      <c r="G578" s="1309" t="s">
        <v>107</v>
      </c>
      <c r="H578" s="1309" t="str">
        <f>VLOOKUP(G578,CATEGORIE!$H$3:$I$104,2,FALSE)</f>
        <v>COSTO SOPRAVVIVENZA</v>
      </c>
      <c r="I578" s="59">
        <v>87</v>
      </c>
      <c r="J578" s="940"/>
      <c r="K578" s="59"/>
      <c r="L578" s="59"/>
    </row>
    <row r="579" spans="1:12">
      <c r="A579" s="57" t="s">
        <v>99</v>
      </c>
      <c r="B579" s="57" t="s">
        <v>200</v>
      </c>
      <c r="C579" s="57">
        <v>2025</v>
      </c>
      <c r="D579" s="58">
        <f>MATCH(B579,{"GENNAIO","FEBBRAIO","MARZO","APRILE","MAGGIO","GIUGNO","LUGLIO","AGOSTO","SETTEMBRE","OTTOBRE","NOVEMBRE","DICEMBRE"},0)</f>
        <v>11</v>
      </c>
      <c r="E579" s="57" t="str">
        <f t="shared" ref="E579" si="944">CONCATENATE(,B579," ",C579)</f>
        <v>NOVEMBRE 2025</v>
      </c>
      <c r="F579" s="57" t="str">
        <f t="shared" ref="F579" si="945">CONCATENATE(D579," ",E579)</f>
        <v>11 NOVEMBRE 2025</v>
      </c>
      <c r="G579" s="1309" t="s">
        <v>100</v>
      </c>
      <c r="H579" s="1309" t="str">
        <f>VLOOKUP(G579,CATEGORIE!$H$3:$I$104,2,FALSE)</f>
        <v>COSTO SFIZI</v>
      </c>
      <c r="I579" s="59">
        <v>13.99</v>
      </c>
      <c r="J579" s="940"/>
      <c r="K579" s="59"/>
      <c r="L579" s="59"/>
    </row>
    <row r="580" spans="1:12">
      <c r="A580" s="57" t="s">
        <v>211</v>
      </c>
      <c r="B580" s="57" t="s">
        <v>200</v>
      </c>
      <c r="C580" s="57">
        <v>2025</v>
      </c>
      <c r="D580" s="58">
        <f>MATCH(B580,{"GENNAIO","FEBBRAIO","MARZO","APRILE","MAGGIO","GIUGNO","LUGLIO","AGOSTO","SETTEMBRE","OTTOBRE","NOVEMBRE","DICEMBRE"},0)</f>
        <v>11</v>
      </c>
      <c r="E580" s="57" t="str">
        <f t="shared" ref="E580" si="946">CONCATENATE(,B580," ",C580)</f>
        <v>NOVEMBRE 2025</v>
      </c>
      <c r="F580" s="57" t="str">
        <f t="shared" ref="F580" si="947">CONCATENATE(D580," ",E580)</f>
        <v>11 NOVEMBRE 2025</v>
      </c>
      <c r="G580" s="1309" t="s">
        <v>94</v>
      </c>
      <c r="H580" s="1309" t="str">
        <f>VLOOKUP(G580,CATEGORIE!$H$3:$I$104,2,FALSE)</f>
        <v>COSTO SVAGHI</v>
      </c>
      <c r="I580" s="59">
        <v>26.7</v>
      </c>
      <c r="J580" s="940"/>
      <c r="K580" s="59"/>
      <c r="L580" s="59"/>
    </row>
    <row r="581" spans="1:12">
      <c r="A581" s="57" t="s">
        <v>131</v>
      </c>
      <c r="B581" s="57" t="s">
        <v>200</v>
      </c>
      <c r="C581" s="57">
        <v>2025</v>
      </c>
      <c r="D581" s="58">
        <f>MATCH(B581,{"GENNAIO","FEBBRAIO","MARZO","APRILE","MAGGIO","GIUGNO","LUGLIO","AGOSTO","SETTEMBRE","OTTOBRE","NOVEMBRE","DICEMBRE"},0)</f>
        <v>11</v>
      </c>
      <c r="E581" s="57" t="str">
        <f t="shared" ref="E581" si="948">CONCATENATE(,B581," ",C581)</f>
        <v>NOVEMBRE 2025</v>
      </c>
      <c r="F581" s="57" t="str">
        <f t="shared" ref="F581" si="949">CONCATENATE(D581," ",E581)</f>
        <v>11 NOVEMBRE 2025</v>
      </c>
      <c r="G581" s="1309" t="s">
        <v>94</v>
      </c>
      <c r="H581" s="1309" t="str">
        <f>VLOOKUP(G581,CATEGORIE!$H$3:$I$104,2,FALSE)</f>
        <v>COSTO SVAGHI</v>
      </c>
      <c r="I581" s="59">
        <v>2</v>
      </c>
      <c r="J581" s="940"/>
      <c r="K581" s="59"/>
      <c r="L581" s="59"/>
    </row>
    <row r="582" spans="1:12">
      <c r="A582" s="57" t="s">
        <v>131</v>
      </c>
      <c r="B582" s="57" t="s">
        <v>200</v>
      </c>
      <c r="C582" s="57">
        <v>2025</v>
      </c>
      <c r="D582" s="58">
        <f>MATCH(B582,{"GENNAIO","FEBBRAIO","MARZO","APRILE","MAGGIO","GIUGNO","LUGLIO","AGOSTO","SETTEMBRE","OTTOBRE","NOVEMBRE","DICEMBRE"},0)</f>
        <v>11</v>
      </c>
      <c r="E582" s="57" t="str">
        <f t="shared" ref="E582" si="950">CONCATENATE(,B582," ",C582)</f>
        <v>NOVEMBRE 2025</v>
      </c>
      <c r="F582" s="57" t="str">
        <f t="shared" ref="F582" si="951">CONCATENATE(D582," ",E582)</f>
        <v>11 NOVEMBRE 2025</v>
      </c>
      <c r="G582" s="1309" t="s">
        <v>132</v>
      </c>
      <c r="H582" s="1309" t="str">
        <f>VLOOKUP(G582,CATEGORIE!$H$3:$I$104,2,FALSE)</f>
        <v>COSTO CASA</v>
      </c>
      <c r="I582" s="59">
        <v>52.95</v>
      </c>
      <c r="J582" s="940"/>
      <c r="K582" s="59"/>
      <c r="L582" s="59"/>
    </row>
    <row r="583" spans="1:12">
      <c r="A583" s="57" t="s">
        <v>212</v>
      </c>
      <c r="B583" s="57" t="s">
        <v>200</v>
      </c>
      <c r="C583" s="57">
        <v>2025</v>
      </c>
      <c r="D583" s="58">
        <f>MATCH(B583,{"GENNAIO","FEBBRAIO","MARZO","APRILE","MAGGIO","GIUGNO","LUGLIO","AGOSTO","SETTEMBRE","OTTOBRE","NOVEMBRE","DICEMBRE"},0)</f>
        <v>11</v>
      </c>
      <c r="E583" s="57" t="str">
        <f t="shared" ref="E583" si="952">CONCATENATE(,B583," ",C583)</f>
        <v>NOVEMBRE 2025</v>
      </c>
      <c r="F583" s="57" t="str">
        <f t="shared" ref="F583" si="953">CONCATENATE(D583," ",E583)</f>
        <v>11 NOVEMBRE 2025</v>
      </c>
      <c r="G583" s="1309" t="s">
        <v>94</v>
      </c>
      <c r="H583" s="1309" t="str">
        <f>VLOOKUP(G583,CATEGORIE!$H$3:$I$104,2,FALSE)</f>
        <v>COSTO SVAGHI</v>
      </c>
      <c r="I583" s="59">
        <v>80</v>
      </c>
      <c r="J583" s="940"/>
      <c r="K583" s="59"/>
      <c r="L583" s="59"/>
    </row>
    <row r="584" spans="1:12">
      <c r="A584" s="57" t="s">
        <v>97</v>
      </c>
      <c r="B584" s="57" t="s">
        <v>200</v>
      </c>
      <c r="C584" s="57">
        <v>2025</v>
      </c>
      <c r="D584" s="58">
        <f>MATCH(B584,{"GENNAIO","FEBBRAIO","MARZO","APRILE","MAGGIO","GIUGNO","LUGLIO","AGOSTO","SETTEMBRE","OTTOBRE","NOVEMBRE","DICEMBRE"},0)</f>
        <v>11</v>
      </c>
      <c r="E584" s="57" t="str">
        <f t="shared" ref="E584" si="954">CONCATENATE(,B584," ",C584)</f>
        <v>NOVEMBRE 2025</v>
      </c>
      <c r="F584" s="57" t="str">
        <f t="shared" ref="F584" si="955">CONCATENATE(D584," ",E584)</f>
        <v>11 NOVEMBRE 2025</v>
      </c>
      <c r="G584" s="1309" t="s">
        <v>789</v>
      </c>
      <c r="H584" s="1309" t="str">
        <f>VLOOKUP(G584,CATEGORIE!$H$3:$I$104,2,FALSE)</f>
        <v>MOVIMENTI CONTO</v>
      </c>
      <c r="I584" s="59">
        <v>80</v>
      </c>
      <c r="J584" s="940"/>
      <c r="K584" s="59" t="s">
        <v>97</v>
      </c>
      <c r="L584" s="59" t="s">
        <v>98</v>
      </c>
    </row>
    <row r="585" spans="1:12">
      <c r="A585" s="57" t="s">
        <v>102</v>
      </c>
      <c r="B585" s="57" t="s">
        <v>200</v>
      </c>
      <c r="C585" s="57">
        <v>2025</v>
      </c>
      <c r="D585" s="58">
        <f>MATCH(B585,{"GENNAIO","FEBBRAIO","MARZO","APRILE","MAGGIO","GIUGNO","LUGLIO","AGOSTO","SETTEMBRE","OTTOBRE","NOVEMBRE","DICEMBRE"},0)</f>
        <v>11</v>
      </c>
      <c r="E585" s="57" t="str">
        <f t="shared" ref="E585" si="956">CONCATENATE(,B585," ",C585)</f>
        <v>NOVEMBRE 2025</v>
      </c>
      <c r="F585" s="57" t="str">
        <f t="shared" ref="F585" si="957">CONCATENATE(D585," ",E585)</f>
        <v>11 NOVEMBRE 2025</v>
      </c>
      <c r="G585" s="1309" t="s">
        <v>96</v>
      </c>
      <c r="H585" s="1309" t="str">
        <f>VLOOKUP(G585,CATEGORIE!$H$3:$I$104,2,FALSE)</f>
        <v>COSTO SOPRAVVIVENZA</v>
      </c>
      <c r="I585" s="59">
        <v>5.66</v>
      </c>
      <c r="J585" s="940"/>
      <c r="K585" s="59"/>
      <c r="L585" s="59"/>
    </row>
    <row r="586" spans="1:12">
      <c r="A586" s="57" t="s">
        <v>135</v>
      </c>
      <c r="B586" s="57" t="s">
        <v>200</v>
      </c>
      <c r="C586" s="57">
        <v>2025</v>
      </c>
      <c r="D586" s="58">
        <f>MATCH(B586,{"GENNAIO","FEBBRAIO","MARZO","APRILE","MAGGIO","GIUGNO","LUGLIO","AGOSTO","SETTEMBRE","OTTOBRE","NOVEMBRE","DICEMBRE"},0)</f>
        <v>11</v>
      </c>
      <c r="E586" s="57" t="str">
        <f t="shared" ref="E586" si="958">CONCATENATE(,B586," ",C586)</f>
        <v>NOVEMBRE 2025</v>
      </c>
      <c r="F586" s="57" t="str">
        <f t="shared" ref="F586" si="959">CONCATENATE(D586," ",E586)</f>
        <v>11 NOVEMBRE 2025</v>
      </c>
      <c r="G586" s="1309" t="s">
        <v>132</v>
      </c>
      <c r="H586" s="1309" t="str">
        <f>VLOOKUP(G586,CATEGORIE!$H$3:$I$104,2,FALSE)</f>
        <v>COSTO CASA</v>
      </c>
      <c r="I586" s="59">
        <v>34.96</v>
      </c>
      <c r="J586" s="940"/>
      <c r="K586" s="59"/>
      <c r="L586" s="59"/>
    </row>
    <row r="587" spans="1:12">
      <c r="A587" s="57" t="s">
        <v>101</v>
      </c>
      <c r="B587" s="57" t="s">
        <v>200</v>
      </c>
      <c r="C587" s="57">
        <v>2025</v>
      </c>
      <c r="D587" s="58">
        <f>MATCH(B587,{"GENNAIO","FEBBRAIO","MARZO","APRILE","MAGGIO","GIUGNO","LUGLIO","AGOSTO","SETTEMBRE","OTTOBRE","NOVEMBRE","DICEMBRE"},0)</f>
        <v>11</v>
      </c>
      <c r="E587" s="57" t="str">
        <f>CONCATENATE(,B587," ",C587)</f>
        <v>NOVEMBRE 2025</v>
      </c>
      <c r="F587" s="57" t="str">
        <f>CONCATENATE(D587," ",E587)</f>
        <v>11 NOVEMBRE 2025</v>
      </c>
      <c r="G587" s="1309" t="s">
        <v>91</v>
      </c>
      <c r="H587" s="1309" t="str">
        <f>VLOOKUP(G587,CATEGORIE!$H$3:$I$104,2,FALSE)</f>
        <v>COSTO SOPRAVVIVENZA</v>
      </c>
      <c r="I587" s="59">
        <v>0.4</v>
      </c>
      <c r="J587" s="940"/>
      <c r="K587" s="59"/>
      <c r="L587" s="59"/>
    </row>
    <row r="588" spans="1:12">
      <c r="A588" s="57" t="s">
        <v>92</v>
      </c>
      <c r="B588" s="57" t="s">
        <v>200</v>
      </c>
      <c r="C588" s="57">
        <v>2025</v>
      </c>
      <c r="D588" s="58">
        <f>MATCH(B588,{"GENNAIO","FEBBRAIO","MARZO","APRILE","MAGGIO","GIUGNO","LUGLIO","AGOSTO","SETTEMBRE","OTTOBRE","NOVEMBRE","DICEMBRE"},0)</f>
        <v>11</v>
      </c>
      <c r="E588" s="57" t="str">
        <f t="shared" ref="E588" si="960">CONCATENATE(,B588," ",C588)</f>
        <v>NOVEMBRE 2025</v>
      </c>
      <c r="F588" s="57" t="str">
        <f t="shared" ref="F588" si="961">CONCATENATE(D588," ",E588)</f>
        <v>11 NOVEMBRE 2025</v>
      </c>
      <c r="G588" s="1309" t="s">
        <v>94</v>
      </c>
      <c r="H588" s="1309" t="str">
        <f>VLOOKUP(G588,CATEGORIE!$H$3:$I$104,2,FALSE)</f>
        <v>COSTO SVAGHI</v>
      </c>
      <c r="I588" s="59">
        <v>2.8</v>
      </c>
      <c r="J588" s="940"/>
      <c r="K588" s="59"/>
      <c r="L588" s="59"/>
    </row>
    <row r="589" spans="1:12">
      <c r="A589" s="57" t="s">
        <v>213</v>
      </c>
      <c r="B589" s="57" t="s">
        <v>200</v>
      </c>
      <c r="C589" s="57">
        <v>2025</v>
      </c>
      <c r="D589" s="58">
        <f>MATCH(B589,{"GENNAIO","FEBBRAIO","MARZO","APRILE","MAGGIO","GIUGNO","LUGLIO","AGOSTO","SETTEMBRE","OTTOBRE","NOVEMBRE","DICEMBRE"},0)</f>
        <v>11</v>
      </c>
      <c r="E589" s="57" t="str">
        <f t="shared" ref="E589" si="962">CONCATENATE(,B589," ",C589)</f>
        <v>NOVEMBRE 2025</v>
      </c>
      <c r="F589" s="57" t="str">
        <f t="shared" ref="F589" si="963">CONCATENATE(D589," ",E589)</f>
        <v>11 NOVEMBRE 2025</v>
      </c>
      <c r="G589" s="1309" t="s">
        <v>111</v>
      </c>
      <c r="H589" s="1309" t="str">
        <f>VLOOKUP(G589,CATEGORIE!$H$3:$I$104,2,FALSE)</f>
        <v>COSTO MOBILITA'</v>
      </c>
      <c r="I589" s="59">
        <v>2</v>
      </c>
      <c r="J589" s="940"/>
      <c r="K589" s="59"/>
      <c r="L589" s="59"/>
    </row>
    <row r="590" spans="1:12">
      <c r="A590" s="57" t="s">
        <v>105</v>
      </c>
      <c r="B590" s="57" t="s">
        <v>200</v>
      </c>
      <c r="C590" s="57">
        <v>2025</v>
      </c>
      <c r="D590" s="58">
        <f>MATCH(B590,{"GENNAIO","FEBBRAIO","MARZO","APRILE","MAGGIO","GIUGNO","LUGLIO","AGOSTO","SETTEMBRE","OTTOBRE","NOVEMBRE","DICEMBRE"},0)</f>
        <v>11</v>
      </c>
      <c r="E590" s="57" t="str">
        <f t="shared" ref="E590" si="964">CONCATENATE(,B590," ",C590)</f>
        <v>NOVEMBRE 2025</v>
      </c>
      <c r="F590" s="57" t="str">
        <f t="shared" ref="F590" si="965">CONCATENATE(D590," ",E590)</f>
        <v>11 NOVEMBRE 2025</v>
      </c>
      <c r="G590" s="1309" t="s">
        <v>96</v>
      </c>
      <c r="H590" s="1309" t="str">
        <f>VLOOKUP(G590,CATEGORIE!$H$3:$I$104,2,FALSE)</f>
        <v>COSTO SOPRAVVIVENZA</v>
      </c>
      <c r="I590" s="59">
        <v>38.770000000000003</v>
      </c>
      <c r="J590" s="940"/>
      <c r="K590" s="59"/>
      <c r="L590" s="59"/>
    </row>
    <row r="591" spans="1:12">
      <c r="A591" s="57" t="s">
        <v>214</v>
      </c>
      <c r="B591" s="57" t="s">
        <v>200</v>
      </c>
      <c r="C591" s="57">
        <v>2025</v>
      </c>
      <c r="D591" s="58">
        <f>MATCH(B591,{"GENNAIO","FEBBRAIO","MARZO","APRILE","MAGGIO","GIUGNO","LUGLIO","AGOSTO","SETTEMBRE","OTTOBRE","NOVEMBRE","DICEMBRE"},0)</f>
        <v>11</v>
      </c>
      <c r="E591" s="57" t="str">
        <f t="shared" ref="E591" si="966">CONCATENATE(,B591," ",C591)</f>
        <v>NOVEMBRE 2025</v>
      </c>
      <c r="F591" s="57" t="str">
        <f t="shared" ref="F591" si="967">CONCATENATE(D591," ",E591)</f>
        <v>11 NOVEMBRE 2025</v>
      </c>
      <c r="G591" s="1309" t="s">
        <v>100</v>
      </c>
      <c r="H591" s="1309" t="str">
        <f>VLOOKUP(G591,CATEGORIE!$H$3:$I$104,2,FALSE)</f>
        <v>COSTO SFIZI</v>
      </c>
      <c r="I591" s="60">
        <v>1.89</v>
      </c>
      <c r="J591" s="940"/>
      <c r="K591" s="59"/>
      <c r="L591" s="59"/>
    </row>
    <row r="592" spans="1:12">
      <c r="A592" s="57" t="s">
        <v>99</v>
      </c>
      <c r="B592" s="57" t="s">
        <v>200</v>
      </c>
      <c r="C592" s="57">
        <v>2025</v>
      </c>
      <c r="D592" s="58">
        <f>MATCH(B592,{"GENNAIO","FEBBRAIO","MARZO","APRILE","MAGGIO","GIUGNO","LUGLIO","AGOSTO","SETTEMBRE","OTTOBRE","NOVEMBRE","DICEMBRE"},0)</f>
        <v>11</v>
      </c>
      <c r="E592" s="57" t="str">
        <f t="shared" ref="E592" si="968">CONCATENATE(,B592," ",C592)</f>
        <v>NOVEMBRE 2025</v>
      </c>
      <c r="F592" s="57" t="str">
        <f t="shared" ref="F592" si="969">CONCATENATE(D592," ",E592)</f>
        <v>11 NOVEMBRE 2025</v>
      </c>
      <c r="G592" s="1309" t="s">
        <v>100</v>
      </c>
      <c r="H592" s="1309" t="str">
        <f>VLOOKUP(G592,CATEGORIE!$H$3:$I$104,2,FALSE)</f>
        <v>COSTO SFIZI</v>
      </c>
      <c r="I592" s="59">
        <v>94.8</v>
      </c>
      <c r="J592" s="940" t="s">
        <v>126</v>
      </c>
      <c r="K592" s="59" t="s">
        <v>99</v>
      </c>
      <c r="L592" s="59" t="s">
        <v>152</v>
      </c>
    </row>
    <row r="593" spans="1:12">
      <c r="A593" s="57" t="s">
        <v>99</v>
      </c>
      <c r="B593" s="57" t="s">
        <v>200</v>
      </c>
      <c r="C593" s="57">
        <v>2025</v>
      </c>
      <c r="D593" s="58">
        <f>MATCH(B593,{"GENNAIO","FEBBRAIO","MARZO","APRILE","MAGGIO","GIUGNO","LUGLIO","AGOSTO","SETTEMBRE","OTTOBRE","NOVEMBRE","DICEMBRE"},0)</f>
        <v>11</v>
      </c>
      <c r="E593" s="57" t="str">
        <f t="shared" ref="E593:E595" si="970">CONCATENATE(,B593," ",C593)</f>
        <v>NOVEMBRE 2025</v>
      </c>
      <c r="F593" s="57" t="str">
        <f t="shared" ref="F593:F595" si="971">CONCATENATE(D593," ",E593)</f>
        <v>11 NOVEMBRE 2025</v>
      </c>
      <c r="G593" s="1309" t="s">
        <v>100</v>
      </c>
      <c r="H593" s="1309" t="str">
        <f>VLOOKUP(G593,CATEGORIE!$H$3:$I$104,2,FALSE)</f>
        <v>COSTO SFIZI</v>
      </c>
      <c r="I593" s="59">
        <v>10.95</v>
      </c>
      <c r="J593" s="940" t="s">
        <v>197</v>
      </c>
      <c r="K593" s="59" t="s">
        <v>99</v>
      </c>
      <c r="L593" s="59" t="s">
        <v>168</v>
      </c>
    </row>
    <row r="594" spans="1:12">
      <c r="A594" s="57" t="s">
        <v>187</v>
      </c>
      <c r="B594" s="57" t="s">
        <v>200</v>
      </c>
      <c r="C594" s="57">
        <v>2025</v>
      </c>
      <c r="D594" s="58">
        <f>MATCH(B594,{"GENNAIO","FEBBRAIO","MARZO","APRILE","MAGGIO","GIUGNO","LUGLIO","AGOSTO","SETTEMBRE","OTTOBRE","NOVEMBRE","DICEMBRE"},0)</f>
        <v>11</v>
      </c>
      <c r="E594" s="57" t="str">
        <f t="shared" si="970"/>
        <v>NOVEMBRE 2025</v>
      </c>
      <c r="F594" s="57" t="str">
        <f t="shared" si="971"/>
        <v>11 NOVEMBRE 2025</v>
      </c>
      <c r="G594" s="1309" t="s">
        <v>188</v>
      </c>
      <c r="H594" s="1309" t="str">
        <f>VLOOKUP(G594,CATEGORIE!$H$3:$I$104,2,FALSE)</f>
        <v>COSTO VACANZE</v>
      </c>
      <c r="I594" s="59">
        <v>127.58</v>
      </c>
      <c r="J594" s="940" t="s">
        <v>215</v>
      </c>
      <c r="K594" s="59" t="s">
        <v>112</v>
      </c>
      <c r="L594" s="59" t="s">
        <v>216</v>
      </c>
    </row>
    <row r="595" spans="1:12">
      <c r="A595" s="57" t="s">
        <v>131</v>
      </c>
      <c r="B595" s="57" t="s">
        <v>200</v>
      </c>
      <c r="C595" s="57">
        <v>2025</v>
      </c>
      <c r="D595" s="58">
        <f>MATCH(B595,{"GENNAIO","FEBBRAIO","MARZO","APRILE","MAGGIO","GIUGNO","LUGLIO","AGOSTO","SETTEMBRE","OTTOBRE","NOVEMBRE","DICEMBRE"},0)</f>
        <v>11</v>
      </c>
      <c r="E595" s="57" t="str">
        <f t="shared" si="970"/>
        <v>NOVEMBRE 2025</v>
      </c>
      <c r="F595" s="57" t="str">
        <f t="shared" si="971"/>
        <v>11 NOVEMBRE 2025</v>
      </c>
      <c r="G595" s="1309" t="s">
        <v>132</v>
      </c>
      <c r="H595" s="1309" t="str">
        <f>VLOOKUP(G595,CATEGORIE!$H$3:$I$104,2,FALSE)</f>
        <v>COSTO CASA</v>
      </c>
      <c r="I595" s="59">
        <v>33.33</v>
      </c>
      <c r="J595" s="940" t="s">
        <v>215</v>
      </c>
      <c r="K595" s="59" t="s">
        <v>112</v>
      </c>
      <c r="L595" s="59"/>
    </row>
    <row r="596" spans="1:12">
      <c r="A596" s="57" t="s">
        <v>97</v>
      </c>
      <c r="B596" s="57" t="s">
        <v>217</v>
      </c>
      <c r="C596" s="57">
        <v>2025</v>
      </c>
      <c r="D596" s="58">
        <f>MATCH(B596,{"GENNAIO","FEBBRAIO","MARZO","APRILE","MAGGIO","GIUGNO","LUGLIO","AGOSTO","SETTEMBRE","OTTOBRE","NOVEMBRE","DICEMBRE"},0)</f>
        <v>10</v>
      </c>
      <c r="E596" s="57" t="str">
        <f t="shared" ref="E596" si="972">CONCATENATE(,B596," ",C596)</f>
        <v>OTTOBRE 2025</v>
      </c>
      <c r="F596" s="57" t="str">
        <f t="shared" ref="F596" si="973">CONCATENATE(D596," ",E596)</f>
        <v>10 OTTOBRE 2025</v>
      </c>
      <c r="G596" s="1309" t="s">
        <v>789</v>
      </c>
      <c r="H596" s="1309" t="str">
        <f>VLOOKUP(G596,CATEGORIE!$H$3:$I$104,2,FALSE)</f>
        <v>MOVIMENTI CONTO</v>
      </c>
      <c r="I596" s="59">
        <v>40</v>
      </c>
      <c r="J596" s="940"/>
      <c r="K596" s="59" t="s">
        <v>97</v>
      </c>
      <c r="L596" s="59" t="s">
        <v>218</v>
      </c>
    </row>
    <row r="597" spans="1:12">
      <c r="A597" s="57" t="s">
        <v>101</v>
      </c>
      <c r="B597" s="57" t="s">
        <v>217</v>
      </c>
      <c r="C597" s="57">
        <v>2025</v>
      </c>
      <c r="D597" s="58">
        <f>MATCH(B597,{"GENNAIO","FEBBRAIO","MARZO","APRILE","MAGGIO","GIUGNO","LUGLIO","AGOSTO","SETTEMBRE","OTTOBRE","NOVEMBRE","DICEMBRE"},0)</f>
        <v>10</v>
      </c>
      <c r="E597" s="57" t="str">
        <f>CONCATENATE(,B597," ",C597)</f>
        <v>OTTOBRE 2025</v>
      </c>
      <c r="F597" s="57" t="str">
        <f>CONCATENATE(D597," ",E597)</f>
        <v>10 OTTOBRE 2025</v>
      </c>
      <c r="G597" s="1309" t="s">
        <v>91</v>
      </c>
      <c r="H597" s="1309" t="str">
        <f>VLOOKUP(G597,CATEGORIE!$H$3:$I$104,2,FALSE)</f>
        <v>COSTO SOPRAVVIVENZA</v>
      </c>
      <c r="I597" s="59">
        <v>0.4</v>
      </c>
      <c r="J597" s="940"/>
      <c r="K597" s="59"/>
      <c r="L597" s="59"/>
    </row>
    <row r="598" spans="1:12">
      <c r="A598" s="57" t="s">
        <v>101</v>
      </c>
      <c r="B598" s="57" t="s">
        <v>217</v>
      </c>
      <c r="C598" s="57">
        <v>2025</v>
      </c>
      <c r="D598" s="58">
        <f>MATCH(B598,{"GENNAIO","FEBBRAIO","MARZO","APRILE","MAGGIO","GIUGNO","LUGLIO","AGOSTO","SETTEMBRE","OTTOBRE","NOVEMBRE","DICEMBRE"},0)</f>
        <v>10</v>
      </c>
      <c r="E598" s="57" t="str">
        <f>CONCATENATE(,B598," ",C598)</f>
        <v>OTTOBRE 2025</v>
      </c>
      <c r="F598" s="57" t="str">
        <f>CONCATENATE(D598," ",E598)</f>
        <v>10 OTTOBRE 2025</v>
      </c>
      <c r="G598" s="1309" t="s">
        <v>91</v>
      </c>
      <c r="H598" s="1309" t="str">
        <f>VLOOKUP(G598,CATEGORIE!$H$3:$I$104,2,FALSE)</f>
        <v>COSTO SOPRAVVIVENZA</v>
      </c>
      <c r="I598" s="59">
        <v>0.4</v>
      </c>
      <c r="J598" s="940"/>
      <c r="K598" s="59"/>
      <c r="L598" s="59"/>
    </row>
    <row r="599" spans="1:12">
      <c r="A599" s="57" t="s">
        <v>92</v>
      </c>
      <c r="B599" s="57" t="s">
        <v>217</v>
      </c>
      <c r="C599" s="57">
        <v>2025</v>
      </c>
      <c r="D599" s="58">
        <f>MATCH(B599,{"GENNAIO","FEBBRAIO","MARZO","APRILE","MAGGIO","GIUGNO","LUGLIO","AGOSTO","SETTEMBRE","OTTOBRE","NOVEMBRE","DICEMBRE"},0)</f>
        <v>10</v>
      </c>
      <c r="E599" s="57" t="str">
        <f t="shared" ref="E599" si="974">CONCATENATE(,B599," ",C599)</f>
        <v>OTTOBRE 2025</v>
      </c>
      <c r="F599" s="57" t="str">
        <f t="shared" ref="F599" si="975">CONCATENATE(D599," ",E599)</f>
        <v>10 OTTOBRE 2025</v>
      </c>
      <c r="G599" s="1309" t="s">
        <v>93</v>
      </c>
      <c r="H599" s="1309" t="str">
        <f>VLOOKUP(G599,CATEGORIE!$H$3:$I$104,2,FALSE)</f>
        <v>COSTO SOPRAVVIVENZA</v>
      </c>
      <c r="I599" s="59">
        <v>7</v>
      </c>
      <c r="J599" s="940"/>
      <c r="K599" s="59"/>
      <c r="L599" s="59"/>
    </row>
    <row r="600" spans="1:12">
      <c r="A600" s="57" t="s">
        <v>106</v>
      </c>
      <c r="B600" s="57" t="s">
        <v>217</v>
      </c>
      <c r="C600" s="57">
        <v>2025</v>
      </c>
      <c r="D600" s="58">
        <f>MATCH(B600,{"GENNAIO","FEBBRAIO","MARZO","APRILE","MAGGIO","GIUGNO","LUGLIO","AGOSTO","SETTEMBRE","OTTOBRE","NOVEMBRE","DICEMBRE"},0)</f>
        <v>10</v>
      </c>
      <c r="E600" s="57" t="str">
        <f t="shared" ref="E600" si="976">CONCATENATE(,B600," ",C600)</f>
        <v>OTTOBRE 2025</v>
      </c>
      <c r="F600" s="57" t="str">
        <f t="shared" ref="F600" si="977">CONCATENATE(D600," ",E600)</f>
        <v>10 OTTOBRE 2025</v>
      </c>
      <c r="G600" s="1309" t="s">
        <v>107</v>
      </c>
      <c r="H600" s="1309" t="str">
        <f>VLOOKUP(G600,CATEGORIE!$H$3:$I$104,2,FALSE)</f>
        <v>COSTO SOPRAVVIVENZA</v>
      </c>
      <c r="I600" s="59">
        <v>33</v>
      </c>
      <c r="J600" s="940"/>
      <c r="K600" s="59"/>
      <c r="L600" s="59"/>
    </row>
    <row r="601" spans="1:12">
      <c r="A601" s="57" t="s">
        <v>97</v>
      </c>
      <c r="B601" s="57" t="s">
        <v>217</v>
      </c>
      <c r="C601" s="57">
        <v>2025</v>
      </c>
      <c r="D601" s="58">
        <f>MATCH(B601,{"GENNAIO","FEBBRAIO","MARZO","APRILE","MAGGIO","GIUGNO","LUGLIO","AGOSTO","SETTEMBRE","OTTOBRE","NOVEMBRE","DICEMBRE"},0)</f>
        <v>10</v>
      </c>
      <c r="E601" s="57" t="str">
        <f t="shared" ref="E601" si="978">CONCATENATE(,B601," ",C601)</f>
        <v>OTTOBRE 2025</v>
      </c>
      <c r="F601" s="57" t="str">
        <f t="shared" ref="F601" si="979">CONCATENATE(D601," ",E601)</f>
        <v>10 OTTOBRE 2025</v>
      </c>
      <c r="G601" s="1309" t="s">
        <v>107</v>
      </c>
      <c r="H601" s="1309" t="str">
        <f>VLOOKUP(G601,CATEGORIE!$H$3:$I$104,2,FALSE)</f>
        <v>COSTO SOPRAVVIVENZA</v>
      </c>
      <c r="I601" s="59">
        <v>60</v>
      </c>
      <c r="J601" s="940"/>
      <c r="K601" s="59" t="s">
        <v>97</v>
      </c>
      <c r="L601" s="59" t="s">
        <v>219</v>
      </c>
    </row>
    <row r="602" spans="1:12">
      <c r="A602" s="57" t="s">
        <v>211</v>
      </c>
      <c r="B602" s="57" t="s">
        <v>217</v>
      </c>
      <c r="C602" s="57">
        <v>2025</v>
      </c>
      <c r="D602" s="58">
        <f>MATCH(B602,{"GENNAIO","FEBBRAIO","MARZO","APRILE","MAGGIO","GIUGNO","LUGLIO","AGOSTO","SETTEMBRE","OTTOBRE","NOVEMBRE","DICEMBRE"},0)</f>
        <v>10</v>
      </c>
      <c r="E602" s="57" t="str">
        <f t="shared" ref="E602" si="980">CONCATENATE(,B602," ",C602)</f>
        <v>OTTOBRE 2025</v>
      </c>
      <c r="F602" s="57" t="str">
        <f t="shared" ref="F602" si="981">CONCATENATE(D602," ",E602)</f>
        <v>10 OTTOBRE 2025</v>
      </c>
      <c r="G602" s="1309" t="s">
        <v>94</v>
      </c>
      <c r="H602" s="1309" t="str">
        <f>VLOOKUP(G602,CATEGORIE!$H$3:$I$104,2,FALSE)</f>
        <v>COSTO SVAGHI</v>
      </c>
      <c r="I602" s="59">
        <v>31.5</v>
      </c>
      <c r="J602" s="940"/>
      <c r="K602" s="59"/>
      <c r="L602" s="59"/>
    </row>
    <row r="603" spans="1:12">
      <c r="A603" s="57" t="s">
        <v>220</v>
      </c>
      <c r="B603" s="57" t="s">
        <v>217</v>
      </c>
      <c r="C603" s="57">
        <v>2025</v>
      </c>
      <c r="D603" s="58">
        <f>MATCH(B603,{"GENNAIO","FEBBRAIO","MARZO","APRILE","MAGGIO","GIUGNO","LUGLIO","AGOSTO","SETTEMBRE","OTTOBRE","NOVEMBRE","DICEMBRE"},0)</f>
        <v>10</v>
      </c>
      <c r="E603" s="57" t="str">
        <f t="shared" ref="E603" si="982">CONCATENATE(,B603," ",C603)</f>
        <v>OTTOBRE 2025</v>
      </c>
      <c r="F603" s="57" t="str">
        <f t="shared" ref="F603" si="983">CONCATENATE(D603," ",E603)</f>
        <v>10 OTTOBRE 2025</v>
      </c>
      <c r="G603" s="1309" t="s">
        <v>94</v>
      </c>
      <c r="H603" s="1309" t="str">
        <f>VLOOKUP(G603,CATEGORIE!$H$3:$I$104,2,FALSE)</f>
        <v>COSTO SVAGHI</v>
      </c>
      <c r="I603" s="59">
        <v>5</v>
      </c>
      <c r="J603" s="940"/>
      <c r="K603" s="59"/>
      <c r="L603" s="59"/>
    </row>
    <row r="604" spans="1:12">
      <c r="A604" s="57" t="s">
        <v>220</v>
      </c>
      <c r="B604" s="57" t="s">
        <v>217</v>
      </c>
      <c r="C604" s="57">
        <v>2025</v>
      </c>
      <c r="D604" s="58">
        <f>MATCH(B604,{"GENNAIO","FEBBRAIO","MARZO","APRILE","MAGGIO","GIUGNO","LUGLIO","AGOSTO","SETTEMBRE","OTTOBRE","NOVEMBRE","DICEMBRE"},0)</f>
        <v>10</v>
      </c>
      <c r="E604" s="57" t="str">
        <f t="shared" ref="E604" si="984">CONCATENATE(,B604," ",C604)</f>
        <v>OTTOBRE 2025</v>
      </c>
      <c r="F604" s="57" t="str">
        <f t="shared" ref="F604" si="985">CONCATENATE(D604," ",E604)</f>
        <v>10 OTTOBRE 2025</v>
      </c>
      <c r="G604" s="1309" t="s">
        <v>94</v>
      </c>
      <c r="H604" s="1309" t="str">
        <f>VLOOKUP(G604,CATEGORIE!$H$3:$I$104,2,FALSE)</f>
        <v>COSTO SVAGHI</v>
      </c>
      <c r="I604" s="59">
        <v>15</v>
      </c>
      <c r="J604" s="940"/>
      <c r="K604" s="59"/>
      <c r="L604" s="59"/>
    </row>
    <row r="605" spans="1:12">
      <c r="A605" s="57" t="s">
        <v>221</v>
      </c>
      <c r="B605" s="57" t="s">
        <v>217</v>
      </c>
      <c r="C605" s="57">
        <v>2025</v>
      </c>
      <c r="D605" s="58">
        <f>MATCH(B605,{"GENNAIO","FEBBRAIO","MARZO","APRILE","MAGGIO","GIUGNO","LUGLIO","AGOSTO","SETTEMBRE","OTTOBRE","NOVEMBRE","DICEMBRE"},0)</f>
        <v>10</v>
      </c>
      <c r="E605" s="57" t="str">
        <f t="shared" ref="E605" si="986">CONCATENATE(,B605," ",C605)</f>
        <v>OTTOBRE 2025</v>
      </c>
      <c r="F605" s="57" t="str">
        <f t="shared" ref="F605" si="987">CONCATENATE(D605," ",E605)</f>
        <v>10 OTTOBRE 2025</v>
      </c>
      <c r="G605" s="1309" t="s">
        <v>94</v>
      </c>
      <c r="H605" s="1309" t="str">
        <f>VLOOKUP(G605,CATEGORIE!$H$3:$I$104,2,FALSE)</f>
        <v>COSTO SVAGHI</v>
      </c>
      <c r="I605" s="59">
        <v>78.400000000000006</v>
      </c>
      <c r="J605" s="940"/>
      <c r="K605" s="59"/>
      <c r="L605" s="59"/>
    </row>
    <row r="606" spans="1:12">
      <c r="A606" s="57" t="s">
        <v>92</v>
      </c>
      <c r="B606" s="57" t="s">
        <v>217</v>
      </c>
      <c r="C606" s="57">
        <v>2025</v>
      </c>
      <c r="D606" s="58">
        <f>MATCH(B606,{"GENNAIO","FEBBRAIO","MARZO","APRILE","MAGGIO","GIUGNO","LUGLIO","AGOSTO","SETTEMBRE","OTTOBRE","NOVEMBRE","DICEMBRE"},0)</f>
        <v>10</v>
      </c>
      <c r="E606" s="57" t="str">
        <f t="shared" ref="E606" si="988">CONCATENATE(,B606," ",C606)</f>
        <v>OTTOBRE 2025</v>
      </c>
      <c r="F606" s="57" t="str">
        <f t="shared" ref="F606" si="989">CONCATENATE(D606," ",E606)</f>
        <v>10 OTTOBRE 2025</v>
      </c>
      <c r="G606" s="1309" t="s">
        <v>93</v>
      </c>
      <c r="H606" s="1309" t="str">
        <f>VLOOKUP(G606,CATEGORIE!$H$3:$I$104,2,FALSE)</f>
        <v>COSTO SOPRAVVIVENZA</v>
      </c>
      <c r="I606" s="59">
        <v>7</v>
      </c>
      <c r="J606" s="940"/>
      <c r="K606" s="59"/>
      <c r="L606" s="59"/>
    </row>
    <row r="607" spans="1:12">
      <c r="A607" s="57" t="s">
        <v>101</v>
      </c>
      <c r="B607" s="57" t="s">
        <v>217</v>
      </c>
      <c r="C607" s="57">
        <v>2025</v>
      </c>
      <c r="D607" s="58">
        <f>MATCH(B607,{"GENNAIO","FEBBRAIO","MARZO","APRILE","MAGGIO","GIUGNO","LUGLIO","AGOSTO","SETTEMBRE","OTTOBRE","NOVEMBRE","DICEMBRE"},0)</f>
        <v>10</v>
      </c>
      <c r="E607" s="57" t="str">
        <f>CONCATENATE(,B607," ",C607)</f>
        <v>OTTOBRE 2025</v>
      </c>
      <c r="F607" s="57" t="str">
        <f>CONCATENATE(D607," ",E607)</f>
        <v>10 OTTOBRE 2025</v>
      </c>
      <c r="G607" s="1309" t="s">
        <v>91</v>
      </c>
      <c r="H607" s="1309" t="str">
        <f>VLOOKUP(G607,CATEGORIE!$H$3:$I$104,2,FALSE)</f>
        <v>COSTO SOPRAVVIVENZA</v>
      </c>
      <c r="I607" s="59">
        <v>0.4</v>
      </c>
      <c r="J607" s="940"/>
      <c r="K607" s="59"/>
      <c r="L607" s="59"/>
    </row>
    <row r="608" spans="1:12">
      <c r="A608" s="57" t="s">
        <v>101</v>
      </c>
      <c r="B608" s="57" t="s">
        <v>217</v>
      </c>
      <c r="C608" s="57">
        <v>2025</v>
      </c>
      <c r="D608" s="58">
        <f>MATCH(B608,{"GENNAIO","FEBBRAIO","MARZO","APRILE","MAGGIO","GIUGNO","LUGLIO","AGOSTO","SETTEMBRE","OTTOBRE","NOVEMBRE","DICEMBRE"},0)</f>
        <v>10</v>
      </c>
      <c r="E608" s="57" t="str">
        <f>CONCATENATE(,B608," ",C608)</f>
        <v>OTTOBRE 2025</v>
      </c>
      <c r="F608" s="57" t="str">
        <f>CONCATENATE(D608," ",E608)</f>
        <v>10 OTTOBRE 2025</v>
      </c>
      <c r="G608" s="1309" t="s">
        <v>91</v>
      </c>
      <c r="H608" s="1309" t="str">
        <f>VLOOKUP(G608,CATEGORIE!$H$3:$I$104,2,FALSE)</f>
        <v>COSTO SOPRAVVIVENZA</v>
      </c>
      <c r="I608" s="59">
        <v>0.4</v>
      </c>
      <c r="J608" s="940"/>
      <c r="K608" s="59"/>
      <c r="L608" s="59"/>
    </row>
    <row r="609" spans="1:12">
      <c r="A609" s="57" t="s">
        <v>101</v>
      </c>
      <c r="B609" s="57" t="s">
        <v>217</v>
      </c>
      <c r="C609" s="57">
        <v>2025</v>
      </c>
      <c r="D609" s="58">
        <f>MATCH(B609,{"GENNAIO","FEBBRAIO","MARZO","APRILE","MAGGIO","GIUGNO","LUGLIO","AGOSTO","SETTEMBRE","OTTOBRE","NOVEMBRE","DICEMBRE"},0)</f>
        <v>10</v>
      </c>
      <c r="E609" s="57" t="str">
        <f>CONCATENATE(,B609," ",C609)</f>
        <v>OTTOBRE 2025</v>
      </c>
      <c r="F609" s="57" t="str">
        <f>CONCATENATE(D609," ",E609)</f>
        <v>10 OTTOBRE 2025</v>
      </c>
      <c r="G609" s="1309" t="s">
        <v>91</v>
      </c>
      <c r="H609" s="1309" t="str">
        <f>VLOOKUP(G609,CATEGORIE!$H$3:$I$104,2,FALSE)</f>
        <v>COSTO SOPRAVVIVENZA</v>
      </c>
      <c r="I609" s="59">
        <v>0.4</v>
      </c>
      <c r="J609" s="940"/>
      <c r="K609" s="59"/>
      <c r="L609" s="59"/>
    </row>
    <row r="610" spans="1:12">
      <c r="A610" s="57" t="s">
        <v>101</v>
      </c>
      <c r="B610" s="57" t="s">
        <v>217</v>
      </c>
      <c r="C610" s="57">
        <v>2025</v>
      </c>
      <c r="D610" s="58">
        <f>MATCH(B610,{"GENNAIO","FEBBRAIO","MARZO","APRILE","MAGGIO","GIUGNO","LUGLIO","AGOSTO","SETTEMBRE","OTTOBRE","NOVEMBRE","DICEMBRE"},0)</f>
        <v>10</v>
      </c>
      <c r="E610" s="57" t="str">
        <f>CONCATENATE(,B610," ",C610)</f>
        <v>OTTOBRE 2025</v>
      </c>
      <c r="F610" s="57" t="str">
        <f>CONCATENATE(D610," ",E610)</f>
        <v>10 OTTOBRE 2025</v>
      </c>
      <c r="G610" s="1309" t="s">
        <v>91</v>
      </c>
      <c r="H610" s="1309" t="str">
        <f>VLOOKUP(G610,CATEGORIE!$H$3:$I$104,2,FALSE)</f>
        <v>COSTO SOPRAVVIVENZA</v>
      </c>
      <c r="I610" s="59">
        <v>0.4</v>
      </c>
      <c r="J610" s="940"/>
      <c r="K610" s="59"/>
      <c r="L610" s="59"/>
    </row>
    <row r="611" spans="1:12">
      <c r="A611" s="57" t="s">
        <v>92</v>
      </c>
      <c r="B611" s="57" t="s">
        <v>217</v>
      </c>
      <c r="C611" s="57">
        <v>2025</v>
      </c>
      <c r="D611" s="58">
        <f>MATCH(B611,{"GENNAIO","FEBBRAIO","MARZO","APRILE","MAGGIO","GIUGNO","LUGLIO","AGOSTO","SETTEMBRE","OTTOBRE","NOVEMBRE","DICEMBRE"},0)</f>
        <v>10</v>
      </c>
      <c r="E611" s="57" t="str">
        <f t="shared" ref="E611" si="990">CONCATENATE(,B611," ",C611)</f>
        <v>OTTOBRE 2025</v>
      </c>
      <c r="F611" s="57" t="str">
        <f t="shared" ref="F611" si="991">CONCATENATE(D611," ",E611)</f>
        <v>10 OTTOBRE 2025</v>
      </c>
      <c r="G611" s="1309" t="s">
        <v>94</v>
      </c>
      <c r="H611" s="1309" t="str">
        <f>VLOOKUP(G611,CATEGORIE!$H$3:$I$104,2,FALSE)</f>
        <v>COSTO SVAGHI</v>
      </c>
      <c r="I611" s="59">
        <v>4.2</v>
      </c>
      <c r="J611" s="940"/>
      <c r="K611" s="59"/>
      <c r="L611" s="59"/>
    </row>
    <row r="612" spans="1:12">
      <c r="A612" s="57" t="s">
        <v>102</v>
      </c>
      <c r="B612" s="57" t="s">
        <v>217</v>
      </c>
      <c r="C612" s="57">
        <v>2025</v>
      </c>
      <c r="D612" s="58">
        <f>MATCH(B612,{"GENNAIO","FEBBRAIO","MARZO","APRILE","MAGGIO","GIUGNO","LUGLIO","AGOSTO","SETTEMBRE","OTTOBRE","NOVEMBRE","DICEMBRE"},0)</f>
        <v>10</v>
      </c>
      <c r="E612" s="57" t="str">
        <f t="shared" ref="E612" si="992">CONCATENATE(,B612," ",C612)</f>
        <v>OTTOBRE 2025</v>
      </c>
      <c r="F612" s="57" t="str">
        <f t="shared" ref="F612" si="993">CONCATENATE(D612," ",E612)</f>
        <v>10 OTTOBRE 2025</v>
      </c>
      <c r="G612" s="1309" t="s">
        <v>96</v>
      </c>
      <c r="H612" s="1309" t="str">
        <f>VLOOKUP(G612,CATEGORIE!$H$3:$I$104,2,FALSE)</f>
        <v>COSTO SOPRAVVIVENZA</v>
      </c>
      <c r="I612" s="59">
        <v>17.559999999999999</v>
      </c>
      <c r="J612" s="940"/>
      <c r="K612" s="59"/>
      <c r="L612" s="59"/>
    </row>
    <row r="613" spans="1:12">
      <c r="A613" s="57" t="s">
        <v>101</v>
      </c>
      <c r="B613" s="57" t="s">
        <v>217</v>
      </c>
      <c r="C613" s="57">
        <v>2025</v>
      </c>
      <c r="D613" s="58">
        <f>MATCH(B613,{"GENNAIO","FEBBRAIO","MARZO","APRILE","MAGGIO","GIUGNO","LUGLIO","AGOSTO","SETTEMBRE","OTTOBRE","NOVEMBRE","DICEMBRE"},0)</f>
        <v>10</v>
      </c>
      <c r="E613" s="57" t="str">
        <f>CONCATENATE(,B613," ",C613)</f>
        <v>OTTOBRE 2025</v>
      </c>
      <c r="F613" s="57" t="str">
        <f>CONCATENATE(D613," ",E613)</f>
        <v>10 OTTOBRE 2025</v>
      </c>
      <c r="G613" s="1309" t="s">
        <v>91</v>
      </c>
      <c r="H613" s="1309" t="str">
        <f>VLOOKUP(G613,CATEGORIE!$H$3:$I$104,2,FALSE)</f>
        <v>COSTO SOPRAVVIVENZA</v>
      </c>
      <c r="I613" s="59">
        <v>0.4</v>
      </c>
      <c r="J613" s="940"/>
      <c r="K613" s="59"/>
      <c r="L613" s="59"/>
    </row>
    <row r="614" spans="1:12">
      <c r="A614" s="57" t="s">
        <v>95</v>
      </c>
      <c r="B614" s="57" t="s">
        <v>217</v>
      </c>
      <c r="C614" s="57">
        <v>2025</v>
      </c>
      <c r="D614" s="58">
        <f>MATCH(B614,{"GENNAIO","FEBBRAIO","MARZO","APRILE","MAGGIO","GIUGNO","LUGLIO","AGOSTO","SETTEMBRE","OTTOBRE","NOVEMBRE","DICEMBRE"},0)</f>
        <v>10</v>
      </c>
      <c r="E614" s="57" t="str">
        <f t="shared" ref="E614" si="994">CONCATENATE(,B614," ",C614)</f>
        <v>OTTOBRE 2025</v>
      </c>
      <c r="F614" s="57" t="str">
        <f t="shared" ref="F614" si="995">CONCATENATE(D614," ",E614)</f>
        <v>10 OTTOBRE 2025</v>
      </c>
      <c r="G614" s="1309" t="s">
        <v>96</v>
      </c>
      <c r="H614" s="1309" t="str">
        <f>VLOOKUP(G614,CATEGORIE!$H$3:$I$104,2,FALSE)</f>
        <v>COSTO SOPRAVVIVENZA</v>
      </c>
      <c r="I614" s="59">
        <v>1.99</v>
      </c>
      <c r="J614" s="940"/>
      <c r="K614" s="59"/>
      <c r="L614" s="59"/>
    </row>
    <row r="615" spans="1:12">
      <c r="A615" s="57" t="s">
        <v>95</v>
      </c>
      <c r="B615" s="57" t="s">
        <v>217</v>
      </c>
      <c r="C615" s="57">
        <v>2025</v>
      </c>
      <c r="D615" s="58">
        <f>MATCH(B615,{"GENNAIO","FEBBRAIO","MARZO","APRILE","MAGGIO","GIUGNO","LUGLIO","AGOSTO","SETTEMBRE","OTTOBRE","NOVEMBRE","DICEMBRE"},0)</f>
        <v>10</v>
      </c>
      <c r="E615" s="57" t="str">
        <f t="shared" ref="E615" si="996">CONCATENATE(,B615," ",C615)</f>
        <v>OTTOBRE 2025</v>
      </c>
      <c r="F615" s="57" t="str">
        <f t="shared" ref="F615" si="997">CONCATENATE(D615," ",E615)</f>
        <v>10 OTTOBRE 2025</v>
      </c>
      <c r="G615" s="1309" t="s">
        <v>96</v>
      </c>
      <c r="H615" s="1309" t="str">
        <f>VLOOKUP(G615,CATEGORIE!$H$3:$I$104,2,FALSE)</f>
        <v>COSTO SOPRAVVIVENZA</v>
      </c>
      <c r="I615" s="59">
        <v>27.08</v>
      </c>
      <c r="J615" s="940"/>
      <c r="K615" s="59"/>
      <c r="L615" s="59"/>
    </row>
    <row r="616" spans="1:12">
      <c r="A616" s="57" t="s">
        <v>99</v>
      </c>
      <c r="B616" s="57" t="s">
        <v>217</v>
      </c>
      <c r="C616" s="57">
        <v>2025</v>
      </c>
      <c r="D616" s="58">
        <f>MATCH(B616,{"GENNAIO","FEBBRAIO","MARZO","APRILE","MAGGIO","GIUGNO","LUGLIO","AGOSTO","SETTEMBRE","OTTOBRE","NOVEMBRE","DICEMBRE"},0)</f>
        <v>10</v>
      </c>
      <c r="E616" s="57" t="str">
        <f t="shared" ref="E616" si="998">CONCATENATE(,B616," ",C616)</f>
        <v>OTTOBRE 2025</v>
      </c>
      <c r="F616" s="57" t="str">
        <f t="shared" ref="F616" si="999">CONCATENATE(D616," ",E616)</f>
        <v>10 OTTOBRE 2025</v>
      </c>
      <c r="G616" s="1309" t="s">
        <v>100</v>
      </c>
      <c r="H616" s="1309" t="str">
        <f>VLOOKUP(G616,CATEGORIE!$H$3:$I$104,2,FALSE)</f>
        <v>COSTO SFIZI</v>
      </c>
      <c r="I616" s="59">
        <v>38.89</v>
      </c>
      <c r="J616" s="940"/>
      <c r="K616" s="57"/>
      <c r="L616" s="59"/>
    </row>
    <row r="617" spans="1:12">
      <c r="A617" s="57" t="s">
        <v>222</v>
      </c>
      <c r="B617" s="57" t="s">
        <v>217</v>
      </c>
      <c r="C617" s="57">
        <v>2025</v>
      </c>
      <c r="D617" s="58">
        <f>MATCH(B617,{"GENNAIO","FEBBRAIO","MARZO","APRILE","MAGGIO","GIUGNO","LUGLIO","AGOSTO","SETTEMBRE","OTTOBRE","NOVEMBRE","DICEMBRE"},0)</f>
        <v>10</v>
      </c>
      <c r="E617" s="57" t="str">
        <f t="shared" ref="E617" si="1000">CONCATENATE(,B617," ",C617)</f>
        <v>OTTOBRE 2025</v>
      </c>
      <c r="F617" s="57" t="str">
        <f t="shared" ref="F617" si="1001">CONCATENATE(D617," ",E617)</f>
        <v>10 OTTOBRE 2025</v>
      </c>
      <c r="G617" s="1309" t="s">
        <v>94</v>
      </c>
      <c r="H617" s="1309" t="str">
        <f>VLOOKUP(G617,CATEGORIE!$H$3:$I$104,2,FALSE)</f>
        <v>COSTO SVAGHI</v>
      </c>
      <c r="I617" s="59">
        <v>22</v>
      </c>
      <c r="J617" s="940"/>
      <c r="K617" s="59"/>
      <c r="L617" s="59"/>
    </row>
    <row r="618" spans="1:12" ht="16.5" customHeight="1">
      <c r="A618" s="57" t="s">
        <v>105</v>
      </c>
      <c r="B618" s="57" t="s">
        <v>217</v>
      </c>
      <c r="C618" s="57">
        <v>2025</v>
      </c>
      <c r="D618" s="58">
        <f>MATCH(B618,{"GENNAIO","FEBBRAIO","MARZO","APRILE","MAGGIO","GIUGNO","LUGLIO","AGOSTO","SETTEMBRE","OTTOBRE","NOVEMBRE","DICEMBRE"},0)</f>
        <v>10</v>
      </c>
      <c r="E618" s="57" t="str">
        <f t="shared" ref="E618" si="1002">CONCATENATE(,B618," ",C618)</f>
        <v>OTTOBRE 2025</v>
      </c>
      <c r="F618" s="57" t="str">
        <f t="shared" ref="F618" si="1003">CONCATENATE(D618," ",E618)</f>
        <v>10 OTTOBRE 2025</v>
      </c>
      <c r="G618" s="1309" t="s">
        <v>96</v>
      </c>
      <c r="H618" s="1309" t="str">
        <f>VLOOKUP(G618,CATEGORIE!$H$3:$I$104,2,FALSE)</f>
        <v>COSTO SOPRAVVIVENZA</v>
      </c>
      <c r="I618" s="59">
        <v>7.6</v>
      </c>
      <c r="J618" s="940"/>
      <c r="K618" s="59"/>
      <c r="L618" s="59"/>
    </row>
    <row r="619" spans="1:12">
      <c r="A619" s="57" t="s">
        <v>131</v>
      </c>
      <c r="B619" s="57" t="s">
        <v>217</v>
      </c>
      <c r="C619" s="57">
        <v>2025</v>
      </c>
      <c r="D619" s="58">
        <f>MATCH(B619,{"GENNAIO","FEBBRAIO","MARZO","APRILE","MAGGIO","GIUGNO","LUGLIO","AGOSTO","SETTEMBRE","OTTOBRE","NOVEMBRE","DICEMBRE"},0)</f>
        <v>10</v>
      </c>
      <c r="E619" s="57" t="str">
        <f t="shared" ref="E619" si="1004">CONCATENATE(,B619," ",C619)</f>
        <v>OTTOBRE 2025</v>
      </c>
      <c r="F619" s="57" t="str">
        <f t="shared" ref="F619" si="1005">CONCATENATE(D619," ",E619)</f>
        <v>10 OTTOBRE 2025</v>
      </c>
      <c r="G619" s="1309" t="s">
        <v>185</v>
      </c>
      <c r="H619" s="1309" t="str">
        <f>VLOOKUP(G619,CATEGORIE!$H$3:$I$104,2,FALSE)</f>
        <v>COSTO SFIZI</v>
      </c>
      <c r="I619" s="59">
        <v>22.9</v>
      </c>
      <c r="J619" s="940"/>
      <c r="K619" s="59"/>
      <c r="L619" s="934" t="s">
        <v>223</v>
      </c>
    </row>
    <row r="620" spans="1:12">
      <c r="A620" s="932" t="s">
        <v>97</v>
      </c>
      <c r="B620" s="932" t="s">
        <v>217</v>
      </c>
      <c r="C620" s="932">
        <v>2025</v>
      </c>
      <c r="D620" s="933">
        <f>MATCH(B620,{"GENNAIO","FEBBRAIO","MARZO","APRILE","MAGGIO","GIUGNO","LUGLIO","AGOSTO","SETTEMBRE","OTTOBRE","NOVEMBRE","DICEMBRE"},0)</f>
        <v>10</v>
      </c>
      <c r="E620" s="932" t="str">
        <f t="shared" ref="E620" si="1006">CONCATENATE(,B620," ",C620)</f>
        <v>OTTOBRE 2025</v>
      </c>
      <c r="F620" s="932" t="str">
        <f t="shared" ref="F620" si="1007">CONCATENATE(D620," ",E620)</f>
        <v>10 OTTOBRE 2025</v>
      </c>
      <c r="G620" s="1309" t="s">
        <v>185</v>
      </c>
      <c r="H620" s="1309" t="str">
        <f>VLOOKUP(G620,CATEGORIE!$H$3:$I$104,2,FALSE)</f>
        <v>COSTO SFIZI</v>
      </c>
      <c r="I620" s="934">
        <v>100</v>
      </c>
      <c r="J620" s="944"/>
      <c r="K620" s="59" t="s">
        <v>97</v>
      </c>
      <c r="L620" s="934" t="s">
        <v>223</v>
      </c>
    </row>
    <row r="621" spans="1:12">
      <c r="A621" s="932" t="s">
        <v>97</v>
      </c>
      <c r="B621" s="932" t="s">
        <v>217</v>
      </c>
      <c r="C621" s="932">
        <v>2025</v>
      </c>
      <c r="D621" s="933">
        <f>MATCH(B621,{"GENNAIO","FEBBRAIO","MARZO","APRILE","MAGGIO","GIUGNO","LUGLIO","AGOSTO","SETTEMBRE","OTTOBRE","NOVEMBRE","DICEMBRE"},0)</f>
        <v>10</v>
      </c>
      <c r="E621" s="932" t="str">
        <f t="shared" ref="E621" si="1008">CONCATENATE(,B621," ",C621)</f>
        <v>OTTOBRE 2025</v>
      </c>
      <c r="F621" s="932" t="str">
        <f t="shared" ref="F621" si="1009">CONCATENATE(D621," ",E621)</f>
        <v>10 OTTOBRE 2025</v>
      </c>
      <c r="G621" s="1309" t="s">
        <v>789</v>
      </c>
      <c r="H621" s="1309" t="str">
        <f>VLOOKUP(G621,CATEGORIE!$H$3:$I$104,2,FALSE)</f>
        <v>MOVIMENTI CONTO</v>
      </c>
      <c r="I621" s="934">
        <v>50</v>
      </c>
      <c r="J621" s="944"/>
      <c r="K621" s="59" t="s">
        <v>97</v>
      </c>
      <c r="L621" s="934" t="s">
        <v>98</v>
      </c>
    </row>
    <row r="622" spans="1:12">
      <c r="A622" s="57" t="s">
        <v>101</v>
      </c>
      <c r="B622" s="57" t="s">
        <v>217</v>
      </c>
      <c r="C622" s="57">
        <v>2025</v>
      </c>
      <c r="D622" s="58">
        <f>MATCH(B622,{"GENNAIO","FEBBRAIO","MARZO","APRILE","MAGGIO","GIUGNO","LUGLIO","AGOSTO","SETTEMBRE","OTTOBRE","NOVEMBRE","DICEMBRE"},0)</f>
        <v>10</v>
      </c>
      <c r="E622" s="57" t="str">
        <f>CONCATENATE(,B622," ",C622)</f>
        <v>OTTOBRE 2025</v>
      </c>
      <c r="F622" s="57" t="str">
        <f>CONCATENATE(D622," ",E622)</f>
        <v>10 OTTOBRE 2025</v>
      </c>
      <c r="G622" s="1309" t="s">
        <v>91</v>
      </c>
      <c r="H622" s="1309" t="str">
        <f>VLOOKUP(G622,CATEGORIE!$H$3:$I$104,2,FALSE)</f>
        <v>COSTO SOPRAVVIVENZA</v>
      </c>
      <c r="I622" s="59">
        <v>0.6</v>
      </c>
      <c r="J622" s="940"/>
      <c r="K622" s="59"/>
      <c r="L622" s="59"/>
    </row>
    <row r="623" spans="1:12">
      <c r="A623" s="57" t="s">
        <v>92</v>
      </c>
      <c r="B623" s="57" t="s">
        <v>217</v>
      </c>
      <c r="C623" s="57">
        <v>2025</v>
      </c>
      <c r="D623" s="58">
        <f>MATCH(B623,{"GENNAIO","FEBBRAIO","MARZO","APRILE","MAGGIO","GIUGNO","LUGLIO","AGOSTO","SETTEMBRE","OTTOBRE","NOVEMBRE","DICEMBRE"},0)</f>
        <v>10</v>
      </c>
      <c r="E623" s="57" t="str">
        <f t="shared" ref="E623" si="1010">CONCATENATE(,B623," ",C623)</f>
        <v>OTTOBRE 2025</v>
      </c>
      <c r="F623" s="57" t="str">
        <f t="shared" ref="F623" si="1011">CONCATENATE(D623," ",E623)</f>
        <v>10 OTTOBRE 2025</v>
      </c>
      <c r="G623" s="1309" t="s">
        <v>93</v>
      </c>
      <c r="H623" s="1309" t="str">
        <f>VLOOKUP(G623,CATEGORIE!$H$3:$I$104,2,FALSE)</f>
        <v>COSTO SOPRAVVIVENZA</v>
      </c>
      <c r="I623" s="59">
        <v>7</v>
      </c>
      <c r="J623" s="940"/>
      <c r="K623" s="59"/>
      <c r="L623" s="59"/>
    </row>
    <row r="624" spans="1:12">
      <c r="A624" s="57" t="s">
        <v>101</v>
      </c>
      <c r="B624" s="57" t="s">
        <v>217</v>
      </c>
      <c r="C624" s="57">
        <v>2025</v>
      </c>
      <c r="D624" s="58">
        <f>MATCH(B624,{"GENNAIO","FEBBRAIO","MARZO","APRILE","MAGGIO","GIUGNO","LUGLIO","AGOSTO","SETTEMBRE","OTTOBRE","NOVEMBRE","DICEMBRE"},0)</f>
        <v>10</v>
      </c>
      <c r="E624" s="57" t="str">
        <f>CONCATENATE(,B624," ",C624)</f>
        <v>OTTOBRE 2025</v>
      </c>
      <c r="F624" s="57" t="str">
        <f>CONCATENATE(D624," ",E624)</f>
        <v>10 OTTOBRE 2025</v>
      </c>
      <c r="G624" s="1309" t="s">
        <v>91</v>
      </c>
      <c r="H624" s="1309" t="str">
        <f>VLOOKUP(G624,CATEGORIE!$H$3:$I$104,2,FALSE)</f>
        <v>COSTO SOPRAVVIVENZA</v>
      </c>
      <c r="I624" s="59">
        <v>0.4</v>
      </c>
      <c r="J624" s="940"/>
      <c r="K624" s="59"/>
      <c r="L624" s="59"/>
    </row>
    <row r="625" spans="1:12">
      <c r="A625" s="57" t="s">
        <v>101</v>
      </c>
      <c r="B625" s="57" t="s">
        <v>217</v>
      </c>
      <c r="C625" s="57">
        <v>2025</v>
      </c>
      <c r="D625" s="58">
        <f>MATCH(B625,{"GENNAIO","FEBBRAIO","MARZO","APRILE","MAGGIO","GIUGNO","LUGLIO","AGOSTO","SETTEMBRE","OTTOBRE","NOVEMBRE","DICEMBRE"},0)</f>
        <v>10</v>
      </c>
      <c r="E625" s="57" t="str">
        <f>CONCATENATE(,B625," ",C625)</f>
        <v>OTTOBRE 2025</v>
      </c>
      <c r="F625" s="57" t="str">
        <f>CONCATENATE(D625," ",E625)</f>
        <v>10 OTTOBRE 2025</v>
      </c>
      <c r="G625" s="1309" t="s">
        <v>91</v>
      </c>
      <c r="H625" s="1309" t="str">
        <f>VLOOKUP(G625,CATEGORIE!$H$3:$I$104,2,FALSE)</f>
        <v>COSTO SOPRAVVIVENZA</v>
      </c>
      <c r="I625" s="59">
        <v>0.4</v>
      </c>
      <c r="J625" s="940"/>
      <c r="K625" s="59"/>
      <c r="L625" s="59"/>
    </row>
    <row r="626" spans="1:12">
      <c r="A626" s="57" t="s">
        <v>101</v>
      </c>
      <c r="B626" s="57" t="s">
        <v>217</v>
      </c>
      <c r="C626" s="57">
        <v>2025</v>
      </c>
      <c r="D626" s="58">
        <f>MATCH(B626,{"GENNAIO","FEBBRAIO","MARZO","APRILE","MAGGIO","GIUGNO","LUGLIO","AGOSTO","SETTEMBRE","OTTOBRE","NOVEMBRE","DICEMBRE"},0)</f>
        <v>10</v>
      </c>
      <c r="E626" s="57" t="str">
        <f>CONCATENATE(,B626," ",C626)</f>
        <v>OTTOBRE 2025</v>
      </c>
      <c r="F626" s="57" t="str">
        <f>CONCATENATE(D626," ",E626)</f>
        <v>10 OTTOBRE 2025</v>
      </c>
      <c r="G626" s="1309" t="s">
        <v>91</v>
      </c>
      <c r="H626" s="1309" t="str">
        <f>VLOOKUP(G626,CATEGORIE!$H$3:$I$104,2,FALSE)</f>
        <v>COSTO SOPRAVVIVENZA</v>
      </c>
      <c r="I626" s="59">
        <v>0.4</v>
      </c>
      <c r="J626" s="940"/>
      <c r="K626" s="59"/>
      <c r="L626" s="59"/>
    </row>
    <row r="627" spans="1:12">
      <c r="A627" s="57" t="s">
        <v>101</v>
      </c>
      <c r="B627" s="57" t="s">
        <v>217</v>
      </c>
      <c r="C627" s="57">
        <v>2025</v>
      </c>
      <c r="D627" s="58">
        <f>MATCH(B627,{"GENNAIO","FEBBRAIO","MARZO","APRILE","MAGGIO","GIUGNO","LUGLIO","AGOSTO","SETTEMBRE","OTTOBRE","NOVEMBRE","DICEMBRE"},0)</f>
        <v>10</v>
      </c>
      <c r="E627" s="57" t="str">
        <f>CONCATENATE(,B627," ",C627)</f>
        <v>OTTOBRE 2025</v>
      </c>
      <c r="F627" s="57" t="str">
        <f>CONCATENATE(D627," ",E627)</f>
        <v>10 OTTOBRE 2025</v>
      </c>
      <c r="G627" s="1309" t="s">
        <v>91</v>
      </c>
      <c r="H627" s="1309" t="str">
        <f>VLOOKUP(G627,CATEGORIE!$H$3:$I$104,2,FALSE)</f>
        <v>COSTO SOPRAVVIVENZA</v>
      </c>
      <c r="I627" s="59">
        <v>0.4</v>
      </c>
      <c r="J627" s="940"/>
      <c r="K627" s="59"/>
      <c r="L627" s="59"/>
    </row>
    <row r="628" spans="1:12">
      <c r="A628" s="57" t="s">
        <v>224</v>
      </c>
      <c r="B628" s="57" t="s">
        <v>217</v>
      </c>
      <c r="C628" s="57">
        <v>2025</v>
      </c>
      <c r="D628" s="58">
        <f>MATCH(B628,{"GENNAIO","FEBBRAIO","MARZO","APRILE","MAGGIO","GIUGNO","LUGLIO","AGOSTO","SETTEMBRE","OTTOBRE","NOVEMBRE","DICEMBRE"},0)</f>
        <v>10</v>
      </c>
      <c r="E628" s="57" t="str">
        <f t="shared" ref="E628" si="1012">CONCATENATE(,B628," ",C628)</f>
        <v>OTTOBRE 2025</v>
      </c>
      <c r="F628" s="57" t="str">
        <f t="shared" ref="F628" si="1013">CONCATENATE(D628," ",E628)</f>
        <v>10 OTTOBRE 2025</v>
      </c>
      <c r="G628" s="1309" t="s">
        <v>185</v>
      </c>
      <c r="H628" s="1309" t="str">
        <f>VLOOKUP(G628,CATEGORIE!$H$3:$I$104,2,FALSE)</f>
        <v>COSTO SFIZI</v>
      </c>
      <c r="I628" s="59">
        <v>4</v>
      </c>
      <c r="J628" s="940"/>
      <c r="K628" s="59"/>
      <c r="L628" s="59" t="s">
        <v>225</v>
      </c>
    </row>
    <row r="629" spans="1:12">
      <c r="A629" s="57" t="s">
        <v>226</v>
      </c>
      <c r="B629" s="57" t="s">
        <v>217</v>
      </c>
      <c r="C629" s="57">
        <v>2025</v>
      </c>
      <c r="D629" s="58">
        <f>MATCH(B629,{"GENNAIO","FEBBRAIO","MARZO","APRILE","MAGGIO","GIUGNO","LUGLIO","AGOSTO","SETTEMBRE","OTTOBRE","NOVEMBRE","DICEMBRE"},0)</f>
        <v>10</v>
      </c>
      <c r="E629" s="57" t="str">
        <f t="shared" ref="E629" si="1014">CONCATENATE(,B629," ",C629)</f>
        <v>OTTOBRE 2025</v>
      </c>
      <c r="F629" s="57" t="str">
        <f t="shared" ref="F629" si="1015">CONCATENATE(D629," ",E629)</f>
        <v>10 OTTOBRE 2025</v>
      </c>
      <c r="G629" s="1309" t="s">
        <v>185</v>
      </c>
      <c r="H629" s="1309" t="str">
        <f>VLOOKUP(G629,CATEGORIE!$H$3:$I$104,2,FALSE)</f>
        <v>COSTO SFIZI</v>
      </c>
      <c r="I629" s="59">
        <v>57.99</v>
      </c>
      <c r="J629" s="940"/>
      <c r="K629" s="59"/>
      <c r="L629" s="59" t="s">
        <v>225</v>
      </c>
    </row>
    <row r="630" spans="1:12">
      <c r="A630" s="57" t="s">
        <v>92</v>
      </c>
      <c r="B630" s="57" t="s">
        <v>217</v>
      </c>
      <c r="C630" s="57">
        <v>2025</v>
      </c>
      <c r="D630" s="58">
        <f>MATCH(B630,{"GENNAIO","FEBBRAIO","MARZO","APRILE","MAGGIO","GIUGNO","LUGLIO","AGOSTO","SETTEMBRE","OTTOBRE","NOVEMBRE","DICEMBRE"},0)</f>
        <v>10</v>
      </c>
      <c r="E630" s="57" t="str">
        <f t="shared" ref="E630" si="1016">CONCATENATE(,B630," ",C630)</f>
        <v>OTTOBRE 2025</v>
      </c>
      <c r="F630" s="57" t="str">
        <f t="shared" ref="F630" si="1017">CONCATENATE(D630," ",E630)</f>
        <v>10 OTTOBRE 2025</v>
      </c>
      <c r="G630" s="1309" t="s">
        <v>94</v>
      </c>
      <c r="H630" s="1309" t="str">
        <f>VLOOKUP(G630,CATEGORIE!$H$3:$I$104,2,FALSE)</f>
        <v>COSTO SVAGHI</v>
      </c>
      <c r="I630" s="59">
        <v>4.2</v>
      </c>
      <c r="J630" s="940"/>
      <c r="K630" s="59"/>
      <c r="L630" s="59"/>
    </row>
    <row r="631" spans="1:12">
      <c r="A631" s="57" t="s">
        <v>101</v>
      </c>
      <c r="B631" s="57" t="s">
        <v>217</v>
      </c>
      <c r="C631" s="57">
        <v>2025</v>
      </c>
      <c r="D631" s="58">
        <f>MATCH(B631,{"GENNAIO","FEBBRAIO","MARZO","APRILE","MAGGIO","GIUGNO","LUGLIO","AGOSTO","SETTEMBRE","OTTOBRE","NOVEMBRE","DICEMBRE"},0)</f>
        <v>10</v>
      </c>
      <c r="E631" s="57" t="str">
        <f>CONCATENATE(,B631," ",C631)</f>
        <v>OTTOBRE 2025</v>
      </c>
      <c r="F631" s="57" t="str">
        <f>CONCATENATE(D631," ",E631)</f>
        <v>10 OTTOBRE 2025</v>
      </c>
      <c r="G631" s="1309" t="s">
        <v>91</v>
      </c>
      <c r="H631" s="1309" t="str">
        <f>VLOOKUP(G631,CATEGORIE!$H$3:$I$104,2,FALSE)</f>
        <v>COSTO SOPRAVVIVENZA</v>
      </c>
      <c r="I631" s="59">
        <v>0.4</v>
      </c>
      <c r="J631" s="940"/>
      <c r="K631" s="59"/>
      <c r="L631" s="59"/>
    </row>
    <row r="632" spans="1:12">
      <c r="A632" s="57" t="s">
        <v>92</v>
      </c>
      <c r="B632" s="57" t="s">
        <v>217</v>
      </c>
      <c r="C632" s="57">
        <v>2025</v>
      </c>
      <c r="D632" s="58">
        <f>MATCH(B632,{"GENNAIO","FEBBRAIO","MARZO","APRILE","MAGGIO","GIUGNO","LUGLIO","AGOSTO","SETTEMBRE","OTTOBRE","NOVEMBRE","DICEMBRE"},0)</f>
        <v>10</v>
      </c>
      <c r="E632" s="57" t="str">
        <f t="shared" ref="E632" si="1018">CONCATENATE(,B632," ",C632)</f>
        <v>OTTOBRE 2025</v>
      </c>
      <c r="F632" s="57" t="str">
        <f t="shared" ref="F632" si="1019">CONCATENATE(D632," ",E632)</f>
        <v>10 OTTOBRE 2025</v>
      </c>
      <c r="G632" s="1309" t="s">
        <v>93</v>
      </c>
      <c r="H632" s="1309" t="str">
        <f>VLOOKUP(G632,CATEGORIE!$H$3:$I$104,2,FALSE)</f>
        <v>COSTO SOPRAVVIVENZA</v>
      </c>
      <c r="I632" s="59">
        <v>7</v>
      </c>
      <c r="J632" s="940"/>
      <c r="K632" s="59"/>
      <c r="L632" s="59"/>
    </row>
    <row r="633" spans="1:12">
      <c r="A633" s="57" t="s">
        <v>101</v>
      </c>
      <c r="B633" s="57" t="s">
        <v>217</v>
      </c>
      <c r="C633" s="57">
        <v>2025</v>
      </c>
      <c r="D633" s="58">
        <f>MATCH(B633,{"GENNAIO","FEBBRAIO","MARZO","APRILE","MAGGIO","GIUGNO","LUGLIO","AGOSTO","SETTEMBRE","OTTOBRE","NOVEMBRE","DICEMBRE"},0)</f>
        <v>10</v>
      </c>
      <c r="E633" s="57" t="str">
        <f>CONCATENATE(,B633," ",C633)</f>
        <v>OTTOBRE 2025</v>
      </c>
      <c r="F633" s="57" t="str">
        <f>CONCATENATE(D633," ",E633)</f>
        <v>10 OTTOBRE 2025</v>
      </c>
      <c r="G633" s="1309" t="s">
        <v>91</v>
      </c>
      <c r="H633" s="1309" t="str">
        <f>VLOOKUP(G633,CATEGORIE!$H$3:$I$104,2,FALSE)</f>
        <v>COSTO SOPRAVVIVENZA</v>
      </c>
      <c r="I633" s="59">
        <v>0.4</v>
      </c>
      <c r="J633" s="940"/>
      <c r="K633" s="59"/>
      <c r="L633" s="59"/>
    </row>
    <row r="634" spans="1:12">
      <c r="A634" s="57" t="s">
        <v>101</v>
      </c>
      <c r="B634" s="57" t="s">
        <v>217</v>
      </c>
      <c r="C634" s="57">
        <v>2025</v>
      </c>
      <c r="D634" s="58">
        <f>MATCH(B634,{"GENNAIO","FEBBRAIO","MARZO","APRILE","MAGGIO","GIUGNO","LUGLIO","AGOSTO","SETTEMBRE","OTTOBRE","NOVEMBRE","DICEMBRE"},0)</f>
        <v>10</v>
      </c>
      <c r="E634" s="57" t="str">
        <f>CONCATENATE(,B634," ",C634)</f>
        <v>OTTOBRE 2025</v>
      </c>
      <c r="F634" s="57" t="str">
        <f>CONCATENATE(D634," ",E634)</f>
        <v>10 OTTOBRE 2025</v>
      </c>
      <c r="G634" s="1309" t="s">
        <v>91</v>
      </c>
      <c r="H634" s="1309" t="str">
        <f>VLOOKUP(G634,CATEGORIE!$H$3:$I$104,2,FALSE)</f>
        <v>COSTO SOPRAVVIVENZA</v>
      </c>
      <c r="I634" s="59">
        <v>0.4</v>
      </c>
      <c r="J634" s="940"/>
      <c r="K634" s="59"/>
      <c r="L634" s="59"/>
    </row>
    <row r="635" spans="1:12">
      <c r="A635" s="57" t="s">
        <v>99</v>
      </c>
      <c r="B635" s="57" t="s">
        <v>217</v>
      </c>
      <c r="C635" s="57">
        <v>2025</v>
      </c>
      <c r="D635" s="58">
        <f>MATCH(B635,{"GENNAIO","FEBBRAIO","MARZO","APRILE","MAGGIO","GIUGNO","LUGLIO","AGOSTO","SETTEMBRE","OTTOBRE","NOVEMBRE","DICEMBRE"},0)</f>
        <v>10</v>
      </c>
      <c r="E635" s="57" t="str">
        <f t="shared" ref="E635" si="1020">CONCATENATE(,B635," ",C635)</f>
        <v>OTTOBRE 2025</v>
      </c>
      <c r="F635" s="57" t="str">
        <f t="shared" ref="F635" si="1021">CONCATENATE(D635," ",E635)</f>
        <v>10 OTTOBRE 2025</v>
      </c>
      <c r="G635" s="1309" t="s">
        <v>100</v>
      </c>
      <c r="H635" s="1309" t="str">
        <f>VLOOKUP(G635,CATEGORIE!$H$3:$I$104,2,FALSE)</f>
        <v>COSTO SFIZI</v>
      </c>
      <c r="I635" s="59">
        <v>94.8</v>
      </c>
      <c r="J635" s="940" t="s">
        <v>145</v>
      </c>
      <c r="K635" s="59" t="s">
        <v>99</v>
      </c>
      <c r="L635" s="59" t="s">
        <v>152</v>
      </c>
    </row>
    <row r="636" spans="1:12" ht="16.5" customHeight="1">
      <c r="A636" s="57" t="s">
        <v>227</v>
      </c>
      <c r="B636" s="57" t="s">
        <v>217</v>
      </c>
      <c r="C636" s="57">
        <v>2025</v>
      </c>
      <c r="D636" s="58">
        <f>MATCH(B636,{"GENNAIO","FEBBRAIO","MARZO","APRILE","MAGGIO","GIUGNO","LUGLIO","AGOSTO","SETTEMBRE","OTTOBRE","NOVEMBRE","DICEMBRE"},0)</f>
        <v>10</v>
      </c>
      <c r="E636" s="57" t="str">
        <f t="shared" ref="E636" si="1022">CONCATENATE(,B636," ",C636)</f>
        <v>OTTOBRE 2025</v>
      </c>
      <c r="F636" s="57" t="str">
        <f t="shared" ref="F636" si="1023">CONCATENATE(D636," ",E636)</f>
        <v>10 OTTOBRE 2025</v>
      </c>
      <c r="G636" s="1309" t="s">
        <v>1289</v>
      </c>
      <c r="H636" s="1309" t="str">
        <f>VLOOKUP(G636,CATEGORIE!$H$3:$I$104,2,FALSE)</f>
        <v>COSTO SFIZI</v>
      </c>
      <c r="I636" s="59">
        <v>49</v>
      </c>
      <c r="J636" s="940"/>
      <c r="K636" s="59"/>
      <c r="L636" s="59"/>
    </row>
    <row r="637" spans="1:12">
      <c r="A637" s="57" t="s">
        <v>130</v>
      </c>
      <c r="B637" s="57" t="s">
        <v>217</v>
      </c>
      <c r="C637" s="57">
        <v>2025</v>
      </c>
      <c r="D637" s="58">
        <f>MATCH(B637,{"GENNAIO","FEBBRAIO","MARZO","APRILE","MAGGIO","GIUGNO","LUGLIO","AGOSTO","SETTEMBRE","OTTOBRE","NOVEMBRE","DICEMBRE"},0)</f>
        <v>10</v>
      </c>
      <c r="E637" s="57" t="str">
        <f t="shared" ref="E637" si="1024">CONCATENATE(,B637," ",C637)</f>
        <v>OTTOBRE 2025</v>
      </c>
      <c r="F637" s="57" t="str">
        <f t="shared" ref="F637" si="1025">CONCATENATE(D637," ",E637)</f>
        <v>10 OTTOBRE 2025</v>
      </c>
      <c r="G637" s="1309" t="s">
        <v>94</v>
      </c>
      <c r="H637" s="1309" t="str">
        <f>VLOOKUP(G637,CATEGORIE!$H$3:$I$104,2,FALSE)</f>
        <v>COSTO SVAGHI</v>
      </c>
      <c r="I637" s="59">
        <v>23</v>
      </c>
      <c r="J637" s="940"/>
      <c r="K637" s="59"/>
      <c r="L637" s="59"/>
    </row>
    <row r="638" spans="1:12">
      <c r="A638" s="57" t="s">
        <v>135</v>
      </c>
      <c r="B638" s="57" t="s">
        <v>217</v>
      </c>
      <c r="C638" s="57">
        <v>2025</v>
      </c>
      <c r="D638" s="58">
        <f>MATCH(B638,{"GENNAIO","FEBBRAIO","MARZO","APRILE","MAGGIO","GIUGNO","LUGLIO","AGOSTO","SETTEMBRE","OTTOBRE","NOVEMBRE","DICEMBRE"},0)</f>
        <v>10</v>
      </c>
      <c r="E638" s="57" t="str">
        <f t="shared" ref="E638" si="1026">CONCATENATE(,B638," ",C638)</f>
        <v>OTTOBRE 2025</v>
      </c>
      <c r="F638" s="57" t="str">
        <f t="shared" ref="F638" si="1027">CONCATENATE(D638," ",E638)</f>
        <v>10 OTTOBRE 2025</v>
      </c>
      <c r="G638" s="1309" t="s">
        <v>132</v>
      </c>
      <c r="H638" s="1309" t="str">
        <f>VLOOKUP(G638,CATEGORIE!$H$3:$I$104,2,FALSE)</f>
        <v>COSTO CASA</v>
      </c>
      <c r="I638" s="59">
        <v>27.21</v>
      </c>
      <c r="J638" s="940"/>
      <c r="K638" s="59"/>
      <c r="L638" s="59"/>
    </row>
    <row r="639" spans="1:12">
      <c r="A639" s="932" t="s">
        <v>97</v>
      </c>
      <c r="B639" s="932" t="s">
        <v>217</v>
      </c>
      <c r="C639" s="932">
        <v>2025</v>
      </c>
      <c r="D639" s="933">
        <f>MATCH(B639,{"GENNAIO","FEBBRAIO","MARZO","APRILE","MAGGIO","GIUGNO","LUGLIO","AGOSTO","SETTEMBRE","OTTOBRE","NOVEMBRE","DICEMBRE"},0)</f>
        <v>10</v>
      </c>
      <c r="E639" s="932" t="str">
        <f t="shared" ref="E639" si="1028">CONCATENATE(,B639," ",C639)</f>
        <v>OTTOBRE 2025</v>
      </c>
      <c r="F639" s="932" t="str">
        <f t="shared" ref="F639" si="1029">CONCATENATE(D639," ",E639)</f>
        <v>10 OTTOBRE 2025</v>
      </c>
      <c r="G639" s="1309" t="s">
        <v>94</v>
      </c>
      <c r="H639" s="1309" t="str">
        <f>VLOOKUP(G639,CATEGORIE!$H$3:$I$104,2,FALSE)</f>
        <v>COSTO SVAGHI</v>
      </c>
      <c r="I639" s="934">
        <v>50</v>
      </c>
      <c r="J639" s="944"/>
      <c r="K639" s="59" t="s">
        <v>97</v>
      </c>
      <c r="L639" s="934" t="s">
        <v>228</v>
      </c>
    </row>
    <row r="640" spans="1:12" ht="16.5" customHeight="1">
      <c r="A640" s="57" t="s">
        <v>92</v>
      </c>
      <c r="B640" s="57" t="s">
        <v>217</v>
      </c>
      <c r="C640" s="57">
        <v>2025</v>
      </c>
      <c r="D640" s="58">
        <f>MATCH(B640,{"GENNAIO","FEBBRAIO","MARZO","APRILE","MAGGIO","GIUGNO","LUGLIO","AGOSTO","SETTEMBRE","OTTOBRE","NOVEMBRE","DICEMBRE"},0)</f>
        <v>10</v>
      </c>
      <c r="E640" s="57" t="str">
        <f t="shared" ref="E640" si="1030">CONCATENATE(,B640," ",C640)</f>
        <v>OTTOBRE 2025</v>
      </c>
      <c r="F640" s="57" t="str">
        <f t="shared" ref="F640" si="1031">CONCATENATE(D640," ",E640)</f>
        <v>10 OTTOBRE 2025</v>
      </c>
      <c r="G640" s="1309" t="s">
        <v>94</v>
      </c>
      <c r="H640" s="1309" t="str">
        <f>VLOOKUP(G640,CATEGORIE!$H$3:$I$104,2,FALSE)</f>
        <v>COSTO SVAGHI</v>
      </c>
      <c r="I640" s="59">
        <v>14</v>
      </c>
      <c r="J640" s="940"/>
      <c r="K640" s="59"/>
      <c r="L640" s="59"/>
    </row>
    <row r="641" spans="1:12">
      <c r="A641" s="57" t="s">
        <v>92</v>
      </c>
      <c r="B641" s="57" t="s">
        <v>217</v>
      </c>
      <c r="C641" s="57">
        <v>2025</v>
      </c>
      <c r="D641" s="58">
        <f>MATCH(B641,{"GENNAIO","FEBBRAIO","MARZO","APRILE","MAGGIO","GIUGNO","LUGLIO","AGOSTO","SETTEMBRE","OTTOBRE","NOVEMBRE","DICEMBRE"},0)</f>
        <v>10</v>
      </c>
      <c r="E641" s="57" t="str">
        <f t="shared" ref="E641" si="1032">CONCATENATE(,B641," ",C641)</f>
        <v>OTTOBRE 2025</v>
      </c>
      <c r="F641" s="57" t="str">
        <f t="shared" ref="F641" si="1033">CONCATENATE(D641," ",E641)</f>
        <v>10 OTTOBRE 2025</v>
      </c>
      <c r="G641" s="1309" t="s">
        <v>93</v>
      </c>
      <c r="H641" s="1309" t="str">
        <f>VLOOKUP(G641,CATEGORIE!$H$3:$I$104,2,FALSE)</f>
        <v>COSTO SOPRAVVIVENZA</v>
      </c>
      <c r="I641" s="59">
        <v>7</v>
      </c>
      <c r="J641" s="940"/>
      <c r="K641" s="59"/>
      <c r="L641" s="59"/>
    </row>
    <row r="642" spans="1:12">
      <c r="A642" s="57" t="s">
        <v>101</v>
      </c>
      <c r="B642" s="57" t="s">
        <v>217</v>
      </c>
      <c r="C642" s="57">
        <v>2025</v>
      </c>
      <c r="D642" s="58">
        <f>MATCH(B642,{"GENNAIO","FEBBRAIO","MARZO","APRILE","MAGGIO","GIUGNO","LUGLIO","AGOSTO","SETTEMBRE","OTTOBRE","NOVEMBRE","DICEMBRE"},0)</f>
        <v>10</v>
      </c>
      <c r="E642" s="57" t="str">
        <f>CONCATENATE(,B642," ",C642)</f>
        <v>OTTOBRE 2025</v>
      </c>
      <c r="F642" s="57" t="str">
        <f>CONCATENATE(D642," ",E642)</f>
        <v>10 OTTOBRE 2025</v>
      </c>
      <c r="G642" s="1309" t="s">
        <v>91</v>
      </c>
      <c r="H642" s="1309" t="str">
        <f>VLOOKUP(G642,CATEGORIE!$H$3:$I$104,2,FALSE)</f>
        <v>COSTO SOPRAVVIVENZA</v>
      </c>
      <c r="I642" s="59">
        <v>0.4</v>
      </c>
      <c r="J642" s="940"/>
      <c r="K642" s="59"/>
      <c r="L642" s="59"/>
    </row>
    <row r="643" spans="1:12">
      <c r="A643" s="932" t="s">
        <v>97</v>
      </c>
      <c r="B643" s="932" t="s">
        <v>217</v>
      </c>
      <c r="C643" s="932">
        <v>2025</v>
      </c>
      <c r="D643" s="933">
        <f>MATCH(B643,{"GENNAIO","FEBBRAIO","MARZO","APRILE","MAGGIO","GIUGNO","LUGLIO","AGOSTO","SETTEMBRE","OTTOBRE","NOVEMBRE","DICEMBRE"},0)</f>
        <v>10</v>
      </c>
      <c r="E643" s="932" t="str">
        <f t="shared" ref="E643" si="1034">CONCATENATE(,B643," ",C643)</f>
        <v>OTTOBRE 2025</v>
      </c>
      <c r="F643" s="932" t="str">
        <f t="shared" ref="F643" si="1035">CONCATENATE(D643," ",E643)</f>
        <v>10 OTTOBRE 2025</v>
      </c>
      <c r="G643" s="1309" t="s">
        <v>1253</v>
      </c>
      <c r="H643" s="1309" t="str">
        <f>VLOOKUP(G643,CATEGORIE!$H$3:$I$104,2,FALSE)</f>
        <v>MOVIMENTI CONTO</v>
      </c>
      <c r="I643" s="934">
        <v>150</v>
      </c>
      <c r="J643" s="944"/>
      <c r="K643" s="59" t="s">
        <v>97</v>
      </c>
      <c r="L643" s="934" t="s">
        <v>149</v>
      </c>
    </row>
    <row r="644" spans="1:12">
      <c r="A644" s="57" t="s">
        <v>102</v>
      </c>
      <c r="B644" s="57" t="s">
        <v>217</v>
      </c>
      <c r="C644" s="57">
        <v>2025</v>
      </c>
      <c r="D644" s="58">
        <f>MATCH(B644,{"GENNAIO","FEBBRAIO","MARZO","APRILE","MAGGIO","GIUGNO","LUGLIO","AGOSTO","SETTEMBRE","OTTOBRE","NOVEMBRE","DICEMBRE"},0)</f>
        <v>10</v>
      </c>
      <c r="E644" s="57" t="str">
        <f t="shared" ref="E644" si="1036">CONCATENATE(,B644," ",C644)</f>
        <v>OTTOBRE 2025</v>
      </c>
      <c r="F644" s="57" t="str">
        <f t="shared" ref="F644" si="1037">CONCATENATE(D644," ",E644)</f>
        <v>10 OTTOBRE 2025</v>
      </c>
      <c r="G644" s="1309" t="s">
        <v>96</v>
      </c>
      <c r="H644" s="1309" t="str">
        <f>VLOOKUP(G644,CATEGORIE!$H$3:$I$104,2,FALSE)</f>
        <v>COSTO SOPRAVVIVENZA</v>
      </c>
      <c r="I644" s="59">
        <v>9.67</v>
      </c>
      <c r="J644" s="940"/>
      <c r="K644" s="59"/>
      <c r="L644" s="59"/>
    </row>
    <row r="645" spans="1:12">
      <c r="A645" s="57" t="s">
        <v>105</v>
      </c>
      <c r="B645" s="57" t="s">
        <v>217</v>
      </c>
      <c r="C645" s="57">
        <v>2025</v>
      </c>
      <c r="D645" s="58">
        <f>MATCH(B645,{"GENNAIO","FEBBRAIO","MARZO","APRILE","MAGGIO","GIUGNO","LUGLIO","AGOSTO","SETTEMBRE","OTTOBRE","NOVEMBRE","DICEMBRE"},0)</f>
        <v>10</v>
      </c>
      <c r="E645" s="57" t="str">
        <f t="shared" ref="E645" si="1038">CONCATENATE(,B645," ",C645)</f>
        <v>OTTOBRE 2025</v>
      </c>
      <c r="F645" s="57" t="str">
        <f t="shared" ref="F645" si="1039">CONCATENATE(D645," ",E645)</f>
        <v>10 OTTOBRE 2025</v>
      </c>
      <c r="G645" s="1309" t="s">
        <v>96</v>
      </c>
      <c r="H645" s="1309" t="str">
        <f>VLOOKUP(G645,CATEGORIE!$H$3:$I$104,2,FALSE)</f>
        <v>COSTO SOPRAVVIVENZA</v>
      </c>
      <c r="I645" s="59">
        <v>31.45</v>
      </c>
      <c r="J645" s="940"/>
      <c r="K645" s="59"/>
      <c r="L645" s="59"/>
    </row>
    <row r="646" spans="1:12">
      <c r="A646" s="57" t="s">
        <v>99</v>
      </c>
      <c r="B646" s="57" t="s">
        <v>217</v>
      </c>
      <c r="C646" s="57">
        <v>2025</v>
      </c>
      <c r="D646" s="58">
        <f>MATCH(B646,{"GENNAIO","FEBBRAIO","MARZO","APRILE","MAGGIO","GIUGNO","LUGLIO","AGOSTO","SETTEMBRE","OTTOBRE","NOVEMBRE","DICEMBRE"},0)</f>
        <v>10</v>
      </c>
      <c r="E646" s="57" t="str">
        <f t="shared" ref="E646" si="1040">CONCATENATE(,B646," ",C646)</f>
        <v>OTTOBRE 2025</v>
      </c>
      <c r="F646" s="57" t="str">
        <f t="shared" ref="F646" si="1041">CONCATENATE(D646," ",E646)</f>
        <v>10 OTTOBRE 2025</v>
      </c>
      <c r="G646" s="1309" t="s">
        <v>100</v>
      </c>
      <c r="H646" s="1309" t="str">
        <f>VLOOKUP(G646,CATEGORIE!$H$3:$I$104,2,FALSE)</f>
        <v>COSTO SFIZI</v>
      </c>
      <c r="I646" s="59">
        <v>10.95</v>
      </c>
      <c r="J646" s="940" t="s">
        <v>126</v>
      </c>
      <c r="K646" s="59" t="s">
        <v>99</v>
      </c>
      <c r="L646" s="59" t="s">
        <v>168</v>
      </c>
    </row>
    <row r="647" spans="1:12">
      <c r="A647" s="57" t="s">
        <v>187</v>
      </c>
      <c r="B647" s="57" t="s">
        <v>217</v>
      </c>
      <c r="C647" s="57">
        <v>2025</v>
      </c>
      <c r="D647" s="58">
        <f>MATCH(B647,{"GENNAIO","FEBBRAIO","MARZO","APRILE","MAGGIO","GIUGNO","LUGLIO","AGOSTO","SETTEMBRE","OTTOBRE","NOVEMBRE","DICEMBRE"},0)</f>
        <v>10</v>
      </c>
      <c r="E647" s="57" t="str">
        <f t="shared" ref="E647" si="1042">CONCATENATE(,B647," ",C647)</f>
        <v>OTTOBRE 2025</v>
      </c>
      <c r="F647" s="57" t="str">
        <f t="shared" ref="F647" si="1043">CONCATENATE(D647," ",E647)</f>
        <v>10 OTTOBRE 2025</v>
      </c>
      <c r="G647" s="1309" t="s">
        <v>188</v>
      </c>
      <c r="H647" s="1309" t="str">
        <f>VLOOKUP(G647,CATEGORIE!$H$3:$I$104,2,FALSE)</f>
        <v>COSTO VACANZE</v>
      </c>
      <c r="I647" s="59">
        <v>127.58</v>
      </c>
      <c r="J647" s="940" t="s">
        <v>124</v>
      </c>
      <c r="K647" s="59" t="s">
        <v>112</v>
      </c>
      <c r="L647" s="59" t="s">
        <v>216</v>
      </c>
    </row>
    <row r="648" spans="1:12">
      <c r="A648" s="57" t="s">
        <v>131</v>
      </c>
      <c r="B648" s="57" t="s">
        <v>217</v>
      </c>
      <c r="C648" s="57">
        <v>2025</v>
      </c>
      <c r="D648" s="58">
        <f>MATCH(B648,{"GENNAIO","FEBBRAIO","MARZO","APRILE","MAGGIO","GIUGNO","LUGLIO","AGOSTO","SETTEMBRE","OTTOBRE","NOVEMBRE","DICEMBRE"},0)</f>
        <v>10</v>
      </c>
      <c r="E648" s="57" t="str">
        <f t="shared" ref="E648" si="1044">CONCATENATE(,B648," ",C648)</f>
        <v>OTTOBRE 2025</v>
      </c>
      <c r="F648" s="57" t="str">
        <f t="shared" ref="F648" si="1045">CONCATENATE(D648," ",E648)</f>
        <v>10 OTTOBRE 2025</v>
      </c>
      <c r="G648" s="1309" t="s">
        <v>132</v>
      </c>
      <c r="H648" s="1309" t="str">
        <f>VLOOKUP(G648,CATEGORIE!$H$3:$I$104,2,FALSE)</f>
        <v>COSTO CASA</v>
      </c>
      <c r="I648" s="59">
        <v>33.340000000000003</v>
      </c>
      <c r="J648" s="940" t="s">
        <v>124</v>
      </c>
      <c r="K648" s="59" t="s">
        <v>112</v>
      </c>
      <c r="L648" s="59"/>
    </row>
    <row r="649" spans="1:12">
      <c r="A649" s="57" t="s">
        <v>229</v>
      </c>
      <c r="B649" s="57" t="s">
        <v>217</v>
      </c>
      <c r="C649" s="57">
        <v>2025</v>
      </c>
      <c r="D649" s="58">
        <f>MATCH(B649,{"GENNAIO","FEBBRAIO","MARZO","APRILE","MAGGIO","GIUGNO","LUGLIO","AGOSTO","SETTEMBRE","OTTOBRE","NOVEMBRE","DICEMBRE"},0)</f>
        <v>10</v>
      </c>
      <c r="E649" s="57" t="str">
        <f t="shared" ref="E649" si="1046">CONCATENATE(,B649," ",C649)</f>
        <v>OTTOBRE 2025</v>
      </c>
      <c r="F649" s="57" t="str">
        <f t="shared" ref="F649" si="1047">CONCATENATE(D649," ",E649)</f>
        <v>10 OTTOBRE 2025</v>
      </c>
      <c r="G649" s="1309" t="s">
        <v>163</v>
      </c>
      <c r="H649" s="1309" t="str">
        <f>VLOOKUP(G649,CATEGORIE!$H$3:$I$104,2,FALSE)</f>
        <v>COSTO SVAGHI</v>
      </c>
      <c r="I649" s="59">
        <v>12.73</v>
      </c>
      <c r="J649" s="940" t="s">
        <v>215</v>
      </c>
      <c r="K649" s="59" t="s">
        <v>112</v>
      </c>
      <c r="L649" s="59" t="s">
        <v>230</v>
      </c>
    </row>
    <row r="650" spans="1:12">
      <c r="A650" s="57" t="s">
        <v>231</v>
      </c>
      <c r="B650" s="57" t="s">
        <v>217</v>
      </c>
      <c r="C650" s="57">
        <v>2025</v>
      </c>
      <c r="D650" s="58">
        <f>MATCH(B650,{"GENNAIO","FEBBRAIO","MARZO","APRILE","MAGGIO","GIUGNO","LUGLIO","AGOSTO","SETTEMBRE","OTTOBRE","NOVEMBRE","DICEMBRE"},0)</f>
        <v>10</v>
      </c>
      <c r="E650" s="57" t="str">
        <f t="shared" ref="E650" si="1048">CONCATENATE(,B650," ",C650)</f>
        <v>OTTOBRE 2025</v>
      </c>
      <c r="F650" s="57" t="str">
        <f t="shared" ref="F650" si="1049">CONCATENATE(D650," ",E650)</f>
        <v>10 OTTOBRE 2025</v>
      </c>
      <c r="G650" s="1309" t="s">
        <v>1250</v>
      </c>
      <c r="H650" s="1309" t="str">
        <f>VLOOKUP(G650,CATEGORIE!$H$3:$I$104,2,FALSE)</f>
        <v>COSTO VACANZE</v>
      </c>
      <c r="I650" s="59">
        <v>5.9</v>
      </c>
      <c r="J650" s="940"/>
      <c r="K650" s="59"/>
      <c r="L650" s="59" t="s">
        <v>216</v>
      </c>
    </row>
    <row r="651" spans="1:12">
      <c r="A651" s="57" t="s">
        <v>232</v>
      </c>
      <c r="B651" s="57" t="s">
        <v>217</v>
      </c>
      <c r="C651" s="57">
        <v>2025</v>
      </c>
      <c r="D651" s="58">
        <f>MATCH(B651,{"GENNAIO","FEBBRAIO","MARZO","APRILE","MAGGIO","GIUGNO","LUGLIO","AGOSTO","SETTEMBRE","OTTOBRE","NOVEMBRE","DICEMBRE"},0)</f>
        <v>10</v>
      </c>
      <c r="E651" s="57" t="str">
        <f t="shared" ref="E651" si="1050">CONCATENATE(,B651," ",C651)</f>
        <v>OTTOBRE 2025</v>
      </c>
      <c r="F651" s="57" t="str">
        <f t="shared" ref="F651" si="1051">CONCATENATE(D651," ",E651)</f>
        <v>10 OTTOBRE 2025</v>
      </c>
      <c r="G651" s="1309" t="s">
        <v>94</v>
      </c>
      <c r="H651" s="1309" t="str">
        <f>VLOOKUP(G651,CATEGORIE!$H$3:$I$104,2,FALSE)</f>
        <v>COSTO SVAGHI</v>
      </c>
      <c r="I651" s="59">
        <v>5.0999999999999996</v>
      </c>
      <c r="J651" s="940"/>
      <c r="K651" s="59"/>
      <c r="L651" s="59" t="s">
        <v>216</v>
      </c>
    </row>
    <row r="652" spans="1:12">
      <c r="A652" s="57" t="s">
        <v>233</v>
      </c>
      <c r="B652" s="57" t="s">
        <v>217</v>
      </c>
      <c r="C652" s="57">
        <v>2025</v>
      </c>
      <c r="D652" s="58">
        <f>MATCH(B652,{"GENNAIO","FEBBRAIO","MARZO","APRILE","MAGGIO","GIUGNO","LUGLIO","AGOSTO","SETTEMBRE","OTTOBRE","NOVEMBRE","DICEMBRE"},0)</f>
        <v>10</v>
      </c>
      <c r="E652" s="57" t="str">
        <f>CONCATENATE(,B652," ",C652)</f>
        <v>OTTOBRE 2025</v>
      </c>
      <c r="F652" s="57" t="str">
        <f>CONCATENATE(D652," ",E652)</f>
        <v>10 OTTOBRE 2025</v>
      </c>
      <c r="G652" s="1309" t="s">
        <v>185</v>
      </c>
      <c r="H652" s="1309" t="str">
        <f>VLOOKUP(G652,CATEGORIE!$H$3:$I$104,2,FALSE)</f>
        <v>COSTO SFIZI</v>
      </c>
      <c r="I652" s="59">
        <v>19</v>
      </c>
      <c r="J652" s="940"/>
      <c r="K652" s="59"/>
      <c r="L652" s="59" t="s">
        <v>216</v>
      </c>
    </row>
    <row r="653" spans="1:12">
      <c r="A653" s="57" t="s">
        <v>234</v>
      </c>
      <c r="B653" s="57" t="s">
        <v>217</v>
      </c>
      <c r="C653" s="57">
        <v>2025</v>
      </c>
      <c r="D653" s="58">
        <f>MATCH(B653,{"GENNAIO","FEBBRAIO","MARZO","APRILE","MAGGIO","GIUGNO","LUGLIO","AGOSTO","SETTEMBRE","OTTOBRE","NOVEMBRE","DICEMBRE"},0)</f>
        <v>10</v>
      </c>
      <c r="E653" s="57" t="str">
        <f>CONCATENATE(,B653," ",C653)</f>
        <v>OTTOBRE 2025</v>
      </c>
      <c r="F653" s="57" t="str">
        <f>CONCATENATE(D653," ",E653)</f>
        <v>10 OTTOBRE 2025</v>
      </c>
      <c r="G653" s="1309" t="s">
        <v>185</v>
      </c>
      <c r="H653" s="1309" t="str">
        <f>VLOOKUP(G653,CATEGORIE!$H$3:$I$104,2,FALSE)</f>
        <v>COSTO SFIZI</v>
      </c>
      <c r="I653" s="59">
        <v>13.1</v>
      </c>
      <c r="J653" s="940"/>
      <c r="K653" s="59"/>
      <c r="L653" s="59" t="s">
        <v>216</v>
      </c>
    </row>
    <row r="654" spans="1:12">
      <c r="A654" s="57" t="s">
        <v>235</v>
      </c>
      <c r="B654" s="57" t="s">
        <v>217</v>
      </c>
      <c r="C654" s="57">
        <v>2025</v>
      </c>
      <c r="D654" s="58">
        <f>MATCH(B654,{"GENNAIO","FEBBRAIO","MARZO","APRILE","MAGGIO","GIUGNO","LUGLIO","AGOSTO","SETTEMBRE","OTTOBRE","NOVEMBRE","DICEMBRE"},0)</f>
        <v>10</v>
      </c>
      <c r="E654" s="57" t="str">
        <f t="shared" ref="E654" si="1052">CONCATENATE(,B654," ",C654)</f>
        <v>OTTOBRE 2025</v>
      </c>
      <c r="F654" s="57" t="str">
        <f t="shared" ref="F654" si="1053">CONCATENATE(D654," ",E654)</f>
        <v>10 OTTOBRE 2025</v>
      </c>
      <c r="G654" s="1309" t="s">
        <v>94</v>
      </c>
      <c r="H654" s="1309" t="str">
        <f>VLOOKUP(G654,CATEGORIE!$H$3:$I$104,2,FALSE)</f>
        <v>COSTO SVAGHI</v>
      </c>
      <c r="I654" s="59">
        <v>7.5</v>
      </c>
      <c r="J654" s="940"/>
      <c r="K654" s="59"/>
      <c r="L654" s="59" t="s">
        <v>216</v>
      </c>
    </row>
    <row r="655" spans="1:12">
      <c r="A655" s="57" t="s">
        <v>236</v>
      </c>
      <c r="B655" s="57" t="s">
        <v>217</v>
      </c>
      <c r="C655" s="57">
        <v>2025</v>
      </c>
      <c r="D655" s="58">
        <f>MATCH(B655,{"GENNAIO","FEBBRAIO","MARZO","APRILE","MAGGIO","GIUGNO","LUGLIO","AGOSTO","SETTEMBRE","OTTOBRE","NOVEMBRE","DICEMBRE"},0)</f>
        <v>10</v>
      </c>
      <c r="E655" s="57" t="str">
        <f>CONCATENATE(,B655," ",C655)</f>
        <v>OTTOBRE 2025</v>
      </c>
      <c r="F655" s="57" t="str">
        <f>CONCATENATE(D655," ",E655)</f>
        <v>10 OTTOBRE 2025</v>
      </c>
      <c r="G655" s="1309" t="s">
        <v>91</v>
      </c>
      <c r="H655" s="1309" t="str">
        <f>VLOOKUP(G655,CATEGORIE!$H$3:$I$104,2,FALSE)</f>
        <v>COSTO SOPRAVVIVENZA</v>
      </c>
      <c r="I655" s="59">
        <v>1</v>
      </c>
      <c r="J655" s="940"/>
      <c r="K655" s="59"/>
      <c r="L655" s="59" t="s">
        <v>216</v>
      </c>
    </row>
    <row r="656" spans="1:12">
      <c r="A656" s="57" t="s">
        <v>237</v>
      </c>
      <c r="B656" s="57" t="s">
        <v>217</v>
      </c>
      <c r="C656" s="57">
        <v>2025</v>
      </c>
      <c r="D656" s="58">
        <f>MATCH(B656,{"GENNAIO","FEBBRAIO","MARZO","APRILE","MAGGIO","GIUGNO","LUGLIO","AGOSTO","SETTEMBRE","OTTOBRE","NOVEMBRE","DICEMBRE"},0)</f>
        <v>10</v>
      </c>
      <c r="E656" s="57" t="str">
        <f t="shared" ref="E656" si="1054">CONCATENATE(,B656," ",C656)</f>
        <v>OTTOBRE 2025</v>
      </c>
      <c r="F656" s="57" t="str">
        <f t="shared" ref="F656" si="1055">CONCATENATE(D656," ",E656)</f>
        <v>10 OTTOBRE 2025</v>
      </c>
      <c r="G656" s="1309" t="s">
        <v>1250</v>
      </c>
      <c r="H656" s="1309" t="str">
        <f>VLOOKUP(G656,CATEGORIE!$H$3:$I$104,2,FALSE)</f>
        <v>COSTO VACANZE</v>
      </c>
      <c r="I656" s="59">
        <v>19.760000000000002</v>
      </c>
      <c r="J656" s="940"/>
      <c r="K656" s="59"/>
      <c r="L656" s="59" t="s">
        <v>216</v>
      </c>
    </row>
    <row r="657" spans="1:12">
      <c r="A657" s="57" t="s">
        <v>237</v>
      </c>
      <c r="B657" s="57" t="s">
        <v>217</v>
      </c>
      <c r="C657" s="57">
        <v>2025</v>
      </c>
      <c r="D657" s="58">
        <f>MATCH(B657,{"GENNAIO","FEBBRAIO","MARZO","APRILE","MAGGIO","GIUGNO","LUGLIO","AGOSTO","SETTEMBRE","OTTOBRE","NOVEMBRE","DICEMBRE"},0)</f>
        <v>10</v>
      </c>
      <c r="E657" s="57" t="str">
        <f t="shared" ref="E657" si="1056">CONCATENATE(,B657," ",C657)</f>
        <v>OTTOBRE 2025</v>
      </c>
      <c r="F657" s="57" t="str">
        <f t="shared" ref="F657" si="1057">CONCATENATE(D657," ",E657)</f>
        <v>10 OTTOBRE 2025</v>
      </c>
      <c r="G657" s="1309" t="s">
        <v>1250</v>
      </c>
      <c r="H657" s="1309" t="str">
        <f>VLOOKUP(G657,CATEGORIE!$H$3:$I$104,2,FALSE)</f>
        <v>COSTO VACANZE</v>
      </c>
      <c r="I657" s="59">
        <v>26</v>
      </c>
      <c r="J657" s="940"/>
      <c r="K657" s="59"/>
      <c r="L657" s="59" t="s">
        <v>216</v>
      </c>
    </row>
    <row r="658" spans="1:12">
      <c r="A658" s="57" t="s">
        <v>237</v>
      </c>
      <c r="B658" s="57" t="s">
        <v>217</v>
      </c>
      <c r="C658" s="57">
        <v>2025</v>
      </c>
      <c r="D658" s="58">
        <f>MATCH(B658,{"GENNAIO","FEBBRAIO","MARZO","APRILE","MAGGIO","GIUGNO","LUGLIO","AGOSTO","SETTEMBRE","OTTOBRE","NOVEMBRE","DICEMBRE"},0)</f>
        <v>10</v>
      </c>
      <c r="E658" s="57" t="str">
        <f t="shared" ref="E658" si="1058">CONCATENATE(,B658," ",C658)</f>
        <v>OTTOBRE 2025</v>
      </c>
      <c r="F658" s="57" t="str">
        <f t="shared" ref="F658" si="1059">CONCATENATE(D658," ",E658)</f>
        <v>10 OTTOBRE 2025</v>
      </c>
      <c r="G658" s="1309" t="s">
        <v>1250</v>
      </c>
      <c r="H658" s="1309" t="str">
        <f>VLOOKUP(G658,CATEGORIE!$H$3:$I$104,2,FALSE)</f>
        <v>COSTO VACANZE</v>
      </c>
      <c r="I658" s="59">
        <v>3.99</v>
      </c>
      <c r="J658" s="940"/>
      <c r="K658" s="59"/>
      <c r="L658" s="59" t="s">
        <v>216</v>
      </c>
    </row>
    <row r="659" spans="1:12">
      <c r="A659" s="57" t="s">
        <v>237</v>
      </c>
      <c r="B659" s="57" t="s">
        <v>217</v>
      </c>
      <c r="C659" s="57">
        <v>2025</v>
      </c>
      <c r="D659" s="58">
        <f>MATCH(B659,{"GENNAIO","FEBBRAIO","MARZO","APRILE","MAGGIO","GIUGNO","LUGLIO","AGOSTO","SETTEMBRE","OTTOBRE","NOVEMBRE","DICEMBRE"},0)</f>
        <v>10</v>
      </c>
      <c r="E659" s="57" t="str">
        <f t="shared" ref="E659" si="1060">CONCATENATE(,B659," ",C659)</f>
        <v>OTTOBRE 2025</v>
      </c>
      <c r="F659" s="57" t="str">
        <f t="shared" ref="F659" si="1061">CONCATENATE(D659," ",E659)</f>
        <v>10 OTTOBRE 2025</v>
      </c>
      <c r="G659" s="1309" t="s">
        <v>1250</v>
      </c>
      <c r="H659" s="1309" t="str">
        <f>VLOOKUP(G659,CATEGORIE!$H$3:$I$104,2,FALSE)</f>
        <v>COSTO VACANZE</v>
      </c>
      <c r="I659" s="59">
        <v>19.95</v>
      </c>
      <c r="J659" s="940"/>
      <c r="K659" s="59"/>
      <c r="L659" s="59" t="s">
        <v>216</v>
      </c>
    </row>
    <row r="660" spans="1:12">
      <c r="A660" s="57" t="s">
        <v>238</v>
      </c>
      <c r="B660" s="57" t="s">
        <v>217</v>
      </c>
      <c r="C660" s="57">
        <v>2025</v>
      </c>
      <c r="D660" s="58">
        <f>MATCH(B660,{"GENNAIO","FEBBRAIO","MARZO","APRILE","MAGGIO","GIUGNO","LUGLIO","AGOSTO","SETTEMBRE","OTTOBRE","NOVEMBRE","DICEMBRE"},0)</f>
        <v>10</v>
      </c>
      <c r="E660" s="57" t="str">
        <f t="shared" ref="E660" si="1062">CONCATENATE(,B660," ",C660)</f>
        <v>OTTOBRE 2025</v>
      </c>
      <c r="F660" s="57" t="str">
        <f t="shared" ref="F660" si="1063">CONCATENATE(D660," ",E660)</f>
        <v>10 OTTOBRE 2025</v>
      </c>
      <c r="G660" s="1309" t="s">
        <v>94</v>
      </c>
      <c r="H660" s="1309" t="str">
        <f>VLOOKUP(G660,CATEGORIE!$H$3:$I$104,2,FALSE)</f>
        <v>COSTO SVAGHI</v>
      </c>
      <c r="I660" s="59">
        <v>161.19999999999999</v>
      </c>
      <c r="J660" s="940"/>
      <c r="K660" s="59"/>
      <c r="L660" s="59" t="s">
        <v>216</v>
      </c>
    </row>
    <row r="661" spans="1:12">
      <c r="A661" s="57" t="s">
        <v>239</v>
      </c>
      <c r="B661" s="57" t="s">
        <v>217</v>
      </c>
      <c r="C661" s="57">
        <v>2025</v>
      </c>
      <c r="D661" s="58">
        <f>MATCH(B661,{"GENNAIO","FEBBRAIO","MARZO","APRILE","MAGGIO","GIUGNO","LUGLIO","AGOSTO","SETTEMBRE","OTTOBRE","NOVEMBRE","DICEMBRE"},0)</f>
        <v>10</v>
      </c>
      <c r="E661" s="57" t="str">
        <f>CONCATENATE(,B661," ",C661)</f>
        <v>OTTOBRE 2025</v>
      </c>
      <c r="F661" s="57" t="str">
        <f>CONCATENATE(D661," ",E661)</f>
        <v>10 OTTOBRE 2025</v>
      </c>
      <c r="G661" s="1309" t="s">
        <v>91</v>
      </c>
      <c r="H661" s="1309" t="str">
        <f>VLOOKUP(G661,CATEGORIE!$H$3:$I$104,2,FALSE)</f>
        <v>COSTO SOPRAVVIVENZA</v>
      </c>
      <c r="I661" s="59">
        <v>2</v>
      </c>
      <c r="J661" s="940"/>
      <c r="K661" s="59"/>
      <c r="L661" s="59" t="s">
        <v>216</v>
      </c>
    </row>
    <row r="662" spans="1:12">
      <c r="A662" s="57" t="s">
        <v>239</v>
      </c>
      <c r="B662" s="57" t="s">
        <v>217</v>
      </c>
      <c r="C662" s="57">
        <v>2025</v>
      </c>
      <c r="D662" s="58">
        <f>MATCH(B662,{"GENNAIO","FEBBRAIO","MARZO","APRILE","MAGGIO","GIUGNO","LUGLIO","AGOSTO","SETTEMBRE","OTTOBRE","NOVEMBRE","DICEMBRE"},0)</f>
        <v>10</v>
      </c>
      <c r="E662" s="57" t="str">
        <f t="shared" ref="E662" si="1064">CONCATENATE(,B662," ",C662)</f>
        <v>OTTOBRE 2025</v>
      </c>
      <c r="F662" s="57" t="str">
        <f t="shared" ref="F662" si="1065">CONCATENATE(D662," ",E662)</f>
        <v>10 OTTOBRE 2025</v>
      </c>
      <c r="G662" s="1309" t="s">
        <v>163</v>
      </c>
      <c r="H662" s="1309" t="str">
        <f>VLOOKUP(G662,CATEGORIE!$H$3:$I$104,2,FALSE)</f>
        <v>COSTO SVAGHI</v>
      </c>
      <c r="I662" s="59">
        <v>9.4</v>
      </c>
      <c r="J662" s="940"/>
      <c r="K662" s="59"/>
      <c r="L662" s="59" t="s">
        <v>216</v>
      </c>
    </row>
    <row r="663" spans="1:12">
      <c r="A663" s="57" t="s">
        <v>239</v>
      </c>
      <c r="B663" s="57" t="s">
        <v>217</v>
      </c>
      <c r="C663" s="57">
        <v>2025</v>
      </c>
      <c r="D663" s="58">
        <f>MATCH(B663,{"GENNAIO","FEBBRAIO","MARZO","APRILE","MAGGIO","GIUGNO","LUGLIO","AGOSTO","SETTEMBRE","OTTOBRE","NOVEMBRE","DICEMBRE"},0)</f>
        <v>10</v>
      </c>
      <c r="E663" s="57" t="str">
        <f t="shared" ref="E663:E665" si="1066">CONCATENATE(,B663," ",C663)</f>
        <v>OTTOBRE 2025</v>
      </c>
      <c r="F663" s="57" t="str">
        <f t="shared" ref="F663:F665" si="1067">CONCATENATE(D663," ",E663)</f>
        <v>10 OTTOBRE 2025</v>
      </c>
      <c r="G663" s="1309" t="s">
        <v>163</v>
      </c>
      <c r="H663" s="1309" t="str">
        <f>VLOOKUP(G663,CATEGORIE!$H$3:$I$104,2,FALSE)</f>
        <v>COSTO SVAGHI</v>
      </c>
      <c r="I663" s="59">
        <v>3.5</v>
      </c>
      <c r="J663" s="940"/>
      <c r="K663" s="59"/>
      <c r="L663" s="59" t="s">
        <v>216</v>
      </c>
    </row>
    <row r="664" spans="1:12">
      <c r="A664" s="57" t="s">
        <v>196</v>
      </c>
      <c r="B664" s="57" t="s">
        <v>217</v>
      </c>
      <c r="C664" s="57">
        <v>2025</v>
      </c>
      <c r="D664" s="58">
        <f>MATCH(B664,{"GENNAIO","FEBBRAIO","MARZO","APRILE","MAGGIO","GIUGNO","LUGLIO","AGOSTO","SETTEMBRE","OTTOBRE","NOVEMBRE","DICEMBRE"},0)</f>
        <v>10</v>
      </c>
      <c r="E664" s="57" t="str">
        <f t="shared" ref="E664" si="1068">CONCATENATE(,B664," ",C664)</f>
        <v>OTTOBRE 2025</v>
      </c>
      <c r="F664" s="57" t="str">
        <f t="shared" ref="F664" si="1069">CONCATENATE(D664," ",E664)</f>
        <v>10 OTTOBRE 2025</v>
      </c>
      <c r="G664" s="1309" t="s">
        <v>94</v>
      </c>
      <c r="H664" s="1309" t="str">
        <f>VLOOKUP(G664,CATEGORIE!$H$3:$I$104,2,FALSE)</f>
        <v>COSTO SVAGHI</v>
      </c>
      <c r="I664" s="59">
        <v>2.9</v>
      </c>
      <c r="J664" s="940"/>
      <c r="K664" s="59"/>
      <c r="L664" s="59" t="s">
        <v>216</v>
      </c>
    </row>
    <row r="665" spans="1:12">
      <c r="A665" s="57" t="s">
        <v>196</v>
      </c>
      <c r="B665" s="57" t="s">
        <v>217</v>
      </c>
      <c r="C665" s="57">
        <v>2025</v>
      </c>
      <c r="D665" s="58">
        <f>MATCH(B665,{"GENNAIO","FEBBRAIO","MARZO","APRILE","MAGGIO","GIUGNO","LUGLIO","AGOSTO","SETTEMBRE","OTTOBRE","NOVEMBRE","DICEMBRE"},0)</f>
        <v>10</v>
      </c>
      <c r="E665" s="57" t="str">
        <f t="shared" si="1066"/>
        <v>OTTOBRE 2025</v>
      </c>
      <c r="F665" s="57" t="str">
        <f t="shared" si="1067"/>
        <v>10 OTTOBRE 2025</v>
      </c>
      <c r="G665" s="1309" t="s">
        <v>94</v>
      </c>
      <c r="H665" s="1309" t="str">
        <f>VLOOKUP(G665,CATEGORIE!$H$3:$I$104,2,FALSE)</f>
        <v>COSTO SVAGHI</v>
      </c>
      <c r="I665" s="59">
        <v>14.9</v>
      </c>
      <c r="J665" s="940"/>
      <c r="K665" s="59"/>
      <c r="L665" s="59" t="s">
        <v>216</v>
      </c>
    </row>
    <row r="666" spans="1:12">
      <c r="A666" s="57" t="s">
        <v>92</v>
      </c>
      <c r="B666" s="57" t="s">
        <v>217</v>
      </c>
      <c r="C666" s="57">
        <v>2025</v>
      </c>
      <c r="D666" s="58">
        <f>MATCH(B666,{"GENNAIO","FEBBRAIO","MARZO","APRILE","MAGGIO","GIUGNO","LUGLIO","AGOSTO","SETTEMBRE","OTTOBRE","NOVEMBRE","DICEMBRE"},0)</f>
        <v>10</v>
      </c>
      <c r="E666" s="57" t="str">
        <f t="shared" ref="E666" si="1070">CONCATENATE(,B666," ",C666)</f>
        <v>OTTOBRE 2025</v>
      </c>
      <c r="F666" s="57" t="str">
        <f t="shared" ref="F666" si="1071">CONCATENATE(D666," ",E666)</f>
        <v>10 OTTOBRE 2025</v>
      </c>
      <c r="G666" s="1309" t="s">
        <v>93</v>
      </c>
      <c r="H666" s="1309" t="str">
        <f>VLOOKUP(G666,CATEGORIE!$H$3:$I$104,2,FALSE)</f>
        <v>COSTO SOPRAVVIVENZA</v>
      </c>
      <c r="I666" s="59">
        <v>7</v>
      </c>
      <c r="J666" s="940"/>
      <c r="K666" s="59"/>
      <c r="L666" s="59"/>
    </row>
    <row r="667" spans="1:12">
      <c r="A667" s="57" t="s">
        <v>101</v>
      </c>
      <c r="B667" s="57" t="s">
        <v>217</v>
      </c>
      <c r="C667" s="57">
        <v>2025</v>
      </c>
      <c r="D667" s="58">
        <f>MATCH(B667,{"GENNAIO","FEBBRAIO","MARZO","APRILE","MAGGIO","GIUGNO","LUGLIO","AGOSTO","SETTEMBRE","OTTOBRE","NOVEMBRE","DICEMBRE"},0)</f>
        <v>10</v>
      </c>
      <c r="E667" s="57" t="str">
        <f>CONCATENATE(,B667," ",C667)</f>
        <v>OTTOBRE 2025</v>
      </c>
      <c r="F667" s="57" t="str">
        <f>CONCATENATE(D667," ",E667)</f>
        <v>10 OTTOBRE 2025</v>
      </c>
      <c r="G667" s="1309" t="s">
        <v>91</v>
      </c>
      <c r="H667" s="1309" t="str">
        <f>VLOOKUP(G667,CATEGORIE!$H$3:$I$104,2,FALSE)</f>
        <v>COSTO SOPRAVVIVENZA</v>
      </c>
      <c r="I667" s="59">
        <v>0.4</v>
      </c>
      <c r="J667" s="940"/>
      <c r="K667" s="59"/>
      <c r="L667" s="59"/>
    </row>
    <row r="668" spans="1:12">
      <c r="A668" s="57" t="s">
        <v>101</v>
      </c>
      <c r="B668" s="57" t="s">
        <v>240</v>
      </c>
      <c r="C668" s="57">
        <v>2025</v>
      </c>
      <c r="D668" s="58">
        <f>MATCH(B668,{"GENNAIO","FEBBRAIO","MARZO","APRILE","MAGGIO","GIUGNO","LUGLIO","AGOSTO","SETTEMBRE","OTTOBRE","NOVEMBRE","DICEMBRE"},0)</f>
        <v>9</v>
      </c>
      <c r="E668" s="57" t="str">
        <f>CONCATENATE(,B668," ",C668)</f>
        <v>SETTEMBRE 2025</v>
      </c>
      <c r="F668" s="57" t="str">
        <f>CONCATENATE(D668," ",E668)</f>
        <v>9 SETTEMBRE 2025</v>
      </c>
      <c r="G668" s="1309" t="s">
        <v>91</v>
      </c>
      <c r="H668" s="1309" t="str">
        <f>VLOOKUP(G668,CATEGORIE!$H$3:$I$104,2,FALSE)</f>
        <v>COSTO SOPRAVVIVENZA</v>
      </c>
      <c r="I668" s="59">
        <v>0.4</v>
      </c>
      <c r="J668" s="940"/>
      <c r="K668" s="59"/>
      <c r="L668" s="59"/>
    </row>
    <row r="669" spans="1:12">
      <c r="A669" s="57" t="s">
        <v>101</v>
      </c>
      <c r="B669" s="57" t="s">
        <v>240</v>
      </c>
      <c r="C669" s="57">
        <v>2025</v>
      </c>
      <c r="D669" s="58">
        <f>MATCH(B669,{"GENNAIO","FEBBRAIO","MARZO","APRILE","MAGGIO","GIUGNO","LUGLIO","AGOSTO","SETTEMBRE","OTTOBRE","NOVEMBRE","DICEMBRE"},0)</f>
        <v>9</v>
      </c>
      <c r="E669" s="57" t="str">
        <f>CONCATENATE(,B669," ",C669)</f>
        <v>SETTEMBRE 2025</v>
      </c>
      <c r="F669" s="57" t="str">
        <f>CONCATENATE(D669," ",E669)</f>
        <v>9 SETTEMBRE 2025</v>
      </c>
      <c r="G669" s="1309" t="s">
        <v>91</v>
      </c>
      <c r="H669" s="1309" t="str">
        <f>VLOOKUP(G669,CATEGORIE!$H$3:$I$104,2,FALSE)</f>
        <v>COSTO SOPRAVVIVENZA</v>
      </c>
      <c r="I669" s="59">
        <v>0.4</v>
      </c>
      <c r="J669" s="940"/>
      <c r="K669" s="59"/>
      <c r="L669" s="59"/>
    </row>
    <row r="670" spans="1:12">
      <c r="A670" s="57" t="s">
        <v>101</v>
      </c>
      <c r="B670" s="57" t="s">
        <v>240</v>
      </c>
      <c r="C670" s="57">
        <v>2025</v>
      </c>
      <c r="D670" s="58">
        <f>MATCH(B670,{"GENNAIO","FEBBRAIO","MARZO","APRILE","MAGGIO","GIUGNO","LUGLIO","AGOSTO","SETTEMBRE","OTTOBRE","NOVEMBRE","DICEMBRE"},0)</f>
        <v>9</v>
      </c>
      <c r="E670" s="57" t="str">
        <f>CONCATENATE(,B670," ",C670)</f>
        <v>SETTEMBRE 2025</v>
      </c>
      <c r="F670" s="57" t="str">
        <f>CONCATENATE(D670," ",E670)</f>
        <v>9 SETTEMBRE 2025</v>
      </c>
      <c r="G670" s="1309" t="s">
        <v>91</v>
      </c>
      <c r="H670" s="1309" t="str">
        <f>VLOOKUP(G670,CATEGORIE!$H$3:$I$104,2,FALSE)</f>
        <v>COSTO SOPRAVVIVENZA</v>
      </c>
      <c r="I670" s="59">
        <v>0.4</v>
      </c>
      <c r="J670" s="940"/>
      <c r="K670" s="59"/>
      <c r="L670" s="59"/>
    </row>
    <row r="671" spans="1:12">
      <c r="A671" s="57" t="s">
        <v>241</v>
      </c>
      <c r="B671" s="57" t="s">
        <v>240</v>
      </c>
      <c r="C671" s="57">
        <v>2025</v>
      </c>
      <c r="D671" s="58">
        <f>MATCH(B671,{"GENNAIO","FEBBRAIO","MARZO","APRILE","MAGGIO","GIUGNO","LUGLIO","AGOSTO","SETTEMBRE","OTTOBRE","NOVEMBRE","DICEMBRE"},0)</f>
        <v>9</v>
      </c>
      <c r="E671" s="57" t="str">
        <f t="shared" ref="E671" si="1072">CONCATENATE(,B671," ",C671)</f>
        <v>SETTEMBRE 2025</v>
      </c>
      <c r="F671" s="57" t="str">
        <f t="shared" ref="F671" si="1073">CONCATENATE(D671," ",E671)</f>
        <v>9 SETTEMBRE 2025</v>
      </c>
      <c r="G671" s="1309" t="s">
        <v>242</v>
      </c>
      <c r="H671" s="1309" t="str">
        <f>VLOOKUP(G671,CATEGORIE!$H$3:$I$104,2,FALSE)</f>
        <v>COSTO ABBONAMENTI</v>
      </c>
      <c r="I671" s="59">
        <v>12.49</v>
      </c>
      <c r="J671" s="940"/>
      <c r="K671" s="59" t="s">
        <v>112</v>
      </c>
      <c r="L671" s="59"/>
    </row>
    <row r="672" spans="1:12">
      <c r="A672" s="57" t="s">
        <v>159</v>
      </c>
      <c r="B672" s="57" t="s">
        <v>240</v>
      </c>
      <c r="C672" s="57">
        <v>2025</v>
      </c>
      <c r="D672" s="58">
        <f>MATCH(B672,{"GENNAIO","FEBBRAIO","MARZO","APRILE","MAGGIO","GIUGNO","LUGLIO","AGOSTO","SETTEMBRE","OTTOBRE","NOVEMBRE","DICEMBRE"},0)</f>
        <v>9</v>
      </c>
      <c r="E672" s="57" t="str">
        <f t="shared" ref="E672" si="1074">CONCATENATE(,B672," ",C672)</f>
        <v>SETTEMBRE 2025</v>
      </c>
      <c r="F672" s="57" t="str">
        <f t="shared" ref="F672" si="1075">CONCATENATE(D672," ",E672)</f>
        <v>9 SETTEMBRE 2025</v>
      </c>
      <c r="G672" s="1309" t="s">
        <v>94</v>
      </c>
      <c r="H672" s="1309" t="str">
        <f>VLOOKUP(G672,CATEGORIE!$H$3:$I$104,2,FALSE)</f>
        <v>COSTO SVAGHI</v>
      </c>
      <c r="I672" s="59">
        <v>43</v>
      </c>
      <c r="J672" s="940"/>
      <c r="K672" s="59"/>
      <c r="L672" s="59"/>
    </row>
    <row r="673" spans="1:12">
      <c r="A673" s="57" t="s">
        <v>130</v>
      </c>
      <c r="B673" s="57" t="s">
        <v>240</v>
      </c>
      <c r="C673" s="57">
        <v>2025</v>
      </c>
      <c r="D673" s="58">
        <f>MATCH(B673,{"GENNAIO","FEBBRAIO","MARZO","APRILE","MAGGIO","GIUGNO","LUGLIO","AGOSTO","SETTEMBRE","OTTOBRE","NOVEMBRE","DICEMBRE"},0)</f>
        <v>9</v>
      </c>
      <c r="E673" s="57" t="str">
        <f t="shared" ref="E673" si="1076">CONCATENATE(,B673," ",C673)</f>
        <v>SETTEMBRE 2025</v>
      </c>
      <c r="F673" s="57" t="str">
        <f t="shared" ref="F673" si="1077">CONCATENATE(D673," ",E673)</f>
        <v>9 SETTEMBRE 2025</v>
      </c>
      <c r="G673" s="1309" t="s">
        <v>94</v>
      </c>
      <c r="H673" s="1309" t="str">
        <f>VLOOKUP(G673,CATEGORIE!$H$3:$I$104,2,FALSE)</f>
        <v>COSTO SVAGHI</v>
      </c>
      <c r="I673" s="59">
        <v>18</v>
      </c>
      <c r="J673" s="940"/>
      <c r="K673" s="59"/>
      <c r="L673" s="59"/>
    </row>
    <row r="674" spans="1:12">
      <c r="A674" s="57" t="s">
        <v>105</v>
      </c>
      <c r="B674" s="57" t="s">
        <v>240</v>
      </c>
      <c r="C674" s="57">
        <v>2025</v>
      </c>
      <c r="D674" s="58">
        <f>MATCH(B674,{"GENNAIO","FEBBRAIO","MARZO","APRILE","MAGGIO","GIUGNO","LUGLIO","AGOSTO","SETTEMBRE","OTTOBRE","NOVEMBRE","DICEMBRE"},0)</f>
        <v>9</v>
      </c>
      <c r="E674" s="57" t="str">
        <f t="shared" ref="E674" si="1078">CONCATENATE(,B674," ",C674)</f>
        <v>SETTEMBRE 2025</v>
      </c>
      <c r="F674" s="57" t="str">
        <f t="shared" ref="F674" si="1079">CONCATENATE(D674," ",E674)</f>
        <v>9 SETTEMBRE 2025</v>
      </c>
      <c r="G674" s="1309" t="s">
        <v>96</v>
      </c>
      <c r="H674" s="1309" t="str">
        <f>VLOOKUP(G674,CATEGORIE!$H$3:$I$104,2,FALSE)</f>
        <v>COSTO SOPRAVVIVENZA</v>
      </c>
      <c r="I674" s="59">
        <v>12.14</v>
      </c>
      <c r="J674" s="940"/>
      <c r="K674" s="59"/>
      <c r="L674" s="59"/>
    </row>
    <row r="675" spans="1:12">
      <c r="A675" s="57" t="s">
        <v>95</v>
      </c>
      <c r="B675" s="57" t="s">
        <v>240</v>
      </c>
      <c r="C675" s="57">
        <v>2025</v>
      </c>
      <c r="D675" s="58">
        <f>MATCH(B675,{"GENNAIO","FEBBRAIO","MARZO","APRILE","MAGGIO","GIUGNO","LUGLIO","AGOSTO","SETTEMBRE","OTTOBRE","NOVEMBRE","DICEMBRE"},0)</f>
        <v>9</v>
      </c>
      <c r="E675" s="57" t="str">
        <f t="shared" ref="E675" si="1080">CONCATENATE(,B675," ",C675)</f>
        <v>SETTEMBRE 2025</v>
      </c>
      <c r="F675" s="57" t="str">
        <f t="shared" ref="F675" si="1081">CONCATENATE(D675," ",E675)</f>
        <v>9 SETTEMBRE 2025</v>
      </c>
      <c r="G675" s="1309" t="s">
        <v>96</v>
      </c>
      <c r="H675" s="1309" t="str">
        <f>VLOOKUP(G675,CATEGORIE!$H$3:$I$104,2,FALSE)</f>
        <v>COSTO SOPRAVVIVENZA</v>
      </c>
      <c r="I675" s="59">
        <v>6.17</v>
      </c>
      <c r="J675" s="940"/>
      <c r="K675" s="59"/>
      <c r="L675" s="59"/>
    </row>
    <row r="676" spans="1:12">
      <c r="A676" s="57" t="s">
        <v>243</v>
      </c>
      <c r="B676" s="57" t="s">
        <v>240</v>
      </c>
      <c r="C676" s="57">
        <v>2025</v>
      </c>
      <c r="D676" s="58">
        <f>MATCH(B676,{"GENNAIO","FEBBRAIO","MARZO","APRILE","MAGGIO","GIUGNO","LUGLIO","AGOSTO","SETTEMBRE","OTTOBRE","NOVEMBRE","DICEMBRE"},0)</f>
        <v>9</v>
      </c>
      <c r="E676" s="57" t="str">
        <f t="shared" ref="E676" si="1082">CONCATENATE(,B676," ",C676)</f>
        <v>SETTEMBRE 2025</v>
      </c>
      <c r="F676" s="57" t="str">
        <f t="shared" ref="F676" si="1083">CONCATENATE(D676," ",E676)</f>
        <v>9 SETTEMBRE 2025</v>
      </c>
      <c r="G676" s="1309" t="s">
        <v>94</v>
      </c>
      <c r="H676" s="1309" t="str">
        <f>VLOOKUP(G676,CATEGORIE!$H$3:$I$104,2,FALSE)</f>
        <v>COSTO SVAGHI</v>
      </c>
      <c r="I676" s="59">
        <v>34</v>
      </c>
      <c r="J676" s="940"/>
      <c r="K676" s="59"/>
      <c r="L676" s="59"/>
    </row>
    <row r="677" spans="1:12">
      <c r="A677" s="57" t="s">
        <v>92</v>
      </c>
      <c r="B677" s="57" t="s">
        <v>240</v>
      </c>
      <c r="C677" s="57">
        <v>2025</v>
      </c>
      <c r="D677" s="58">
        <f>MATCH(B677,{"GENNAIO","FEBBRAIO","MARZO","APRILE","MAGGIO","GIUGNO","LUGLIO","AGOSTO","SETTEMBRE","OTTOBRE","NOVEMBRE","DICEMBRE"},0)</f>
        <v>9</v>
      </c>
      <c r="E677" s="57" t="str">
        <f t="shared" ref="E677" si="1084">CONCATENATE(,B677," ",C677)</f>
        <v>SETTEMBRE 2025</v>
      </c>
      <c r="F677" s="57" t="str">
        <f t="shared" ref="F677" si="1085">CONCATENATE(D677," ",E677)</f>
        <v>9 SETTEMBRE 2025</v>
      </c>
      <c r="G677" s="1309" t="s">
        <v>93</v>
      </c>
      <c r="H677" s="1309" t="str">
        <f>VLOOKUP(G677,CATEGORIE!$H$3:$I$104,2,FALSE)</f>
        <v>COSTO SOPRAVVIVENZA</v>
      </c>
      <c r="I677" s="59">
        <v>7</v>
      </c>
      <c r="J677" s="940"/>
      <c r="K677" s="59"/>
      <c r="L677" s="59"/>
    </row>
    <row r="678" spans="1:12">
      <c r="A678" s="57" t="s">
        <v>101</v>
      </c>
      <c r="B678" s="57" t="s">
        <v>240</v>
      </c>
      <c r="C678" s="57">
        <v>2025</v>
      </c>
      <c r="D678" s="58">
        <f>MATCH(B678,{"GENNAIO","FEBBRAIO","MARZO","APRILE","MAGGIO","GIUGNO","LUGLIO","AGOSTO","SETTEMBRE","OTTOBRE","NOVEMBRE","DICEMBRE"},0)</f>
        <v>9</v>
      </c>
      <c r="E678" s="57" t="str">
        <f>CONCATENATE(,B678," ",C678)</f>
        <v>SETTEMBRE 2025</v>
      </c>
      <c r="F678" s="57" t="str">
        <f>CONCATENATE(D678," ",E678)</f>
        <v>9 SETTEMBRE 2025</v>
      </c>
      <c r="G678" s="1309" t="s">
        <v>91</v>
      </c>
      <c r="H678" s="1309" t="str">
        <f>VLOOKUP(G678,CATEGORIE!$H$3:$I$104,2,FALSE)</f>
        <v>COSTO SOPRAVVIVENZA</v>
      </c>
      <c r="I678" s="59">
        <v>0.4</v>
      </c>
      <c r="J678" s="940"/>
      <c r="K678" s="59"/>
      <c r="L678" s="59"/>
    </row>
    <row r="679" spans="1:12">
      <c r="A679" s="57" t="s">
        <v>101</v>
      </c>
      <c r="B679" s="57" t="s">
        <v>240</v>
      </c>
      <c r="C679" s="57">
        <v>2025</v>
      </c>
      <c r="D679" s="58">
        <f>MATCH(B679,{"GENNAIO","FEBBRAIO","MARZO","APRILE","MAGGIO","GIUGNO","LUGLIO","AGOSTO","SETTEMBRE","OTTOBRE","NOVEMBRE","DICEMBRE"},0)</f>
        <v>9</v>
      </c>
      <c r="E679" s="57" t="str">
        <f>CONCATENATE(,B679," ",C679)</f>
        <v>SETTEMBRE 2025</v>
      </c>
      <c r="F679" s="57" t="str">
        <f>CONCATENATE(D679," ",E679)</f>
        <v>9 SETTEMBRE 2025</v>
      </c>
      <c r="G679" s="1309" t="s">
        <v>91</v>
      </c>
      <c r="H679" s="1309" t="str">
        <f>VLOOKUP(G679,CATEGORIE!$H$3:$I$104,2,FALSE)</f>
        <v>COSTO SOPRAVVIVENZA</v>
      </c>
      <c r="I679" s="59">
        <v>0.4</v>
      </c>
      <c r="J679" s="940"/>
      <c r="K679" s="59"/>
      <c r="L679" s="59"/>
    </row>
    <row r="680" spans="1:12">
      <c r="A680" s="57" t="s">
        <v>101</v>
      </c>
      <c r="B680" s="57" t="s">
        <v>240</v>
      </c>
      <c r="C680" s="57">
        <v>2025</v>
      </c>
      <c r="D680" s="58">
        <f>MATCH(B680,{"GENNAIO","FEBBRAIO","MARZO","APRILE","MAGGIO","GIUGNO","LUGLIO","AGOSTO","SETTEMBRE","OTTOBRE","NOVEMBRE","DICEMBRE"},0)</f>
        <v>9</v>
      </c>
      <c r="E680" s="57" t="str">
        <f>CONCATENATE(,B680," ",C680)</f>
        <v>SETTEMBRE 2025</v>
      </c>
      <c r="F680" s="57" t="str">
        <f>CONCATENATE(D680," ",E680)</f>
        <v>9 SETTEMBRE 2025</v>
      </c>
      <c r="G680" s="1309" t="s">
        <v>91</v>
      </c>
      <c r="H680" s="1309" t="str">
        <f>VLOOKUP(G680,CATEGORIE!$H$3:$I$104,2,FALSE)</f>
        <v>COSTO SOPRAVVIVENZA</v>
      </c>
      <c r="I680" s="59">
        <v>0.4</v>
      </c>
      <c r="J680" s="940"/>
      <c r="K680" s="59"/>
      <c r="L680" s="59"/>
    </row>
    <row r="681" spans="1:12">
      <c r="A681" s="57" t="s">
        <v>92</v>
      </c>
      <c r="B681" s="57" t="s">
        <v>240</v>
      </c>
      <c r="C681" s="57">
        <v>2025</v>
      </c>
      <c r="D681" s="58">
        <f>MATCH(B681,{"GENNAIO","FEBBRAIO","MARZO","APRILE","MAGGIO","GIUGNO","LUGLIO","AGOSTO","SETTEMBRE","OTTOBRE","NOVEMBRE","DICEMBRE"},0)</f>
        <v>9</v>
      </c>
      <c r="E681" s="57" t="str">
        <f t="shared" ref="E681" si="1086">CONCATENATE(,B681," ",C681)</f>
        <v>SETTEMBRE 2025</v>
      </c>
      <c r="F681" s="57" t="str">
        <f t="shared" ref="F681" si="1087">CONCATENATE(D681," ",E681)</f>
        <v>9 SETTEMBRE 2025</v>
      </c>
      <c r="G681" s="1309" t="s">
        <v>94</v>
      </c>
      <c r="H681" s="1309" t="str">
        <f>VLOOKUP(G681,CATEGORIE!$H$3:$I$104,2,FALSE)</f>
        <v>COSTO SVAGHI</v>
      </c>
      <c r="I681" s="59">
        <v>2.8</v>
      </c>
      <c r="J681" s="940"/>
      <c r="K681" s="59"/>
      <c r="L681" s="59"/>
    </row>
    <row r="682" spans="1:12">
      <c r="A682" s="57" t="s">
        <v>244</v>
      </c>
      <c r="B682" s="57" t="s">
        <v>240</v>
      </c>
      <c r="C682" s="57">
        <v>2025</v>
      </c>
      <c r="D682" s="58">
        <f>MATCH(B682,{"GENNAIO","FEBBRAIO","MARZO","APRILE","MAGGIO","GIUGNO","LUGLIO","AGOSTO","SETTEMBRE","OTTOBRE","NOVEMBRE","DICEMBRE"},0)</f>
        <v>9</v>
      </c>
      <c r="E682" s="57" t="str">
        <f t="shared" ref="E682" si="1088">CONCATENATE(,B682," ",C682)</f>
        <v>SETTEMBRE 2025</v>
      </c>
      <c r="F682" s="57" t="str">
        <f t="shared" ref="F682" si="1089">CONCATENATE(D682," ",E682)</f>
        <v>9 SETTEMBRE 2025</v>
      </c>
      <c r="G682" s="1309" t="s">
        <v>188</v>
      </c>
      <c r="H682" s="1309" t="str">
        <f>VLOOKUP(G682,CATEGORIE!$H$3:$I$104,2,FALSE)</f>
        <v>COSTO VACANZE</v>
      </c>
      <c r="I682" s="59">
        <v>24</v>
      </c>
      <c r="J682" s="940"/>
      <c r="K682" s="59" t="s">
        <v>112</v>
      </c>
      <c r="L682" s="59" t="s">
        <v>216</v>
      </c>
    </row>
    <row r="683" spans="1:12">
      <c r="A683" s="57" t="s">
        <v>187</v>
      </c>
      <c r="B683" s="57" t="s">
        <v>240</v>
      </c>
      <c r="C683" s="57">
        <v>2025</v>
      </c>
      <c r="D683" s="58">
        <f>MATCH(B683,{"GENNAIO","FEBBRAIO","MARZO","APRILE","MAGGIO","GIUGNO","LUGLIO","AGOSTO","SETTEMBRE","OTTOBRE","NOVEMBRE","DICEMBRE"},0)</f>
        <v>9</v>
      </c>
      <c r="E683" s="57" t="str">
        <f t="shared" ref="E683" si="1090">CONCATENATE(,B683," ",C683)</f>
        <v>SETTEMBRE 2025</v>
      </c>
      <c r="F683" s="57" t="str">
        <f t="shared" ref="F683" si="1091">CONCATENATE(D683," ",E683)</f>
        <v>9 SETTEMBRE 2025</v>
      </c>
      <c r="G683" s="1309" t="s">
        <v>188</v>
      </c>
      <c r="H683" s="1309" t="str">
        <f>VLOOKUP(G683,CATEGORIE!$H$3:$I$104,2,FALSE)</f>
        <v>COSTO VACANZE</v>
      </c>
      <c r="I683" s="59">
        <v>127.58</v>
      </c>
      <c r="J683" s="940" t="s">
        <v>138</v>
      </c>
      <c r="K683" s="59" t="s">
        <v>112</v>
      </c>
      <c r="L683" s="59" t="s">
        <v>216</v>
      </c>
    </row>
    <row r="684" spans="1:12">
      <c r="A684" s="57" t="s">
        <v>102</v>
      </c>
      <c r="B684" s="57" t="s">
        <v>240</v>
      </c>
      <c r="C684" s="57">
        <v>2025</v>
      </c>
      <c r="D684" s="58">
        <f>MATCH(B684,{"GENNAIO","FEBBRAIO","MARZO","APRILE","MAGGIO","GIUGNO","LUGLIO","AGOSTO","SETTEMBRE","OTTOBRE","NOVEMBRE","DICEMBRE"},0)</f>
        <v>9</v>
      </c>
      <c r="E684" s="57" t="str">
        <f t="shared" ref="E684" si="1092">CONCATENATE(,B684," ",C684)</f>
        <v>SETTEMBRE 2025</v>
      </c>
      <c r="F684" s="57" t="str">
        <f t="shared" ref="F684" si="1093">CONCATENATE(D684," ",E684)</f>
        <v>9 SETTEMBRE 2025</v>
      </c>
      <c r="G684" s="1309" t="s">
        <v>96</v>
      </c>
      <c r="H684" s="1309" t="str">
        <f>VLOOKUP(G684,CATEGORIE!$H$3:$I$104,2,FALSE)</f>
        <v>COSTO SOPRAVVIVENZA</v>
      </c>
      <c r="I684" s="59">
        <v>13.41</v>
      </c>
      <c r="J684" s="940"/>
      <c r="K684" s="59"/>
      <c r="L684" s="59"/>
    </row>
    <row r="685" spans="1:12">
      <c r="A685" s="57" t="s">
        <v>92</v>
      </c>
      <c r="B685" s="57" t="s">
        <v>240</v>
      </c>
      <c r="C685" s="57">
        <v>2025</v>
      </c>
      <c r="D685" s="58">
        <f>MATCH(B685,{"GENNAIO","FEBBRAIO","MARZO","APRILE","MAGGIO","GIUGNO","LUGLIO","AGOSTO","SETTEMBRE","OTTOBRE","NOVEMBRE","DICEMBRE"},0)</f>
        <v>9</v>
      </c>
      <c r="E685" s="57" t="str">
        <f t="shared" ref="E685" si="1094">CONCATENATE(,B685," ",C685)</f>
        <v>SETTEMBRE 2025</v>
      </c>
      <c r="F685" s="57" t="str">
        <f t="shared" ref="F685" si="1095">CONCATENATE(D685," ",E685)</f>
        <v>9 SETTEMBRE 2025</v>
      </c>
      <c r="G685" s="1309" t="s">
        <v>93</v>
      </c>
      <c r="H685" s="1309" t="str">
        <f>VLOOKUP(G685,CATEGORIE!$H$3:$I$104,2,FALSE)</f>
        <v>COSTO SOPRAVVIVENZA</v>
      </c>
      <c r="I685" s="59">
        <v>7</v>
      </c>
      <c r="J685" s="940"/>
      <c r="K685" s="59"/>
      <c r="L685" s="59"/>
    </row>
    <row r="686" spans="1:12">
      <c r="A686" s="57" t="s">
        <v>131</v>
      </c>
      <c r="B686" s="57" t="s">
        <v>240</v>
      </c>
      <c r="C686" s="57">
        <v>2025</v>
      </c>
      <c r="D686" s="58">
        <f>MATCH(B686,{"GENNAIO","FEBBRAIO","MARZO","APRILE","MAGGIO","GIUGNO","LUGLIO","AGOSTO","SETTEMBRE","OTTOBRE","NOVEMBRE","DICEMBRE"},0)</f>
        <v>9</v>
      </c>
      <c r="E686" s="57" t="str">
        <f t="shared" ref="E686" si="1096">CONCATENATE(,B686," ",C686)</f>
        <v>SETTEMBRE 2025</v>
      </c>
      <c r="F686" s="57" t="str">
        <f t="shared" ref="F686" si="1097">CONCATENATE(D686," ",E686)</f>
        <v>9 SETTEMBRE 2025</v>
      </c>
      <c r="G686" s="1309" t="s">
        <v>132</v>
      </c>
      <c r="H686" s="1309" t="str">
        <f>VLOOKUP(G686,CATEGORIE!$H$3:$I$104,2,FALSE)</f>
        <v>COSTO CASA</v>
      </c>
      <c r="I686" s="59">
        <v>33.33</v>
      </c>
      <c r="J686" s="940" t="s">
        <v>138</v>
      </c>
      <c r="K686" s="59" t="s">
        <v>112</v>
      </c>
      <c r="L686" s="59"/>
    </row>
    <row r="687" spans="1:12">
      <c r="A687" s="57" t="s">
        <v>245</v>
      </c>
      <c r="B687" s="57" t="s">
        <v>240</v>
      </c>
      <c r="C687" s="57">
        <v>2025</v>
      </c>
      <c r="D687" s="58">
        <f>MATCH(B687,{"GENNAIO","FEBBRAIO","MARZO","APRILE","MAGGIO","GIUGNO","LUGLIO","AGOSTO","SETTEMBRE","OTTOBRE","NOVEMBRE","DICEMBRE"},0)</f>
        <v>9</v>
      </c>
      <c r="E687" s="57" t="str">
        <f t="shared" ref="E687" si="1098">CONCATENATE(,B687," ",C687)</f>
        <v>SETTEMBRE 2025</v>
      </c>
      <c r="F687" s="57" t="str">
        <f t="shared" ref="F687" si="1099">CONCATENATE(D687," ",E687)</f>
        <v>9 SETTEMBRE 2025</v>
      </c>
      <c r="G687" s="1309" t="s">
        <v>94</v>
      </c>
      <c r="H687" s="1309" t="str">
        <f>VLOOKUP(G687,CATEGORIE!$H$3:$I$104,2,FALSE)</f>
        <v>COSTO SVAGHI</v>
      </c>
      <c r="I687" s="59">
        <v>13.1</v>
      </c>
      <c r="J687" s="940"/>
      <c r="K687" s="59"/>
      <c r="L687" s="59"/>
    </row>
    <row r="688" spans="1:12">
      <c r="A688" s="57" t="s">
        <v>92</v>
      </c>
      <c r="B688" s="57" t="s">
        <v>240</v>
      </c>
      <c r="C688" s="57">
        <v>2025</v>
      </c>
      <c r="D688" s="58">
        <f>MATCH(B688,{"GENNAIO","FEBBRAIO","MARZO","APRILE","MAGGIO","GIUGNO","LUGLIO","AGOSTO","SETTEMBRE","OTTOBRE","NOVEMBRE","DICEMBRE"},0)</f>
        <v>9</v>
      </c>
      <c r="E688" s="57" t="str">
        <f t="shared" ref="E688" si="1100">CONCATENATE(,B688," ",C688)</f>
        <v>SETTEMBRE 2025</v>
      </c>
      <c r="F688" s="57" t="str">
        <f t="shared" ref="F688" si="1101">CONCATENATE(D688," ",E688)</f>
        <v>9 SETTEMBRE 2025</v>
      </c>
      <c r="G688" s="1309" t="s">
        <v>94</v>
      </c>
      <c r="H688" s="1309" t="str">
        <f>VLOOKUP(G688,CATEGORIE!$H$3:$I$104,2,FALSE)</f>
        <v>COSTO SVAGHI</v>
      </c>
      <c r="I688" s="59">
        <v>20</v>
      </c>
      <c r="J688" s="940"/>
      <c r="K688" s="59"/>
      <c r="L688" s="59"/>
    </row>
    <row r="689" spans="1:12">
      <c r="A689" s="57" t="s">
        <v>246</v>
      </c>
      <c r="B689" s="57" t="s">
        <v>240</v>
      </c>
      <c r="C689" s="57">
        <v>2025</v>
      </c>
      <c r="D689" s="58">
        <f>MATCH(B689,{"GENNAIO","FEBBRAIO","MARZO","APRILE","MAGGIO","GIUGNO","LUGLIO","AGOSTO","SETTEMBRE","OTTOBRE","NOVEMBRE","DICEMBRE"},0)</f>
        <v>9</v>
      </c>
      <c r="E689" s="57" t="str">
        <f t="shared" ref="E689" si="1102">CONCATENATE(,B689," ",C689)</f>
        <v>SETTEMBRE 2025</v>
      </c>
      <c r="F689" s="57" t="str">
        <f t="shared" ref="F689" si="1103">CONCATENATE(D689," ",E689)</f>
        <v>9 SETTEMBRE 2025</v>
      </c>
      <c r="G689" s="1309" t="s">
        <v>94</v>
      </c>
      <c r="H689" s="1309" t="str">
        <f>VLOOKUP(G689,CATEGORIE!$H$3:$I$104,2,FALSE)</f>
        <v>COSTO SVAGHI</v>
      </c>
      <c r="I689" s="59">
        <v>6</v>
      </c>
      <c r="J689" s="940"/>
      <c r="K689" s="59"/>
      <c r="L689" s="59" t="s">
        <v>247</v>
      </c>
    </row>
    <row r="690" spans="1:12">
      <c r="A690" s="57" t="s">
        <v>248</v>
      </c>
      <c r="B690" s="57" t="s">
        <v>240</v>
      </c>
      <c r="C690" s="57">
        <v>2025</v>
      </c>
      <c r="D690" s="58">
        <f>MATCH(B690,{"GENNAIO","FEBBRAIO","MARZO","APRILE","MAGGIO","GIUGNO","LUGLIO","AGOSTO","SETTEMBRE","OTTOBRE","NOVEMBRE","DICEMBRE"},0)</f>
        <v>9</v>
      </c>
      <c r="E690" s="57" t="str">
        <f t="shared" ref="E690" si="1104">CONCATENATE(,B690," ",C690)</f>
        <v>SETTEMBRE 2025</v>
      </c>
      <c r="F690" s="57" t="str">
        <f t="shared" ref="F690" si="1105">CONCATENATE(D690," ",E690)</f>
        <v>9 SETTEMBRE 2025</v>
      </c>
      <c r="G690" s="1309" t="s">
        <v>94</v>
      </c>
      <c r="H690" s="1309" t="str">
        <f>VLOOKUP(G690,CATEGORIE!$H$3:$I$104,2,FALSE)</f>
        <v>COSTO SVAGHI</v>
      </c>
      <c r="I690" s="59">
        <v>20</v>
      </c>
      <c r="J690" s="940"/>
      <c r="K690" s="59"/>
      <c r="L690" s="59" t="s">
        <v>247</v>
      </c>
    </row>
    <row r="691" spans="1:12">
      <c r="A691" s="57" t="s">
        <v>120</v>
      </c>
      <c r="B691" s="57" t="s">
        <v>240</v>
      </c>
      <c r="C691" s="57">
        <v>2025</v>
      </c>
      <c r="D691" s="58">
        <f>MATCH(B691,{"GENNAIO","FEBBRAIO","MARZO","APRILE","MAGGIO","GIUGNO","LUGLIO","AGOSTO","SETTEMBRE","OTTOBRE","NOVEMBRE","DICEMBRE"},0)</f>
        <v>9</v>
      </c>
      <c r="E691" s="57" t="str">
        <f t="shared" ref="E691" si="1106">CONCATENATE(,B691," ",C691)</f>
        <v>SETTEMBRE 2025</v>
      </c>
      <c r="F691" s="57" t="str">
        <f t="shared" ref="F691" si="1107">CONCATENATE(D691," ",E691)</f>
        <v>9 SETTEMBRE 2025</v>
      </c>
      <c r="G691" s="1309" t="s">
        <v>121</v>
      </c>
      <c r="H691" s="1309" t="str">
        <f>VLOOKUP(G691,CATEGORIE!$H$3:$I$104,2,FALSE)</f>
        <v>COSTO MOBILITA'</v>
      </c>
      <c r="I691" s="59">
        <v>9</v>
      </c>
      <c r="J691" s="940"/>
      <c r="K691" s="59"/>
      <c r="L691" s="59"/>
    </row>
    <row r="692" spans="1:12">
      <c r="A692" s="57" t="s">
        <v>249</v>
      </c>
      <c r="B692" s="57" t="s">
        <v>240</v>
      </c>
      <c r="C692" s="57">
        <v>2025</v>
      </c>
      <c r="D692" s="58">
        <f>MATCH(B692,{"GENNAIO","FEBBRAIO","MARZO","APRILE","MAGGIO","GIUGNO","LUGLIO","AGOSTO","SETTEMBRE","OTTOBRE","NOVEMBRE","DICEMBRE"},0)</f>
        <v>9</v>
      </c>
      <c r="E692" s="57" t="str">
        <f t="shared" ref="E692" si="1108">CONCATENATE(,B692," ",C692)</f>
        <v>SETTEMBRE 2025</v>
      </c>
      <c r="F692" s="57" t="str">
        <f t="shared" ref="F692" si="1109">CONCATENATE(D692," ",E692)</f>
        <v>9 SETTEMBRE 2025</v>
      </c>
      <c r="G692" s="1309" t="s">
        <v>94</v>
      </c>
      <c r="H692" s="1309" t="str">
        <f>VLOOKUP(G692,CATEGORIE!$H$3:$I$104,2,FALSE)</f>
        <v>COSTO SVAGHI</v>
      </c>
      <c r="I692" s="59">
        <v>37</v>
      </c>
      <c r="J692" s="940"/>
      <c r="K692" s="59"/>
      <c r="L692" s="59" t="s">
        <v>247</v>
      </c>
    </row>
    <row r="693" spans="1:12">
      <c r="A693" s="57" t="s">
        <v>99</v>
      </c>
      <c r="B693" s="57" t="s">
        <v>240</v>
      </c>
      <c r="C693" s="57">
        <v>2025</v>
      </c>
      <c r="D693" s="58">
        <f>MATCH(B693,{"GENNAIO","FEBBRAIO","MARZO","APRILE","MAGGIO","GIUGNO","LUGLIO","AGOSTO","SETTEMBRE","OTTOBRE","NOVEMBRE","DICEMBRE"},0)</f>
        <v>9</v>
      </c>
      <c r="E693" s="57" t="str">
        <f t="shared" ref="E693" si="1110">CONCATENATE(,B693," ",C693)</f>
        <v>SETTEMBRE 2025</v>
      </c>
      <c r="F693" s="57" t="str">
        <f t="shared" ref="F693" si="1111">CONCATENATE(D693," ",E693)</f>
        <v>9 SETTEMBRE 2025</v>
      </c>
      <c r="G693" s="1309" t="s">
        <v>100</v>
      </c>
      <c r="H693" s="1309" t="str">
        <f>VLOOKUP(G693,CATEGORIE!$H$3:$I$104,2,FALSE)</f>
        <v>COSTO SFIZI</v>
      </c>
      <c r="I693" s="59">
        <v>49.9</v>
      </c>
      <c r="J693" s="940"/>
      <c r="K693" s="59"/>
      <c r="L693" s="59"/>
    </row>
    <row r="694" spans="1:12">
      <c r="A694" s="57" t="s">
        <v>101</v>
      </c>
      <c r="B694" s="57" t="s">
        <v>240</v>
      </c>
      <c r="C694" s="57">
        <v>2025</v>
      </c>
      <c r="D694" s="58">
        <f>MATCH(B694,{"GENNAIO","FEBBRAIO","MARZO","APRILE","MAGGIO","GIUGNO","LUGLIO","AGOSTO","SETTEMBRE","OTTOBRE","NOVEMBRE","DICEMBRE"},0)</f>
        <v>9</v>
      </c>
      <c r="E694" s="57" t="str">
        <f>CONCATENATE(,B694," ",C694)</f>
        <v>SETTEMBRE 2025</v>
      </c>
      <c r="F694" s="57" t="str">
        <f>CONCATENATE(D694," ",E694)</f>
        <v>9 SETTEMBRE 2025</v>
      </c>
      <c r="G694" s="1309" t="s">
        <v>91</v>
      </c>
      <c r="H694" s="1309" t="str">
        <f>VLOOKUP(G694,CATEGORIE!$H$3:$I$104,2,FALSE)</f>
        <v>COSTO SOPRAVVIVENZA</v>
      </c>
      <c r="I694" s="59">
        <v>0.6</v>
      </c>
      <c r="J694" s="940"/>
      <c r="K694" s="59"/>
      <c r="L694" s="59"/>
    </row>
    <row r="695" spans="1:12">
      <c r="A695" s="57" t="s">
        <v>92</v>
      </c>
      <c r="B695" s="57" t="s">
        <v>240</v>
      </c>
      <c r="C695" s="57">
        <v>2025</v>
      </c>
      <c r="D695" s="58">
        <f>MATCH(B695,{"GENNAIO","FEBBRAIO","MARZO","APRILE","MAGGIO","GIUGNO","LUGLIO","AGOSTO","SETTEMBRE","OTTOBRE","NOVEMBRE","DICEMBRE"},0)</f>
        <v>9</v>
      </c>
      <c r="E695" s="57" t="str">
        <f t="shared" ref="E695" si="1112">CONCATENATE(,B695," ",C695)</f>
        <v>SETTEMBRE 2025</v>
      </c>
      <c r="F695" s="57" t="str">
        <f t="shared" ref="F695" si="1113">CONCATENATE(D695," ",E695)</f>
        <v>9 SETTEMBRE 2025</v>
      </c>
      <c r="G695" s="1309" t="s">
        <v>93</v>
      </c>
      <c r="H695" s="1309" t="str">
        <f>VLOOKUP(G695,CATEGORIE!$H$3:$I$104,2,FALSE)</f>
        <v>COSTO SOPRAVVIVENZA</v>
      </c>
      <c r="I695" s="59">
        <v>7</v>
      </c>
      <c r="J695" s="940"/>
      <c r="K695" s="59"/>
      <c r="L695" s="59"/>
    </row>
    <row r="696" spans="1:12">
      <c r="A696" s="57" t="s">
        <v>102</v>
      </c>
      <c r="B696" s="57" t="s">
        <v>240</v>
      </c>
      <c r="C696" s="57">
        <v>2025</v>
      </c>
      <c r="D696" s="58">
        <f>MATCH(B696,{"GENNAIO","FEBBRAIO","MARZO","APRILE","MAGGIO","GIUGNO","LUGLIO","AGOSTO","SETTEMBRE","OTTOBRE","NOVEMBRE","DICEMBRE"},0)</f>
        <v>9</v>
      </c>
      <c r="E696" s="57" t="str">
        <f t="shared" ref="E696" si="1114">CONCATENATE(,B696," ",C696)</f>
        <v>SETTEMBRE 2025</v>
      </c>
      <c r="F696" s="57" t="str">
        <f t="shared" ref="F696" si="1115">CONCATENATE(D696," ",E696)</f>
        <v>9 SETTEMBRE 2025</v>
      </c>
      <c r="G696" s="1309" t="s">
        <v>96</v>
      </c>
      <c r="H696" s="1309" t="str">
        <f>VLOOKUP(G696,CATEGORIE!$H$3:$I$104,2,FALSE)</f>
        <v>COSTO SOPRAVVIVENZA</v>
      </c>
      <c r="I696" s="59">
        <v>11.76</v>
      </c>
      <c r="J696" s="940"/>
      <c r="K696" s="59"/>
      <c r="L696" s="59"/>
    </row>
    <row r="697" spans="1:12">
      <c r="A697" s="57" t="s">
        <v>101</v>
      </c>
      <c r="B697" s="57" t="s">
        <v>240</v>
      </c>
      <c r="C697" s="57">
        <v>2025</v>
      </c>
      <c r="D697" s="58">
        <f>MATCH(B697,{"GENNAIO","FEBBRAIO","MARZO","APRILE","MAGGIO","GIUGNO","LUGLIO","AGOSTO","SETTEMBRE","OTTOBRE","NOVEMBRE","DICEMBRE"},0)</f>
        <v>9</v>
      </c>
      <c r="E697" s="57" t="str">
        <f>CONCATENATE(,B697," ",C697)</f>
        <v>SETTEMBRE 2025</v>
      </c>
      <c r="F697" s="57" t="str">
        <f>CONCATENATE(D697," ",E697)</f>
        <v>9 SETTEMBRE 2025</v>
      </c>
      <c r="G697" s="1309" t="s">
        <v>91</v>
      </c>
      <c r="H697" s="1309" t="str">
        <f>VLOOKUP(G697,CATEGORIE!$H$3:$I$104,2,FALSE)</f>
        <v>COSTO SOPRAVVIVENZA</v>
      </c>
      <c r="I697" s="59">
        <v>0.4</v>
      </c>
      <c r="J697" s="940"/>
      <c r="K697" s="59"/>
      <c r="L697" s="59"/>
    </row>
    <row r="698" spans="1:12">
      <c r="A698" s="57" t="s">
        <v>101</v>
      </c>
      <c r="B698" s="57" t="s">
        <v>240</v>
      </c>
      <c r="C698" s="57">
        <v>2025</v>
      </c>
      <c r="D698" s="58">
        <f>MATCH(B698,{"GENNAIO","FEBBRAIO","MARZO","APRILE","MAGGIO","GIUGNO","LUGLIO","AGOSTO","SETTEMBRE","OTTOBRE","NOVEMBRE","DICEMBRE"},0)</f>
        <v>9</v>
      </c>
      <c r="E698" s="57" t="str">
        <f>CONCATENATE(,B698," ",C698)</f>
        <v>SETTEMBRE 2025</v>
      </c>
      <c r="F698" s="57" t="str">
        <f>CONCATENATE(D698," ",E698)</f>
        <v>9 SETTEMBRE 2025</v>
      </c>
      <c r="G698" s="1309" t="s">
        <v>91</v>
      </c>
      <c r="H698" s="1309" t="str">
        <f>VLOOKUP(G698,CATEGORIE!$H$3:$I$104,2,FALSE)</f>
        <v>COSTO SOPRAVVIVENZA</v>
      </c>
      <c r="I698" s="59">
        <v>0.4</v>
      </c>
      <c r="J698" s="940"/>
      <c r="K698" s="59"/>
      <c r="L698" s="59"/>
    </row>
    <row r="699" spans="1:12" ht="14.25" customHeight="1">
      <c r="A699" s="57" t="s">
        <v>102</v>
      </c>
      <c r="B699" s="57" t="s">
        <v>240</v>
      </c>
      <c r="C699" s="57">
        <v>2025</v>
      </c>
      <c r="D699" s="58">
        <f>MATCH(B699,{"GENNAIO","FEBBRAIO","MARZO","APRILE","MAGGIO","GIUGNO","LUGLIO","AGOSTO","SETTEMBRE","OTTOBRE","NOVEMBRE","DICEMBRE"},0)</f>
        <v>9</v>
      </c>
      <c r="E699" s="57" t="str">
        <f t="shared" ref="E699" si="1116">CONCATENATE(,B699," ",C699)</f>
        <v>SETTEMBRE 2025</v>
      </c>
      <c r="F699" s="57" t="str">
        <f t="shared" ref="F699" si="1117">CONCATENATE(D699," ",E699)</f>
        <v>9 SETTEMBRE 2025</v>
      </c>
      <c r="G699" s="1309" t="s">
        <v>96</v>
      </c>
      <c r="H699" s="1309" t="str">
        <f>VLOOKUP(G699,CATEGORIE!$H$3:$I$104,2,FALSE)</f>
        <v>COSTO SOPRAVVIVENZA</v>
      </c>
      <c r="I699" s="59">
        <v>7.23</v>
      </c>
      <c r="J699" s="940"/>
      <c r="K699" s="59"/>
      <c r="L699" s="59"/>
    </row>
    <row r="700" spans="1:12">
      <c r="A700" s="57" t="s">
        <v>135</v>
      </c>
      <c r="B700" s="57" t="s">
        <v>240</v>
      </c>
      <c r="C700" s="57">
        <v>2025</v>
      </c>
      <c r="D700" s="58">
        <f>MATCH(B700,{"GENNAIO","FEBBRAIO","MARZO","APRILE","MAGGIO","GIUGNO","LUGLIO","AGOSTO","SETTEMBRE","OTTOBRE","NOVEMBRE","DICEMBRE"},0)</f>
        <v>9</v>
      </c>
      <c r="E700" s="57" t="str">
        <f t="shared" ref="E700" si="1118">CONCATENATE(,B700," ",C700)</f>
        <v>SETTEMBRE 2025</v>
      </c>
      <c r="F700" s="57" t="str">
        <f t="shared" ref="F700" si="1119">CONCATENATE(D700," ",E700)</f>
        <v>9 SETTEMBRE 2025</v>
      </c>
      <c r="G700" s="1309" t="s">
        <v>132</v>
      </c>
      <c r="H700" s="1309" t="str">
        <f>VLOOKUP(G700,CATEGORIE!$H$3:$I$104,2,FALSE)</f>
        <v>COSTO CASA</v>
      </c>
      <c r="I700" s="59">
        <v>21.07</v>
      </c>
      <c r="J700" s="940"/>
      <c r="K700" s="59"/>
      <c r="L700" s="59"/>
    </row>
    <row r="701" spans="1:12">
      <c r="A701" s="57" t="s">
        <v>229</v>
      </c>
      <c r="B701" s="57" t="s">
        <v>240</v>
      </c>
      <c r="C701" s="57">
        <v>2025</v>
      </c>
      <c r="D701" s="58">
        <f>MATCH(B701,{"GENNAIO","FEBBRAIO","MARZO","APRILE","MAGGIO","GIUGNO","LUGLIO","AGOSTO","SETTEMBRE","OTTOBRE","NOVEMBRE","DICEMBRE"},0)</f>
        <v>9</v>
      </c>
      <c r="E701" s="57" t="str">
        <f t="shared" ref="E701" si="1120">CONCATENATE(,B701," ",C701)</f>
        <v>SETTEMBRE 2025</v>
      </c>
      <c r="F701" s="57" t="str">
        <f t="shared" ref="F701" si="1121">CONCATENATE(D701," ",E701)</f>
        <v>9 SETTEMBRE 2025</v>
      </c>
      <c r="G701" s="1309" t="s">
        <v>163</v>
      </c>
      <c r="H701" s="1309" t="str">
        <f>VLOOKUP(G701,CATEGORIE!$H$3:$I$104,2,FALSE)</f>
        <v>COSTO SVAGHI</v>
      </c>
      <c r="I701" s="59">
        <v>12.73</v>
      </c>
      <c r="J701" s="940" t="s">
        <v>124</v>
      </c>
      <c r="K701" s="59" t="s">
        <v>112</v>
      </c>
      <c r="L701" s="59" t="s">
        <v>230</v>
      </c>
    </row>
    <row r="702" spans="1:12">
      <c r="A702" s="57" t="s">
        <v>99</v>
      </c>
      <c r="B702" s="57" t="s">
        <v>240</v>
      </c>
      <c r="C702" s="57">
        <v>2025</v>
      </c>
      <c r="D702" s="58">
        <f>MATCH(B702,{"GENNAIO","FEBBRAIO","MARZO","APRILE","MAGGIO","GIUGNO","LUGLIO","AGOSTO","SETTEMBRE","OTTOBRE","NOVEMBRE","DICEMBRE"},0)</f>
        <v>9</v>
      </c>
      <c r="E702" s="57" t="str">
        <f t="shared" ref="E702" si="1122">CONCATENATE(,B702," ",C702)</f>
        <v>SETTEMBRE 2025</v>
      </c>
      <c r="F702" s="57" t="str">
        <f t="shared" ref="F702" si="1123">CONCATENATE(D702," ",E702)</f>
        <v>9 SETTEMBRE 2025</v>
      </c>
      <c r="G702" s="1309" t="s">
        <v>185</v>
      </c>
      <c r="H702" s="1309" t="str">
        <f>VLOOKUP(G702,CATEGORIE!$H$3:$I$104,2,FALSE)</f>
        <v>COSTO SFIZI</v>
      </c>
      <c r="I702" s="59">
        <v>16.66</v>
      </c>
      <c r="J702" s="940" t="s">
        <v>215</v>
      </c>
      <c r="K702" s="59" t="s">
        <v>112</v>
      </c>
      <c r="L702" s="59" t="s">
        <v>250</v>
      </c>
    </row>
    <row r="703" spans="1:12">
      <c r="A703" s="57" t="s">
        <v>131</v>
      </c>
      <c r="B703" s="57" t="s">
        <v>240</v>
      </c>
      <c r="C703" s="57">
        <v>2025</v>
      </c>
      <c r="D703" s="58">
        <f>MATCH(B703,{"GENNAIO","FEBBRAIO","MARZO","APRILE","MAGGIO","GIUGNO","LUGLIO","AGOSTO","SETTEMBRE","OTTOBRE","NOVEMBRE","DICEMBRE"},0)</f>
        <v>9</v>
      </c>
      <c r="E703" s="57" t="str">
        <f t="shared" ref="E703" si="1124">CONCATENATE(,B703," ",C703)</f>
        <v>SETTEMBRE 2025</v>
      </c>
      <c r="F703" s="57" t="str">
        <f t="shared" ref="F703" si="1125">CONCATENATE(D703," ",E703)</f>
        <v>9 SETTEMBRE 2025</v>
      </c>
      <c r="G703" s="1309" t="s">
        <v>94</v>
      </c>
      <c r="H703" s="1309" t="str">
        <f>VLOOKUP(G703,CATEGORIE!$H$3:$I$104,2,FALSE)</f>
        <v>COSTO SVAGHI</v>
      </c>
      <c r="I703" s="59">
        <v>2</v>
      </c>
      <c r="J703" s="940"/>
      <c r="K703" s="59"/>
      <c r="L703" s="59"/>
    </row>
    <row r="704" spans="1:12">
      <c r="A704" s="57" t="s">
        <v>131</v>
      </c>
      <c r="B704" s="57" t="s">
        <v>240</v>
      </c>
      <c r="C704" s="57">
        <v>2025</v>
      </c>
      <c r="D704" s="58">
        <f>MATCH(B704,{"GENNAIO","FEBBRAIO","MARZO","APRILE","MAGGIO","GIUGNO","LUGLIO","AGOSTO","SETTEMBRE","OTTOBRE","NOVEMBRE","DICEMBRE"},0)</f>
        <v>9</v>
      </c>
      <c r="E704" s="57" t="str">
        <f t="shared" ref="E704" si="1126">CONCATENATE(,B704," ",C704)</f>
        <v>SETTEMBRE 2025</v>
      </c>
      <c r="F704" s="57" t="str">
        <f t="shared" ref="F704" si="1127">CONCATENATE(D704," ",E704)</f>
        <v>9 SETTEMBRE 2025</v>
      </c>
      <c r="G704" s="1309" t="s">
        <v>132</v>
      </c>
      <c r="H704" s="1309" t="str">
        <f>VLOOKUP(G704,CATEGORIE!$H$3:$I$104,2,FALSE)</f>
        <v>COSTO CASA</v>
      </c>
      <c r="I704" s="59">
        <v>0.8</v>
      </c>
      <c r="J704" s="940"/>
      <c r="K704" s="59"/>
      <c r="L704" s="59"/>
    </row>
    <row r="705" spans="1:12">
      <c r="A705" s="57" t="s">
        <v>251</v>
      </c>
      <c r="B705" s="57" t="s">
        <v>240</v>
      </c>
      <c r="C705" s="57">
        <v>2025</v>
      </c>
      <c r="D705" s="58">
        <f>MATCH(B705,{"GENNAIO","FEBBRAIO","MARZO","APRILE","MAGGIO","GIUGNO","LUGLIO","AGOSTO","SETTEMBRE","OTTOBRE","NOVEMBRE","DICEMBRE"},0)</f>
        <v>9</v>
      </c>
      <c r="E705" s="57" t="str">
        <f t="shared" ref="E705" si="1128">CONCATENATE(,B705," ",C705)</f>
        <v>SETTEMBRE 2025</v>
      </c>
      <c r="F705" s="57" t="str">
        <f t="shared" ref="F705" si="1129">CONCATENATE(D705," ",E705)</f>
        <v>9 SETTEMBRE 2025</v>
      </c>
      <c r="G705" s="1309" t="s">
        <v>185</v>
      </c>
      <c r="H705" s="1309" t="str">
        <f>VLOOKUP(G705,CATEGORIE!$H$3:$I$104,2,FALSE)</f>
        <v>COSTO SFIZI</v>
      </c>
      <c r="I705" s="59">
        <v>39.93</v>
      </c>
      <c r="J705" s="940"/>
      <c r="K705" s="59"/>
      <c r="L705" s="59" t="s">
        <v>252</v>
      </c>
    </row>
    <row r="706" spans="1:12">
      <c r="A706" s="57" t="s">
        <v>99</v>
      </c>
      <c r="B706" s="57" t="s">
        <v>240</v>
      </c>
      <c r="C706" s="57">
        <v>2025</v>
      </c>
      <c r="D706" s="58">
        <f>MATCH(B706,{"GENNAIO","FEBBRAIO","MARZO","APRILE","MAGGIO","GIUGNO","LUGLIO","AGOSTO","SETTEMBRE","OTTOBRE","NOVEMBRE","DICEMBRE"},0)</f>
        <v>9</v>
      </c>
      <c r="E706" s="57" t="str">
        <f t="shared" ref="E706" si="1130">CONCATENATE(,B706," ",C706)</f>
        <v>SETTEMBRE 2025</v>
      </c>
      <c r="F706" s="57" t="str">
        <f t="shared" ref="F706" si="1131">CONCATENATE(D706," ",E706)</f>
        <v>9 SETTEMBRE 2025</v>
      </c>
      <c r="G706" s="1309" t="s">
        <v>100</v>
      </c>
      <c r="H706" s="1309" t="str">
        <f>VLOOKUP(G706,CATEGORIE!$H$3:$I$104,2,FALSE)</f>
        <v>COSTO SFIZI</v>
      </c>
      <c r="I706" s="59">
        <v>16.899999999999999</v>
      </c>
      <c r="J706" s="940" t="s">
        <v>215</v>
      </c>
      <c r="K706" s="57" t="s">
        <v>99</v>
      </c>
      <c r="L706" s="59" t="s">
        <v>253</v>
      </c>
    </row>
    <row r="707" spans="1:12">
      <c r="A707" s="57" t="s">
        <v>105</v>
      </c>
      <c r="B707" s="57" t="s">
        <v>240</v>
      </c>
      <c r="C707" s="57">
        <v>2025</v>
      </c>
      <c r="D707" s="58">
        <f>MATCH(B707,{"GENNAIO","FEBBRAIO","MARZO","APRILE","MAGGIO","GIUGNO","LUGLIO","AGOSTO","SETTEMBRE","OTTOBRE","NOVEMBRE","DICEMBRE"},0)</f>
        <v>9</v>
      </c>
      <c r="E707" s="57" t="str">
        <f t="shared" ref="E707" si="1132">CONCATENATE(,B707," ",C707)</f>
        <v>SETTEMBRE 2025</v>
      </c>
      <c r="F707" s="57" t="str">
        <f t="shared" ref="F707" si="1133">CONCATENATE(D707," ",E707)</f>
        <v>9 SETTEMBRE 2025</v>
      </c>
      <c r="G707" s="1309" t="s">
        <v>96</v>
      </c>
      <c r="H707" s="1309" t="str">
        <f>VLOOKUP(G707,CATEGORIE!$H$3:$I$104,2,FALSE)</f>
        <v>COSTO SOPRAVVIVENZA</v>
      </c>
      <c r="I707" s="59">
        <v>15.38</v>
      </c>
      <c r="J707" s="940"/>
      <c r="K707" s="59"/>
      <c r="L707" s="59"/>
    </row>
    <row r="708" spans="1:12">
      <c r="A708" s="57" t="s">
        <v>254</v>
      </c>
      <c r="B708" s="57" t="s">
        <v>240</v>
      </c>
      <c r="C708" s="57">
        <v>2025</v>
      </c>
      <c r="D708" s="58">
        <f>MATCH(B708,{"GENNAIO","FEBBRAIO","MARZO","APRILE","MAGGIO","GIUGNO","LUGLIO","AGOSTO","SETTEMBRE","OTTOBRE","NOVEMBRE","DICEMBRE"},0)</f>
        <v>9</v>
      </c>
      <c r="E708" s="57" t="str">
        <f t="shared" ref="E708" si="1134">CONCATENATE(,B708," ",C708)</f>
        <v>SETTEMBRE 2025</v>
      </c>
      <c r="F708" s="57" t="str">
        <f t="shared" ref="F708" si="1135">CONCATENATE(D708," ",E708)</f>
        <v>9 SETTEMBRE 2025</v>
      </c>
      <c r="G708" s="1309" t="s">
        <v>94</v>
      </c>
      <c r="H708" s="1309" t="str">
        <f>VLOOKUP(G708,CATEGORIE!$H$3:$I$104,2,FALSE)</f>
        <v>COSTO SVAGHI</v>
      </c>
      <c r="I708" s="59">
        <v>8.6</v>
      </c>
      <c r="J708" s="940"/>
      <c r="K708" s="59"/>
      <c r="L708" s="59"/>
    </row>
    <row r="709" spans="1:12">
      <c r="A709" s="57" t="s">
        <v>99</v>
      </c>
      <c r="B709" s="57" t="s">
        <v>240</v>
      </c>
      <c r="C709" s="57">
        <v>2025</v>
      </c>
      <c r="D709" s="58">
        <f>MATCH(B709,{"GENNAIO","FEBBRAIO","MARZO","APRILE","MAGGIO","GIUGNO","LUGLIO","AGOSTO","SETTEMBRE","OTTOBRE","NOVEMBRE","DICEMBRE"},0)</f>
        <v>9</v>
      </c>
      <c r="E709" s="57" t="str">
        <f t="shared" ref="E709" si="1136">CONCATENATE(,B709," ",C709)</f>
        <v>SETTEMBRE 2025</v>
      </c>
      <c r="F709" s="57" t="str">
        <f t="shared" ref="F709" si="1137">CONCATENATE(D709," ",E709)</f>
        <v>9 SETTEMBRE 2025</v>
      </c>
      <c r="G709" s="1309" t="s">
        <v>100</v>
      </c>
      <c r="H709" s="1309" t="str">
        <f>VLOOKUP(G709,CATEGORIE!$H$3:$I$104,2,FALSE)</f>
        <v>COSTO SFIZI</v>
      </c>
      <c r="I709" s="59">
        <v>23.54</v>
      </c>
      <c r="J709" s="940"/>
      <c r="K709" s="57" t="s">
        <v>99</v>
      </c>
      <c r="L709" s="59"/>
    </row>
    <row r="710" spans="1:12">
      <c r="A710" s="57" t="s">
        <v>92</v>
      </c>
      <c r="B710" s="57" t="s">
        <v>240</v>
      </c>
      <c r="C710" s="57">
        <v>2025</v>
      </c>
      <c r="D710" s="58">
        <f>MATCH(B710,{"GENNAIO","FEBBRAIO","MARZO","APRILE","MAGGIO","GIUGNO","LUGLIO","AGOSTO","SETTEMBRE","OTTOBRE","NOVEMBRE","DICEMBRE"},0)</f>
        <v>9</v>
      </c>
      <c r="E710" s="57" t="str">
        <f t="shared" ref="E710" si="1138">CONCATENATE(,B710," ",C710)</f>
        <v>SETTEMBRE 2025</v>
      </c>
      <c r="F710" s="57" t="str">
        <f t="shared" ref="F710" si="1139">CONCATENATE(D710," ",E710)</f>
        <v>9 SETTEMBRE 2025</v>
      </c>
      <c r="G710" s="1309" t="s">
        <v>93</v>
      </c>
      <c r="H710" s="1309" t="str">
        <f>VLOOKUP(G710,CATEGORIE!$H$3:$I$104,2,FALSE)</f>
        <v>COSTO SOPRAVVIVENZA</v>
      </c>
      <c r="I710" s="59">
        <v>7</v>
      </c>
      <c r="J710" s="940"/>
      <c r="K710" s="59"/>
      <c r="L710" s="59"/>
    </row>
    <row r="711" spans="1:12">
      <c r="A711" s="57" t="s">
        <v>92</v>
      </c>
      <c r="B711" s="57" t="s">
        <v>240</v>
      </c>
      <c r="C711" s="57">
        <v>2025</v>
      </c>
      <c r="D711" s="58">
        <f>MATCH(B711,{"GENNAIO","FEBBRAIO","MARZO","APRILE","MAGGIO","GIUGNO","LUGLIO","AGOSTO","SETTEMBRE","OTTOBRE","NOVEMBRE","DICEMBRE"},0)</f>
        <v>9</v>
      </c>
      <c r="E711" s="57" t="str">
        <f t="shared" ref="E711" si="1140">CONCATENATE(,B711," ",C711)</f>
        <v>SETTEMBRE 2025</v>
      </c>
      <c r="F711" s="57" t="str">
        <f t="shared" ref="F711" si="1141">CONCATENATE(D711," ",E711)</f>
        <v>9 SETTEMBRE 2025</v>
      </c>
      <c r="G711" s="1309" t="s">
        <v>94</v>
      </c>
      <c r="H711" s="1309" t="str">
        <f>VLOOKUP(G711,CATEGORIE!$H$3:$I$104,2,FALSE)</f>
        <v>COSTO SVAGHI</v>
      </c>
      <c r="I711" s="59">
        <v>5.6</v>
      </c>
      <c r="J711" s="940"/>
      <c r="K711" s="59"/>
      <c r="L711" s="59"/>
    </row>
    <row r="712" spans="1:12">
      <c r="A712" s="57" t="s">
        <v>99</v>
      </c>
      <c r="B712" s="57" t="s">
        <v>240</v>
      </c>
      <c r="C712" s="57">
        <v>2025</v>
      </c>
      <c r="D712" s="58">
        <f>MATCH(B712,{"GENNAIO","FEBBRAIO","MARZO","APRILE","MAGGIO","GIUGNO","LUGLIO","AGOSTO","SETTEMBRE","OTTOBRE","NOVEMBRE","DICEMBRE"},0)</f>
        <v>9</v>
      </c>
      <c r="E712" s="57" t="str">
        <f t="shared" ref="E712" si="1142">CONCATENATE(,B712," ",C712)</f>
        <v>SETTEMBRE 2025</v>
      </c>
      <c r="F712" s="57" t="str">
        <f t="shared" ref="F712" si="1143">CONCATENATE(D712," ",E712)</f>
        <v>9 SETTEMBRE 2025</v>
      </c>
      <c r="G712" s="1309" t="s">
        <v>100</v>
      </c>
      <c r="H712" s="1309" t="str">
        <f>VLOOKUP(G712,CATEGORIE!$H$3:$I$104,2,FALSE)</f>
        <v>COSTO SFIZI</v>
      </c>
      <c r="I712" s="59">
        <v>12.17</v>
      </c>
      <c r="J712" s="940"/>
      <c r="K712" s="57" t="s">
        <v>99</v>
      </c>
      <c r="L712" s="59"/>
    </row>
    <row r="713" spans="1:12">
      <c r="A713" s="57" t="s">
        <v>101</v>
      </c>
      <c r="B713" s="57" t="s">
        <v>240</v>
      </c>
      <c r="C713" s="57">
        <v>2025</v>
      </c>
      <c r="D713" s="58">
        <f>MATCH(B713,{"GENNAIO","FEBBRAIO","MARZO","APRILE","MAGGIO","GIUGNO","LUGLIO","AGOSTO","SETTEMBRE","OTTOBRE","NOVEMBRE","DICEMBRE"},0)</f>
        <v>9</v>
      </c>
      <c r="E713" s="57" t="str">
        <f>CONCATENATE(,B713," ",C713)</f>
        <v>SETTEMBRE 2025</v>
      </c>
      <c r="F713" s="57" t="str">
        <f>CONCATENATE(D713," ",E713)</f>
        <v>9 SETTEMBRE 2025</v>
      </c>
      <c r="G713" s="1309" t="s">
        <v>91</v>
      </c>
      <c r="H713" s="1309" t="str">
        <f>VLOOKUP(G713,CATEGORIE!$H$3:$I$104,2,FALSE)</f>
        <v>COSTO SOPRAVVIVENZA</v>
      </c>
      <c r="I713" s="59">
        <v>0.4</v>
      </c>
      <c r="J713" s="940"/>
      <c r="K713" s="59"/>
      <c r="L713" s="59"/>
    </row>
    <row r="714" spans="1:12">
      <c r="A714" s="57" t="s">
        <v>99</v>
      </c>
      <c r="B714" s="57" t="s">
        <v>240</v>
      </c>
      <c r="C714" s="57">
        <v>2025</v>
      </c>
      <c r="D714" s="58">
        <f>MATCH(B714,{"GENNAIO","FEBBRAIO","MARZO","APRILE","MAGGIO","GIUGNO","LUGLIO","AGOSTO","SETTEMBRE","OTTOBRE","NOVEMBRE","DICEMBRE"},0)</f>
        <v>9</v>
      </c>
      <c r="E714" s="57" t="str">
        <f t="shared" ref="E714" si="1144">CONCATENATE(,B714," ",C714)</f>
        <v>SETTEMBRE 2025</v>
      </c>
      <c r="F714" s="57" t="str">
        <f t="shared" ref="F714" si="1145">CONCATENATE(D714," ",E714)</f>
        <v>9 SETTEMBRE 2025</v>
      </c>
      <c r="G714" s="1309" t="s">
        <v>100</v>
      </c>
      <c r="H714" s="1309" t="str">
        <f>VLOOKUP(G714,CATEGORIE!$H$3:$I$104,2,FALSE)</f>
        <v>COSTO SFIZI</v>
      </c>
      <c r="I714" s="59">
        <v>10.95</v>
      </c>
      <c r="J714" s="940" t="s">
        <v>145</v>
      </c>
      <c r="K714" s="57" t="s">
        <v>99</v>
      </c>
      <c r="L714" s="59" t="s">
        <v>168</v>
      </c>
    </row>
    <row r="715" spans="1:12">
      <c r="A715" s="57" t="s">
        <v>135</v>
      </c>
      <c r="B715" s="57" t="s">
        <v>240</v>
      </c>
      <c r="C715" s="57">
        <v>2025</v>
      </c>
      <c r="D715" s="58">
        <f>MATCH(B715,{"GENNAIO","FEBBRAIO","MARZO","APRILE","MAGGIO","GIUGNO","LUGLIO","AGOSTO","SETTEMBRE","OTTOBRE","NOVEMBRE","DICEMBRE"},0)</f>
        <v>9</v>
      </c>
      <c r="E715" s="57" t="str">
        <f t="shared" ref="E715" si="1146">CONCATENATE(,B715," ",C715)</f>
        <v>SETTEMBRE 2025</v>
      </c>
      <c r="F715" s="57" t="str">
        <f t="shared" ref="F715" si="1147">CONCATENATE(D715," ",E715)</f>
        <v>9 SETTEMBRE 2025</v>
      </c>
      <c r="G715" s="1309" t="s">
        <v>132</v>
      </c>
      <c r="H715" s="1309" t="str">
        <f>VLOOKUP(G715,CATEGORIE!$H$3:$I$104,2,FALSE)</f>
        <v>COSTO CASA</v>
      </c>
      <c r="I715" s="59">
        <v>28.93</v>
      </c>
      <c r="J715" s="940"/>
      <c r="K715" s="59"/>
      <c r="L715" s="59"/>
    </row>
    <row r="716" spans="1:12">
      <c r="A716" s="57" t="s">
        <v>92</v>
      </c>
      <c r="B716" s="57" t="s">
        <v>240</v>
      </c>
      <c r="C716" s="57">
        <v>2025</v>
      </c>
      <c r="D716" s="58">
        <f>MATCH(B716,{"GENNAIO","FEBBRAIO","MARZO","APRILE","MAGGIO","GIUGNO","LUGLIO","AGOSTO","SETTEMBRE","OTTOBRE","NOVEMBRE","DICEMBRE"},0)</f>
        <v>9</v>
      </c>
      <c r="E716" s="57" t="str">
        <f t="shared" ref="E716" si="1148">CONCATENATE(,B716," ",C716)</f>
        <v>SETTEMBRE 2025</v>
      </c>
      <c r="F716" s="57" t="str">
        <f t="shared" ref="F716" si="1149">CONCATENATE(D716," ",E716)</f>
        <v>9 SETTEMBRE 2025</v>
      </c>
      <c r="G716" s="1309" t="s">
        <v>93</v>
      </c>
      <c r="H716" s="1309" t="str">
        <f>VLOOKUP(G716,CATEGORIE!$H$3:$I$104,2,FALSE)</f>
        <v>COSTO SOPRAVVIVENZA</v>
      </c>
      <c r="I716" s="59">
        <v>7</v>
      </c>
      <c r="J716" s="940"/>
      <c r="K716" s="59"/>
      <c r="L716" s="59"/>
    </row>
    <row r="717" spans="1:12">
      <c r="A717" s="57" t="s">
        <v>101</v>
      </c>
      <c r="B717" s="57" t="s">
        <v>240</v>
      </c>
      <c r="C717" s="57">
        <v>2025</v>
      </c>
      <c r="D717" s="58">
        <f>MATCH(B717,{"GENNAIO","FEBBRAIO","MARZO","APRILE","MAGGIO","GIUGNO","LUGLIO","AGOSTO","SETTEMBRE","OTTOBRE","NOVEMBRE","DICEMBRE"},0)</f>
        <v>9</v>
      </c>
      <c r="E717" s="57" t="str">
        <f>CONCATENATE(,B717," ",C717)</f>
        <v>SETTEMBRE 2025</v>
      </c>
      <c r="F717" s="57" t="str">
        <f>CONCATENATE(D717," ",E717)</f>
        <v>9 SETTEMBRE 2025</v>
      </c>
      <c r="G717" s="1309" t="s">
        <v>91</v>
      </c>
      <c r="H717" s="1309" t="str">
        <f>VLOOKUP(G717,CATEGORIE!$H$3:$I$104,2,FALSE)</f>
        <v>COSTO SOPRAVVIVENZA</v>
      </c>
      <c r="I717" s="59">
        <v>0.4</v>
      </c>
      <c r="J717" s="940"/>
      <c r="K717" s="59"/>
      <c r="L717" s="59"/>
    </row>
    <row r="718" spans="1:12">
      <c r="A718" s="57" t="s">
        <v>135</v>
      </c>
      <c r="B718" s="57" t="s">
        <v>240</v>
      </c>
      <c r="C718" s="57">
        <v>2025</v>
      </c>
      <c r="D718" s="58">
        <f>MATCH(B718,{"GENNAIO","FEBBRAIO","MARZO","APRILE","MAGGIO","GIUGNO","LUGLIO","AGOSTO","SETTEMBRE","OTTOBRE","NOVEMBRE","DICEMBRE"},0)</f>
        <v>9</v>
      </c>
      <c r="E718" s="57" t="str">
        <f t="shared" ref="E718" si="1150">CONCATENATE(,B718," ",C718)</f>
        <v>SETTEMBRE 2025</v>
      </c>
      <c r="F718" s="57" t="str">
        <f t="shared" ref="F718" si="1151">CONCATENATE(D718," ",E718)</f>
        <v>9 SETTEMBRE 2025</v>
      </c>
      <c r="G718" s="1309" t="s">
        <v>132</v>
      </c>
      <c r="H718" s="1309" t="str">
        <f>VLOOKUP(G718,CATEGORIE!$H$3:$I$104,2,FALSE)</f>
        <v>COSTO CASA</v>
      </c>
      <c r="I718" s="59">
        <v>26.57</v>
      </c>
      <c r="J718" s="940"/>
      <c r="K718" s="59"/>
      <c r="L718" s="59"/>
    </row>
    <row r="719" spans="1:12">
      <c r="A719" s="57" t="s">
        <v>170</v>
      </c>
      <c r="B719" s="57" t="s">
        <v>240</v>
      </c>
      <c r="C719" s="57">
        <v>2025</v>
      </c>
      <c r="D719" s="58">
        <f>MATCH(B719,{"GENNAIO","FEBBRAIO","MARZO","APRILE","MAGGIO","GIUGNO","LUGLIO","AGOSTO","SETTEMBRE","OTTOBRE","NOVEMBRE","DICEMBRE"},0)</f>
        <v>9</v>
      </c>
      <c r="E719" s="57" t="str">
        <f t="shared" ref="E719" si="1152">CONCATENATE(,B719," ",C719)</f>
        <v>SETTEMBRE 2025</v>
      </c>
      <c r="F719" s="57" t="str">
        <f t="shared" ref="F719" si="1153">CONCATENATE(D719," ",E719)</f>
        <v>9 SETTEMBRE 2025</v>
      </c>
      <c r="G719" s="1309" t="s">
        <v>132</v>
      </c>
      <c r="H719" s="1309" t="str">
        <f>VLOOKUP(G719,CATEGORIE!$H$3:$I$104,2,FALSE)</f>
        <v>COSTO CASA</v>
      </c>
      <c r="I719" s="59">
        <v>13.9</v>
      </c>
      <c r="J719" s="940"/>
      <c r="K719" s="59"/>
      <c r="L719" s="59"/>
    </row>
    <row r="720" spans="1:12">
      <c r="A720" s="57" t="s">
        <v>255</v>
      </c>
      <c r="B720" s="57" t="s">
        <v>240</v>
      </c>
      <c r="C720" s="57">
        <v>2025</v>
      </c>
      <c r="D720" s="58">
        <f>MATCH(B720,{"GENNAIO","FEBBRAIO","MARZO","APRILE","MAGGIO","GIUGNO","LUGLIO","AGOSTO","SETTEMBRE","OTTOBRE","NOVEMBRE","DICEMBRE"},0)</f>
        <v>9</v>
      </c>
      <c r="E720" s="57" t="str">
        <f t="shared" ref="E720" si="1154">CONCATENATE(,B720," ",C720)</f>
        <v>SETTEMBRE 2025</v>
      </c>
      <c r="F720" s="57" t="str">
        <f t="shared" ref="F720" si="1155">CONCATENATE(D720," ",E720)</f>
        <v>9 SETTEMBRE 2025</v>
      </c>
      <c r="G720" s="1309" t="s">
        <v>111</v>
      </c>
      <c r="H720" s="1309" t="str">
        <f>VLOOKUP(G720,CATEGORIE!$H$3:$I$104,2,FALSE)</f>
        <v>COSTO MOBILITA'</v>
      </c>
      <c r="I720" s="60">
        <v>1.5</v>
      </c>
      <c r="J720" s="940"/>
      <c r="K720" s="59"/>
      <c r="L720" s="59"/>
    </row>
    <row r="721" spans="1:12">
      <c r="A721" s="57" t="s">
        <v>256</v>
      </c>
      <c r="B721" s="57" t="s">
        <v>240</v>
      </c>
      <c r="C721" s="57">
        <v>2025</v>
      </c>
      <c r="D721" s="58">
        <f>MATCH(B721,{"GENNAIO","FEBBRAIO","MARZO","APRILE","MAGGIO","GIUGNO","LUGLIO","AGOSTO","SETTEMBRE","OTTOBRE","NOVEMBRE","DICEMBRE"},0)</f>
        <v>9</v>
      </c>
      <c r="E721" s="57" t="str">
        <f t="shared" ref="E721" si="1156">CONCATENATE(,B721," ",C721)</f>
        <v>SETTEMBRE 2025</v>
      </c>
      <c r="F721" s="57" t="str">
        <f t="shared" ref="F721" si="1157">CONCATENATE(D721," ",E721)</f>
        <v>9 SETTEMBRE 2025</v>
      </c>
      <c r="G721" s="1309" t="s">
        <v>94</v>
      </c>
      <c r="H721" s="1309" t="str">
        <f>VLOOKUP(G721,CATEGORIE!$H$3:$I$104,2,FALSE)</f>
        <v>COSTO SVAGHI</v>
      </c>
      <c r="I721" s="59">
        <v>85</v>
      </c>
      <c r="J721" s="940"/>
      <c r="K721" s="59"/>
      <c r="L721" s="59"/>
    </row>
    <row r="722" spans="1:12">
      <c r="A722" s="57" t="s">
        <v>257</v>
      </c>
      <c r="B722" s="57" t="s">
        <v>240</v>
      </c>
      <c r="C722" s="57">
        <v>2025</v>
      </c>
      <c r="D722" s="58">
        <f>MATCH(B722,{"GENNAIO","FEBBRAIO","MARZO","APRILE","MAGGIO","GIUGNO","LUGLIO","AGOSTO","SETTEMBRE","OTTOBRE","NOVEMBRE","DICEMBRE"},0)</f>
        <v>9</v>
      </c>
      <c r="E722" s="57" t="str">
        <f t="shared" ref="E722:E723" si="1158">CONCATENATE(,B722," ",C722)</f>
        <v>SETTEMBRE 2025</v>
      </c>
      <c r="F722" s="57" t="str">
        <f t="shared" ref="F722:F723" si="1159">CONCATENATE(D722," ",E722)</f>
        <v>9 SETTEMBRE 2025</v>
      </c>
      <c r="G722" s="1309" t="s">
        <v>185</v>
      </c>
      <c r="H722" s="1309" t="str">
        <f>VLOOKUP(G722,CATEGORIE!$H$3:$I$104,2,FALSE)</f>
        <v>COSTO SFIZI</v>
      </c>
      <c r="I722" s="59">
        <v>40</v>
      </c>
      <c r="J722" s="940"/>
      <c r="K722" s="59" t="s">
        <v>112</v>
      </c>
      <c r="L722" s="59" t="s">
        <v>258</v>
      </c>
    </row>
    <row r="723" spans="1:12">
      <c r="A723" s="57" t="s">
        <v>102</v>
      </c>
      <c r="B723" s="57" t="s">
        <v>240</v>
      </c>
      <c r="C723" s="57">
        <v>2025</v>
      </c>
      <c r="D723" s="58">
        <f>MATCH(B723,{"GENNAIO","FEBBRAIO","MARZO","APRILE","MAGGIO","GIUGNO","LUGLIO","AGOSTO","SETTEMBRE","OTTOBRE","NOVEMBRE","DICEMBRE"},0)</f>
        <v>9</v>
      </c>
      <c r="E723" s="57" t="str">
        <f t="shared" si="1158"/>
        <v>SETTEMBRE 2025</v>
      </c>
      <c r="F723" s="57" t="str">
        <f t="shared" si="1159"/>
        <v>9 SETTEMBRE 2025</v>
      </c>
      <c r="G723" s="1309" t="s">
        <v>96</v>
      </c>
      <c r="H723" s="1309" t="str">
        <f>VLOOKUP(G723,CATEGORIE!$H$3:$I$104,2,FALSE)</f>
        <v>COSTO SOPRAVVIVENZA</v>
      </c>
      <c r="I723" s="59">
        <v>5.72</v>
      </c>
      <c r="J723" s="940"/>
      <c r="K723" s="59"/>
      <c r="L723" s="59"/>
    </row>
    <row r="724" spans="1:12">
      <c r="A724" s="57" t="s">
        <v>105</v>
      </c>
      <c r="B724" s="57" t="s">
        <v>240</v>
      </c>
      <c r="C724" s="57">
        <v>2025</v>
      </c>
      <c r="D724" s="58">
        <f>MATCH(B724,{"GENNAIO","FEBBRAIO","MARZO","APRILE","MAGGIO","GIUGNO","LUGLIO","AGOSTO","SETTEMBRE","OTTOBRE","NOVEMBRE","DICEMBRE"},0)</f>
        <v>9</v>
      </c>
      <c r="E724" s="57" t="str">
        <f t="shared" ref="E724" si="1160">CONCATENATE(,B724," ",C724)</f>
        <v>SETTEMBRE 2025</v>
      </c>
      <c r="F724" s="57" t="str">
        <f t="shared" ref="F724" si="1161">CONCATENATE(D724," ",E724)</f>
        <v>9 SETTEMBRE 2025</v>
      </c>
      <c r="G724" s="1309" t="s">
        <v>96</v>
      </c>
      <c r="H724" s="1309" t="str">
        <f>VLOOKUP(G724,CATEGORIE!$H$3:$I$104,2,FALSE)</f>
        <v>COSTO SOPRAVVIVENZA</v>
      </c>
      <c r="I724" s="59">
        <v>12.32</v>
      </c>
      <c r="J724" s="940"/>
      <c r="K724" s="59"/>
      <c r="L724" s="59"/>
    </row>
    <row r="725" spans="1:12">
      <c r="A725" s="57" t="s">
        <v>259</v>
      </c>
      <c r="B725" s="57" t="s">
        <v>240</v>
      </c>
      <c r="C725" s="57">
        <v>2025</v>
      </c>
      <c r="D725" s="58">
        <f>MATCH(B725,{"GENNAIO","FEBBRAIO","MARZO","APRILE","MAGGIO","GIUGNO","LUGLIO","AGOSTO","SETTEMBRE","OTTOBRE","NOVEMBRE","DICEMBRE"},0)</f>
        <v>9</v>
      </c>
      <c r="E725" s="57" t="str">
        <f t="shared" ref="E725" si="1162">CONCATENATE(,B725," ",C725)</f>
        <v>SETTEMBRE 2025</v>
      </c>
      <c r="F725" s="57" t="str">
        <f t="shared" ref="F725" si="1163">CONCATENATE(D725," ",E725)</f>
        <v>9 SETTEMBRE 2025</v>
      </c>
      <c r="G725" s="1309" t="s">
        <v>1250</v>
      </c>
      <c r="H725" s="1309" t="str">
        <f>VLOOKUP(G725,CATEGORIE!$H$3:$I$104,2,FALSE)</f>
        <v>COSTO VACANZE</v>
      </c>
      <c r="I725" s="60">
        <v>37.799999999999997</v>
      </c>
      <c r="J725" s="940"/>
      <c r="K725" s="59"/>
      <c r="L725" s="59" t="s">
        <v>260</v>
      </c>
    </row>
    <row r="726" spans="1:12">
      <c r="A726" s="57" t="s">
        <v>101</v>
      </c>
      <c r="B726" s="57" t="s">
        <v>261</v>
      </c>
      <c r="C726" s="57">
        <v>2025</v>
      </c>
      <c r="D726" s="58">
        <f>MATCH(B726,{"GENNAIO","FEBBRAIO","MARZO","APRILE","MAGGIO","GIUGNO","LUGLIO","AGOSTO","SETTEMBRE","OTTOBRE","NOVEMBRE","DICEMBRE"},0)</f>
        <v>8</v>
      </c>
      <c r="E726" s="57" t="str">
        <f>CONCATENATE(,B726," ",C726)</f>
        <v>AGOSTO 2025</v>
      </c>
      <c r="F726" s="57" t="str">
        <f>CONCATENATE(D726," ",E726)</f>
        <v>8 AGOSTO 2025</v>
      </c>
      <c r="G726" s="1309" t="s">
        <v>91</v>
      </c>
      <c r="H726" s="1309" t="str">
        <f>VLOOKUP(G726,CATEGORIE!$H$3:$I$104,2,FALSE)</f>
        <v>COSTO SOPRAVVIVENZA</v>
      </c>
      <c r="I726" s="59">
        <v>0.4</v>
      </c>
      <c r="J726" s="940"/>
      <c r="K726" s="59"/>
      <c r="L726" s="59"/>
    </row>
    <row r="727" spans="1:12">
      <c r="A727" s="57" t="s">
        <v>101</v>
      </c>
      <c r="B727" s="57" t="s">
        <v>261</v>
      </c>
      <c r="C727" s="57">
        <v>2025</v>
      </c>
      <c r="D727" s="58">
        <f>MATCH(B727,{"GENNAIO","FEBBRAIO","MARZO","APRILE","MAGGIO","GIUGNO","LUGLIO","AGOSTO","SETTEMBRE","OTTOBRE","NOVEMBRE","DICEMBRE"},0)</f>
        <v>8</v>
      </c>
      <c r="E727" s="57" t="str">
        <f>CONCATENATE(,B727," ",C727)</f>
        <v>AGOSTO 2025</v>
      </c>
      <c r="F727" s="57" t="str">
        <f>CONCATENATE(D727," ",E727)</f>
        <v>8 AGOSTO 2025</v>
      </c>
      <c r="G727" s="1309" t="s">
        <v>91</v>
      </c>
      <c r="H727" s="1309" t="str">
        <f>VLOOKUP(G727,CATEGORIE!$H$3:$I$104,2,FALSE)</f>
        <v>COSTO SOPRAVVIVENZA</v>
      </c>
      <c r="I727" s="59">
        <v>0.35</v>
      </c>
      <c r="J727" s="940"/>
      <c r="K727" s="59"/>
      <c r="L727" s="59"/>
    </row>
    <row r="728" spans="1:12">
      <c r="A728" s="57" t="s">
        <v>101</v>
      </c>
      <c r="B728" s="57" t="s">
        <v>261</v>
      </c>
      <c r="C728" s="57">
        <v>2025</v>
      </c>
      <c r="D728" s="58">
        <f>MATCH(B728,{"GENNAIO","FEBBRAIO","MARZO","APRILE","MAGGIO","GIUGNO","LUGLIO","AGOSTO","SETTEMBRE","OTTOBRE","NOVEMBRE","DICEMBRE"},0)</f>
        <v>8</v>
      </c>
      <c r="E728" s="57" t="str">
        <f>CONCATENATE(,B728," ",C728)</f>
        <v>AGOSTO 2025</v>
      </c>
      <c r="F728" s="57" t="str">
        <f>CONCATENATE(D728," ",E728)</f>
        <v>8 AGOSTO 2025</v>
      </c>
      <c r="G728" s="1309" t="s">
        <v>91</v>
      </c>
      <c r="H728" s="1309" t="str">
        <f>VLOOKUP(G728,CATEGORIE!$H$3:$I$104,2,FALSE)</f>
        <v>COSTO SOPRAVVIVENZA</v>
      </c>
      <c r="I728" s="59">
        <v>0.4</v>
      </c>
      <c r="J728" s="940"/>
      <c r="K728" s="59"/>
      <c r="L728" s="59"/>
    </row>
    <row r="729" spans="1:12">
      <c r="A729" s="57" t="s">
        <v>95</v>
      </c>
      <c r="B729" s="57" t="s">
        <v>261</v>
      </c>
      <c r="C729" s="57">
        <v>2025</v>
      </c>
      <c r="D729" s="58">
        <f>MATCH(B729,{"GENNAIO","FEBBRAIO","MARZO","APRILE","MAGGIO","GIUGNO","LUGLIO","AGOSTO","SETTEMBRE","OTTOBRE","NOVEMBRE","DICEMBRE"},0)</f>
        <v>8</v>
      </c>
      <c r="E729" s="57" t="str">
        <f t="shared" ref="E729" si="1164">CONCATENATE(,B729," ",C729)</f>
        <v>AGOSTO 2025</v>
      </c>
      <c r="F729" s="57" t="str">
        <f t="shared" ref="F729" si="1165">CONCATENATE(D729," ",E729)</f>
        <v>8 AGOSTO 2025</v>
      </c>
      <c r="G729" s="1309" t="s">
        <v>96</v>
      </c>
      <c r="H729" s="1309" t="str">
        <f>VLOOKUP(G729,CATEGORIE!$H$3:$I$104,2,FALSE)</f>
        <v>COSTO SOPRAVVIVENZA</v>
      </c>
      <c r="I729" s="59">
        <v>6.27</v>
      </c>
      <c r="J729" s="940"/>
      <c r="K729" s="59"/>
      <c r="L729" s="59"/>
    </row>
    <row r="730" spans="1:12">
      <c r="A730" s="57" t="s">
        <v>95</v>
      </c>
      <c r="B730" s="57" t="s">
        <v>261</v>
      </c>
      <c r="C730" s="57">
        <v>2025</v>
      </c>
      <c r="D730" s="58">
        <f>MATCH(B730,{"GENNAIO","FEBBRAIO","MARZO","APRILE","MAGGIO","GIUGNO","LUGLIO","AGOSTO","SETTEMBRE","OTTOBRE","NOVEMBRE","DICEMBRE"},0)</f>
        <v>8</v>
      </c>
      <c r="E730" s="57" t="str">
        <f t="shared" ref="E730" si="1166">CONCATENATE(,B730," ",C730)</f>
        <v>AGOSTO 2025</v>
      </c>
      <c r="F730" s="57" t="str">
        <f t="shared" ref="F730" si="1167">CONCATENATE(D730," ",E730)</f>
        <v>8 AGOSTO 2025</v>
      </c>
      <c r="G730" s="1309" t="s">
        <v>96</v>
      </c>
      <c r="H730" s="1309" t="str">
        <f>VLOOKUP(G730,CATEGORIE!$H$3:$I$104,2,FALSE)</f>
        <v>COSTO SOPRAVVIVENZA</v>
      </c>
      <c r="I730" s="59">
        <v>24.56</v>
      </c>
      <c r="J730" s="940"/>
      <c r="K730" s="59"/>
      <c r="L730" s="59"/>
    </row>
    <row r="731" spans="1:12">
      <c r="A731" s="57" t="s">
        <v>105</v>
      </c>
      <c r="B731" s="57" t="s">
        <v>261</v>
      </c>
      <c r="C731" s="57">
        <v>2025</v>
      </c>
      <c r="D731" s="58">
        <f>MATCH(B731,{"GENNAIO","FEBBRAIO","MARZO","APRILE","MAGGIO","GIUGNO","LUGLIO","AGOSTO","SETTEMBRE","OTTOBRE","NOVEMBRE","DICEMBRE"},0)</f>
        <v>8</v>
      </c>
      <c r="E731" s="57" t="str">
        <f t="shared" ref="E731" si="1168">CONCATENATE(,B731," ",C731)</f>
        <v>AGOSTO 2025</v>
      </c>
      <c r="F731" s="57" t="str">
        <f t="shared" ref="F731" si="1169">CONCATENATE(D731," ",E731)</f>
        <v>8 AGOSTO 2025</v>
      </c>
      <c r="G731" s="1309" t="s">
        <v>96</v>
      </c>
      <c r="H731" s="1309" t="str">
        <f>VLOOKUP(G731,CATEGORIE!$H$3:$I$104,2,FALSE)</f>
        <v>COSTO SOPRAVVIVENZA</v>
      </c>
      <c r="I731" s="59">
        <v>8.35</v>
      </c>
      <c r="J731" s="940"/>
      <c r="K731" s="59"/>
      <c r="L731" s="59"/>
    </row>
    <row r="732" spans="1:12">
      <c r="A732" s="57" t="s">
        <v>159</v>
      </c>
      <c r="B732" s="57" t="s">
        <v>261</v>
      </c>
      <c r="C732" s="57">
        <v>2025</v>
      </c>
      <c r="D732" s="58">
        <f>MATCH(B732,{"GENNAIO","FEBBRAIO","MARZO","APRILE","MAGGIO","GIUGNO","LUGLIO","AGOSTO","SETTEMBRE","OTTOBRE","NOVEMBRE","DICEMBRE"},0)</f>
        <v>8</v>
      </c>
      <c r="E732" s="57" t="str">
        <f t="shared" ref="E732" si="1170">CONCATENATE(,B732," ",C732)</f>
        <v>AGOSTO 2025</v>
      </c>
      <c r="F732" s="57" t="str">
        <f t="shared" ref="F732" si="1171">CONCATENATE(D732," ",E732)</f>
        <v>8 AGOSTO 2025</v>
      </c>
      <c r="G732" s="1309" t="s">
        <v>94</v>
      </c>
      <c r="H732" s="1309" t="str">
        <f>VLOOKUP(G732,CATEGORIE!$H$3:$I$104,2,FALSE)</f>
        <v>COSTO SVAGHI</v>
      </c>
      <c r="I732" s="59">
        <v>17.5</v>
      </c>
      <c r="J732" s="940"/>
      <c r="K732" s="59"/>
      <c r="L732" s="59"/>
    </row>
    <row r="733" spans="1:12">
      <c r="A733" s="57" t="s">
        <v>120</v>
      </c>
      <c r="B733" s="57" t="s">
        <v>261</v>
      </c>
      <c r="C733" s="57">
        <v>2025</v>
      </c>
      <c r="D733" s="58">
        <f>MATCH(B733,{"GENNAIO","FEBBRAIO","MARZO","APRILE","MAGGIO","GIUGNO","LUGLIO","AGOSTO","SETTEMBRE","OTTOBRE","NOVEMBRE","DICEMBRE"},0)</f>
        <v>8</v>
      </c>
      <c r="E733" s="57" t="str">
        <f t="shared" ref="E733" si="1172">CONCATENATE(,B733," ",C733)</f>
        <v>AGOSTO 2025</v>
      </c>
      <c r="F733" s="57" t="str">
        <f t="shared" ref="F733" si="1173">CONCATENATE(D733," ",E733)</f>
        <v>8 AGOSTO 2025</v>
      </c>
      <c r="G733" s="1309" t="s">
        <v>121</v>
      </c>
      <c r="H733" s="1309" t="str">
        <f>VLOOKUP(G733,CATEGORIE!$H$3:$I$104,2,FALSE)</f>
        <v>COSTO MOBILITA'</v>
      </c>
      <c r="I733" s="59">
        <v>15</v>
      </c>
      <c r="J733" s="940"/>
      <c r="K733" s="59"/>
      <c r="L733" s="59"/>
    </row>
    <row r="734" spans="1:12">
      <c r="A734" s="57" t="s">
        <v>262</v>
      </c>
      <c r="B734" s="57" t="s">
        <v>261</v>
      </c>
      <c r="C734" s="57">
        <v>2025</v>
      </c>
      <c r="D734" s="58">
        <f>MATCH(B734,{"GENNAIO","FEBBRAIO","MARZO","APRILE","MAGGIO","GIUGNO","LUGLIO","AGOSTO","SETTEMBRE","OTTOBRE","NOVEMBRE","DICEMBRE"},0)</f>
        <v>8</v>
      </c>
      <c r="E734" s="57" t="str">
        <f t="shared" ref="E734" si="1174">CONCATENATE(,B734," ",C734)</f>
        <v>AGOSTO 2025</v>
      </c>
      <c r="F734" s="57" t="str">
        <f t="shared" ref="F734" si="1175">CONCATENATE(D734," ",E734)</f>
        <v>8 AGOSTO 2025</v>
      </c>
      <c r="G734" s="1309" t="s">
        <v>94</v>
      </c>
      <c r="H734" s="1309" t="str">
        <f>VLOOKUP(G734,CATEGORIE!$H$3:$I$104,2,FALSE)</f>
        <v>COSTO SVAGHI</v>
      </c>
      <c r="I734" s="59">
        <v>16</v>
      </c>
      <c r="J734" s="940"/>
      <c r="K734" s="59"/>
      <c r="L734" s="59"/>
    </row>
    <row r="735" spans="1:12">
      <c r="A735" s="57" t="s">
        <v>102</v>
      </c>
      <c r="B735" s="57" t="s">
        <v>261</v>
      </c>
      <c r="C735" s="57">
        <v>2025</v>
      </c>
      <c r="D735" s="58">
        <f>MATCH(B735,{"GENNAIO","FEBBRAIO","MARZO","APRILE","MAGGIO","GIUGNO","LUGLIO","AGOSTO","SETTEMBRE","OTTOBRE","NOVEMBRE","DICEMBRE"},0)</f>
        <v>8</v>
      </c>
      <c r="E735" s="57" t="str">
        <f t="shared" ref="E735" si="1176">CONCATENATE(,B735," ",C735)</f>
        <v>AGOSTO 2025</v>
      </c>
      <c r="F735" s="57" t="str">
        <f t="shared" ref="F735" si="1177">CONCATENATE(D735," ",E735)</f>
        <v>8 AGOSTO 2025</v>
      </c>
      <c r="G735" s="1309" t="s">
        <v>96</v>
      </c>
      <c r="H735" s="1309" t="str">
        <f>VLOOKUP(G735,CATEGORIE!$H$3:$I$104,2,FALSE)</f>
        <v>COSTO SOPRAVVIVENZA</v>
      </c>
      <c r="I735" s="59">
        <v>11.39</v>
      </c>
      <c r="J735" s="940"/>
      <c r="K735" s="59"/>
      <c r="L735" s="59"/>
    </row>
    <row r="736" spans="1:12">
      <c r="A736" s="57" t="s">
        <v>135</v>
      </c>
      <c r="B736" s="57" t="s">
        <v>261</v>
      </c>
      <c r="C736" s="57">
        <v>2025</v>
      </c>
      <c r="D736" s="58">
        <f>MATCH(B736,{"GENNAIO","FEBBRAIO","MARZO","APRILE","MAGGIO","GIUGNO","LUGLIO","AGOSTO","SETTEMBRE","OTTOBRE","NOVEMBRE","DICEMBRE"},0)</f>
        <v>8</v>
      </c>
      <c r="E736" s="57" t="str">
        <f t="shared" ref="E736" si="1178">CONCATENATE(,B736," ",C736)</f>
        <v>AGOSTO 2025</v>
      </c>
      <c r="F736" s="57" t="str">
        <f t="shared" ref="F736" si="1179">CONCATENATE(D736," ",E736)</f>
        <v>8 AGOSTO 2025</v>
      </c>
      <c r="G736" s="1309" t="s">
        <v>132</v>
      </c>
      <c r="H736" s="1309" t="str">
        <f>VLOOKUP(G736,CATEGORIE!$H$3:$I$104,2,FALSE)</f>
        <v>COSTO CASA</v>
      </c>
      <c r="I736" s="59">
        <v>16.39</v>
      </c>
      <c r="J736" s="940"/>
      <c r="K736" s="59"/>
      <c r="L736" s="59"/>
    </row>
    <row r="737" spans="1:12">
      <c r="A737" s="57" t="s">
        <v>229</v>
      </c>
      <c r="B737" s="57" t="s">
        <v>261</v>
      </c>
      <c r="C737" s="57">
        <v>2025</v>
      </c>
      <c r="D737" s="58">
        <f>MATCH(B737,{"GENNAIO","FEBBRAIO","MARZO","APRILE","MAGGIO","GIUGNO","LUGLIO","AGOSTO","SETTEMBRE","OTTOBRE","NOVEMBRE","DICEMBRE"},0)</f>
        <v>8</v>
      </c>
      <c r="E737" s="57" t="str">
        <f t="shared" ref="E737" si="1180">CONCATENATE(,B737," ",C737)</f>
        <v>AGOSTO 2025</v>
      </c>
      <c r="F737" s="57" t="str">
        <f t="shared" ref="F737" si="1181">CONCATENATE(D737," ",E737)</f>
        <v>8 AGOSTO 2025</v>
      </c>
      <c r="G737" s="1309" t="s">
        <v>163</v>
      </c>
      <c r="H737" s="1309" t="str">
        <f>VLOOKUP(G737,CATEGORIE!$H$3:$I$104,2,FALSE)</f>
        <v>COSTO SVAGHI</v>
      </c>
      <c r="I737" s="59">
        <v>12.73</v>
      </c>
      <c r="J737" s="940" t="s">
        <v>138</v>
      </c>
      <c r="K737" s="59" t="s">
        <v>112</v>
      </c>
      <c r="L737" s="59" t="s">
        <v>230</v>
      </c>
    </row>
    <row r="738" spans="1:12">
      <c r="A738" s="57" t="s">
        <v>259</v>
      </c>
      <c r="B738" s="57" t="s">
        <v>261</v>
      </c>
      <c r="C738" s="57">
        <v>2025</v>
      </c>
      <c r="D738" s="58">
        <f>MATCH(B738,{"GENNAIO","FEBBRAIO","MARZO","APRILE","MAGGIO","GIUGNO","LUGLIO","AGOSTO","SETTEMBRE","OTTOBRE","NOVEMBRE","DICEMBRE"},0)</f>
        <v>8</v>
      </c>
      <c r="E738" s="57" t="str">
        <f t="shared" ref="E738" si="1182">CONCATENATE(,B738," ",C738)</f>
        <v>AGOSTO 2025</v>
      </c>
      <c r="F738" s="57" t="str">
        <f t="shared" ref="F738" si="1183">CONCATENATE(D738," ",E738)</f>
        <v>8 AGOSTO 2025</v>
      </c>
      <c r="G738" s="1309" t="s">
        <v>1250</v>
      </c>
      <c r="H738" s="1309" t="str">
        <f>VLOOKUP(G738,CATEGORIE!$H$3:$I$104,2,FALSE)</f>
        <v>COSTO VACANZE</v>
      </c>
      <c r="I738" s="60">
        <v>132.63999999999999</v>
      </c>
      <c r="J738" s="940"/>
      <c r="K738" s="59"/>
      <c r="L738" s="59" t="s">
        <v>260</v>
      </c>
    </row>
    <row r="739" spans="1:12">
      <c r="A739" s="57" t="s">
        <v>263</v>
      </c>
      <c r="B739" s="57" t="s">
        <v>261</v>
      </c>
      <c r="C739" s="57">
        <v>2025</v>
      </c>
      <c r="D739" s="58">
        <f>MATCH(B739,{"GENNAIO","FEBBRAIO","MARZO","APRILE","MAGGIO","GIUGNO","LUGLIO","AGOSTO","SETTEMBRE","OTTOBRE","NOVEMBRE","DICEMBRE"},0)</f>
        <v>8</v>
      </c>
      <c r="E739" s="57" t="str">
        <f t="shared" ref="E739" si="1184">CONCATENATE(,B739," ",C739)</f>
        <v>AGOSTO 2025</v>
      </c>
      <c r="F739" s="57" t="str">
        <f t="shared" ref="F739" si="1185">CONCATENATE(D739," ",E739)</f>
        <v>8 AGOSTO 2025</v>
      </c>
      <c r="G739" s="1309" t="s">
        <v>94</v>
      </c>
      <c r="H739" s="1309" t="str">
        <f>VLOOKUP(G739,CATEGORIE!$H$3:$I$104,2,FALSE)</f>
        <v>COSTO SVAGHI</v>
      </c>
      <c r="I739" s="59">
        <v>14.8</v>
      </c>
      <c r="J739" s="940"/>
      <c r="K739" s="59" t="s">
        <v>112</v>
      </c>
      <c r="L739" s="59"/>
    </row>
    <row r="740" spans="1:12">
      <c r="A740" s="57" t="s">
        <v>264</v>
      </c>
      <c r="B740" s="57" t="s">
        <v>261</v>
      </c>
      <c r="C740" s="57">
        <v>2025</v>
      </c>
      <c r="D740" s="58">
        <f>MATCH(B740,{"GENNAIO","FEBBRAIO","MARZO","APRILE","MAGGIO","GIUGNO","LUGLIO","AGOSTO","SETTEMBRE","OTTOBRE","NOVEMBRE","DICEMBRE"},0)</f>
        <v>8</v>
      </c>
      <c r="E740" s="57" t="str">
        <f t="shared" ref="E740" si="1186">CONCATENATE(,B740," ",C740)</f>
        <v>AGOSTO 2025</v>
      </c>
      <c r="F740" s="57" t="str">
        <f t="shared" ref="F740" si="1187">CONCATENATE(D740," ",E740)</f>
        <v>8 AGOSTO 2025</v>
      </c>
      <c r="G740" s="1309" t="s">
        <v>185</v>
      </c>
      <c r="H740" s="1309" t="str">
        <f>VLOOKUP(G740,CATEGORIE!$H$3:$I$104,2,FALSE)</f>
        <v>COSTO SFIZI</v>
      </c>
      <c r="I740" s="59">
        <v>13</v>
      </c>
      <c r="J740" s="940"/>
      <c r="K740" s="59"/>
      <c r="L740" s="59" t="s">
        <v>260</v>
      </c>
    </row>
    <row r="741" spans="1:12">
      <c r="A741" s="57" t="s">
        <v>265</v>
      </c>
      <c r="B741" s="57" t="s">
        <v>261</v>
      </c>
      <c r="C741" s="57">
        <v>2025</v>
      </c>
      <c r="D741" s="58">
        <f>MATCH(B741,{"GENNAIO","FEBBRAIO","MARZO","APRILE","MAGGIO","GIUGNO","LUGLIO","AGOSTO","SETTEMBRE","OTTOBRE","NOVEMBRE","DICEMBRE"},0)</f>
        <v>8</v>
      </c>
      <c r="E741" s="57" t="str">
        <f t="shared" ref="E741:E742" si="1188">CONCATENATE(,B741," ",C741)</f>
        <v>AGOSTO 2025</v>
      </c>
      <c r="F741" s="57" t="str">
        <f t="shared" ref="F741:F742" si="1189">CONCATENATE(D741," ",E741)</f>
        <v>8 AGOSTO 2025</v>
      </c>
      <c r="G741" s="1309" t="s">
        <v>111</v>
      </c>
      <c r="H741" s="1309" t="str">
        <f>VLOOKUP(G741,CATEGORIE!$H$3:$I$104,2,FALSE)</f>
        <v>COSTO MOBILITA'</v>
      </c>
      <c r="I741" s="59">
        <v>1.5</v>
      </c>
      <c r="J741" s="940"/>
      <c r="K741" s="59"/>
      <c r="L741" s="59"/>
    </row>
    <row r="742" spans="1:12">
      <c r="A742" s="57" t="s">
        <v>266</v>
      </c>
      <c r="B742" s="57" t="s">
        <v>261</v>
      </c>
      <c r="C742" s="57">
        <v>2025</v>
      </c>
      <c r="D742" s="58">
        <f>MATCH(B742,{"GENNAIO","FEBBRAIO","MARZO","APRILE","MAGGIO","GIUGNO","LUGLIO","AGOSTO","SETTEMBRE","OTTOBRE","NOVEMBRE","DICEMBRE"},0)</f>
        <v>8</v>
      </c>
      <c r="E742" s="57" t="str">
        <f t="shared" si="1188"/>
        <v>AGOSTO 2025</v>
      </c>
      <c r="F742" s="57" t="str">
        <f t="shared" si="1189"/>
        <v>8 AGOSTO 2025</v>
      </c>
      <c r="G742" s="1309" t="s">
        <v>121</v>
      </c>
      <c r="H742" s="1309" t="str">
        <f>VLOOKUP(G742,CATEGORIE!$H$3:$I$104,2,FALSE)</f>
        <v>COSTO MOBILITA'</v>
      </c>
      <c r="I742" s="59">
        <f>26.25</f>
        <v>26.25</v>
      </c>
      <c r="J742" s="940"/>
      <c r="K742" s="59"/>
      <c r="L742" s="59" t="s">
        <v>260</v>
      </c>
    </row>
    <row r="743" spans="1:12">
      <c r="A743" s="57" t="s">
        <v>267</v>
      </c>
      <c r="B743" s="57" t="s">
        <v>261</v>
      </c>
      <c r="C743" s="57">
        <v>2025</v>
      </c>
      <c r="D743" s="58">
        <f>MATCH(B743,{"GENNAIO","FEBBRAIO","MARZO","APRILE","MAGGIO","GIUGNO","LUGLIO","AGOSTO","SETTEMBRE","OTTOBRE","NOVEMBRE","DICEMBRE"},0)</f>
        <v>8</v>
      </c>
      <c r="E743" s="57" t="str">
        <f t="shared" ref="E743" si="1190">CONCATENATE(,B743," ",C743)</f>
        <v>AGOSTO 2025</v>
      </c>
      <c r="F743" s="57" t="str">
        <f t="shared" ref="F743" si="1191">CONCATENATE(D743," ",E743)</f>
        <v>8 AGOSTO 2025</v>
      </c>
      <c r="G743" s="1309" t="s">
        <v>121</v>
      </c>
      <c r="H743" s="1309" t="str">
        <f>VLOOKUP(G743,CATEGORIE!$H$3:$I$104,2,FALSE)</f>
        <v>COSTO MOBILITA'</v>
      </c>
      <c r="I743" s="59">
        <f>80.07</f>
        <v>80.069999999999993</v>
      </c>
      <c r="J743" s="940"/>
      <c r="K743" s="59"/>
      <c r="L743" s="59" t="s">
        <v>260</v>
      </c>
    </row>
    <row r="744" spans="1:12">
      <c r="A744" s="57" t="s">
        <v>268</v>
      </c>
      <c r="B744" s="57" t="s">
        <v>261</v>
      </c>
      <c r="C744" s="57">
        <v>2025</v>
      </c>
      <c r="D744" s="58">
        <f>MATCH(B744,{"GENNAIO","FEBBRAIO","MARZO","APRILE","MAGGIO","GIUGNO","LUGLIO","AGOSTO","SETTEMBRE","OTTOBRE","NOVEMBRE","DICEMBRE"},0)</f>
        <v>8</v>
      </c>
      <c r="E744" s="57" t="str">
        <f t="shared" ref="E744" si="1192">CONCATENATE(,B744," ",C744)</f>
        <v>AGOSTO 2025</v>
      </c>
      <c r="F744" s="57" t="str">
        <f t="shared" ref="F744" si="1193">CONCATENATE(D744," ",E744)</f>
        <v>8 AGOSTO 2025</v>
      </c>
      <c r="G744" s="1309" t="s">
        <v>94</v>
      </c>
      <c r="H744" s="1309" t="str">
        <f>VLOOKUP(G744,CATEGORIE!$H$3:$I$104,2,FALSE)</f>
        <v>COSTO SVAGHI</v>
      </c>
      <c r="I744" s="59">
        <v>39.200000000000003</v>
      </c>
      <c r="J744" s="940"/>
      <c r="K744" s="59"/>
      <c r="L744" s="59" t="s">
        <v>260</v>
      </c>
    </row>
    <row r="745" spans="1:12">
      <c r="A745" s="57" t="s">
        <v>269</v>
      </c>
      <c r="B745" s="57" t="s">
        <v>261</v>
      </c>
      <c r="C745" s="57">
        <v>2025</v>
      </c>
      <c r="D745" s="58">
        <f>MATCH(B745,{"GENNAIO","FEBBRAIO","MARZO","APRILE","MAGGIO","GIUGNO","LUGLIO","AGOSTO","SETTEMBRE","OTTOBRE","NOVEMBRE","DICEMBRE"},0)</f>
        <v>8</v>
      </c>
      <c r="E745" s="57" t="str">
        <f t="shared" ref="E745" si="1194">CONCATENATE(,B745," ",C745)</f>
        <v>AGOSTO 2025</v>
      </c>
      <c r="F745" s="57" t="str">
        <f t="shared" ref="F745" si="1195">CONCATENATE(D745," ",E745)</f>
        <v>8 AGOSTO 2025</v>
      </c>
      <c r="G745" s="1309" t="s">
        <v>94</v>
      </c>
      <c r="H745" s="1309" t="str">
        <f>VLOOKUP(G745,CATEGORIE!$H$3:$I$104,2,FALSE)</f>
        <v>COSTO SVAGHI</v>
      </c>
      <c r="I745" s="59">
        <v>17.600000000000001</v>
      </c>
      <c r="J745" s="940"/>
      <c r="K745" s="59"/>
      <c r="L745" s="59" t="s">
        <v>260</v>
      </c>
    </row>
    <row r="746" spans="1:12">
      <c r="A746" s="57" t="s">
        <v>110</v>
      </c>
      <c r="B746" s="57" t="s">
        <v>261</v>
      </c>
      <c r="C746" s="57">
        <v>2025</v>
      </c>
      <c r="D746" s="58">
        <f>MATCH(B746,{"GENNAIO","FEBBRAIO","MARZO","APRILE","MAGGIO","GIUGNO","LUGLIO","AGOSTO","SETTEMBRE","OTTOBRE","NOVEMBRE","DICEMBRE"},0)</f>
        <v>8</v>
      </c>
      <c r="E746" s="57" t="str">
        <f t="shared" ref="E746" si="1196">CONCATENATE(,B746," ",C746)</f>
        <v>AGOSTO 2025</v>
      </c>
      <c r="F746" s="57" t="str">
        <f t="shared" ref="F746" si="1197">CONCATENATE(D746," ",E746)</f>
        <v>8 AGOSTO 2025</v>
      </c>
      <c r="G746" s="1309" t="s">
        <v>1250</v>
      </c>
      <c r="H746" s="1309" t="str">
        <f>VLOOKUP(G746,CATEGORIE!$H$3:$I$104,2,FALSE)</f>
        <v>COSTO VACANZE</v>
      </c>
      <c r="I746" s="59">
        <v>3.91</v>
      </c>
      <c r="J746" s="940"/>
      <c r="K746" s="59" t="s">
        <v>112</v>
      </c>
      <c r="L746" s="59" t="s">
        <v>260</v>
      </c>
    </row>
    <row r="747" spans="1:12">
      <c r="A747" s="57" t="s">
        <v>270</v>
      </c>
      <c r="B747" s="57" t="s">
        <v>261</v>
      </c>
      <c r="C747" s="57">
        <v>2025</v>
      </c>
      <c r="D747" s="58">
        <f>MATCH(B747,{"GENNAIO","FEBBRAIO","MARZO","APRILE","MAGGIO","GIUGNO","LUGLIO","AGOSTO","SETTEMBRE","OTTOBRE","NOVEMBRE","DICEMBRE"},0)</f>
        <v>8</v>
      </c>
      <c r="E747" s="57" t="str">
        <f t="shared" ref="E747" si="1198">CONCATENATE(,B747," ",C747)</f>
        <v>AGOSTO 2025</v>
      </c>
      <c r="F747" s="57" t="str">
        <f t="shared" ref="F747" si="1199">CONCATENATE(D747," ",E747)</f>
        <v>8 AGOSTO 2025</v>
      </c>
      <c r="G747" s="1309" t="s">
        <v>94</v>
      </c>
      <c r="H747" s="1309" t="str">
        <f>VLOOKUP(G747,CATEGORIE!$H$3:$I$104,2,FALSE)</f>
        <v>COSTO SVAGHI</v>
      </c>
      <c r="I747" s="59">
        <v>42.46</v>
      </c>
      <c r="J747" s="940"/>
      <c r="K747" s="59"/>
      <c r="L747" s="59" t="s">
        <v>260</v>
      </c>
    </row>
    <row r="748" spans="1:12">
      <c r="A748" s="57" t="s">
        <v>271</v>
      </c>
      <c r="B748" s="57" t="s">
        <v>261</v>
      </c>
      <c r="C748" s="57">
        <v>2025</v>
      </c>
      <c r="D748" s="58">
        <f>MATCH(B748,{"GENNAIO","FEBBRAIO","MARZO","APRILE","MAGGIO","GIUGNO","LUGLIO","AGOSTO","SETTEMBRE","OTTOBRE","NOVEMBRE","DICEMBRE"},0)</f>
        <v>8</v>
      </c>
      <c r="E748" s="57" t="str">
        <f t="shared" ref="E748" si="1200">CONCATENATE(,B748," ",C748)</f>
        <v>AGOSTO 2025</v>
      </c>
      <c r="F748" s="57" t="str">
        <f t="shared" ref="F748" si="1201">CONCATENATE(D748," ",E748)</f>
        <v>8 AGOSTO 2025</v>
      </c>
      <c r="G748" s="1309" t="s">
        <v>1250</v>
      </c>
      <c r="H748" s="1309" t="str">
        <f>VLOOKUP(G748,CATEGORIE!$H$3:$I$104,2,FALSE)</f>
        <v>COSTO VACANZE</v>
      </c>
      <c r="I748" s="59">
        <v>15</v>
      </c>
      <c r="J748" s="940"/>
      <c r="K748" s="59"/>
      <c r="L748" s="59" t="s">
        <v>260</v>
      </c>
    </row>
    <row r="749" spans="1:12">
      <c r="A749" s="57" t="s">
        <v>272</v>
      </c>
      <c r="B749" s="57" t="s">
        <v>261</v>
      </c>
      <c r="C749" s="57">
        <v>2025</v>
      </c>
      <c r="D749" s="58">
        <f>MATCH(B749,{"GENNAIO","FEBBRAIO","MARZO","APRILE","MAGGIO","GIUGNO","LUGLIO","AGOSTO","SETTEMBRE","OTTOBRE","NOVEMBRE","DICEMBRE"},0)</f>
        <v>8</v>
      </c>
      <c r="E749" s="57" t="str">
        <f t="shared" ref="E749" si="1202">CONCATENATE(,B749," ",C749)</f>
        <v>AGOSTO 2025</v>
      </c>
      <c r="F749" s="57" t="str">
        <f t="shared" ref="F749" si="1203">CONCATENATE(D749," ",E749)</f>
        <v>8 AGOSTO 2025</v>
      </c>
      <c r="G749" s="1309" t="s">
        <v>94</v>
      </c>
      <c r="H749" s="1309" t="str">
        <f>VLOOKUP(G749,CATEGORIE!$H$3:$I$104,2,FALSE)</f>
        <v>COSTO SVAGHI</v>
      </c>
      <c r="I749" s="59">
        <v>7.5</v>
      </c>
      <c r="J749" s="940"/>
      <c r="K749" s="59"/>
      <c r="L749" s="59" t="s">
        <v>260</v>
      </c>
    </row>
    <row r="750" spans="1:12">
      <c r="A750" s="57" t="s">
        <v>273</v>
      </c>
      <c r="B750" s="57" t="s">
        <v>261</v>
      </c>
      <c r="C750" s="57">
        <v>2025</v>
      </c>
      <c r="D750" s="58">
        <f>MATCH(B750,{"GENNAIO","FEBBRAIO","MARZO","APRILE","MAGGIO","GIUGNO","LUGLIO","AGOSTO","SETTEMBRE","OTTOBRE","NOVEMBRE","DICEMBRE"},0)</f>
        <v>8</v>
      </c>
      <c r="E750" s="57" t="str">
        <f t="shared" ref="E750" si="1204">CONCATENATE(,B750," ",C750)</f>
        <v>AGOSTO 2025</v>
      </c>
      <c r="F750" s="57" t="str">
        <f t="shared" ref="F750" si="1205">CONCATENATE(D750," ",E750)</f>
        <v>8 AGOSTO 2025</v>
      </c>
      <c r="G750" s="1309" t="s">
        <v>111</v>
      </c>
      <c r="H750" s="1309" t="str">
        <f>VLOOKUP(G750,CATEGORIE!$H$3:$I$104,2,FALSE)</f>
        <v>COSTO MOBILITA'</v>
      </c>
      <c r="I750" s="59">
        <v>5</v>
      </c>
      <c r="J750" s="940"/>
      <c r="K750" s="59"/>
      <c r="L750" s="59"/>
    </row>
    <row r="751" spans="1:12">
      <c r="A751" s="57" t="s">
        <v>273</v>
      </c>
      <c r="B751" s="57" t="s">
        <v>261</v>
      </c>
      <c r="C751" s="57">
        <v>2025</v>
      </c>
      <c r="D751" s="58">
        <f>MATCH(B751,{"GENNAIO","FEBBRAIO","MARZO","APRILE","MAGGIO","GIUGNO","LUGLIO","AGOSTO","SETTEMBRE","OTTOBRE","NOVEMBRE","DICEMBRE"},0)</f>
        <v>8</v>
      </c>
      <c r="E751" s="57" t="str">
        <f t="shared" ref="E751" si="1206">CONCATENATE(,B751," ",C751)</f>
        <v>AGOSTO 2025</v>
      </c>
      <c r="F751" s="57" t="str">
        <f t="shared" ref="F751" si="1207">CONCATENATE(D751," ",E751)</f>
        <v>8 AGOSTO 2025</v>
      </c>
      <c r="G751" s="1309" t="s">
        <v>1250</v>
      </c>
      <c r="H751" s="1309" t="str">
        <f>VLOOKUP(G751,CATEGORIE!$H$3:$I$104,2,FALSE)</f>
        <v>COSTO VACANZE</v>
      </c>
      <c r="I751" s="59">
        <v>5</v>
      </c>
      <c r="J751" s="940"/>
      <c r="K751" s="59"/>
      <c r="L751" s="59"/>
    </row>
    <row r="752" spans="1:12">
      <c r="A752" s="57" t="s">
        <v>181</v>
      </c>
      <c r="B752" s="57" t="s">
        <v>261</v>
      </c>
      <c r="C752" s="57">
        <v>2025</v>
      </c>
      <c r="D752" s="58">
        <f>MATCH(B752,{"GENNAIO","FEBBRAIO","MARZO","APRILE","MAGGIO","GIUGNO","LUGLIO","AGOSTO","SETTEMBRE","OTTOBRE","NOVEMBRE","DICEMBRE"},0)</f>
        <v>8</v>
      </c>
      <c r="E752" s="57" t="str">
        <f t="shared" ref="E752" si="1208">CONCATENATE(,B752," ",C752)</f>
        <v>AGOSTO 2025</v>
      </c>
      <c r="F752" s="57" t="str">
        <f t="shared" ref="F752" si="1209">CONCATENATE(D752," ",E752)</f>
        <v>8 AGOSTO 2025</v>
      </c>
      <c r="G752" s="1309" t="s">
        <v>1250</v>
      </c>
      <c r="H752" s="1309" t="str">
        <f>VLOOKUP(G752,CATEGORIE!$H$3:$I$104,2,FALSE)</f>
        <v>COSTO VACANZE</v>
      </c>
      <c r="I752" s="59">
        <v>8.42</v>
      </c>
      <c r="J752" s="940"/>
      <c r="K752" s="59"/>
      <c r="L752" s="59" t="s">
        <v>260</v>
      </c>
    </row>
    <row r="753" spans="1:12">
      <c r="A753" s="57" t="s">
        <v>181</v>
      </c>
      <c r="B753" s="57" t="s">
        <v>261</v>
      </c>
      <c r="C753" s="57">
        <v>2025</v>
      </c>
      <c r="D753" s="58">
        <f>MATCH(B753,{"GENNAIO","FEBBRAIO","MARZO","APRILE","MAGGIO","GIUGNO","LUGLIO","AGOSTO","SETTEMBRE","OTTOBRE","NOVEMBRE","DICEMBRE"},0)</f>
        <v>8</v>
      </c>
      <c r="E753" s="57" t="str">
        <f t="shared" ref="E753" si="1210">CONCATENATE(,B753," ",C753)</f>
        <v>AGOSTO 2025</v>
      </c>
      <c r="F753" s="57" t="str">
        <f t="shared" ref="F753" si="1211">CONCATENATE(D753," ",E753)</f>
        <v>8 AGOSTO 2025</v>
      </c>
      <c r="G753" s="1309" t="s">
        <v>1250</v>
      </c>
      <c r="H753" s="1309" t="str">
        <f>VLOOKUP(G753,CATEGORIE!$H$3:$I$104,2,FALSE)</f>
        <v>COSTO VACANZE</v>
      </c>
      <c r="I753" s="59">
        <v>8.91</v>
      </c>
      <c r="J753" s="940"/>
      <c r="K753" s="59"/>
      <c r="L753" s="59" t="s">
        <v>260</v>
      </c>
    </row>
    <row r="754" spans="1:12">
      <c r="A754" s="57" t="s">
        <v>181</v>
      </c>
      <c r="B754" s="57" t="s">
        <v>261</v>
      </c>
      <c r="C754" s="57">
        <v>2025</v>
      </c>
      <c r="D754" s="58">
        <f>MATCH(B754,{"GENNAIO","FEBBRAIO","MARZO","APRILE","MAGGIO","GIUGNO","LUGLIO","AGOSTO","SETTEMBRE","OTTOBRE","NOVEMBRE","DICEMBRE"},0)</f>
        <v>8</v>
      </c>
      <c r="E754" s="57" t="str">
        <f t="shared" ref="E754" si="1212">CONCATENATE(,B754," ",C754)</f>
        <v>AGOSTO 2025</v>
      </c>
      <c r="F754" s="57" t="str">
        <f t="shared" ref="F754" si="1213">CONCATENATE(D754," ",E754)</f>
        <v>8 AGOSTO 2025</v>
      </c>
      <c r="G754" s="1309" t="s">
        <v>111</v>
      </c>
      <c r="H754" s="1309" t="str">
        <f>VLOOKUP(G754,CATEGORIE!$H$3:$I$104,2,FALSE)</f>
        <v>COSTO MOBILITA'</v>
      </c>
      <c r="I754" s="59">
        <v>11.04</v>
      </c>
      <c r="J754" s="940"/>
      <c r="K754" s="59"/>
      <c r="L754" s="59" t="s">
        <v>260</v>
      </c>
    </row>
    <row r="755" spans="1:12">
      <c r="A755" s="57" t="s">
        <v>274</v>
      </c>
      <c r="B755" s="57" t="s">
        <v>261</v>
      </c>
      <c r="C755" s="57">
        <v>2025</v>
      </c>
      <c r="D755" s="58">
        <f>MATCH(B755,{"GENNAIO","FEBBRAIO","MARZO","APRILE","MAGGIO","GIUGNO","LUGLIO","AGOSTO","SETTEMBRE","OTTOBRE","NOVEMBRE","DICEMBRE"},0)</f>
        <v>8</v>
      </c>
      <c r="E755" s="57" t="str">
        <f t="shared" ref="E755" si="1214">CONCATENATE(,B755," ",C755)</f>
        <v>AGOSTO 2025</v>
      </c>
      <c r="F755" s="57" t="str">
        <f t="shared" ref="F755" si="1215">CONCATENATE(D755," ",E755)</f>
        <v>8 AGOSTO 2025</v>
      </c>
      <c r="G755" s="1309" t="s">
        <v>111</v>
      </c>
      <c r="H755" s="1309" t="str">
        <f>VLOOKUP(G755,CATEGORIE!$H$3:$I$104,2,FALSE)</f>
        <v>COSTO MOBILITA'</v>
      </c>
      <c r="I755" s="59">
        <v>1.99</v>
      </c>
      <c r="J755" s="940"/>
      <c r="K755" s="59" t="s">
        <v>112</v>
      </c>
      <c r="L755" s="59"/>
    </row>
    <row r="756" spans="1:12">
      <c r="A756" s="57" t="s">
        <v>274</v>
      </c>
      <c r="B756" s="57" t="s">
        <v>261</v>
      </c>
      <c r="C756" s="57">
        <v>2025</v>
      </c>
      <c r="D756" s="58">
        <f>MATCH(B756,{"GENNAIO","FEBBRAIO","MARZO","APRILE","MAGGIO","GIUGNO","LUGLIO","AGOSTO","SETTEMBRE","OTTOBRE","NOVEMBRE","DICEMBRE"},0)</f>
        <v>8</v>
      </c>
      <c r="E756" s="57" t="str">
        <f t="shared" ref="E756" si="1216">CONCATENATE(,B756," ",C756)</f>
        <v>AGOSTO 2025</v>
      </c>
      <c r="F756" s="57" t="str">
        <f t="shared" ref="F756" si="1217">CONCATENATE(D756," ",E756)</f>
        <v>8 AGOSTO 2025</v>
      </c>
      <c r="G756" s="1309" t="s">
        <v>111</v>
      </c>
      <c r="H756" s="1309" t="str">
        <f>VLOOKUP(G756,CATEGORIE!$H$3:$I$104,2,FALSE)</f>
        <v>COSTO MOBILITA'</v>
      </c>
      <c r="I756" s="59">
        <v>5.99</v>
      </c>
      <c r="J756" s="940"/>
      <c r="K756" s="59" t="s">
        <v>112</v>
      </c>
      <c r="L756" s="59"/>
    </row>
    <row r="757" spans="1:12">
      <c r="A757" s="57" t="s">
        <v>274</v>
      </c>
      <c r="B757" s="57" t="s">
        <v>261</v>
      </c>
      <c r="C757" s="57">
        <v>2025</v>
      </c>
      <c r="D757" s="58">
        <f>MATCH(B757,{"GENNAIO","FEBBRAIO","MARZO","APRILE","MAGGIO","GIUGNO","LUGLIO","AGOSTO","SETTEMBRE","OTTOBRE","NOVEMBRE","DICEMBRE"},0)</f>
        <v>8</v>
      </c>
      <c r="E757" s="57" t="str">
        <f t="shared" ref="E757" si="1218">CONCATENATE(,B757," ",C757)</f>
        <v>AGOSTO 2025</v>
      </c>
      <c r="F757" s="57" t="str">
        <f t="shared" ref="F757" si="1219">CONCATENATE(D757," ",E757)</f>
        <v>8 AGOSTO 2025</v>
      </c>
      <c r="G757" s="1309" t="s">
        <v>111</v>
      </c>
      <c r="H757" s="1309" t="str">
        <f>VLOOKUP(G757,CATEGORIE!$H$3:$I$104,2,FALSE)</f>
        <v>COSTO MOBILITA'</v>
      </c>
      <c r="I757" s="59">
        <v>6.75</v>
      </c>
      <c r="J757" s="940"/>
      <c r="K757" s="59" t="s">
        <v>112</v>
      </c>
      <c r="L757" s="59"/>
    </row>
    <row r="758" spans="1:12">
      <c r="A758" s="57" t="s">
        <v>275</v>
      </c>
      <c r="B758" s="57" t="s">
        <v>261</v>
      </c>
      <c r="C758" s="57">
        <v>2025</v>
      </c>
      <c r="D758" s="58">
        <f>MATCH(B758,{"GENNAIO","FEBBRAIO","MARZO","APRILE","MAGGIO","GIUGNO","LUGLIO","AGOSTO","SETTEMBRE","OTTOBRE","NOVEMBRE","DICEMBRE"},0)</f>
        <v>8</v>
      </c>
      <c r="E758" s="57" t="str">
        <f t="shared" ref="E758" si="1220">CONCATENATE(,B758," ",C758)</f>
        <v>AGOSTO 2025</v>
      </c>
      <c r="F758" s="57" t="str">
        <f t="shared" ref="F758" si="1221">CONCATENATE(D758," ",E758)</f>
        <v>8 AGOSTO 2025</v>
      </c>
      <c r="G758" s="1309" t="s">
        <v>94</v>
      </c>
      <c r="H758" s="1309" t="str">
        <f>VLOOKUP(G758,CATEGORIE!$H$3:$I$104,2,FALSE)</f>
        <v>COSTO SVAGHI</v>
      </c>
      <c r="I758" s="59">
        <v>3.7</v>
      </c>
      <c r="J758" s="940"/>
      <c r="K758" s="59"/>
      <c r="L758" s="59"/>
    </row>
    <row r="759" spans="1:12">
      <c r="A759" s="57" t="s">
        <v>276</v>
      </c>
      <c r="B759" s="57" t="s">
        <v>261</v>
      </c>
      <c r="C759" s="57">
        <v>2025</v>
      </c>
      <c r="D759" s="58">
        <f>MATCH(B759,{"GENNAIO","FEBBRAIO","MARZO","APRILE","MAGGIO","GIUGNO","LUGLIO","AGOSTO","SETTEMBRE","OTTOBRE","NOVEMBRE","DICEMBRE"},0)</f>
        <v>8</v>
      </c>
      <c r="E759" s="57" t="str">
        <f t="shared" ref="E759" si="1222">CONCATENATE(,B759," ",C759)</f>
        <v>AGOSTO 2025</v>
      </c>
      <c r="F759" s="57" t="str">
        <f t="shared" ref="F759" si="1223">CONCATENATE(D759," ",E759)</f>
        <v>8 AGOSTO 2025</v>
      </c>
      <c r="G759" s="1309" t="s">
        <v>94</v>
      </c>
      <c r="H759" s="1309" t="str">
        <f>VLOOKUP(G759,CATEGORIE!$H$3:$I$104,2,FALSE)</f>
        <v>COSTO SVAGHI</v>
      </c>
      <c r="I759" s="59">
        <v>19.95</v>
      </c>
      <c r="J759" s="940"/>
      <c r="K759" s="59"/>
      <c r="L759" s="59" t="s">
        <v>277</v>
      </c>
    </row>
    <row r="760" spans="1:12">
      <c r="A760" s="57" t="s">
        <v>278</v>
      </c>
      <c r="B760" s="57" t="s">
        <v>261</v>
      </c>
      <c r="C760" s="57">
        <v>2025</v>
      </c>
      <c r="D760" s="58">
        <f>MATCH(B760,{"GENNAIO","FEBBRAIO","MARZO","APRILE","MAGGIO","GIUGNO","LUGLIO","AGOSTO","SETTEMBRE","OTTOBRE","NOVEMBRE","DICEMBRE"},0)</f>
        <v>8</v>
      </c>
      <c r="E760" s="57" t="str">
        <f t="shared" ref="E760" si="1224">CONCATENATE(,B760," ",C760)</f>
        <v>AGOSTO 2025</v>
      </c>
      <c r="F760" s="57" t="str">
        <f t="shared" ref="F760" si="1225">CONCATENATE(D760," ",E760)</f>
        <v>8 AGOSTO 2025</v>
      </c>
      <c r="G760" s="1309" t="s">
        <v>94</v>
      </c>
      <c r="H760" s="1309" t="str">
        <f>VLOOKUP(G760,CATEGORIE!$H$3:$I$104,2,FALSE)</f>
        <v>COSTO SVAGHI</v>
      </c>
      <c r="I760" s="59">
        <v>21.7</v>
      </c>
      <c r="J760" s="940"/>
      <c r="K760" s="59"/>
      <c r="L760" s="59" t="s">
        <v>260</v>
      </c>
    </row>
    <row r="761" spans="1:12">
      <c r="A761" s="57" t="s">
        <v>279</v>
      </c>
      <c r="B761" s="57" t="s">
        <v>261</v>
      </c>
      <c r="C761" s="57">
        <v>2025</v>
      </c>
      <c r="D761" s="58">
        <f>MATCH(B761,{"GENNAIO","FEBBRAIO","MARZO","APRILE","MAGGIO","GIUGNO","LUGLIO","AGOSTO","SETTEMBRE","OTTOBRE","NOVEMBRE","DICEMBRE"},0)</f>
        <v>8</v>
      </c>
      <c r="E761" s="57" t="str">
        <f t="shared" ref="E761" si="1226">CONCATENATE(,B761," ",C761)</f>
        <v>AGOSTO 2025</v>
      </c>
      <c r="F761" s="57" t="str">
        <f t="shared" ref="F761" si="1227">CONCATENATE(D761," ",E761)</f>
        <v>8 AGOSTO 2025</v>
      </c>
      <c r="G761" s="1309" t="s">
        <v>1250</v>
      </c>
      <c r="H761" s="1309" t="str">
        <f>VLOOKUP(G761,CATEGORIE!$H$3:$I$104,2,FALSE)</f>
        <v>COSTO VACANZE</v>
      </c>
      <c r="I761" s="59">
        <v>20</v>
      </c>
      <c r="J761" s="940"/>
      <c r="K761" s="59"/>
      <c r="L761" s="59" t="s">
        <v>260</v>
      </c>
    </row>
    <row r="762" spans="1:12">
      <c r="A762" s="57" t="s">
        <v>279</v>
      </c>
      <c r="B762" s="57" t="s">
        <v>261</v>
      </c>
      <c r="C762" s="57">
        <v>2025</v>
      </c>
      <c r="D762" s="58">
        <f>MATCH(B762,{"GENNAIO","FEBBRAIO","MARZO","APRILE","MAGGIO","GIUGNO","LUGLIO","AGOSTO","SETTEMBRE","OTTOBRE","NOVEMBRE","DICEMBRE"},0)</f>
        <v>8</v>
      </c>
      <c r="E762" s="57" t="str">
        <f t="shared" ref="E762:E764" si="1228">CONCATENATE(,B762," ",C762)</f>
        <v>AGOSTO 2025</v>
      </c>
      <c r="F762" s="57" t="str">
        <f t="shared" ref="F762:F764" si="1229">CONCATENATE(D762," ",E762)</f>
        <v>8 AGOSTO 2025</v>
      </c>
      <c r="G762" s="1309" t="s">
        <v>1250</v>
      </c>
      <c r="H762" s="1309" t="str">
        <f>VLOOKUP(G762,CATEGORIE!$H$3:$I$104,2,FALSE)</f>
        <v>COSTO VACANZE</v>
      </c>
      <c r="I762" s="59">
        <v>20</v>
      </c>
      <c r="J762" s="940"/>
      <c r="K762" s="59"/>
      <c r="L762" s="59" t="s">
        <v>260</v>
      </c>
    </row>
    <row r="763" spans="1:12">
      <c r="A763" s="57" t="s">
        <v>92</v>
      </c>
      <c r="B763" s="57" t="s">
        <v>261</v>
      </c>
      <c r="C763" s="57">
        <v>2025</v>
      </c>
      <c r="D763" s="58">
        <f>MATCH(B763,{"GENNAIO","FEBBRAIO","MARZO","APRILE","MAGGIO","GIUGNO","LUGLIO","AGOSTO","SETTEMBRE","OTTOBRE","NOVEMBRE","DICEMBRE"},0)</f>
        <v>8</v>
      </c>
      <c r="E763" s="57" t="str">
        <f t="shared" ref="E763" si="1230">CONCATENATE(,B763," ",C763)</f>
        <v>AGOSTO 2025</v>
      </c>
      <c r="F763" s="57" t="str">
        <f t="shared" ref="F763" si="1231">CONCATENATE(D763," ",E763)</f>
        <v>8 AGOSTO 2025</v>
      </c>
      <c r="G763" s="1309" t="s">
        <v>93</v>
      </c>
      <c r="H763" s="1309" t="str">
        <f>VLOOKUP(G763,CATEGORIE!$H$3:$I$104,2,FALSE)</f>
        <v>COSTO SOPRAVVIVENZA</v>
      </c>
      <c r="I763" s="59">
        <v>6.5</v>
      </c>
      <c r="J763" s="940"/>
      <c r="K763" s="59"/>
      <c r="L763" s="59"/>
    </row>
    <row r="764" spans="1:12">
      <c r="A764" s="57" t="s">
        <v>92</v>
      </c>
      <c r="B764" s="57" t="s">
        <v>261</v>
      </c>
      <c r="C764" s="57">
        <v>2025</v>
      </c>
      <c r="D764" s="58">
        <f>MATCH(B764,{"GENNAIO","FEBBRAIO","MARZO","APRILE","MAGGIO","GIUGNO","LUGLIO","AGOSTO","SETTEMBRE","OTTOBRE","NOVEMBRE","DICEMBRE"},0)</f>
        <v>8</v>
      </c>
      <c r="E764" s="57" t="str">
        <f t="shared" si="1228"/>
        <v>AGOSTO 2025</v>
      </c>
      <c r="F764" s="57" t="str">
        <f t="shared" si="1229"/>
        <v>8 AGOSTO 2025</v>
      </c>
      <c r="G764" s="1309" t="s">
        <v>93</v>
      </c>
      <c r="H764" s="1309" t="str">
        <f>VLOOKUP(G764,CATEGORIE!$H$3:$I$104,2,FALSE)</f>
        <v>COSTO SOPRAVVIVENZA</v>
      </c>
      <c r="I764" s="59">
        <v>6.5</v>
      </c>
      <c r="J764" s="940"/>
      <c r="K764" s="59"/>
      <c r="L764" s="59"/>
    </row>
    <row r="765" spans="1:12">
      <c r="A765" s="57" t="s">
        <v>92</v>
      </c>
      <c r="B765" s="57" t="s">
        <v>261</v>
      </c>
      <c r="C765" s="57">
        <v>2025</v>
      </c>
      <c r="D765" s="58">
        <f>MATCH(B765,{"GENNAIO","FEBBRAIO","MARZO","APRILE","MAGGIO","GIUGNO","LUGLIO","AGOSTO","SETTEMBRE","OTTOBRE","NOVEMBRE","DICEMBRE"},0)</f>
        <v>8</v>
      </c>
      <c r="E765" s="57" t="str">
        <f t="shared" ref="E765" si="1232">CONCATENATE(,B765," ",C765)</f>
        <v>AGOSTO 2025</v>
      </c>
      <c r="F765" s="57" t="str">
        <f t="shared" ref="F765" si="1233">CONCATENATE(D765," ",E765)</f>
        <v>8 AGOSTO 2025</v>
      </c>
      <c r="G765" s="1309" t="s">
        <v>93</v>
      </c>
      <c r="H765" s="1309" t="str">
        <f>VLOOKUP(G765,CATEGORIE!$H$3:$I$104,2,FALSE)</f>
        <v>COSTO SOPRAVVIVENZA</v>
      </c>
      <c r="I765" s="59">
        <v>6.5</v>
      </c>
      <c r="J765" s="940"/>
      <c r="K765" s="59"/>
      <c r="L765" s="59"/>
    </row>
    <row r="766" spans="1:12">
      <c r="A766" s="57" t="s">
        <v>280</v>
      </c>
      <c r="B766" s="57" t="s">
        <v>261</v>
      </c>
      <c r="C766" s="57">
        <v>2025</v>
      </c>
      <c r="D766" s="58">
        <f>MATCH(B766,{"GENNAIO","FEBBRAIO","MARZO","APRILE","MAGGIO","GIUGNO","LUGLIO","AGOSTO","SETTEMBRE","OTTOBRE","NOVEMBRE","DICEMBRE"},0)</f>
        <v>8</v>
      </c>
      <c r="E766" s="57" t="str">
        <f t="shared" ref="E766" si="1234">CONCATENATE(,B766," ",C766)</f>
        <v>AGOSTO 2025</v>
      </c>
      <c r="F766" s="57" t="str">
        <f t="shared" ref="F766" si="1235">CONCATENATE(D766," ",E766)</f>
        <v>8 AGOSTO 2025</v>
      </c>
      <c r="G766" s="1309" t="s">
        <v>94</v>
      </c>
      <c r="H766" s="1309" t="str">
        <f>VLOOKUP(G766,CATEGORIE!$H$3:$I$104,2,FALSE)</f>
        <v>COSTO SVAGHI</v>
      </c>
      <c r="I766" s="59">
        <v>12.3</v>
      </c>
      <c r="J766" s="940"/>
      <c r="K766" s="59"/>
      <c r="L766" s="59"/>
    </row>
    <row r="767" spans="1:12">
      <c r="A767" s="57" t="s">
        <v>281</v>
      </c>
      <c r="B767" s="57" t="s">
        <v>261</v>
      </c>
      <c r="C767" s="57">
        <v>2025</v>
      </c>
      <c r="D767" s="58">
        <f>MATCH(B767,{"GENNAIO","FEBBRAIO","MARZO","APRILE","MAGGIO","GIUGNO","LUGLIO","AGOSTO","SETTEMBRE","OTTOBRE","NOVEMBRE","DICEMBRE"},0)</f>
        <v>8</v>
      </c>
      <c r="E767" s="57" t="str">
        <f t="shared" ref="E767" si="1236">CONCATENATE(,B767," ",C767)</f>
        <v>AGOSTO 2025</v>
      </c>
      <c r="F767" s="57" t="str">
        <f t="shared" ref="F767" si="1237">CONCATENATE(D767," ",E767)</f>
        <v>8 AGOSTO 2025</v>
      </c>
      <c r="G767" s="1309" t="s">
        <v>94</v>
      </c>
      <c r="H767" s="1309" t="str">
        <f>VLOOKUP(G767,CATEGORIE!$H$3:$I$104,2,FALSE)</f>
        <v>COSTO SVAGHI</v>
      </c>
      <c r="I767" s="59">
        <v>9.5</v>
      </c>
      <c r="J767" s="940"/>
      <c r="K767" s="59"/>
      <c r="L767" s="59"/>
    </row>
    <row r="768" spans="1:12">
      <c r="A768" s="57" t="s">
        <v>101</v>
      </c>
      <c r="B768" s="57" t="s">
        <v>261</v>
      </c>
      <c r="C768" s="57">
        <v>2025</v>
      </c>
      <c r="D768" s="58">
        <f>MATCH(B768,{"GENNAIO","FEBBRAIO","MARZO","APRILE","MAGGIO","GIUGNO","LUGLIO","AGOSTO","SETTEMBRE","OTTOBRE","NOVEMBRE","DICEMBRE"},0)</f>
        <v>8</v>
      </c>
      <c r="E768" s="57" t="str">
        <f>CONCATENATE(,B768," ",C768)</f>
        <v>AGOSTO 2025</v>
      </c>
      <c r="F768" s="57" t="str">
        <f>CONCATENATE(D768," ",E768)</f>
        <v>8 AGOSTO 2025</v>
      </c>
      <c r="G768" s="1309" t="s">
        <v>91</v>
      </c>
      <c r="H768" s="1309" t="str">
        <f>VLOOKUP(G768,CATEGORIE!$H$3:$I$104,2,FALSE)</f>
        <v>COSTO SOPRAVVIVENZA</v>
      </c>
      <c r="I768" s="59">
        <v>0.6</v>
      </c>
      <c r="J768" s="940"/>
      <c r="K768" s="59"/>
      <c r="L768" s="59"/>
    </row>
    <row r="769" spans="1:12">
      <c r="A769" s="57" t="s">
        <v>282</v>
      </c>
      <c r="B769" s="57" t="s">
        <v>261</v>
      </c>
      <c r="C769" s="57">
        <v>2025</v>
      </c>
      <c r="D769" s="58">
        <f>MATCH(B769,{"GENNAIO","FEBBRAIO","MARZO","APRILE","MAGGIO","GIUGNO","LUGLIO","AGOSTO","SETTEMBRE","OTTOBRE","NOVEMBRE","DICEMBRE"},0)</f>
        <v>8</v>
      </c>
      <c r="E769" s="57" t="str">
        <f t="shared" ref="E769" si="1238">CONCATENATE(,B769," ",C769)</f>
        <v>AGOSTO 2025</v>
      </c>
      <c r="F769" s="57" t="str">
        <f t="shared" ref="F769" si="1239">CONCATENATE(D769," ",E769)</f>
        <v>8 AGOSTO 2025</v>
      </c>
      <c r="G769" s="1309" t="s">
        <v>108</v>
      </c>
      <c r="H769" s="1309" t="str">
        <f>VLOOKUP(G769,CATEGORIE!$H$3:$I$104,2,FALSE)</f>
        <v>COSTO SFIZI</v>
      </c>
      <c r="I769" s="59">
        <v>20.18</v>
      </c>
      <c r="J769" s="940"/>
      <c r="K769" s="59"/>
      <c r="L769" s="59"/>
    </row>
    <row r="770" spans="1:12">
      <c r="A770" s="57" t="s">
        <v>92</v>
      </c>
      <c r="B770" s="57" t="s">
        <v>261</v>
      </c>
      <c r="C770" s="57">
        <v>2025</v>
      </c>
      <c r="D770" s="58">
        <f>MATCH(B770,{"GENNAIO","FEBBRAIO","MARZO","APRILE","MAGGIO","GIUGNO","LUGLIO","AGOSTO","SETTEMBRE","OTTOBRE","NOVEMBRE","DICEMBRE"},0)</f>
        <v>8</v>
      </c>
      <c r="E770" s="57" t="str">
        <f t="shared" ref="E770" si="1240">CONCATENATE(,B770," ",C770)</f>
        <v>AGOSTO 2025</v>
      </c>
      <c r="F770" s="57" t="str">
        <f t="shared" ref="F770" si="1241">CONCATENATE(D770," ",E770)</f>
        <v>8 AGOSTO 2025</v>
      </c>
      <c r="G770" s="1309" t="s">
        <v>94</v>
      </c>
      <c r="H770" s="1309" t="str">
        <f>VLOOKUP(G770,CATEGORIE!$H$3:$I$104,2,FALSE)</f>
        <v>COSTO SVAGHI</v>
      </c>
      <c r="I770" s="59">
        <v>4.2</v>
      </c>
      <c r="J770" s="940"/>
      <c r="K770" s="59"/>
      <c r="L770" s="59"/>
    </row>
    <row r="771" spans="1:12">
      <c r="A771" s="57" t="s">
        <v>187</v>
      </c>
      <c r="B771" s="57" t="s">
        <v>261</v>
      </c>
      <c r="C771" s="57">
        <v>2025</v>
      </c>
      <c r="D771" s="58">
        <f>MATCH(B771,{"GENNAIO","FEBBRAIO","MARZO","APRILE","MAGGIO","GIUGNO","LUGLIO","AGOSTO","SETTEMBRE","OTTOBRE","NOVEMBRE","DICEMBRE"},0)</f>
        <v>8</v>
      </c>
      <c r="E771" s="57" t="str">
        <f t="shared" ref="E771" si="1242">CONCATENATE(,B771," ",C771)</f>
        <v>AGOSTO 2025</v>
      </c>
      <c r="F771" s="57" t="str">
        <f t="shared" ref="F771" si="1243">CONCATENATE(D771," ",E771)</f>
        <v>8 AGOSTO 2025</v>
      </c>
      <c r="G771" s="1309" t="s">
        <v>188</v>
      </c>
      <c r="H771" s="1309" t="str">
        <f>VLOOKUP(G771,CATEGORIE!$H$3:$I$104,2,FALSE)</f>
        <v>COSTO VACANZE</v>
      </c>
      <c r="I771" s="59">
        <v>557.46</v>
      </c>
      <c r="J771" s="940"/>
      <c r="K771" s="59"/>
      <c r="L771" s="59" t="s">
        <v>260</v>
      </c>
    </row>
    <row r="772" spans="1:12" ht="14.25" customHeight="1">
      <c r="A772" s="57" t="s">
        <v>187</v>
      </c>
      <c r="B772" s="57" t="s">
        <v>261</v>
      </c>
      <c r="C772" s="57">
        <v>2025</v>
      </c>
      <c r="D772" s="58">
        <f>MATCH(B772,{"GENNAIO","FEBBRAIO","MARZO","APRILE","MAGGIO","GIUGNO","LUGLIO","AGOSTO","SETTEMBRE","OTTOBRE","NOVEMBRE","DICEMBRE"},0)</f>
        <v>8</v>
      </c>
      <c r="E772" s="57" t="str">
        <f t="shared" ref="E772:E773" si="1244">CONCATENATE(,B772," ",C772)</f>
        <v>AGOSTO 2025</v>
      </c>
      <c r="F772" s="57" t="str">
        <f t="shared" ref="F772:F773" si="1245">CONCATENATE(D772," ",E772)</f>
        <v>8 AGOSTO 2025</v>
      </c>
      <c r="G772" s="1309" t="s">
        <v>188</v>
      </c>
      <c r="H772" s="1309" t="str">
        <f>VLOOKUP(G772,CATEGORIE!$H$3:$I$104,2,FALSE)</f>
        <v>COSTO VACANZE</v>
      </c>
      <c r="I772" s="59">
        <v>333.52</v>
      </c>
      <c r="J772" s="940"/>
      <c r="K772" s="59"/>
      <c r="L772" s="59" t="s">
        <v>260</v>
      </c>
    </row>
    <row r="773" spans="1:12">
      <c r="A773" s="57" t="s">
        <v>99</v>
      </c>
      <c r="B773" s="57" t="s">
        <v>261</v>
      </c>
      <c r="C773" s="57">
        <v>2025</v>
      </c>
      <c r="D773" s="58">
        <f>MATCH(B773,{"GENNAIO","FEBBRAIO","MARZO","APRILE","MAGGIO","GIUGNO","LUGLIO","AGOSTO","SETTEMBRE","OTTOBRE","NOVEMBRE","DICEMBRE"},0)</f>
        <v>8</v>
      </c>
      <c r="E773" s="57" t="str">
        <f t="shared" si="1244"/>
        <v>AGOSTO 2025</v>
      </c>
      <c r="F773" s="57" t="str">
        <f t="shared" si="1245"/>
        <v>8 AGOSTO 2025</v>
      </c>
      <c r="G773" s="1309" t="s">
        <v>108</v>
      </c>
      <c r="H773" s="1309" t="str">
        <f>VLOOKUP(G773,CATEGORIE!$H$3:$I$104,2,FALSE)</f>
        <v>COSTO SFIZI</v>
      </c>
      <c r="I773" s="59">
        <v>-9.82</v>
      </c>
      <c r="J773" s="940"/>
      <c r="K773" s="57" t="s">
        <v>99</v>
      </c>
      <c r="L773" s="59" t="s">
        <v>283</v>
      </c>
    </row>
    <row r="774" spans="1:12">
      <c r="A774" s="57" t="s">
        <v>99</v>
      </c>
      <c r="B774" s="57" t="s">
        <v>261</v>
      </c>
      <c r="C774" s="57">
        <v>2025</v>
      </c>
      <c r="D774" s="58">
        <f>MATCH(B774,{"GENNAIO","FEBBRAIO","MARZO","APRILE","MAGGIO","GIUGNO","LUGLIO","AGOSTO","SETTEMBRE","OTTOBRE","NOVEMBRE","DICEMBRE"},0)</f>
        <v>8</v>
      </c>
      <c r="E774" s="57" t="str">
        <f t="shared" ref="E774" si="1246">CONCATENATE(,B774," ",C774)</f>
        <v>AGOSTO 2025</v>
      </c>
      <c r="F774" s="57" t="str">
        <f t="shared" ref="F774" si="1247">CONCATENATE(D774," ",E774)</f>
        <v>8 AGOSTO 2025</v>
      </c>
      <c r="G774" s="1309" t="s">
        <v>100</v>
      </c>
      <c r="H774" s="1309" t="str">
        <f>VLOOKUP(G774,CATEGORIE!$H$3:$I$104,2,FALSE)</f>
        <v>COSTO SFIZI</v>
      </c>
      <c r="I774" s="59">
        <v>16.899999999999999</v>
      </c>
      <c r="J774" s="940" t="s">
        <v>124</v>
      </c>
      <c r="K774" s="57" t="s">
        <v>99</v>
      </c>
      <c r="L774" s="59" t="s">
        <v>253</v>
      </c>
    </row>
    <row r="775" spans="1:12">
      <c r="A775" s="57" t="s">
        <v>284</v>
      </c>
      <c r="B775" s="57" t="s">
        <v>261</v>
      </c>
      <c r="C775" s="57">
        <v>2025</v>
      </c>
      <c r="D775" s="58">
        <f>MATCH(B775,{"GENNAIO","FEBBRAIO","MARZO","APRILE","MAGGIO","GIUGNO","LUGLIO","AGOSTO","SETTEMBRE","OTTOBRE","NOVEMBRE","DICEMBRE"},0)</f>
        <v>8</v>
      </c>
      <c r="E775" s="57" t="str">
        <f t="shared" ref="E775" si="1248">CONCATENATE(,B775," ",C775)</f>
        <v>AGOSTO 2025</v>
      </c>
      <c r="F775" s="57" t="str">
        <f t="shared" ref="F775" si="1249">CONCATENATE(D775," ",E775)</f>
        <v>8 AGOSTO 2025</v>
      </c>
      <c r="G775" s="1309" t="s">
        <v>185</v>
      </c>
      <c r="H775" s="1309" t="str">
        <f>VLOOKUP(G775,CATEGORIE!$H$3:$I$104,2,FALSE)</f>
        <v>COSTO SFIZI</v>
      </c>
      <c r="I775" s="59">
        <v>16.66</v>
      </c>
      <c r="J775" s="940" t="s">
        <v>124</v>
      </c>
      <c r="K775" s="59" t="s">
        <v>112</v>
      </c>
      <c r="L775" s="59" t="s">
        <v>285</v>
      </c>
    </row>
    <row r="776" spans="1:12">
      <c r="A776" s="57" t="s">
        <v>286</v>
      </c>
      <c r="B776" s="57" t="s">
        <v>261</v>
      </c>
      <c r="C776" s="57">
        <v>2025</v>
      </c>
      <c r="D776" s="58">
        <f>MATCH(B776,{"GENNAIO","FEBBRAIO","MARZO","APRILE","MAGGIO","GIUGNO","LUGLIO","AGOSTO","SETTEMBRE","OTTOBRE","NOVEMBRE","DICEMBRE"},0)</f>
        <v>8</v>
      </c>
      <c r="E776" s="57" t="str">
        <f t="shared" ref="E776" si="1250">CONCATENATE(,B776," ",C776)</f>
        <v>AGOSTO 2025</v>
      </c>
      <c r="F776" s="57" t="str">
        <f t="shared" ref="F776" si="1251">CONCATENATE(D776," ",E776)</f>
        <v>8 AGOSTO 2025</v>
      </c>
      <c r="G776" s="1309" t="s">
        <v>1250</v>
      </c>
      <c r="H776" s="1309" t="str">
        <f>VLOOKUP(G776,CATEGORIE!$H$3:$I$104,2,FALSE)</f>
        <v>COSTO VACANZE</v>
      </c>
      <c r="I776" s="59">
        <v>215.64</v>
      </c>
      <c r="J776" s="940" t="s">
        <v>215</v>
      </c>
      <c r="K776" s="59" t="s">
        <v>112</v>
      </c>
      <c r="L776" s="59" t="s">
        <v>260</v>
      </c>
    </row>
    <row r="777" spans="1:12">
      <c r="A777" s="57" t="s">
        <v>99</v>
      </c>
      <c r="B777" s="57" t="s">
        <v>261</v>
      </c>
      <c r="C777" s="57">
        <v>2025</v>
      </c>
      <c r="D777" s="58">
        <f>MATCH(B777,{"GENNAIO","FEBBRAIO","MARZO","APRILE","MAGGIO","GIUGNO","LUGLIO","AGOSTO","SETTEMBRE","OTTOBRE","NOVEMBRE","DICEMBRE"},0)</f>
        <v>8</v>
      </c>
      <c r="E777" s="57" t="str">
        <f t="shared" ref="E777:E778" si="1252">CONCATENATE(,B777," ",C777)</f>
        <v>AGOSTO 2025</v>
      </c>
      <c r="F777" s="57" t="str">
        <f t="shared" ref="F777:F778" si="1253">CONCATENATE(D777," ",E777)</f>
        <v>8 AGOSTO 2025</v>
      </c>
      <c r="G777" s="1309" t="s">
        <v>132</v>
      </c>
      <c r="H777" s="1309" t="str">
        <f>VLOOKUP(G777,CATEGORIE!$H$3:$I$104,2,FALSE)</f>
        <v>COSTO CASA</v>
      </c>
      <c r="I777" s="59">
        <v>109.8</v>
      </c>
      <c r="J777" s="940" t="s">
        <v>151</v>
      </c>
      <c r="K777" s="57" t="s">
        <v>99</v>
      </c>
      <c r="L777" s="59" t="s">
        <v>287</v>
      </c>
    </row>
    <row r="778" spans="1:12">
      <c r="A778" s="57" t="s">
        <v>135</v>
      </c>
      <c r="B778" s="57" t="s">
        <v>261</v>
      </c>
      <c r="C778" s="57">
        <v>2025</v>
      </c>
      <c r="D778" s="58">
        <f>MATCH(B778,{"GENNAIO","FEBBRAIO","MARZO","APRILE","MAGGIO","GIUGNO","LUGLIO","AGOSTO","SETTEMBRE","OTTOBRE","NOVEMBRE","DICEMBRE"},0)</f>
        <v>8</v>
      </c>
      <c r="E778" s="57" t="str">
        <f t="shared" si="1252"/>
        <v>AGOSTO 2025</v>
      </c>
      <c r="F778" s="57" t="str">
        <f t="shared" si="1253"/>
        <v>8 AGOSTO 2025</v>
      </c>
      <c r="G778" s="1309" t="s">
        <v>132</v>
      </c>
      <c r="H778" s="1309" t="str">
        <f>VLOOKUP(G778,CATEGORIE!$H$3:$I$104,2,FALSE)</f>
        <v>COSTO CASA</v>
      </c>
      <c r="I778" s="59">
        <v>27.74</v>
      </c>
      <c r="J778" s="940"/>
      <c r="K778" s="59"/>
      <c r="L778" s="59"/>
    </row>
    <row r="779" spans="1:12">
      <c r="A779" s="57" t="s">
        <v>101</v>
      </c>
      <c r="B779" s="57" t="s">
        <v>261</v>
      </c>
      <c r="C779" s="57">
        <v>2025</v>
      </c>
      <c r="D779" s="58">
        <f>MATCH(B779,{"GENNAIO","FEBBRAIO","MARZO","APRILE","MAGGIO","GIUGNO","LUGLIO","AGOSTO","SETTEMBRE","OTTOBRE","NOVEMBRE","DICEMBRE"},0)</f>
        <v>8</v>
      </c>
      <c r="E779" s="57" t="str">
        <f>CONCATENATE(,B779," ",C779)</f>
        <v>AGOSTO 2025</v>
      </c>
      <c r="F779" s="57" t="str">
        <f>CONCATENATE(D779," ",E779)</f>
        <v>8 AGOSTO 2025</v>
      </c>
      <c r="G779" s="1309" t="s">
        <v>91</v>
      </c>
      <c r="H779" s="1309" t="str">
        <f>VLOOKUP(G779,CATEGORIE!$H$3:$I$104,2,FALSE)</f>
        <v>COSTO SOPRAVVIVENZA</v>
      </c>
      <c r="I779" s="59">
        <v>0.4</v>
      </c>
      <c r="J779" s="940"/>
      <c r="K779" s="59"/>
      <c r="L779" s="59"/>
    </row>
    <row r="780" spans="1:12">
      <c r="A780" s="57" t="s">
        <v>101</v>
      </c>
      <c r="B780" s="57" t="s">
        <v>261</v>
      </c>
      <c r="C780" s="57">
        <v>2025</v>
      </c>
      <c r="D780" s="58">
        <f>MATCH(B780,{"GENNAIO","FEBBRAIO","MARZO","APRILE","MAGGIO","GIUGNO","LUGLIO","AGOSTO","SETTEMBRE","OTTOBRE","NOVEMBRE","DICEMBRE"},0)</f>
        <v>8</v>
      </c>
      <c r="E780" s="57" t="str">
        <f>CONCATENATE(,B780," ",C780)</f>
        <v>AGOSTO 2025</v>
      </c>
      <c r="F780" s="57" t="str">
        <f>CONCATENATE(D780," ",E780)</f>
        <v>8 AGOSTO 2025</v>
      </c>
      <c r="G780" s="1309" t="s">
        <v>91</v>
      </c>
      <c r="H780" s="1309" t="str">
        <f>VLOOKUP(G780,CATEGORIE!$H$3:$I$104,2,FALSE)</f>
        <v>COSTO SOPRAVVIVENZA</v>
      </c>
      <c r="I780" s="59">
        <v>0.4</v>
      </c>
      <c r="J780" s="940"/>
      <c r="K780" s="59"/>
      <c r="L780" s="59"/>
    </row>
    <row r="781" spans="1:12" ht="16.5" customHeight="1">
      <c r="A781" s="57" t="s">
        <v>101</v>
      </c>
      <c r="B781" s="57" t="s">
        <v>261</v>
      </c>
      <c r="C781" s="57">
        <v>2025</v>
      </c>
      <c r="D781" s="58">
        <f>MATCH(B781,{"GENNAIO","FEBBRAIO","MARZO","APRILE","MAGGIO","GIUGNO","LUGLIO","AGOSTO","SETTEMBRE","OTTOBRE","NOVEMBRE","DICEMBRE"},0)</f>
        <v>8</v>
      </c>
      <c r="E781" s="57" t="str">
        <f>CONCATENATE(,B781," ",C781)</f>
        <v>AGOSTO 2025</v>
      </c>
      <c r="F781" s="57" t="str">
        <f>CONCATENATE(D781," ",E781)</f>
        <v>8 AGOSTO 2025</v>
      </c>
      <c r="G781" s="1309" t="s">
        <v>91</v>
      </c>
      <c r="H781" s="1309" t="str">
        <f>VLOOKUP(G781,CATEGORIE!$H$3:$I$104,2,FALSE)</f>
        <v>COSTO SOPRAVVIVENZA</v>
      </c>
      <c r="I781" s="59">
        <v>0.4</v>
      </c>
      <c r="J781" s="940"/>
      <c r="K781" s="59"/>
      <c r="L781" s="59"/>
    </row>
    <row r="782" spans="1:12" ht="16.5" customHeight="1">
      <c r="A782" s="57" t="s">
        <v>101</v>
      </c>
      <c r="B782" s="57" t="s">
        <v>261</v>
      </c>
      <c r="C782" s="57">
        <v>2025</v>
      </c>
      <c r="D782" s="58">
        <f>MATCH(B782,{"GENNAIO","FEBBRAIO","MARZO","APRILE","MAGGIO","GIUGNO","LUGLIO","AGOSTO","SETTEMBRE","OTTOBRE","NOVEMBRE","DICEMBRE"},0)</f>
        <v>8</v>
      </c>
      <c r="E782" s="57" t="str">
        <f>CONCATENATE(,B782," ",C782)</f>
        <v>AGOSTO 2025</v>
      </c>
      <c r="F782" s="57" t="str">
        <f>CONCATENATE(D782," ",E782)</f>
        <v>8 AGOSTO 2025</v>
      </c>
      <c r="G782" s="1309" t="s">
        <v>91</v>
      </c>
      <c r="H782" s="1309" t="str">
        <f>VLOOKUP(G782,CATEGORIE!$H$3:$I$104,2,FALSE)</f>
        <v>COSTO SOPRAVVIVENZA</v>
      </c>
      <c r="I782" s="59">
        <v>0.4</v>
      </c>
      <c r="J782" s="940"/>
      <c r="K782" s="59"/>
      <c r="L782" s="59"/>
    </row>
    <row r="783" spans="1:12">
      <c r="A783" s="57" t="s">
        <v>95</v>
      </c>
      <c r="B783" s="57" t="s">
        <v>288</v>
      </c>
      <c r="C783" s="57">
        <v>2025</v>
      </c>
      <c r="D783" s="58">
        <f>MATCH(B783,{"GENNAIO","FEBBRAIO","MARZO","APRILE","MAGGIO","GIUGNO","LUGLIO","AGOSTO","SETTEMBRE","OTTOBRE","NOVEMBRE","DICEMBRE"},0)</f>
        <v>7</v>
      </c>
      <c r="E783" s="57" t="str">
        <f t="shared" ref="E783" si="1254">CONCATENATE(,B783," ",C783)</f>
        <v>LUGLIO 2025</v>
      </c>
      <c r="F783" s="57" t="str">
        <f t="shared" ref="F783" si="1255">CONCATENATE(D783," ",E783)</f>
        <v>7 LUGLIO 2025</v>
      </c>
      <c r="G783" s="1309" t="s">
        <v>96</v>
      </c>
      <c r="H783" s="1309" t="str">
        <f>VLOOKUP(G783,CATEGORIE!$H$3:$I$104,2,FALSE)</f>
        <v>COSTO SOPRAVVIVENZA</v>
      </c>
      <c r="I783" s="59">
        <v>2.68</v>
      </c>
      <c r="J783" s="940"/>
      <c r="K783" s="59"/>
      <c r="L783" s="59"/>
    </row>
    <row r="784" spans="1:12">
      <c r="A784" s="57" t="s">
        <v>289</v>
      </c>
      <c r="B784" s="57" t="s">
        <v>288</v>
      </c>
      <c r="C784" s="57">
        <v>2025</v>
      </c>
      <c r="D784" s="58">
        <f>MATCH(B784,{"GENNAIO","FEBBRAIO","MARZO","APRILE","MAGGIO","GIUGNO","LUGLIO","AGOSTO","SETTEMBRE","OTTOBRE","NOVEMBRE","DICEMBRE"},0)</f>
        <v>7</v>
      </c>
      <c r="E784" s="57" t="str">
        <f t="shared" ref="E784" si="1256">CONCATENATE(,B784," ",C784)</f>
        <v>LUGLIO 2025</v>
      </c>
      <c r="F784" s="57" t="str">
        <f t="shared" ref="F784" si="1257">CONCATENATE(D784," ",E784)</f>
        <v>7 LUGLIO 2025</v>
      </c>
      <c r="G784" s="1309" t="s">
        <v>108</v>
      </c>
      <c r="H784" s="1309" t="str">
        <f>VLOOKUP(G784,CATEGORIE!$H$3:$I$104,2,FALSE)</f>
        <v>COSTO SFIZI</v>
      </c>
      <c r="I784" s="59">
        <v>26.5</v>
      </c>
      <c r="J784" s="940"/>
      <c r="K784" s="59"/>
      <c r="L784" s="59"/>
    </row>
    <row r="785" spans="1:12">
      <c r="A785" s="57" t="s">
        <v>119</v>
      </c>
      <c r="B785" s="57" t="s">
        <v>288</v>
      </c>
      <c r="C785" s="57">
        <v>2025</v>
      </c>
      <c r="D785" s="58">
        <f>MATCH(B785,{"GENNAIO","FEBBRAIO","MARZO","APRILE","MAGGIO","GIUGNO","LUGLIO","AGOSTO","SETTEMBRE","OTTOBRE","NOVEMBRE","DICEMBRE"},0)</f>
        <v>7</v>
      </c>
      <c r="E785" s="57" t="str">
        <f t="shared" ref="E785" si="1258">CONCATENATE(,B785," ",C785)</f>
        <v>LUGLIO 2025</v>
      </c>
      <c r="F785" s="57" t="str">
        <f t="shared" ref="F785" si="1259">CONCATENATE(D785," ",E785)</f>
        <v>7 LUGLIO 2025</v>
      </c>
      <c r="G785" s="1309" t="s">
        <v>108</v>
      </c>
      <c r="H785" s="1309" t="str">
        <f>VLOOKUP(G785,CATEGORIE!$H$3:$I$104,2,FALSE)</f>
        <v>COSTO SFIZI</v>
      </c>
      <c r="I785" s="59">
        <v>102.77</v>
      </c>
      <c r="J785" s="940"/>
      <c r="K785" s="59"/>
      <c r="L785" s="59"/>
    </row>
    <row r="786" spans="1:12">
      <c r="A786" s="57" t="s">
        <v>290</v>
      </c>
      <c r="B786" s="57" t="s">
        <v>288</v>
      </c>
      <c r="C786" s="57">
        <v>2025</v>
      </c>
      <c r="D786" s="58">
        <f>MATCH(B786,{"GENNAIO","FEBBRAIO","MARZO","APRILE","MAGGIO","GIUGNO","LUGLIO","AGOSTO","SETTEMBRE","OTTOBRE","NOVEMBRE","DICEMBRE"},0)</f>
        <v>7</v>
      </c>
      <c r="E786" s="57" t="str">
        <f t="shared" ref="E786" si="1260">CONCATENATE(,B786," ",C786)</f>
        <v>LUGLIO 2025</v>
      </c>
      <c r="F786" s="57" t="str">
        <f t="shared" ref="F786" si="1261">CONCATENATE(D786," ",E786)</f>
        <v>7 LUGLIO 2025</v>
      </c>
      <c r="G786" s="1309" t="s">
        <v>94</v>
      </c>
      <c r="H786" s="1309" t="str">
        <f>VLOOKUP(G786,CATEGORIE!$H$3:$I$104,2,FALSE)</f>
        <v>COSTO SVAGHI</v>
      </c>
      <c r="I786" s="59">
        <v>109.5</v>
      </c>
      <c r="J786" s="940"/>
      <c r="K786" s="59"/>
      <c r="L786" s="59"/>
    </row>
    <row r="787" spans="1:12">
      <c r="A787" s="57" t="s">
        <v>110</v>
      </c>
      <c r="B787" s="57" t="s">
        <v>288</v>
      </c>
      <c r="C787" s="57">
        <v>2025</v>
      </c>
      <c r="D787" s="58">
        <f>MATCH(B787,{"GENNAIO","FEBBRAIO","MARZO","APRILE","MAGGIO","GIUGNO","LUGLIO","AGOSTO","SETTEMBRE","OTTOBRE","NOVEMBRE","DICEMBRE"},0)</f>
        <v>7</v>
      </c>
      <c r="E787" s="57" t="str">
        <f t="shared" ref="E787" si="1262">CONCATENATE(,B787," ",C787)</f>
        <v>LUGLIO 2025</v>
      </c>
      <c r="F787" s="57" t="str">
        <f t="shared" ref="F787" si="1263">CONCATENATE(D787," ",E787)</f>
        <v>7 LUGLIO 2025</v>
      </c>
      <c r="G787" s="1309" t="s">
        <v>111</v>
      </c>
      <c r="H787" s="1309" t="str">
        <f>VLOOKUP(G787,CATEGORIE!$H$3:$I$104,2,FALSE)</f>
        <v>COSTO MOBILITA'</v>
      </c>
      <c r="I787" s="59">
        <v>5.29</v>
      </c>
      <c r="J787" s="940"/>
      <c r="K787" s="59" t="s">
        <v>112</v>
      </c>
      <c r="L787" s="59"/>
    </row>
    <row r="788" spans="1:12">
      <c r="A788" s="57" t="s">
        <v>102</v>
      </c>
      <c r="B788" s="57" t="s">
        <v>288</v>
      </c>
      <c r="C788" s="57">
        <v>2025</v>
      </c>
      <c r="D788" s="58">
        <f>MATCH(B788,{"GENNAIO","FEBBRAIO","MARZO","APRILE","MAGGIO","GIUGNO","LUGLIO","AGOSTO","SETTEMBRE","OTTOBRE","NOVEMBRE","DICEMBRE"},0)</f>
        <v>7</v>
      </c>
      <c r="E788" s="57" t="str">
        <f t="shared" ref="E788" si="1264">CONCATENATE(,B788," ",C788)</f>
        <v>LUGLIO 2025</v>
      </c>
      <c r="F788" s="57" t="str">
        <f t="shared" ref="F788" si="1265">CONCATENATE(D788," ",E788)</f>
        <v>7 LUGLIO 2025</v>
      </c>
      <c r="G788" s="1309" t="s">
        <v>96</v>
      </c>
      <c r="H788" s="1309" t="str">
        <f>VLOOKUP(G788,CATEGORIE!$H$3:$I$104,2,FALSE)</f>
        <v>COSTO SOPRAVVIVENZA</v>
      </c>
      <c r="I788" s="59">
        <v>4.33</v>
      </c>
      <c r="J788" s="940"/>
      <c r="K788" s="59"/>
      <c r="L788" s="59"/>
    </row>
    <row r="789" spans="1:12">
      <c r="A789" s="57" t="s">
        <v>130</v>
      </c>
      <c r="B789" s="57" t="s">
        <v>288</v>
      </c>
      <c r="C789" s="57">
        <v>2025</v>
      </c>
      <c r="D789" s="58">
        <f>MATCH(B789,{"GENNAIO","FEBBRAIO","MARZO","APRILE","MAGGIO","GIUGNO","LUGLIO","AGOSTO","SETTEMBRE","OTTOBRE","NOVEMBRE","DICEMBRE"},0)</f>
        <v>7</v>
      </c>
      <c r="E789" s="57" t="str">
        <f t="shared" ref="E789" si="1266">CONCATENATE(,B789," ",C789)</f>
        <v>LUGLIO 2025</v>
      </c>
      <c r="F789" s="57" t="str">
        <f t="shared" ref="F789" si="1267">CONCATENATE(D789," ",E789)</f>
        <v>7 LUGLIO 2025</v>
      </c>
      <c r="G789" s="1309" t="s">
        <v>94</v>
      </c>
      <c r="H789" s="1309" t="str">
        <f>VLOOKUP(G789,CATEGORIE!$H$3:$I$104,2,FALSE)</f>
        <v>COSTO SVAGHI</v>
      </c>
      <c r="I789" s="59">
        <v>9</v>
      </c>
      <c r="J789" s="940"/>
      <c r="K789" s="59"/>
      <c r="L789" s="59"/>
    </row>
    <row r="790" spans="1:12">
      <c r="A790" s="57" t="s">
        <v>92</v>
      </c>
      <c r="B790" s="57" t="s">
        <v>288</v>
      </c>
      <c r="C790" s="57">
        <v>2025</v>
      </c>
      <c r="D790" s="58">
        <f>MATCH(B790,{"GENNAIO","FEBBRAIO","MARZO","APRILE","MAGGIO","GIUGNO","LUGLIO","AGOSTO","SETTEMBRE","OTTOBRE","NOVEMBRE","DICEMBRE"},0)</f>
        <v>7</v>
      </c>
      <c r="E790" s="57" t="str">
        <f t="shared" ref="E790" si="1268">CONCATENATE(,B790," ",C790)</f>
        <v>LUGLIO 2025</v>
      </c>
      <c r="F790" s="57" t="str">
        <f t="shared" ref="F790" si="1269">CONCATENATE(D790," ",E790)</f>
        <v>7 LUGLIO 2025</v>
      </c>
      <c r="G790" s="1309" t="s">
        <v>93</v>
      </c>
      <c r="H790" s="1309" t="str">
        <f>VLOOKUP(G790,CATEGORIE!$H$3:$I$104,2,FALSE)</f>
        <v>COSTO SOPRAVVIVENZA</v>
      </c>
      <c r="I790" s="59">
        <v>6.5</v>
      </c>
      <c r="J790" s="940"/>
      <c r="K790" s="59"/>
      <c r="L790" s="59"/>
    </row>
    <row r="791" spans="1:12">
      <c r="A791" s="57" t="s">
        <v>291</v>
      </c>
      <c r="B791" s="57" t="s">
        <v>288</v>
      </c>
      <c r="C791" s="57">
        <v>2025</v>
      </c>
      <c r="D791" s="58">
        <f>MATCH(B791,{"GENNAIO","FEBBRAIO","MARZO","APRILE","MAGGIO","GIUGNO","LUGLIO","AGOSTO","SETTEMBRE","OTTOBRE","NOVEMBRE","DICEMBRE"},0)</f>
        <v>7</v>
      </c>
      <c r="E791" s="57" t="str">
        <f t="shared" ref="E791" si="1270">CONCATENATE(,B791," ",C791)</f>
        <v>LUGLIO 2025</v>
      </c>
      <c r="F791" s="57" t="str">
        <f t="shared" ref="F791" si="1271">CONCATENATE(D791," ",E791)</f>
        <v>7 LUGLIO 2025</v>
      </c>
      <c r="G791" s="1309" t="s">
        <v>1250</v>
      </c>
      <c r="H791" s="1309" t="str">
        <f>VLOOKUP(G791,CATEGORIE!$H$3:$I$104,2,FALSE)</f>
        <v>COSTO VACANZE</v>
      </c>
      <c r="I791" s="60">
        <v>586.55999999999995</v>
      </c>
      <c r="J791" s="940"/>
      <c r="K791" s="59"/>
      <c r="L791" s="59" t="s">
        <v>260</v>
      </c>
    </row>
    <row r="792" spans="1:12">
      <c r="A792" s="57" t="s">
        <v>292</v>
      </c>
      <c r="B792" s="57" t="s">
        <v>288</v>
      </c>
      <c r="C792" s="57">
        <v>2025</v>
      </c>
      <c r="D792" s="58">
        <f>MATCH(B792,{"GENNAIO","FEBBRAIO","MARZO","APRILE","MAGGIO","GIUGNO","LUGLIO","AGOSTO","SETTEMBRE","OTTOBRE","NOVEMBRE","DICEMBRE"},0)</f>
        <v>7</v>
      </c>
      <c r="E792" s="57" t="str">
        <f t="shared" ref="E792" si="1272">CONCATENATE(,B792," ",C792)</f>
        <v>LUGLIO 2025</v>
      </c>
      <c r="F792" s="57" t="str">
        <f t="shared" ref="F792" si="1273">CONCATENATE(D792," ",E792)</f>
        <v>7 LUGLIO 2025</v>
      </c>
      <c r="G792" s="1309" t="s">
        <v>94</v>
      </c>
      <c r="H792" s="1309" t="str">
        <f>VLOOKUP(G792,CATEGORIE!$H$3:$I$104,2,FALSE)</f>
        <v>COSTO SVAGHI</v>
      </c>
      <c r="I792" s="59">
        <f>1.19+0.62</f>
        <v>1.81</v>
      </c>
      <c r="J792" s="940"/>
      <c r="K792" s="59"/>
      <c r="L792" s="59"/>
    </row>
    <row r="793" spans="1:12">
      <c r="A793" s="57" t="s">
        <v>293</v>
      </c>
      <c r="B793" s="57" t="s">
        <v>288</v>
      </c>
      <c r="C793" s="57">
        <v>2025</v>
      </c>
      <c r="D793" s="58">
        <f>MATCH(B793,{"GENNAIO","FEBBRAIO","MARZO","APRILE","MAGGIO","GIUGNO","LUGLIO","AGOSTO","SETTEMBRE","OTTOBRE","NOVEMBRE","DICEMBRE"},0)</f>
        <v>7</v>
      </c>
      <c r="E793" s="57" t="str">
        <f t="shared" ref="E793" si="1274">CONCATENATE(,B793," ",C793)</f>
        <v>LUGLIO 2025</v>
      </c>
      <c r="F793" s="57" t="str">
        <f t="shared" ref="F793" si="1275">CONCATENATE(D793," ",E793)</f>
        <v>7 LUGLIO 2025</v>
      </c>
      <c r="G793" s="1309" t="s">
        <v>94</v>
      </c>
      <c r="H793" s="1309" t="str">
        <f>VLOOKUP(G793,CATEGORIE!$H$3:$I$104,2,FALSE)</f>
        <v>COSTO SVAGHI</v>
      </c>
      <c r="I793" s="59">
        <f>11.57+0.2</f>
        <v>11.77</v>
      </c>
      <c r="J793" s="940"/>
      <c r="K793" s="59"/>
      <c r="L793" s="59"/>
    </row>
    <row r="794" spans="1:12">
      <c r="A794" s="57" t="s">
        <v>294</v>
      </c>
      <c r="B794" s="57" t="s">
        <v>288</v>
      </c>
      <c r="C794" s="57">
        <v>2025</v>
      </c>
      <c r="D794" s="58">
        <f>MATCH(B794,{"GENNAIO","FEBBRAIO","MARZO","APRILE","MAGGIO","GIUGNO","LUGLIO","AGOSTO","SETTEMBRE","OTTOBRE","NOVEMBRE","DICEMBRE"},0)</f>
        <v>7</v>
      </c>
      <c r="E794" s="57" t="str">
        <f t="shared" ref="E794" si="1276">CONCATENATE(,B794," ",C794)</f>
        <v>LUGLIO 2025</v>
      </c>
      <c r="F794" s="57" t="str">
        <f t="shared" ref="F794" si="1277">CONCATENATE(D794," ",E794)</f>
        <v>7 LUGLIO 2025</v>
      </c>
      <c r="G794" s="1309" t="s">
        <v>94</v>
      </c>
      <c r="H794" s="1309" t="str">
        <f>VLOOKUP(G794,CATEGORIE!$H$3:$I$104,2,FALSE)</f>
        <v>COSTO SVAGHI</v>
      </c>
      <c r="I794" s="59">
        <f>6.05+0.11</f>
        <v>6.16</v>
      </c>
      <c r="J794" s="940"/>
      <c r="K794" s="59"/>
      <c r="L794" s="59"/>
    </row>
    <row r="795" spans="1:12">
      <c r="A795" s="57" t="s">
        <v>295</v>
      </c>
      <c r="B795" s="57" t="s">
        <v>288</v>
      </c>
      <c r="C795" s="57">
        <v>2025</v>
      </c>
      <c r="D795" s="58">
        <f>MATCH(B795,{"GENNAIO","FEBBRAIO","MARZO","APRILE","MAGGIO","GIUGNO","LUGLIO","AGOSTO","SETTEMBRE","OTTOBRE","NOVEMBRE","DICEMBRE"},0)</f>
        <v>7</v>
      </c>
      <c r="E795" s="57" t="str">
        <f t="shared" ref="E795" si="1278">CONCATENATE(,B795," ",C795)</f>
        <v>LUGLIO 2025</v>
      </c>
      <c r="F795" s="57" t="str">
        <f t="shared" ref="F795" si="1279">CONCATENATE(D795," ",E795)</f>
        <v>7 LUGLIO 2025</v>
      </c>
      <c r="G795" s="1309" t="s">
        <v>94</v>
      </c>
      <c r="H795" s="1309" t="str">
        <f>VLOOKUP(G795,CATEGORIE!$H$3:$I$104,2,FALSE)</f>
        <v>COSTO SVAGHI</v>
      </c>
      <c r="I795" s="59">
        <f>5.06+0.09</f>
        <v>5.1499999999999995</v>
      </c>
      <c r="J795" s="940"/>
      <c r="K795" s="59"/>
      <c r="L795" s="59"/>
    </row>
    <row r="796" spans="1:12">
      <c r="A796" s="57" t="s">
        <v>135</v>
      </c>
      <c r="B796" s="57" t="s">
        <v>288</v>
      </c>
      <c r="C796" s="57">
        <v>2025</v>
      </c>
      <c r="D796" s="58">
        <f>MATCH(B796,{"GENNAIO","FEBBRAIO","MARZO","APRILE","MAGGIO","GIUGNO","LUGLIO","AGOSTO","SETTEMBRE","OTTOBRE","NOVEMBRE","DICEMBRE"},0)</f>
        <v>7</v>
      </c>
      <c r="E796" s="57" t="str">
        <f t="shared" ref="E796" si="1280">CONCATENATE(,B796," ",C796)</f>
        <v>LUGLIO 2025</v>
      </c>
      <c r="F796" s="57" t="str">
        <f t="shared" ref="F796" si="1281">CONCATENATE(D796," ",E796)</f>
        <v>7 LUGLIO 2025</v>
      </c>
      <c r="G796" s="1309" t="s">
        <v>132</v>
      </c>
      <c r="H796" s="1309" t="str">
        <f>VLOOKUP(G796,CATEGORIE!$H$3:$I$104,2,FALSE)</f>
        <v>COSTO CASA</v>
      </c>
      <c r="I796" s="59">
        <v>3.9</v>
      </c>
      <c r="J796" s="940"/>
      <c r="K796" s="59"/>
      <c r="L796" s="59"/>
    </row>
    <row r="797" spans="1:12" ht="14.25" customHeight="1">
      <c r="A797" s="57" t="s">
        <v>101</v>
      </c>
      <c r="B797" s="57" t="s">
        <v>288</v>
      </c>
      <c r="C797" s="57">
        <v>2025</v>
      </c>
      <c r="D797" s="58">
        <f>MATCH(B797,{"GENNAIO","FEBBRAIO","MARZO","APRILE","MAGGIO","GIUGNO","LUGLIO","AGOSTO","SETTEMBRE","OTTOBRE","NOVEMBRE","DICEMBRE"},0)</f>
        <v>7</v>
      </c>
      <c r="E797" s="57" t="str">
        <f>CONCATENATE(,B797," ",C797)</f>
        <v>LUGLIO 2025</v>
      </c>
      <c r="F797" s="57" t="str">
        <f>CONCATENATE(D797," ",E797)</f>
        <v>7 LUGLIO 2025</v>
      </c>
      <c r="G797" s="1309" t="s">
        <v>91</v>
      </c>
      <c r="H797" s="1309" t="str">
        <f>VLOOKUP(G797,CATEGORIE!$H$3:$I$104,2,FALSE)</f>
        <v>COSTO SOPRAVVIVENZA</v>
      </c>
      <c r="I797" s="59">
        <v>0.4</v>
      </c>
      <c r="J797" s="940"/>
      <c r="K797" s="59"/>
      <c r="L797" s="59"/>
    </row>
    <row r="798" spans="1:12">
      <c r="A798" s="57" t="s">
        <v>101</v>
      </c>
      <c r="B798" s="57" t="s">
        <v>288</v>
      </c>
      <c r="C798" s="57">
        <v>2025</v>
      </c>
      <c r="D798" s="58">
        <f>MATCH(B798,{"GENNAIO","FEBBRAIO","MARZO","APRILE","MAGGIO","GIUGNO","LUGLIO","AGOSTO","SETTEMBRE","OTTOBRE","NOVEMBRE","DICEMBRE"},0)</f>
        <v>7</v>
      </c>
      <c r="E798" s="57" t="str">
        <f>CONCATENATE(,B798," ",C798)</f>
        <v>LUGLIO 2025</v>
      </c>
      <c r="F798" s="57" t="str">
        <f>CONCATENATE(D798," ",E798)</f>
        <v>7 LUGLIO 2025</v>
      </c>
      <c r="G798" s="1309" t="s">
        <v>91</v>
      </c>
      <c r="H798" s="1309" t="str">
        <f>VLOOKUP(G798,CATEGORIE!$H$3:$I$104,2,FALSE)</f>
        <v>COSTO SOPRAVVIVENZA</v>
      </c>
      <c r="I798" s="59">
        <v>0.4</v>
      </c>
      <c r="J798" s="940"/>
      <c r="K798" s="59"/>
      <c r="L798" s="59"/>
    </row>
    <row r="799" spans="1:12">
      <c r="A799" s="57" t="s">
        <v>92</v>
      </c>
      <c r="B799" s="57" t="s">
        <v>288</v>
      </c>
      <c r="C799" s="57">
        <v>2025</v>
      </c>
      <c r="D799" s="58">
        <f>MATCH(B799,{"GENNAIO","FEBBRAIO","MARZO","APRILE","MAGGIO","GIUGNO","LUGLIO","AGOSTO","SETTEMBRE","OTTOBRE","NOVEMBRE","DICEMBRE"},0)</f>
        <v>7</v>
      </c>
      <c r="E799" s="57" t="str">
        <f t="shared" ref="E799" si="1282">CONCATENATE(,B799," ",C799)</f>
        <v>LUGLIO 2025</v>
      </c>
      <c r="F799" s="57" t="str">
        <f t="shared" ref="F799" si="1283">CONCATENATE(D799," ",E799)</f>
        <v>7 LUGLIO 2025</v>
      </c>
      <c r="G799" s="1309" t="s">
        <v>93</v>
      </c>
      <c r="H799" s="1309" t="str">
        <f>VLOOKUP(G799,CATEGORIE!$H$3:$I$104,2,FALSE)</f>
        <v>COSTO SOPRAVVIVENZA</v>
      </c>
      <c r="I799" s="59">
        <v>6.5</v>
      </c>
      <c r="J799" s="940"/>
      <c r="K799" s="59"/>
      <c r="L799" s="59"/>
    </row>
    <row r="800" spans="1:12">
      <c r="A800" s="57" t="s">
        <v>284</v>
      </c>
      <c r="B800" s="57" t="s">
        <v>288</v>
      </c>
      <c r="C800" s="57">
        <v>2025</v>
      </c>
      <c r="D800" s="58">
        <f>MATCH(B800,{"GENNAIO","FEBBRAIO","MARZO","APRILE","MAGGIO","GIUGNO","LUGLIO","AGOSTO","SETTEMBRE","OTTOBRE","NOVEMBRE","DICEMBRE"},0)</f>
        <v>7</v>
      </c>
      <c r="E800" s="57" t="str">
        <f t="shared" ref="E800" si="1284">CONCATENATE(,B800," ",C800)</f>
        <v>LUGLIO 2025</v>
      </c>
      <c r="F800" s="57" t="str">
        <f t="shared" ref="F800" si="1285">CONCATENATE(D800," ",E800)</f>
        <v>7 LUGLIO 2025</v>
      </c>
      <c r="G800" s="1309" t="s">
        <v>185</v>
      </c>
      <c r="H800" s="1309" t="str">
        <f>VLOOKUP(G800,CATEGORIE!$H$3:$I$104,2,FALSE)</f>
        <v>COSTO SFIZI</v>
      </c>
      <c r="I800" s="59">
        <v>16.670000000000002</v>
      </c>
      <c r="J800" s="940" t="s">
        <v>138</v>
      </c>
      <c r="K800" s="59" t="s">
        <v>112</v>
      </c>
      <c r="L800" s="59" t="s">
        <v>285</v>
      </c>
    </row>
    <row r="801" spans="1:12">
      <c r="A801" s="57" t="s">
        <v>296</v>
      </c>
      <c r="B801" s="57" t="s">
        <v>288</v>
      </c>
      <c r="C801" s="57">
        <v>2025</v>
      </c>
      <c r="D801" s="58">
        <f>MATCH(B801,{"GENNAIO","FEBBRAIO","MARZO","APRILE","MAGGIO","GIUGNO","LUGLIO","AGOSTO","SETTEMBRE","OTTOBRE","NOVEMBRE","DICEMBRE"},0)</f>
        <v>7</v>
      </c>
      <c r="E801" s="57" t="str">
        <f t="shared" ref="E801" si="1286">CONCATENATE(,B801," ",C801)</f>
        <v>LUGLIO 2025</v>
      </c>
      <c r="F801" s="57" t="str">
        <f t="shared" ref="F801" si="1287">CONCATENATE(D801," ",E801)</f>
        <v>7 LUGLIO 2025</v>
      </c>
      <c r="G801" s="1309" t="s">
        <v>94</v>
      </c>
      <c r="H801" s="1309" t="str">
        <f>VLOOKUP(G801,CATEGORIE!$H$3:$I$104,2,FALSE)</f>
        <v>COSTO SVAGHI</v>
      </c>
      <c r="I801" s="59">
        <v>27</v>
      </c>
      <c r="J801" s="940"/>
      <c r="K801" s="59"/>
      <c r="L801" s="59"/>
    </row>
    <row r="802" spans="1:12">
      <c r="A802" s="57" t="s">
        <v>297</v>
      </c>
      <c r="B802" s="57" t="s">
        <v>288</v>
      </c>
      <c r="C802" s="57">
        <v>2025</v>
      </c>
      <c r="D802" s="58">
        <f>MATCH(B802,{"GENNAIO","FEBBRAIO","MARZO","APRILE","MAGGIO","GIUGNO","LUGLIO","AGOSTO","SETTEMBRE","OTTOBRE","NOVEMBRE","DICEMBRE"},0)</f>
        <v>7</v>
      </c>
      <c r="E802" s="57" t="str">
        <f t="shared" ref="E802" si="1288">CONCATENATE(,B802," ",C802)</f>
        <v>LUGLIO 2025</v>
      </c>
      <c r="F802" s="57" t="str">
        <f t="shared" ref="F802" si="1289">CONCATENATE(D802," ",E802)</f>
        <v>7 LUGLIO 2025</v>
      </c>
      <c r="G802" s="1309" t="s">
        <v>94</v>
      </c>
      <c r="H802" s="1309" t="str">
        <f>VLOOKUP(G802,CATEGORIE!$H$3:$I$104,2,FALSE)</f>
        <v>COSTO SVAGHI</v>
      </c>
      <c r="I802" s="59">
        <v>15.5</v>
      </c>
      <c r="J802" s="940"/>
      <c r="K802" s="59"/>
      <c r="L802" s="59"/>
    </row>
    <row r="803" spans="1:12" ht="14.25" customHeight="1">
      <c r="A803" s="57" t="s">
        <v>95</v>
      </c>
      <c r="B803" s="57" t="s">
        <v>288</v>
      </c>
      <c r="C803" s="57">
        <v>2025</v>
      </c>
      <c r="D803" s="58">
        <f>MATCH(B803,{"GENNAIO","FEBBRAIO","MARZO","APRILE","MAGGIO","GIUGNO","LUGLIO","AGOSTO","SETTEMBRE","OTTOBRE","NOVEMBRE","DICEMBRE"},0)</f>
        <v>7</v>
      </c>
      <c r="E803" s="57" t="str">
        <f t="shared" ref="E803" si="1290">CONCATENATE(,B803," ",C803)</f>
        <v>LUGLIO 2025</v>
      </c>
      <c r="F803" s="57" t="str">
        <f t="shared" ref="F803" si="1291">CONCATENATE(D803," ",E803)</f>
        <v>7 LUGLIO 2025</v>
      </c>
      <c r="G803" s="1309" t="s">
        <v>96</v>
      </c>
      <c r="H803" s="1309" t="str">
        <f>VLOOKUP(G803,CATEGORIE!$H$3:$I$104,2,FALSE)</f>
        <v>COSTO SOPRAVVIVENZA</v>
      </c>
      <c r="I803" s="59">
        <v>20.89</v>
      </c>
      <c r="J803" s="940"/>
      <c r="K803" s="59"/>
      <c r="L803" s="59"/>
    </row>
    <row r="804" spans="1:12">
      <c r="A804" s="57" t="s">
        <v>92</v>
      </c>
      <c r="B804" s="57" t="s">
        <v>288</v>
      </c>
      <c r="C804" s="57">
        <v>2025</v>
      </c>
      <c r="D804" s="58">
        <f>MATCH(B804,{"GENNAIO","FEBBRAIO","MARZO","APRILE","MAGGIO","GIUGNO","LUGLIO","AGOSTO","SETTEMBRE","OTTOBRE","NOVEMBRE","DICEMBRE"},0)</f>
        <v>7</v>
      </c>
      <c r="E804" s="57" t="str">
        <f t="shared" ref="E804" si="1292">CONCATENATE(,B804," ",C804)</f>
        <v>LUGLIO 2025</v>
      </c>
      <c r="F804" s="57" t="str">
        <f t="shared" ref="F804" si="1293">CONCATENATE(D804," ",E804)</f>
        <v>7 LUGLIO 2025</v>
      </c>
      <c r="G804" s="1309" t="s">
        <v>93</v>
      </c>
      <c r="H804" s="1309" t="str">
        <f>VLOOKUP(G804,CATEGORIE!$H$3:$I$104,2,FALSE)</f>
        <v>COSTO SOPRAVVIVENZA</v>
      </c>
      <c r="I804" s="59">
        <v>2.8</v>
      </c>
      <c r="J804" s="940"/>
      <c r="K804" s="59"/>
      <c r="L804" s="59"/>
    </row>
    <row r="805" spans="1:12">
      <c r="A805" s="57" t="s">
        <v>131</v>
      </c>
      <c r="B805" s="57" t="s">
        <v>288</v>
      </c>
      <c r="C805" s="57">
        <v>2025</v>
      </c>
      <c r="D805" s="58">
        <f>MATCH(B805,{"GENNAIO","FEBBRAIO","MARZO","APRILE","MAGGIO","GIUGNO","LUGLIO","AGOSTO","SETTEMBRE","OTTOBRE","NOVEMBRE","DICEMBRE"},0)</f>
        <v>7</v>
      </c>
      <c r="E805" s="57" t="str">
        <f t="shared" ref="E805" si="1294">CONCATENATE(,B805," ",C805)</f>
        <v>LUGLIO 2025</v>
      </c>
      <c r="F805" s="57" t="str">
        <f t="shared" ref="F805" si="1295">CONCATENATE(D805," ",E805)</f>
        <v>7 LUGLIO 2025</v>
      </c>
      <c r="G805" s="1309" t="s">
        <v>132</v>
      </c>
      <c r="H805" s="1309" t="str">
        <f>VLOOKUP(G805,CATEGORIE!$H$3:$I$104,2,FALSE)</f>
        <v>COSTO CASA</v>
      </c>
      <c r="I805" s="59">
        <v>35.9</v>
      </c>
      <c r="J805" s="940"/>
      <c r="K805" s="59"/>
      <c r="L805" s="59"/>
    </row>
    <row r="806" spans="1:12">
      <c r="A806" s="57" t="s">
        <v>298</v>
      </c>
      <c r="B806" s="57" t="s">
        <v>288</v>
      </c>
      <c r="C806" s="57">
        <v>2025</v>
      </c>
      <c r="D806" s="58">
        <f>MATCH(B806,{"GENNAIO","FEBBRAIO","MARZO","APRILE","MAGGIO","GIUGNO","LUGLIO","AGOSTO","SETTEMBRE","OTTOBRE","NOVEMBRE","DICEMBRE"},0)</f>
        <v>7</v>
      </c>
      <c r="E806" s="57" t="str">
        <f t="shared" ref="E806" si="1296">CONCATENATE(,B806," ",C806)</f>
        <v>LUGLIO 2025</v>
      </c>
      <c r="F806" s="57" t="str">
        <f t="shared" ref="F806" si="1297">CONCATENATE(D806," ",E806)</f>
        <v>7 LUGLIO 2025</v>
      </c>
      <c r="G806" s="1309" t="s">
        <v>185</v>
      </c>
      <c r="H806" s="1309" t="str">
        <f>VLOOKUP(G806,CATEGORIE!$H$3:$I$104,2,FALSE)</f>
        <v>COSTO SFIZI</v>
      </c>
      <c r="I806" s="59">
        <v>48.99</v>
      </c>
      <c r="J806" s="940"/>
      <c r="K806" s="59"/>
      <c r="L806" s="59" t="s">
        <v>299</v>
      </c>
    </row>
    <row r="807" spans="1:12">
      <c r="A807" s="57" t="s">
        <v>92</v>
      </c>
      <c r="B807" s="57" t="s">
        <v>288</v>
      </c>
      <c r="C807" s="57">
        <v>2025</v>
      </c>
      <c r="D807" s="58">
        <f>MATCH(B807,{"GENNAIO","FEBBRAIO","MARZO","APRILE","MAGGIO","GIUGNO","LUGLIO","AGOSTO","SETTEMBRE","OTTOBRE","NOVEMBRE","DICEMBRE"},0)</f>
        <v>7</v>
      </c>
      <c r="E807" s="57" t="str">
        <f t="shared" ref="E807" si="1298">CONCATENATE(,B807," ",C807)</f>
        <v>LUGLIO 2025</v>
      </c>
      <c r="F807" s="57" t="str">
        <f t="shared" ref="F807" si="1299">CONCATENATE(D807," ",E807)</f>
        <v>7 LUGLIO 2025</v>
      </c>
      <c r="G807" s="1309" t="s">
        <v>94</v>
      </c>
      <c r="H807" s="1309" t="str">
        <f>VLOOKUP(G807,CATEGORIE!$H$3:$I$104,2,FALSE)</f>
        <v>COSTO SVAGHI</v>
      </c>
      <c r="I807" s="59">
        <v>4.2</v>
      </c>
      <c r="J807" s="940"/>
      <c r="K807" s="59"/>
      <c r="L807" s="59"/>
    </row>
    <row r="808" spans="1:12">
      <c r="A808" s="57" t="s">
        <v>102</v>
      </c>
      <c r="B808" s="57" t="s">
        <v>288</v>
      </c>
      <c r="C808" s="57">
        <v>2025</v>
      </c>
      <c r="D808" s="58">
        <f>MATCH(B808,{"GENNAIO","FEBBRAIO","MARZO","APRILE","MAGGIO","GIUGNO","LUGLIO","AGOSTO","SETTEMBRE","OTTOBRE","NOVEMBRE","DICEMBRE"},0)</f>
        <v>7</v>
      </c>
      <c r="E808" s="57" t="str">
        <f t="shared" ref="E808" si="1300">CONCATENATE(,B808," ",C808)</f>
        <v>LUGLIO 2025</v>
      </c>
      <c r="F808" s="57" t="str">
        <f t="shared" ref="F808" si="1301">CONCATENATE(D808," ",E808)</f>
        <v>7 LUGLIO 2025</v>
      </c>
      <c r="G808" s="1309" t="s">
        <v>96</v>
      </c>
      <c r="H808" s="1309" t="str">
        <f>VLOOKUP(G808,CATEGORIE!$H$3:$I$104,2,FALSE)</f>
        <v>COSTO SOPRAVVIVENZA</v>
      </c>
      <c r="I808" s="59">
        <v>12.21</v>
      </c>
      <c r="J808" s="940"/>
      <c r="K808" s="59"/>
      <c r="L808" s="59"/>
    </row>
    <row r="809" spans="1:12">
      <c r="A809" s="57" t="s">
        <v>300</v>
      </c>
      <c r="B809" s="57" t="s">
        <v>288</v>
      </c>
      <c r="C809" s="57">
        <v>2025</v>
      </c>
      <c r="D809" s="58">
        <f>MATCH(B809,{"GENNAIO","FEBBRAIO","MARZO","APRILE","MAGGIO","GIUGNO","LUGLIO","AGOSTO","SETTEMBRE","OTTOBRE","NOVEMBRE","DICEMBRE"},0)</f>
        <v>7</v>
      </c>
      <c r="E809" s="57" t="str">
        <f t="shared" ref="E809" si="1302">CONCATENATE(,B809," ",C809)</f>
        <v>LUGLIO 2025</v>
      </c>
      <c r="F809" s="57" t="str">
        <f t="shared" ref="F809" si="1303">CONCATENATE(D809," ",E809)</f>
        <v>7 LUGLIO 2025</v>
      </c>
      <c r="G809" s="1309" t="s">
        <v>94</v>
      </c>
      <c r="H809" s="1309" t="str">
        <f>VLOOKUP(G809,CATEGORIE!$H$3:$I$104,2,FALSE)</f>
        <v>COSTO SVAGHI</v>
      </c>
      <c r="I809" s="59">
        <v>33.9</v>
      </c>
      <c r="J809" s="940"/>
      <c r="K809" s="59"/>
      <c r="L809" s="59"/>
    </row>
    <row r="810" spans="1:12">
      <c r="A810" s="57" t="s">
        <v>301</v>
      </c>
      <c r="B810" s="57" t="s">
        <v>288</v>
      </c>
      <c r="C810" s="57">
        <v>2025</v>
      </c>
      <c r="D810" s="58">
        <f>MATCH(B810,{"GENNAIO","FEBBRAIO","MARZO","APRILE","MAGGIO","GIUGNO","LUGLIO","AGOSTO","SETTEMBRE","OTTOBRE","NOVEMBRE","DICEMBRE"},0)</f>
        <v>7</v>
      </c>
      <c r="E810" s="57" t="str">
        <f t="shared" ref="E810" si="1304">CONCATENATE(,B810," ",C810)</f>
        <v>LUGLIO 2025</v>
      </c>
      <c r="F810" s="57" t="str">
        <f t="shared" ref="F810" si="1305">CONCATENATE(D810," ",E810)</f>
        <v>7 LUGLIO 2025</v>
      </c>
      <c r="G810" s="1309" t="s">
        <v>94</v>
      </c>
      <c r="H810" s="1309" t="str">
        <f>VLOOKUP(G810,CATEGORIE!$H$3:$I$104,2,FALSE)</f>
        <v>COSTO SVAGHI</v>
      </c>
      <c r="I810" s="59">
        <v>46</v>
      </c>
      <c r="J810" s="940"/>
      <c r="K810" s="59"/>
      <c r="L810" s="59"/>
    </row>
    <row r="811" spans="1:12">
      <c r="A811" s="57" t="s">
        <v>110</v>
      </c>
      <c r="B811" s="57" t="s">
        <v>288</v>
      </c>
      <c r="C811" s="57">
        <v>2025</v>
      </c>
      <c r="D811" s="58">
        <f>MATCH(B811,{"GENNAIO","FEBBRAIO","MARZO","APRILE","MAGGIO","GIUGNO","LUGLIO","AGOSTO","SETTEMBRE","OTTOBRE","NOVEMBRE","DICEMBRE"},0)</f>
        <v>7</v>
      </c>
      <c r="E811" s="57" t="str">
        <f t="shared" ref="E811" si="1306">CONCATENATE(,B811," ",C811)</f>
        <v>LUGLIO 2025</v>
      </c>
      <c r="F811" s="57" t="str">
        <f t="shared" ref="F811" si="1307">CONCATENATE(D811," ",E811)</f>
        <v>7 LUGLIO 2025</v>
      </c>
      <c r="G811" s="1309" t="s">
        <v>111</v>
      </c>
      <c r="H811" s="1309" t="str">
        <f>VLOOKUP(G811,CATEGORIE!$H$3:$I$104,2,FALSE)</f>
        <v>COSTO MOBILITA'</v>
      </c>
      <c r="I811" s="59">
        <v>7.44</v>
      </c>
      <c r="J811" s="940"/>
      <c r="K811" s="59" t="s">
        <v>112</v>
      </c>
      <c r="L811" s="59"/>
    </row>
    <row r="812" spans="1:12">
      <c r="A812" s="57" t="s">
        <v>302</v>
      </c>
      <c r="B812" s="57" t="s">
        <v>288</v>
      </c>
      <c r="C812" s="57">
        <v>2025</v>
      </c>
      <c r="D812" s="58">
        <f>MATCH(B812,{"GENNAIO","FEBBRAIO","MARZO","APRILE","MAGGIO","GIUGNO","LUGLIO","AGOSTO","SETTEMBRE","OTTOBRE","NOVEMBRE","DICEMBRE"},0)</f>
        <v>7</v>
      </c>
      <c r="E812" s="57" t="str">
        <f t="shared" ref="E812" si="1308">CONCATENATE(,B812," ",C812)</f>
        <v>LUGLIO 2025</v>
      </c>
      <c r="F812" s="57" t="str">
        <f t="shared" ref="F812" si="1309">CONCATENATE(D812," ",E812)</f>
        <v>7 LUGLIO 2025</v>
      </c>
      <c r="G812" s="1309" t="s">
        <v>94</v>
      </c>
      <c r="H812" s="1309" t="str">
        <f>VLOOKUP(G812,CATEGORIE!$H$3:$I$104,2,FALSE)</f>
        <v>COSTO SVAGHI</v>
      </c>
      <c r="I812" s="59">
        <v>26</v>
      </c>
      <c r="J812" s="940"/>
      <c r="K812" s="59"/>
      <c r="L812" s="59"/>
    </row>
    <row r="813" spans="1:12">
      <c r="A813" s="57" t="s">
        <v>92</v>
      </c>
      <c r="B813" s="57" t="s">
        <v>288</v>
      </c>
      <c r="C813" s="57">
        <v>2025</v>
      </c>
      <c r="D813" s="58">
        <f>MATCH(B813,{"GENNAIO","FEBBRAIO","MARZO","APRILE","MAGGIO","GIUGNO","LUGLIO","AGOSTO","SETTEMBRE","OTTOBRE","NOVEMBRE","DICEMBRE"},0)</f>
        <v>7</v>
      </c>
      <c r="E813" s="57" t="str">
        <f t="shared" ref="E813" si="1310">CONCATENATE(,B813," ",C813)</f>
        <v>LUGLIO 2025</v>
      </c>
      <c r="F813" s="57" t="str">
        <f t="shared" ref="F813" si="1311">CONCATENATE(D813," ",E813)</f>
        <v>7 LUGLIO 2025</v>
      </c>
      <c r="G813" s="1309" t="s">
        <v>93</v>
      </c>
      <c r="H813" s="1309" t="str">
        <f>VLOOKUP(G813,CATEGORIE!$H$3:$I$104,2,FALSE)</f>
        <v>COSTO SOPRAVVIVENZA</v>
      </c>
      <c r="I813" s="59">
        <v>6.5</v>
      </c>
      <c r="J813" s="940"/>
      <c r="K813" s="59"/>
      <c r="L813" s="59"/>
    </row>
    <row r="814" spans="1:12">
      <c r="A814" s="57" t="s">
        <v>101</v>
      </c>
      <c r="B814" s="57" t="s">
        <v>288</v>
      </c>
      <c r="C814" s="57">
        <v>2025</v>
      </c>
      <c r="D814" s="58">
        <f>MATCH(B814,{"GENNAIO","FEBBRAIO","MARZO","APRILE","MAGGIO","GIUGNO","LUGLIO","AGOSTO","SETTEMBRE","OTTOBRE","NOVEMBRE","DICEMBRE"},0)</f>
        <v>7</v>
      </c>
      <c r="E814" s="57" t="str">
        <f>CONCATENATE(,B814," ",C814)</f>
        <v>LUGLIO 2025</v>
      </c>
      <c r="F814" s="57" t="str">
        <f>CONCATENATE(D814," ",E814)</f>
        <v>7 LUGLIO 2025</v>
      </c>
      <c r="G814" s="1309" t="s">
        <v>91</v>
      </c>
      <c r="H814" s="1309" t="str">
        <f>VLOOKUP(G814,CATEGORIE!$H$3:$I$104,2,FALSE)</f>
        <v>COSTO SOPRAVVIVENZA</v>
      </c>
      <c r="I814" s="59">
        <v>0.4</v>
      </c>
      <c r="J814" s="940"/>
      <c r="K814" s="59"/>
      <c r="L814" s="59"/>
    </row>
    <row r="815" spans="1:12">
      <c r="A815" s="57" t="s">
        <v>99</v>
      </c>
      <c r="B815" s="57" t="s">
        <v>288</v>
      </c>
      <c r="C815" s="57">
        <v>2025</v>
      </c>
      <c r="D815" s="58">
        <f>MATCH(B815,{"GENNAIO","FEBBRAIO","MARZO","APRILE","MAGGIO","GIUGNO","LUGLIO","AGOSTO","SETTEMBRE","OTTOBRE","NOVEMBRE","DICEMBRE"},0)</f>
        <v>7</v>
      </c>
      <c r="E815" s="57" t="str">
        <f t="shared" ref="E815" si="1312">CONCATENATE(,B815," ",C815)</f>
        <v>LUGLIO 2025</v>
      </c>
      <c r="F815" s="57" t="str">
        <f t="shared" ref="F815" si="1313">CONCATENATE(D815," ",E815)</f>
        <v>7 LUGLIO 2025</v>
      </c>
      <c r="G815" s="1309" t="s">
        <v>100</v>
      </c>
      <c r="H815" s="1309" t="str">
        <f>VLOOKUP(G815,CATEGORIE!$H$3:$I$104,2,FALSE)</f>
        <v>COSTO SFIZI</v>
      </c>
      <c r="I815" s="59">
        <v>30.678000000000001</v>
      </c>
      <c r="J815" s="940"/>
      <c r="K815" s="57" t="s">
        <v>99</v>
      </c>
      <c r="L815" s="59"/>
    </row>
    <row r="816" spans="1:12">
      <c r="A816" s="57" t="s">
        <v>92</v>
      </c>
      <c r="B816" s="57" t="s">
        <v>288</v>
      </c>
      <c r="C816" s="57">
        <v>2025</v>
      </c>
      <c r="D816" s="58">
        <f>MATCH(B816,{"GENNAIO","FEBBRAIO","MARZO","APRILE","MAGGIO","GIUGNO","LUGLIO","AGOSTO","SETTEMBRE","OTTOBRE","NOVEMBRE","DICEMBRE"},0)</f>
        <v>7</v>
      </c>
      <c r="E816" s="57" t="str">
        <f t="shared" ref="E816" si="1314">CONCATENATE(,B816," ",C816)</f>
        <v>LUGLIO 2025</v>
      </c>
      <c r="F816" s="57" t="str">
        <f t="shared" ref="F816" si="1315">CONCATENATE(D816," ",E816)</f>
        <v>7 LUGLIO 2025</v>
      </c>
      <c r="G816" s="1309" t="s">
        <v>93</v>
      </c>
      <c r="H816" s="1309" t="str">
        <f>VLOOKUP(G816,CATEGORIE!$H$3:$I$104,2,FALSE)</f>
        <v>COSTO SOPRAVVIVENZA</v>
      </c>
      <c r="I816" s="59">
        <v>6.5</v>
      </c>
      <c r="J816" s="940"/>
      <c r="K816" s="59"/>
      <c r="L816" s="59"/>
    </row>
    <row r="817" spans="1:12">
      <c r="A817" s="57" t="s">
        <v>99</v>
      </c>
      <c r="B817" s="57" t="s">
        <v>288</v>
      </c>
      <c r="C817" s="57">
        <v>2025</v>
      </c>
      <c r="D817" s="58">
        <f>MATCH(B817,{"GENNAIO","FEBBRAIO","MARZO","APRILE","MAGGIO","GIUGNO","LUGLIO","AGOSTO","SETTEMBRE","OTTOBRE","NOVEMBRE","DICEMBRE"},0)</f>
        <v>7</v>
      </c>
      <c r="E817" s="57" t="str">
        <f t="shared" ref="E817" si="1316">CONCATENATE(,B817," ",C817)</f>
        <v>LUGLIO 2025</v>
      </c>
      <c r="F817" s="57" t="str">
        <f t="shared" ref="F817" si="1317">CONCATENATE(D817," ",E817)</f>
        <v>7 LUGLIO 2025</v>
      </c>
      <c r="G817" s="1309" t="s">
        <v>100</v>
      </c>
      <c r="H817" s="1309" t="str">
        <f>VLOOKUP(G817,CATEGORIE!$H$3:$I$104,2,FALSE)</f>
        <v>COSTO SFIZI</v>
      </c>
      <c r="I817" s="59">
        <v>22.99</v>
      </c>
      <c r="J817" s="940"/>
      <c r="K817" s="57" t="s">
        <v>99</v>
      </c>
      <c r="L817" s="59"/>
    </row>
    <row r="818" spans="1:12">
      <c r="A818" s="57" t="s">
        <v>99</v>
      </c>
      <c r="B818" s="57" t="s">
        <v>288</v>
      </c>
      <c r="C818" s="57">
        <v>2025</v>
      </c>
      <c r="D818" s="58">
        <f>MATCH(B818,{"GENNAIO","FEBBRAIO","MARZO","APRILE","MAGGIO","GIUGNO","LUGLIO","AGOSTO","SETTEMBRE","OTTOBRE","NOVEMBRE","DICEMBRE"},0)</f>
        <v>7</v>
      </c>
      <c r="E818" s="57" t="str">
        <f t="shared" ref="E818" si="1318">CONCATENATE(,B818," ",C818)</f>
        <v>LUGLIO 2025</v>
      </c>
      <c r="F818" s="57" t="str">
        <f t="shared" ref="F818" si="1319">CONCATENATE(D818," ",E818)</f>
        <v>7 LUGLIO 2025</v>
      </c>
      <c r="G818" s="1309" t="s">
        <v>100</v>
      </c>
      <c r="H818" s="1309" t="str">
        <f>VLOOKUP(G818,CATEGORIE!$H$3:$I$104,2,FALSE)</f>
        <v>COSTO SFIZI</v>
      </c>
      <c r="I818" s="59">
        <v>16.899999999999999</v>
      </c>
      <c r="J818" s="940" t="s">
        <v>138</v>
      </c>
      <c r="K818" s="57" t="s">
        <v>99</v>
      </c>
      <c r="L818" s="59" t="s">
        <v>253</v>
      </c>
    </row>
    <row r="819" spans="1:12">
      <c r="A819" s="57" t="s">
        <v>99</v>
      </c>
      <c r="B819" s="57" t="s">
        <v>288</v>
      </c>
      <c r="C819" s="57">
        <v>2025</v>
      </c>
      <c r="D819" s="58">
        <f>MATCH(B819,{"GENNAIO","FEBBRAIO","MARZO","APRILE","MAGGIO","GIUGNO","LUGLIO","AGOSTO","SETTEMBRE","OTTOBRE","NOVEMBRE","DICEMBRE"},0)</f>
        <v>7</v>
      </c>
      <c r="E819" s="57" t="str">
        <f t="shared" ref="E819" si="1320">CONCATENATE(,B819," ",C819)</f>
        <v>LUGLIO 2025</v>
      </c>
      <c r="F819" s="57" t="str">
        <f t="shared" ref="F819" si="1321">CONCATENATE(D819," ",E819)</f>
        <v>7 LUGLIO 2025</v>
      </c>
      <c r="G819" s="1309" t="s">
        <v>100</v>
      </c>
      <c r="H819" s="1309" t="str">
        <f>VLOOKUP(G819,CATEGORIE!$H$3:$I$104,2,FALSE)</f>
        <v>COSTO SFIZI</v>
      </c>
      <c r="I819" s="59">
        <v>9.82</v>
      </c>
      <c r="J819" s="940"/>
      <c r="K819" s="57" t="s">
        <v>99</v>
      </c>
      <c r="L819" s="59" t="s">
        <v>303</v>
      </c>
    </row>
    <row r="820" spans="1:12">
      <c r="A820" s="57" t="s">
        <v>105</v>
      </c>
      <c r="B820" s="57" t="s">
        <v>288</v>
      </c>
      <c r="C820" s="57">
        <v>2025</v>
      </c>
      <c r="D820" s="58">
        <f>MATCH(B820,{"GENNAIO","FEBBRAIO","MARZO","APRILE","MAGGIO","GIUGNO","LUGLIO","AGOSTO","SETTEMBRE","OTTOBRE","NOVEMBRE","DICEMBRE"},0)</f>
        <v>7</v>
      </c>
      <c r="E820" s="57" t="str">
        <f t="shared" ref="E820" si="1322">CONCATENATE(,B820," ",C820)</f>
        <v>LUGLIO 2025</v>
      </c>
      <c r="F820" s="57" t="str">
        <f t="shared" ref="F820" si="1323">CONCATENATE(D820," ",E820)</f>
        <v>7 LUGLIO 2025</v>
      </c>
      <c r="G820" s="1309" t="s">
        <v>96</v>
      </c>
      <c r="H820" s="1309" t="str">
        <f>VLOOKUP(G820,CATEGORIE!$H$3:$I$104,2,FALSE)</f>
        <v>COSTO SOPRAVVIVENZA</v>
      </c>
      <c r="I820" s="59">
        <v>21.2</v>
      </c>
      <c r="J820" s="940"/>
      <c r="K820" s="59"/>
      <c r="L820" s="59"/>
    </row>
    <row r="821" spans="1:12">
      <c r="A821" s="57" t="s">
        <v>130</v>
      </c>
      <c r="B821" s="57" t="s">
        <v>288</v>
      </c>
      <c r="C821" s="57">
        <v>2025</v>
      </c>
      <c r="D821" s="58">
        <f>MATCH(B821,{"GENNAIO","FEBBRAIO","MARZO","APRILE","MAGGIO","GIUGNO","LUGLIO","AGOSTO","SETTEMBRE","OTTOBRE","NOVEMBRE","DICEMBRE"},0)</f>
        <v>7</v>
      </c>
      <c r="E821" s="57" t="str">
        <f t="shared" ref="E821" si="1324">CONCATENATE(,B821," ",C821)</f>
        <v>LUGLIO 2025</v>
      </c>
      <c r="F821" s="57" t="str">
        <f t="shared" ref="F821" si="1325">CONCATENATE(D821," ",E821)</f>
        <v>7 LUGLIO 2025</v>
      </c>
      <c r="G821" s="1309" t="s">
        <v>94</v>
      </c>
      <c r="H821" s="1309" t="str">
        <f>VLOOKUP(G821,CATEGORIE!$H$3:$I$104,2,FALSE)</f>
        <v>COSTO SVAGHI</v>
      </c>
      <c r="I821" s="59">
        <v>39</v>
      </c>
      <c r="J821" s="940"/>
      <c r="K821" s="59"/>
      <c r="L821" s="59"/>
    </row>
    <row r="822" spans="1:12">
      <c r="A822" s="57" t="s">
        <v>304</v>
      </c>
      <c r="B822" s="57" t="s">
        <v>288</v>
      </c>
      <c r="C822" s="57">
        <v>2025</v>
      </c>
      <c r="D822" s="58">
        <f>MATCH(B822,{"GENNAIO","FEBBRAIO","MARZO","APRILE","MAGGIO","GIUGNO","LUGLIO","AGOSTO","SETTEMBRE","OTTOBRE","NOVEMBRE","DICEMBRE"},0)</f>
        <v>7</v>
      </c>
      <c r="E822" s="57" t="str">
        <f t="shared" ref="E822" si="1326">CONCATENATE(,B822," ",C822)</f>
        <v>LUGLIO 2025</v>
      </c>
      <c r="F822" s="57" t="str">
        <f t="shared" ref="F822" si="1327">CONCATENATE(D822," ",E822)</f>
        <v>7 LUGLIO 2025</v>
      </c>
      <c r="G822" s="1309" t="s">
        <v>108</v>
      </c>
      <c r="H822" s="1309" t="str">
        <f>VLOOKUP(G822,CATEGORIE!$H$3:$I$104,2,FALSE)</f>
        <v>COSTO SFIZI</v>
      </c>
      <c r="I822" s="59">
        <v>40</v>
      </c>
      <c r="J822" s="940"/>
      <c r="K822" s="59"/>
      <c r="L822" s="59" t="s">
        <v>305</v>
      </c>
    </row>
    <row r="823" spans="1:12">
      <c r="A823" s="57" t="s">
        <v>306</v>
      </c>
      <c r="B823" s="57" t="s">
        <v>288</v>
      </c>
      <c r="C823" s="57">
        <v>2025</v>
      </c>
      <c r="D823" s="58">
        <f>MATCH(B823,{"GENNAIO","FEBBRAIO","MARZO","APRILE","MAGGIO","GIUGNO","LUGLIO","AGOSTO","SETTEMBRE","OTTOBRE","NOVEMBRE","DICEMBRE"},0)</f>
        <v>7</v>
      </c>
      <c r="E823" s="57" t="str">
        <f t="shared" ref="E823" si="1328">CONCATENATE(,B823," ",C823)</f>
        <v>LUGLIO 2025</v>
      </c>
      <c r="F823" s="57" t="str">
        <f t="shared" ref="F823" si="1329">CONCATENATE(D823," ",E823)</f>
        <v>7 LUGLIO 2025</v>
      </c>
      <c r="G823" s="1309" t="s">
        <v>100</v>
      </c>
      <c r="H823" s="1309" t="str">
        <f>VLOOKUP(G823,CATEGORIE!$H$3:$I$104,2,FALSE)</f>
        <v>COSTO SFIZI</v>
      </c>
      <c r="I823" s="59">
        <v>26.69</v>
      </c>
      <c r="J823" s="940"/>
      <c r="K823" s="59" t="s">
        <v>112</v>
      </c>
      <c r="L823" s="59"/>
    </row>
    <row r="824" spans="1:12">
      <c r="A824" s="57" t="s">
        <v>101</v>
      </c>
      <c r="B824" s="57" t="s">
        <v>288</v>
      </c>
      <c r="C824" s="57">
        <v>2025</v>
      </c>
      <c r="D824" s="58">
        <f>MATCH(B824,{"GENNAIO","FEBBRAIO","MARZO","APRILE","MAGGIO","GIUGNO","LUGLIO","AGOSTO","SETTEMBRE","OTTOBRE","NOVEMBRE","DICEMBRE"},0)</f>
        <v>7</v>
      </c>
      <c r="E824" s="57" t="str">
        <f>CONCATENATE(,B824," ",C824)</f>
        <v>LUGLIO 2025</v>
      </c>
      <c r="F824" s="57" t="str">
        <f>CONCATENATE(D824," ",E824)</f>
        <v>7 LUGLIO 2025</v>
      </c>
      <c r="G824" s="1309" t="s">
        <v>91</v>
      </c>
      <c r="H824" s="1309" t="str">
        <f>VLOOKUP(G824,CATEGORIE!$H$3:$I$104,2,FALSE)</f>
        <v>COSTO SOPRAVVIVENZA</v>
      </c>
      <c r="I824" s="59">
        <v>0.4</v>
      </c>
      <c r="J824" s="940"/>
      <c r="K824" s="59"/>
      <c r="L824" s="59"/>
    </row>
    <row r="825" spans="1:12">
      <c r="A825" s="57" t="s">
        <v>101</v>
      </c>
      <c r="B825" s="57" t="s">
        <v>288</v>
      </c>
      <c r="C825" s="57">
        <v>2025</v>
      </c>
      <c r="D825" s="58">
        <f>MATCH(B825,{"GENNAIO","FEBBRAIO","MARZO","APRILE","MAGGIO","GIUGNO","LUGLIO","AGOSTO","SETTEMBRE","OTTOBRE","NOVEMBRE","DICEMBRE"},0)</f>
        <v>7</v>
      </c>
      <c r="E825" s="57" t="str">
        <f>CONCATENATE(,B825," ",C825)</f>
        <v>LUGLIO 2025</v>
      </c>
      <c r="F825" s="57" t="str">
        <f>CONCATENATE(D825," ",E825)</f>
        <v>7 LUGLIO 2025</v>
      </c>
      <c r="G825" s="1309" t="s">
        <v>91</v>
      </c>
      <c r="H825" s="1309" t="str">
        <f>VLOOKUP(G825,CATEGORIE!$H$3:$I$104,2,FALSE)</f>
        <v>COSTO SOPRAVVIVENZA</v>
      </c>
      <c r="I825" s="59">
        <v>0.4</v>
      </c>
      <c r="J825" s="940"/>
      <c r="K825" s="59"/>
      <c r="L825" s="59"/>
    </row>
    <row r="826" spans="1:12">
      <c r="A826" s="57" t="s">
        <v>92</v>
      </c>
      <c r="B826" s="57" t="s">
        <v>288</v>
      </c>
      <c r="C826" s="57">
        <v>2025</v>
      </c>
      <c r="D826" s="58">
        <f>MATCH(B826,{"GENNAIO","FEBBRAIO","MARZO","APRILE","MAGGIO","GIUGNO","LUGLIO","AGOSTO","SETTEMBRE","OTTOBRE","NOVEMBRE","DICEMBRE"},0)</f>
        <v>7</v>
      </c>
      <c r="E826" s="57" t="str">
        <f t="shared" ref="E826" si="1330">CONCATENATE(,B826," ",C826)</f>
        <v>LUGLIO 2025</v>
      </c>
      <c r="F826" s="57" t="str">
        <f t="shared" ref="F826" si="1331">CONCATENATE(D826," ",E826)</f>
        <v>7 LUGLIO 2025</v>
      </c>
      <c r="G826" s="1309" t="s">
        <v>94</v>
      </c>
      <c r="H826" s="1309" t="str">
        <f>VLOOKUP(G826,CATEGORIE!$H$3:$I$104,2,FALSE)</f>
        <v>COSTO SVAGHI</v>
      </c>
      <c r="I826" s="59">
        <v>2.8</v>
      </c>
      <c r="J826" s="940"/>
      <c r="K826" s="59"/>
      <c r="L826" s="59"/>
    </row>
    <row r="827" spans="1:12">
      <c r="A827" s="57" t="s">
        <v>102</v>
      </c>
      <c r="B827" s="57" t="s">
        <v>288</v>
      </c>
      <c r="C827" s="57">
        <v>2025</v>
      </c>
      <c r="D827" s="58">
        <f>MATCH(B827,{"GENNAIO","FEBBRAIO","MARZO","APRILE","MAGGIO","GIUGNO","LUGLIO","AGOSTO","SETTEMBRE","OTTOBRE","NOVEMBRE","DICEMBRE"},0)</f>
        <v>7</v>
      </c>
      <c r="E827" s="57" t="str">
        <f t="shared" ref="E827" si="1332">CONCATENATE(,B827," ",C827)</f>
        <v>LUGLIO 2025</v>
      </c>
      <c r="F827" s="57" t="str">
        <f t="shared" ref="F827" si="1333">CONCATENATE(D827," ",E827)</f>
        <v>7 LUGLIO 2025</v>
      </c>
      <c r="G827" s="1309" t="s">
        <v>96</v>
      </c>
      <c r="H827" s="1309" t="str">
        <f>VLOOKUP(G827,CATEGORIE!$H$3:$I$104,2,FALSE)</f>
        <v>COSTO SOPRAVVIVENZA</v>
      </c>
      <c r="I827" s="59">
        <v>17.14</v>
      </c>
      <c r="J827" s="940"/>
      <c r="K827" s="59"/>
      <c r="L827" s="59"/>
    </row>
    <row r="828" spans="1:12">
      <c r="A828" s="57" t="s">
        <v>307</v>
      </c>
      <c r="B828" s="57" t="s">
        <v>288</v>
      </c>
      <c r="C828" s="57">
        <v>2025</v>
      </c>
      <c r="D828" s="58">
        <f>MATCH(B828,{"GENNAIO","FEBBRAIO","MARZO","APRILE","MAGGIO","GIUGNO","LUGLIO","AGOSTO","SETTEMBRE","OTTOBRE","NOVEMBRE","DICEMBRE"},0)</f>
        <v>7</v>
      </c>
      <c r="E828" s="57" t="str">
        <f t="shared" ref="E828" si="1334">CONCATENATE(,B828," ",C828)</f>
        <v>LUGLIO 2025</v>
      </c>
      <c r="F828" s="57" t="str">
        <f t="shared" ref="F828" si="1335">CONCATENATE(D828," ",E828)</f>
        <v>7 LUGLIO 2025</v>
      </c>
      <c r="G828" s="1309" t="s">
        <v>132</v>
      </c>
      <c r="H828" s="1309" t="str">
        <f>VLOOKUP(G828,CATEGORIE!$H$3:$I$104,2,FALSE)</f>
        <v>COSTO CASA</v>
      </c>
      <c r="I828" s="59">
        <v>150</v>
      </c>
      <c r="J828" s="943"/>
      <c r="K828" s="59" t="s">
        <v>97</v>
      </c>
      <c r="L828" s="59" t="s">
        <v>308</v>
      </c>
    </row>
    <row r="829" spans="1:12">
      <c r="A829" s="57" t="s">
        <v>286</v>
      </c>
      <c r="B829" s="57" t="s">
        <v>288</v>
      </c>
      <c r="C829" s="57">
        <v>2025</v>
      </c>
      <c r="D829" s="58">
        <f>MATCH(B829,{"GENNAIO","FEBBRAIO","MARZO","APRILE","MAGGIO","GIUGNO","LUGLIO","AGOSTO","SETTEMBRE","OTTOBRE","NOVEMBRE","DICEMBRE"},0)</f>
        <v>7</v>
      </c>
      <c r="E829" s="57" t="str">
        <f t="shared" ref="E829" si="1336">CONCATENATE(,B829," ",C829)</f>
        <v>LUGLIO 2025</v>
      </c>
      <c r="F829" s="57" t="str">
        <f t="shared" ref="F829" si="1337">CONCATENATE(D829," ",E829)</f>
        <v>7 LUGLIO 2025</v>
      </c>
      <c r="G829" s="1309" t="s">
        <v>1250</v>
      </c>
      <c r="H829" s="1309" t="str">
        <f>VLOOKUP(G829,CATEGORIE!$H$3:$I$104,2,FALSE)</f>
        <v>COSTO VACANZE</v>
      </c>
      <c r="I829" s="59">
        <v>215.64</v>
      </c>
      <c r="J829" s="940" t="s">
        <v>124</v>
      </c>
      <c r="K829" s="59" t="s">
        <v>112</v>
      </c>
      <c r="L829" s="59" t="s">
        <v>260</v>
      </c>
    </row>
    <row r="830" spans="1:12">
      <c r="A830" s="57" t="s">
        <v>309</v>
      </c>
      <c r="B830" s="57" t="s">
        <v>288</v>
      </c>
      <c r="C830" s="57">
        <v>2025</v>
      </c>
      <c r="D830" s="58">
        <f>MATCH(B830,{"GENNAIO","FEBBRAIO","MARZO","APRILE","MAGGIO","GIUGNO","LUGLIO","AGOSTO","SETTEMBRE","OTTOBRE","NOVEMBRE","DICEMBRE"},0)</f>
        <v>7</v>
      </c>
      <c r="E830" s="57" t="str">
        <f t="shared" ref="E830" si="1338">CONCATENATE(,B830," ",C830)</f>
        <v>LUGLIO 2025</v>
      </c>
      <c r="F830" s="57" t="str">
        <f t="shared" ref="F830" si="1339">CONCATENATE(D830," ",E830)</f>
        <v>7 LUGLIO 2025</v>
      </c>
      <c r="G830" s="1309" t="s">
        <v>94</v>
      </c>
      <c r="H830" s="1309" t="str">
        <f>VLOOKUP(G830,CATEGORIE!$H$3:$I$104,2,FALSE)</f>
        <v>COSTO SVAGHI</v>
      </c>
      <c r="I830" s="59">
        <v>22.2</v>
      </c>
      <c r="J830" s="940"/>
      <c r="K830" s="59"/>
      <c r="L830" s="59"/>
    </row>
    <row r="831" spans="1:12">
      <c r="A831" s="57" t="s">
        <v>99</v>
      </c>
      <c r="B831" s="57" t="s">
        <v>288</v>
      </c>
      <c r="C831" s="57">
        <v>2025</v>
      </c>
      <c r="D831" s="58">
        <f>MATCH(B831,{"GENNAIO","FEBBRAIO","MARZO","APRILE","MAGGIO","GIUGNO","LUGLIO","AGOSTO","SETTEMBRE","OTTOBRE","NOVEMBRE","DICEMBRE"},0)</f>
        <v>7</v>
      </c>
      <c r="E831" s="57" t="str">
        <f t="shared" ref="E831" si="1340">CONCATENATE(,B831," ",C831)</f>
        <v>LUGLIO 2025</v>
      </c>
      <c r="F831" s="57" t="str">
        <f t="shared" ref="F831" si="1341">CONCATENATE(D831," ",E831)</f>
        <v>7 LUGLIO 2025</v>
      </c>
      <c r="G831" s="1309" t="s">
        <v>132</v>
      </c>
      <c r="H831" s="1309" t="str">
        <f>VLOOKUP(G831,CATEGORIE!$H$3:$I$104,2,FALSE)</f>
        <v>COSTO CASA</v>
      </c>
      <c r="I831" s="59">
        <v>109.8</v>
      </c>
      <c r="J831" s="940" t="s">
        <v>167</v>
      </c>
      <c r="K831" s="57" t="s">
        <v>99</v>
      </c>
      <c r="L831" s="59" t="s">
        <v>287</v>
      </c>
    </row>
    <row r="832" spans="1:12">
      <c r="A832" s="57" t="s">
        <v>310</v>
      </c>
      <c r="B832" s="57" t="s">
        <v>288</v>
      </c>
      <c r="C832" s="57">
        <v>2025</v>
      </c>
      <c r="D832" s="58">
        <f>MATCH(B832,{"GENNAIO","FEBBRAIO","MARZO","APRILE","MAGGIO","GIUGNO","LUGLIO","AGOSTO","SETTEMBRE","OTTOBRE","NOVEMBRE","DICEMBRE"},0)</f>
        <v>7</v>
      </c>
      <c r="E832" s="57" t="str">
        <f t="shared" ref="E832" si="1342">CONCATENATE(,B832," ",C832)</f>
        <v>LUGLIO 2025</v>
      </c>
      <c r="F832" s="57" t="str">
        <f t="shared" ref="F832" si="1343">CONCATENATE(D832," ",E832)</f>
        <v>7 LUGLIO 2025</v>
      </c>
      <c r="G832" s="1309" t="s">
        <v>94</v>
      </c>
      <c r="H832" s="1309" t="str">
        <f>VLOOKUP(G832,CATEGORIE!$H$3:$I$104,2,FALSE)</f>
        <v>COSTO SVAGHI</v>
      </c>
      <c r="I832" s="59">
        <v>75</v>
      </c>
      <c r="J832" s="940"/>
      <c r="K832" s="59"/>
      <c r="L832" s="59"/>
    </row>
    <row r="833" spans="1:12">
      <c r="A833" s="57" t="s">
        <v>311</v>
      </c>
      <c r="B833" s="57" t="s">
        <v>288</v>
      </c>
      <c r="C833" s="57">
        <v>2025</v>
      </c>
      <c r="D833" s="58">
        <f>MATCH(B833,{"GENNAIO","FEBBRAIO","MARZO","APRILE","MAGGIO","GIUGNO","LUGLIO","AGOSTO","SETTEMBRE","OTTOBRE","NOVEMBRE","DICEMBRE"},0)</f>
        <v>7</v>
      </c>
      <c r="E833" s="57" t="str">
        <f t="shared" ref="E833" si="1344">CONCATENATE(,B833," ",C833)</f>
        <v>LUGLIO 2025</v>
      </c>
      <c r="F833" s="57" t="str">
        <f t="shared" ref="F833" si="1345">CONCATENATE(D833," ",E833)</f>
        <v>7 LUGLIO 2025</v>
      </c>
      <c r="G833" s="1309" t="s">
        <v>185</v>
      </c>
      <c r="H833" s="1309" t="str">
        <f>VLOOKUP(G833,CATEGORIE!$H$3:$I$104,2,FALSE)</f>
        <v>COSTO SFIZI</v>
      </c>
      <c r="I833" s="59">
        <v>16.579999999999998</v>
      </c>
      <c r="J833" s="940"/>
      <c r="K833" s="59" t="s">
        <v>112</v>
      </c>
      <c r="L833" s="59" t="s">
        <v>312</v>
      </c>
    </row>
    <row r="834" spans="1:12">
      <c r="A834" s="57" t="s">
        <v>135</v>
      </c>
      <c r="B834" s="57" t="s">
        <v>288</v>
      </c>
      <c r="C834" s="57">
        <v>2025</v>
      </c>
      <c r="D834" s="58">
        <f>MATCH(B834,{"GENNAIO","FEBBRAIO","MARZO","APRILE","MAGGIO","GIUGNO","LUGLIO","AGOSTO","SETTEMBRE","OTTOBRE","NOVEMBRE","DICEMBRE"},0)</f>
        <v>7</v>
      </c>
      <c r="E834" s="57" t="str">
        <f t="shared" ref="E834" si="1346">CONCATENATE(,B834," ",C834)</f>
        <v>LUGLIO 2025</v>
      </c>
      <c r="F834" s="57" t="str">
        <f t="shared" ref="F834" si="1347">CONCATENATE(D834," ",E834)</f>
        <v>7 LUGLIO 2025</v>
      </c>
      <c r="G834" s="1309" t="s">
        <v>132</v>
      </c>
      <c r="H834" s="1309" t="str">
        <f>VLOOKUP(G834,CATEGORIE!$H$3:$I$104,2,FALSE)</f>
        <v>COSTO CASA</v>
      </c>
      <c r="I834" s="59">
        <v>12.68</v>
      </c>
      <c r="J834" s="940"/>
      <c r="K834" s="59"/>
      <c r="L834" s="59"/>
    </row>
    <row r="835" spans="1:12">
      <c r="A835" s="57" t="s">
        <v>102</v>
      </c>
      <c r="B835" s="57" t="s">
        <v>288</v>
      </c>
      <c r="C835" s="57">
        <v>2025</v>
      </c>
      <c r="D835" s="58">
        <f>MATCH(B835,{"GENNAIO","FEBBRAIO","MARZO","APRILE","MAGGIO","GIUGNO","LUGLIO","AGOSTO","SETTEMBRE","OTTOBRE","NOVEMBRE","DICEMBRE"},0)</f>
        <v>7</v>
      </c>
      <c r="E835" s="57" t="str">
        <f t="shared" ref="E835" si="1348">CONCATENATE(,B835," ",C835)</f>
        <v>LUGLIO 2025</v>
      </c>
      <c r="F835" s="57" t="str">
        <f t="shared" ref="F835" si="1349">CONCATENATE(D835," ",E835)</f>
        <v>7 LUGLIO 2025</v>
      </c>
      <c r="G835" s="1309" t="s">
        <v>96</v>
      </c>
      <c r="H835" s="1309" t="str">
        <f>VLOOKUP(G835,CATEGORIE!$H$3:$I$104,2,FALSE)</f>
        <v>COSTO SOPRAVVIVENZA</v>
      </c>
      <c r="I835" s="59">
        <v>3.29</v>
      </c>
      <c r="J835" s="940"/>
      <c r="K835" s="59"/>
      <c r="L835" s="59"/>
    </row>
    <row r="836" spans="1:12">
      <c r="A836" s="57" t="s">
        <v>105</v>
      </c>
      <c r="B836" s="57" t="s">
        <v>288</v>
      </c>
      <c r="C836" s="57">
        <v>2025</v>
      </c>
      <c r="D836" s="58">
        <f>MATCH(B836,{"GENNAIO","FEBBRAIO","MARZO","APRILE","MAGGIO","GIUGNO","LUGLIO","AGOSTO","SETTEMBRE","OTTOBRE","NOVEMBRE","DICEMBRE"},0)</f>
        <v>7</v>
      </c>
      <c r="E836" s="57" t="str">
        <f t="shared" ref="E836" si="1350">CONCATENATE(,B836," ",C836)</f>
        <v>LUGLIO 2025</v>
      </c>
      <c r="F836" s="57" t="str">
        <f t="shared" ref="F836" si="1351">CONCATENATE(D836," ",E836)</f>
        <v>7 LUGLIO 2025</v>
      </c>
      <c r="G836" s="1309" t="s">
        <v>96</v>
      </c>
      <c r="H836" s="1309" t="str">
        <f>VLOOKUP(G836,CATEGORIE!$H$3:$I$104,2,FALSE)</f>
        <v>COSTO SOPRAVVIVENZA</v>
      </c>
      <c r="I836" s="59">
        <v>29.5</v>
      </c>
      <c r="J836" s="940"/>
      <c r="K836" s="59"/>
      <c r="L836" s="59"/>
    </row>
    <row r="837" spans="1:12">
      <c r="A837" s="57" t="s">
        <v>92</v>
      </c>
      <c r="B837" s="57" t="s">
        <v>288</v>
      </c>
      <c r="C837" s="57">
        <v>2025</v>
      </c>
      <c r="D837" s="58">
        <f>MATCH(B837,{"GENNAIO","FEBBRAIO","MARZO","APRILE","MAGGIO","GIUGNO","LUGLIO","AGOSTO","SETTEMBRE","OTTOBRE","NOVEMBRE","DICEMBRE"},0)</f>
        <v>7</v>
      </c>
      <c r="E837" s="57" t="str">
        <f t="shared" ref="E837:E838" si="1352">CONCATENATE(,B837," ",C837)</f>
        <v>LUGLIO 2025</v>
      </c>
      <c r="F837" s="57" t="str">
        <f t="shared" ref="F837:F838" si="1353">CONCATENATE(D837," ",E837)</f>
        <v>7 LUGLIO 2025</v>
      </c>
      <c r="G837" s="1309" t="s">
        <v>94</v>
      </c>
      <c r="H837" s="1309" t="str">
        <f>VLOOKUP(G837,CATEGORIE!$H$3:$I$104,2,FALSE)</f>
        <v>COSTO SVAGHI</v>
      </c>
      <c r="I837" s="59">
        <v>15</v>
      </c>
      <c r="J837" s="940"/>
      <c r="K837" s="59"/>
      <c r="L837" s="59"/>
    </row>
    <row r="838" spans="1:12">
      <c r="A838" s="57" t="s">
        <v>313</v>
      </c>
      <c r="B838" s="57" t="s">
        <v>314</v>
      </c>
      <c r="C838" s="57">
        <v>2025</v>
      </c>
      <c r="D838" s="58">
        <f>MATCH(B838,{"GENNAIO","FEBBRAIO","MARZO","APRILE","MAGGIO","GIUGNO","LUGLIO","AGOSTO","SETTEMBRE","OTTOBRE","NOVEMBRE","DICEMBRE"},0)</f>
        <v>6</v>
      </c>
      <c r="E838" s="57" t="str">
        <f t="shared" si="1352"/>
        <v>GIUGNO 2025</v>
      </c>
      <c r="F838" s="57" t="str">
        <f t="shared" si="1353"/>
        <v>6 GIUGNO 2025</v>
      </c>
      <c r="G838" s="1309" t="s">
        <v>693</v>
      </c>
      <c r="H838" s="1309" t="str">
        <f>VLOOKUP(G838,CATEGORIE!$H$3:$I$104,2,FALSE)</f>
        <v>GESTIONE CONTO</v>
      </c>
      <c r="I838" s="59">
        <v>0.52</v>
      </c>
      <c r="J838" s="940"/>
      <c r="K838" s="59"/>
      <c r="L838" s="59"/>
    </row>
    <row r="839" spans="1:12">
      <c r="A839" s="57" t="s">
        <v>105</v>
      </c>
      <c r="B839" s="57" t="s">
        <v>314</v>
      </c>
      <c r="C839" s="57">
        <v>2025</v>
      </c>
      <c r="D839" s="58">
        <f>MATCH(B839,{"GENNAIO","FEBBRAIO","MARZO","APRILE","MAGGIO","GIUGNO","LUGLIO","AGOSTO","SETTEMBRE","OTTOBRE","NOVEMBRE","DICEMBRE"},0)</f>
        <v>6</v>
      </c>
      <c r="E839" s="57" t="str">
        <f t="shared" ref="E839" si="1354">CONCATENATE(,B839," ",C839)</f>
        <v>GIUGNO 2025</v>
      </c>
      <c r="F839" s="57" t="str">
        <f t="shared" ref="F839" si="1355">CONCATENATE(D839," ",E839)</f>
        <v>6 GIUGNO 2025</v>
      </c>
      <c r="G839" s="1309" t="s">
        <v>96</v>
      </c>
      <c r="H839" s="1309" t="str">
        <f>VLOOKUP(G839,CATEGORIE!$H$3:$I$104,2,FALSE)</f>
        <v>COSTO SOPRAVVIVENZA</v>
      </c>
      <c r="I839" s="59">
        <v>6.85</v>
      </c>
      <c r="J839" s="940"/>
      <c r="K839" s="59"/>
      <c r="L839" s="59"/>
    </row>
    <row r="840" spans="1:12">
      <c r="A840" s="57" t="s">
        <v>315</v>
      </c>
      <c r="B840" s="57" t="s">
        <v>314</v>
      </c>
      <c r="C840" s="57">
        <v>2025</v>
      </c>
      <c r="D840" s="58">
        <f>MATCH(B840,{"GENNAIO","FEBBRAIO","MARZO","APRILE","MAGGIO","GIUGNO","LUGLIO","AGOSTO","SETTEMBRE","OTTOBRE","NOVEMBRE","DICEMBRE"},0)</f>
        <v>6</v>
      </c>
      <c r="E840" s="57" t="str">
        <f t="shared" ref="E840" si="1356">CONCATENATE(,B840," ",C840)</f>
        <v>GIUGNO 2025</v>
      </c>
      <c r="F840" s="57" t="str">
        <f t="shared" ref="F840" si="1357">CONCATENATE(D840," ",E840)</f>
        <v>6 GIUGNO 2025</v>
      </c>
      <c r="G840" s="1309" t="s">
        <v>163</v>
      </c>
      <c r="H840" s="1309" t="str">
        <f>VLOOKUP(G840,CATEGORIE!$H$3:$I$104,2,FALSE)</f>
        <v>COSTO SVAGHI</v>
      </c>
      <c r="I840" s="59">
        <v>52</v>
      </c>
      <c r="J840" s="940"/>
      <c r="K840" s="59"/>
      <c r="L840" s="59" t="s">
        <v>316</v>
      </c>
    </row>
    <row r="841" spans="1:12">
      <c r="A841" s="57" t="s">
        <v>317</v>
      </c>
      <c r="B841" s="57" t="s">
        <v>314</v>
      </c>
      <c r="C841" s="57">
        <v>2025</v>
      </c>
      <c r="D841" s="58">
        <f>MATCH(B841,{"GENNAIO","FEBBRAIO","MARZO","APRILE","MAGGIO","GIUGNO","LUGLIO","AGOSTO","SETTEMBRE","OTTOBRE","NOVEMBRE","DICEMBRE"},0)</f>
        <v>6</v>
      </c>
      <c r="E841" s="57" t="str">
        <f t="shared" ref="E841" si="1358">CONCATENATE(,B841," ",C841)</f>
        <v>GIUGNO 2025</v>
      </c>
      <c r="F841" s="57" t="str">
        <f t="shared" ref="F841" si="1359">CONCATENATE(D841," ",E841)</f>
        <v>6 GIUGNO 2025</v>
      </c>
      <c r="G841" s="1309" t="s">
        <v>108</v>
      </c>
      <c r="H841" s="1309" t="str">
        <f>VLOOKUP(G841,CATEGORIE!$H$3:$I$104,2,FALSE)</f>
        <v>COSTO SFIZI</v>
      </c>
      <c r="I841" s="59">
        <v>35</v>
      </c>
      <c r="J841" s="940"/>
      <c r="K841" s="59"/>
      <c r="L841" s="59" t="s">
        <v>318</v>
      </c>
    </row>
    <row r="842" spans="1:12">
      <c r="A842" s="57" t="s">
        <v>319</v>
      </c>
      <c r="B842" s="57" t="s">
        <v>314</v>
      </c>
      <c r="C842" s="57">
        <v>2025</v>
      </c>
      <c r="D842" s="58">
        <f>MATCH(B842,{"GENNAIO","FEBBRAIO","MARZO","APRILE","MAGGIO","GIUGNO","LUGLIO","AGOSTO","SETTEMBRE","OTTOBRE","NOVEMBRE","DICEMBRE"},0)</f>
        <v>6</v>
      </c>
      <c r="E842" s="57" t="str">
        <f t="shared" ref="E842" si="1360">CONCATENATE(,B842," ",C842)</f>
        <v>GIUGNO 2025</v>
      </c>
      <c r="F842" s="57" t="str">
        <f t="shared" ref="F842" si="1361">CONCATENATE(D842," ",E842)</f>
        <v>6 GIUGNO 2025</v>
      </c>
      <c r="G842" s="1309" t="s">
        <v>94</v>
      </c>
      <c r="H842" s="1309" t="str">
        <f>VLOOKUP(G842,CATEGORIE!$H$3:$I$104,2,FALSE)</f>
        <v>COSTO SVAGHI</v>
      </c>
      <c r="I842" s="59">
        <v>50</v>
      </c>
      <c r="J842" s="940"/>
      <c r="K842" s="59"/>
      <c r="L842" s="59" t="s">
        <v>318</v>
      </c>
    </row>
    <row r="843" spans="1:12">
      <c r="A843" s="57" t="s">
        <v>320</v>
      </c>
      <c r="B843" s="57" t="s">
        <v>314</v>
      </c>
      <c r="C843" s="57">
        <v>2025</v>
      </c>
      <c r="D843" s="58">
        <f>MATCH(B843,{"GENNAIO","FEBBRAIO","MARZO","APRILE","MAGGIO","GIUGNO","LUGLIO","AGOSTO","SETTEMBRE","OTTOBRE","NOVEMBRE","DICEMBRE"},0)</f>
        <v>6</v>
      </c>
      <c r="E843" s="57" t="str">
        <f t="shared" ref="E843" si="1362">CONCATENATE(,B843," ",C843)</f>
        <v>GIUGNO 2025</v>
      </c>
      <c r="F843" s="57" t="str">
        <f t="shared" ref="F843" si="1363">CONCATENATE(D843," ",E843)</f>
        <v>6 GIUGNO 2025</v>
      </c>
      <c r="G843" s="1309" t="s">
        <v>111</v>
      </c>
      <c r="H843" s="1309" t="str">
        <f>VLOOKUP(G843,CATEGORIE!$H$3:$I$104,2,FALSE)</f>
        <v>COSTO MOBILITA'</v>
      </c>
      <c r="I843" s="59">
        <v>17.600000000000001</v>
      </c>
      <c r="J843" s="940"/>
      <c r="K843" s="59"/>
      <c r="L843" s="59"/>
    </row>
    <row r="844" spans="1:12">
      <c r="A844" s="57" t="s">
        <v>166</v>
      </c>
      <c r="B844" s="57" t="s">
        <v>314</v>
      </c>
      <c r="C844" s="57">
        <v>2025</v>
      </c>
      <c r="D844" s="58">
        <f>MATCH(B844,{"GENNAIO","FEBBRAIO","MARZO","APRILE","MAGGIO","GIUGNO","LUGLIO","AGOSTO","SETTEMBRE","OTTOBRE","NOVEMBRE","DICEMBRE"},0)</f>
        <v>6</v>
      </c>
      <c r="E844" s="57" t="str">
        <f t="shared" ref="E844" si="1364">CONCATENATE(,B844," ",C844)</f>
        <v>GIUGNO 2025</v>
      </c>
      <c r="F844" s="57" t="str">
        <f t="shared" ref="F844" si="1365">CONCATENATE(D844," ",E844)</f>
        <v>6 GIUGNO 2025</v>
      </c>
      <c r="G844" s="1309" t="s">
        <v>94</v>
      </c>
      <c r="H844" s="1309" t="str">
        <f>VLOOKUP(G844,CATEGORIE!$H$3:$I$104,2,FALSE)</f>
        <v>COSTO SVAGHI</v>
      </c>
      <c r="I844" s="59">
        <v>23.6</v>
      </c>
      <c r="J844" s="940"/>
      <c r="K844" s="59"/>
      <c r="L844" s="59" t="s">
        <v>321</v>
      </c>
    </row>
    <row r="845" spans="1:12">
      <c r="A845" s="57" t="s">
        <v>101</v>
      </c>
      <c r="B845" s="57" t="s">
        <v>314</v>
      </c>
      <c r="C845" s="57">
        <v>2025</v>
      </c>
      <c r="D845" s="58">
        <f>MATCH(B845,{"GENNAIO","FEBBRAIO","MARZO","APRILE","MAGGIO","GIUGNO","LUGLIO","AGOSTO","SETTEMBRE","OTTOBRE","NOVEMBRE","DICEMBRE"},0)</f>
        <v>6</v>
      </c>
      <c r="E845" s="57" t="str">
        <f>CONCATENATE(,B845," ",C845)</f>
        <v>GIUGNO 2025</v>
      </c>
      <c r="F845" s="57" t="str">
        <f>CONCATENATE(D845," ",E845)</f>
        <v>6 GIUGNO 2025</v>
      </c>
      <c r="G845" s="1309" t="s">
        <v>91</v>
      </c>
      <c r="H845" s="1309" t="str">
        <f>VLOOKUP(G845,CATEGORIE!$H$3:$I$104,2,FALSE)</f>
        <v>COSTO SOPRAVVIVENZA</v>
      </c>
      <c r="I845" s="59">
        <v>0.7</v>
      </c>
      <c r="J845" s="940"/>
      <c r="K845" s="59"/>
      <c r="L845" s="59"/>
    </row>
    <row r="846" spans="1:12">
      <c r="A846" s="57" t="s">
        <v>101</v>
      </c>
      <c r="B846" s="57" t="s">
        <v>314</v>
      </c>
      <c r="C846" s="57">
        <v>2025</v>
      </c>
      <c r="D846" s="58">
        <f>MATCH(B846,{"GENNAIO","FEBBRAIO","MARZO","APRILE","MAGGIO","GIUGNO","LUGLIO","AGOSTO","SETTEMBRE","OTTOBRE","NOVEMBRE","DICEMBRE"},0)</f>
        <v>6</v>
      </c>
      <c r="E846" s="57" t="str">
        <f>CONCATENATE(,B846," ",C846)</f>
        <v>GIUGNO 2025</v>
      </c>
      <c r="F846" s="57" t="str">
        <f>CONCATENATE(D846," ",E846)</f>
        <v>6 GIUGNO 2025</v>
      </c>
      <c r="G846" s="1309" t="s">
        <v>91</v>
      </c>
      <c r="H846" s="1309" t="str">
        <f>VLOOKUP(G846,CATEGORIE!$H$3:$I$104,2,FALSE)</f>
        <v>COSTO SOPRAVVIVENZA</v>
      </c>
      <c r="I846" s="59">
        <v>0.4</v>
      </c>
      <c r="J846" s="940"/>
      <c r="K846" s="59"/>
      <c r="L846" s="59"/>
    </row>
    <row r="847" spans="1:12">
      <c r="A847" s="57" t="s">
        <v>101</v>
      </c>
      <c r="B847" s="57" t="s">
        <v>314</v>
      </c>
      <c r="C847" s="57">
        <v>2025</v>
      </c>
      <c r="D847" s="58">
        <f>MATCH(B847,{"GENNAIO","FEBBRAIO","MARZO","APRILE","MAGGIO","GIUGNO","LUGLIO","AGOSTO","SETTEMBRE","OTTOBRE","NOVEMBRE","DICEMBRE"},0)</f>
        <v>6</v>
      </c>
      <c r="E847" s="57" t="str">
        <f>CONCATENATE(,B847," ",C847)</f>
        <v>GIUGNO 2025</v>
      </c>
      <c r="F847" s="57" t="str">
        <f>CONCATENATE(D847," ",E847)</f>
        <v>6 GIUGNO 2025</v>
      </c>
      <c r="G847" s="1309" t="s">
        <v>91</v>
      </c>
      <c r="H847" s="1309" t="str">
        <f>VLOOKUP(G847,CATEGORIE!$H$3:$I$104,2,FALSE)</f>
        <v>COSTO SOPRAVVIVENZA</v>
      </c>
      <c r="I847" s="59">
        <v>0.4</v>
      </c>
      <c r="J847" s="940"/>
      <c r="K847" s="59"/>
      <c r="L847" s="59"/>
    </row>
    <row r="848" spans="1:12">
      <c r="A848" s="57" t="s">
        <v>92</v>
      </c>
      <c r="B848" s="57" t="s">
        <v>314</v>
      </c>
      <c r="C848" s="57">
        <v>2025</v>
      </c>
      <c r="D848" s="58">
        <f>MATCH(B848,{"GENNAIO","FEBBRAIO","MARZO","APRILE","MAGGIO","GIUGNO","LUGLIO","AGOSTO","SETTEMBRE","OTTOBRE","NOVEMBRE","DICEMBRE"},0)</f>
        <v>6</v>
      </c>
      <c r="E848" s="57" t="str">
        <f t="shared" ref="E848" si="1366">CONCATENATE(,B848," ",C848)</f>
        <v>GIUGNO 2025</v>
      </c>
      <c r="F848" s="57" t="str">
        <f t="shared" ref="F848" si="1367">CONCATENATE(D848," ",E848)</f>
        <v>6 GIUGNO 2025</v>
      </c>
      <c r="G848" s="1309" t="s">
        <v>94</v>
      </c>
      <c r="H848" s="1309" t="str">
        <f>VLOOKUP(G848,CATEGORIE!$H$3:$I$104,2,FALSE)</f>
        <v>COSTO SVAGHI</v>
      </c>
      <c r="I848" s="59">
        <v>4.2</v>
      </c>
      <c r="J848" s="940"/>
      <c r="K848" s="59"/>
      <c r="L848" s="59"/>
    </row>
    <row r="849" spans="1:12">
      <c r="A849" s="57" t="s">
        <v>322</v>
      </c>
      <c r="B849" s="57" t="s">
        <v>314</v>
      </c>
      <c r="C849" s="57">
        <v>2025</v>
      </c>
      <c r="D849" s="58">
        <f>MATCH(B849,{"GENNAIO","FEBBRAIO","MARZO","APRILE","MAGGIO","GIUGNO","LUGLIO","AGOSTO","SETTEMBRE","OTTOBRE","NOVEMBRE","DICEMBRE"},0)</f>
        <v>6</v>
      </c>
      <c r="E849" s="57" t="str">
        <f t="shared" ref="E849" si="1368">CONCATENATE(,B849," ",C849)</f>
        <v>GIUGNO 2025</v>
      </c>
      <c r="F849" s="57" t="str">
        <f t="shared" ref="F849" si="1369">CONCATENATE(D849," ",E849)</f>
        <v>6 GIUGNO 2025</v>
      </c>
      <c r="G849" s="1309" t="s">
        <v>188</v>
      </c>
      <c r="H849" s="1309" t="str">
        <f>VLOOKUP(G849,CATEGORIE!$H$3:$I$104,2,FALSE)</f>
        <v>COSTO VACANZE</v>
      </c>
      <c r="I849" s="59">
        <v>29.49</v>
      </c>
      <c r="J849" s="940"/>
      <c r="K849" s="59"/>
      <c r="L849" s="59" t="s">
        <v>323</v>
      </c>
    </row>
    <row r="850" spans="1:12">
      <c r="A850" s="57" t="s">
        <v>92</v>
      </c>
      <c r="B850" s="57" t="s">
        <v>314</v>
      </c>
      <c r="C850" s="57">
        <v>2025</v>
      </c>
      <c r="D850" s="58">
        <f>MATCH(B850,{"GENNAIO","FEBBRAIO","MARZO","APRILE","MAGGIO","GIUGNO","LUGLIO","AGOSTO","SETTEMBRE","OTTOBRE","NOVEMBRE","DICEMBRE"},0)</f>
        <v>6</v>
      </c>
      <c r="E850" s="57" t="str">
        <f t="shared" ref="E850" si="1370">CONCATENATE(,B850," ",C850)</f>
        <v>GIUGNO 2025</v>
      </c>
      <c r="F850" s="57" t="str">
        <f t="shared" ref="F850" si="1371">CONCATENATE(D850," ",E850)</f>
        <v>6 GIUGNO 2025</v>
      </c>
      <c r="G850" s="1309" t="s">
        <v>93</v>
      </c>
      <c r="H850" s="1309" t="str">
        <f>VLOOKUP(G850,CATEGORIE!$H$3:$I$104,2,FALSE)</f>
        <v>COSTO SOPRAVVIVENZA</v>
      </c>
      <c r="I850" s="59">
        <v>6.5</v>
      </c>
      <c r="J850" s="940"/>
      <c r="K850" s="59"/>
      <c r="L850" s="59"/>
    </row>
    <row r="851" spans="1:12">
      <c r="A851" s="57" t="s">
        <v>101</v>
      </c>
      <c r="B851" s="57" t="s">
        <v>314</v>
      </c>
      <c r="C851" s="57">
        <v>2025</v>
      </c>
      <c r="D851" s="58">
        <f>MATCH(B851,{"GENNAIO","FEBBRAIO","MARZO","APRILE","MAGGIO","GIUGNO","LUGLIO","AGOSTO","SETTEMBRE","OTTOBRE","NOVEMBRE","DICEMBRE"},0)</f>
        <v>6</v>
      </c>
      <c r="E851" s="57" t="str">
        <f>CONCATENATE(,B851," ",C851)</f>
        <v>GIUGNO 2025</v>
      </c>
      <c r="F851" s="57" t="str">
        <f>CONCATENATE(D851," ",E851)</f>
        <v>6 GIUGNO 2025</v>
      </c>
      <c r="G851" s="1309" t="s">
        <v>91</v>
      </c>
      <c r="H851" s="1309" t="str">
        <f>VLOOKUP(G851,CATEGORIE!$H$3:$I$104,2,FALSE)</f>
        <v>COSTO SOPRAVVIVENZA</v>
      </c>
      <c r="I851" s="59">
        <v>0.4</v>
      </c>
      <c r="J851" s="940"/>
      <c r="K851" s="59"/>
      <c r="L851" s="59"/>
    </row>
    <row r="852" spans="1:12">
      <c r="A852" s="57" t="s">
        <v>101</v>
      </c>
      <c r="B852" s="57" t="s">
        <v>314</v>
      </c>
      <c r="C852" s="57">
        <v>2025</v>
      </c>
      <c r="D852" s="58">
        <f>MATCH(B852,{"GENNAIO","FEBBRAIO","MARZO","APRILE","MAGGIO","GIUGNO","LUGLIO","AGOSTO","SETTEMBRE","OTTOBRE","NOVEMBRE","DICEMBRE"},0)</f>
        <v>6</v>
      </c>
      <c r="E852" s="57" t="str">
        <f>CONCATENATE(,B852," ",C852)</f>
        <v>GIUGNO 2025</v>
      </c>
      <c r="F852" s="57" t="str">
        <f>CONCATENATE(D852," ",E852)</f>
        <v>6 GIUGNO 2025</v>
      </c>
      <c r="G852" s="1309" t="s">
        <v>91</v>
      </c>
      <c r="H852" s="1309" t="str">
        <f>VLOOKUP(G852,CATEGORIE!$H$3:$I$104,2,FALSE)</f>
        <v>COSTO SOPRAVVIVENZA</v>
      </c>
      <c r="I852" s="59">
        <v>0.4</v>
      </c>
      <c r="J852" s="940"/>
      <c r="K852" s="59"/>
      <c r="L852" s="59"/>
    </row>
    <row r="853" spans="1:12">
      <c r="A853" s="57" t="s">
        <v>101</v>
      </c>
      <c r="B853" s="57" t="s">
        <v>314</v>
      </c>
      <c r="C853" s="57">
        <v>2025</v>
      </c>
      <c r="D853" s="58">
        <f>MATCH(B853,{"GENNAIO","FEBBRAIO","MARZO","APRILE","MAGGIO","GIUGNO","LUGLIO","AGOSTO","SETTEMBRE","OTTOBRE","NOVEMBRE","DICEMBRE"},0)</f>
        <v>6</v>
      </c>
      <c r="E853" s="57" t="str">
        <f>CONCATENATE(,B853," ",C853)</f>
        <v>GIUGNO 2025</v>
      </c>
      <c r="F853" s="57" t="str">
        <f>CONCATENATE(D853," ",E853)</f>
        <v>6 GIUGNO 2025</v>
      </c>
      <c r="G853" s="1309" t="s">
        <v>91</v>
      </c>
      <c r="H853" s="1309" t="str">
        <f>VLOOKUP(G853,CATEGORIE!$H$3:$I$104,2,FALSE)</f>
        <v>COSTO SOPRAVVIVENZA</v>
      </c>
      <c r="I853" s="59">
        <v>0.4</v>
      </c>
      <c r="J853" s="940"/>
      <c r="K853" s="59"/>
      <c r="L853" s="59"/>
    </row>
    <row r="854" spans="1:12" ht="16.5" customHeight="1">
      <c r="A854" s="57" t="s">
        <v>101</v>
      </c>
      <c r="B854" s="57" t="s">
        <v>314</v>
      </c>
      <c r="C854" s="57">
        <v>2025</v>
      </c>
      <c r="D854" s="58">
        <f>MATCH(B854,{"GENNAIO","FEBBRAIO","MARZO","APRILE","MAGGIO","GIUGNO","LUGLIO","AGOSTO","SETTEMBRE","OTTOBRE","NOVEMBRE","DICEMBRE"},0)</f>
        <v>6</v>
      </c>
      <c r="E854" s="57" t="str">
        <f>CONCATENATE(,B854," ",C854)</f>
        <v>GIUGNO 2025</v>
      </c>
      <c r="F854" s="57" t="str">
        <f>CONCATENATE(D854," ",E854)</f>
        <v>6 GIUGNO 2025</v>
      </c>
      <c r="G854" s="1309" t="s">
        <v>91</v>
      </c>
      <c r="H854" s="1309" t="str">
        <f>VLOOKUP(G854,CATEGORIE!$H$3:$I$104,2,FALSE)</f>
        <v>COSTO SOPRAVVIVENZA</v>
      </c>
      <c r="I854" s="59">
        <v>0.4</v>
      </c>
      <c r="J854" s="940"/>
      <c r="K854" s="59"/>
      <c r="L854" s="59"/>
    </row>
    <row r="855" spans="1:12">
      <c r="A855" s="57" t="s">
        <v>92</v>
      </c>
      <c r="B855" s="57" t="s">
        <v>314</v>
      </c>
      <c r="C855" s="57">
        <v>2025</v>
      </c>
      <c r="D855" s="58">
        <f>MATCH(B855,{"GENNAIO","FEBBRAIO","MARZO","APRILE","MAGGIO","GIUGNO","LUGLIO","AGOSTO","SETTEMBRE","OTTOBRE","NOVEMBRE","DICEMBRE"},0)</f>
        <v>6</v>
      </c>
      <c r="E855" s="57" t="str">
        <f t="shared" ref="E855" si="1372">CONCATENATE(,B855," ",C855)</f>
        <v>GIUGNO 2025</v>
      </c>
      <c r="F855" s="57" t="str">
        <f t="shared" ref="F855" si="1373">CONCATENATE(D855," ",E855)</f>
        <v>6 GIUGNO 2025</v>
      </c>
      <c r="G855" s="1309" t="s">
        <v>94</v>
      </c>
      <c r="H855" s="1309" t="str">
        <f>VLOOKUP(G855,CATEGORIE!$H$3:$I$104,2,FALSE)</f>
        <v>COSTO SVAGHI</v>
      </c>
      <c r="I855" s="59">
        <v>2.8</v>
      </c>
      <c r="J855" s="940"/>
      <c r="K855" s="59"/>
      <c r="L855" s="59"/>
    </row>
    <row r="856" spans="1:12">
      <c r="A856" s="57" t="s">
        <v>102</v>
      </c>
      <c r="B856" s="57" t="s">
        <v>314</v>
      </c>
      <c r="C856" s="57">
        <v>2025</v>
      </c>
      <c r="D856" s="58">
        <f>MATCH(B856,{"GENNAIO","FEBBRAIO","MARZO","APRILE","MAGGIO","GIUGNO","LUGLIO","AGOSTO","SETTEMBRE","OTTOBRE","NOVEMBRE","DICEMBRE"},0)</f>
        <v>6</v>
      </c>
      <c r="E856" s="57" t="str">
        <f t="shared" ref="E856" si="1374">CONCATENATE(,B856," ",C856)</f>
        <v>GIUGNO 2025</v>
      </c>
      <c r="F856" s="57" t="str">
        <f t="shared" ref="F856" si="1375">CONCATENATE(D856," ",E856)</f>
        <v>6 GIUGNO 2025</v>
      </c>
      <c r="G856" s="1309" t="s">
        <v>96</v>
      </c>
      <c r="H856" s="1309" t="str">
        <f>VLOOKUP(G856,CATEGORIE!$H$3:$I$104,2,FALSE)</f>
        <v>COSTO SOPRAVVIVENZA</v>
      </c>
      <c r="I856" s="59">
        <v>7.17</v>
      </c>
      <c r="J856" s="940"/>
      <c r="K856" s="59"/>
      <c r="L856" s="59"/>
    </row>
    <row r="857" spans="1:12">
      <c r="A857" s="57" t="s">
        <v>99</v>
      </c>
      <c r="B857" s="57" t="s">
        <v>314</v>
      </c>
      <c r="C857" s="57">
        <v>2025</v>
      </c>
      <c r="D857" s="58">
        <f>MATCH(B857,{"GENNAIO","FEBBRAIO","MARZO","APRILE","MAGGIO","GIUGNO","LUGLIO","AGOSTO","SETTEMBRE","OTTOBRE","NOVEMBRE","DICEMBRE"},0)</f>
        <v>6</v>
      </c>
      <c r="E857" s="57" t="str">
        <f t="shared" ref="E857" si="1376">CONCATENATE(,B857," ",C857)</f>
        <v>GIUGNO 2025</v>
      </c>
      <c r="F857" s="57" t="str">
        <f t="shared" ref="F857" si="1377">CONCATENATE(D857," ",E857)</f>
        <v>6 GIUGNO 2025</v>
      </c>
      <c r="G857" s="1309" t="s">
        <v>100</v>
      </c>
      <c r="H857" s="1309" t="str">
        <f>VLOOKUP(G857,CATEGORIE!$H$3:$I$104,2,FALSE)</f>
        <v>COSTO SFIZI</v>
      </c>
      <c r="I857" s="59">
        <v>24.96</v>
      </c>
      <c r="J857" s="940"/>
      <c r="K857" s="57" t="s">
        <v>99</v>
      </c>
      <c r="L857" s="59"/>
    </row>
    <row r="858" spans="1:12">
      <c r="A858" s="57" t="s">
        <v>135</v>
      </c>
      <c r="B858" s="57" t="s">
        <v>314</v>
      </c>
      <c r="C858" s="57">
        <v>2025</v>
      </c>
      <c r="D858" s="58">
        <f>MATCH(B858,{"GENNAIO","FEBBRAIO","MARZO","APRILE","MAGGIO","GIUGNO","LUGLIO","AGOSTO","SETTEMBRE","OTTOBRE","NOVEMBRE","DICEMBRE"},0)</f>
        <v>6</v>
      </c>
      <c r="E858" s="57" t="str">
        <f t="shared" ref="E858" si="1378">CONCATENATE(,B858," ",C858)</f>
        <v>GIUGNO 2025</v>
      </c>
      <c r="F858" s="57" t="str">
        <f t="shared" ref="F858" si="1379">CONCATENATE(D858," ",E858)</f>
        <v>6 GIUGNO 2025</v>
      </c>
      <c r="G858" s="1309" t="s">
        <v>132</v>
      </c>
      <c r="H858" s="1309" t="str">
        <f>VLOOKUP(G858,CATEGORIE!$H$3:$I$104,2,FALSE)</f>
        <v>COSTO CASA</v>
      </c>
      <c r="I858" s="59">
        <v>19.48</v>
      </c>
      <c r="J858" s="940"/>
      <c r="K858" s="59"/>
      <c r="L858" s="59"/>
    </row>
    <row r="859" spans="1:12">
      <c r="A859" s="57" t="s">
        <v>101</v>
      </c>
      <c r="B859" s="57" t="s">
        <v>314</v>
      </c>
      <c r="C859" s="57">
        <v>2025</v>
      </c>
      <c r="D859" s="58">
        <f>MATCH(B859,{"GENNAIO","FEBBRAIO","MARZO","APRILE","MAGGIO","GIUGNO","LUGLIO","AGOSTO","SETTEMBRE","OTTOBRE","NOVEMBRE","DICEMBRE"},0)</f>
        <v>6</v>
      </c>
      <c r="E859" s="57" t="str">
        <f>CONCATENATE(,B859," ",C859)</f>
        <v>GIUGNO 2025</v>
      </c>
      <c r="F859" s="57" t="str">
        <f>CONCATENATE(D859," ",E859)</f>
        <v>6 GIUGNO 2025</v>
      </c>
      <c r="G859" s="1309" t="s">
        <v>91</v>
      </c>
      <c r="H859" s="1309" t="str">
        <f>VLOOKUP(G859,CATEGORIE!$H$3:$I$104,2,FALSE)</f>
        <v>COSTO SOPRAVVIVENZA</v>
      </c>
      <c r="I859" s="59">
        <v>0.4</v>
      </c>
      <c r="J859" s="940"/>
      <c r="K859" s="59"/>
      <c r="L859" s="59"/>
    </row>
    <row r="860" spans="1:12">
      <c r="A860" s="57" t="s">
        <v>105</v>
      </c>
      <c r="B860" s="57" t="s">
        <v>314</v>
      </c>
      <c r="C860" s="57">
        <v>2025</v>
      </c>
      <c r="D860" s="58">
        <f>MATCH(B860,{"GENNAIO","FEBBRAIO","MARZO","APRILE","MAGGIO","GIUGNO","LUGLIO","AGOSTO","SETTEMBRE","OTTOBRE","NOVEMBRE","DICEMBRE"},0)</f>
        <v>6</v>
      </c>
      <c r="E860" s="57" t="str">
        <f t="shared" ref="E860" si="1380">CONCATENATE(,B860," ",C860)</f>
        <v>GIUGNO 2025</v>
      </c>
      <c r="F860" s="57" t="str">
        <f t="shared" ref="F860" si="1381">CONCATENATE(D860," ",E860)</f>
        <v>6 GIUGNO 2025</v>
      </c>
      <c r="G860" s="1309" t="s">
        <v>96</v>
      </c>
      <c r="H860" s="1309" t="str">
        <f>VLOOKUP(G860,CATEGORIE!$H$3:$I$104,2,FALSE)</f>
        <v>COSTO SOPRAVVIVENZA</v>
      </c>
      <c r="I860" s="59">
        <v>34.1</v>
      </c>
      <c r="J860" s="940"/>
      <c r="K860" s="59"/>
      <c r="L860" s="59"/>
    </row>
    <row r="861" spans="1:12">
      <c r="A861" s="57" t="s">
        <v>156</v>
      </c>
      <c r="B861" s="57" t="s">
        <v>314</v>
      </c>
      <c r="C861" s="57">
        <v>2025</v>
      </c>
      <c r="D861" s="58">
        <f>MATCH(B861,{"GENNAIO","FEBBRAIO","MARZO","APRILE","MAGGIO","GIUGNO","LUGLIO","AGOSTO","SETTEMBRE","OTTOBRE","NOVEMBRE","DICEMBRE"},0)</f>
        <v>6</v>
      </c>
      <c r="E861" s="57" t="str">
        <f t="shared" ref="E861" si="1382">CONCATENATE(,B861," ",C861)</f>
        <v>GIUGNO 2025</v>
      </c>
      <c r="F861" s="57" t="str">
        <f t="shared" ref="F861" si="1383">CONCATENATE(D861," ",E861)</f>
        <v>6 GIUGNO 2025</v>
      </c>
      <c r="G861" s="1309" t="s">
        <v>96</v>
      </c>
      <c r="H861" s="1309" t="str">
        <f>VLOOKUP(G861,CATEGORIE!$H$3:$I$104,2,FALSE)</f>
        <v>COSTO SOPRAVVIVENZA</v>
      </c>
      <c r="I861" s="59">
        <v>121.38</v>
      </c>
      <c r="J861" s="940"/>
      <c r="K861" s="59"/>
      <c r="L861" s="59"/>
    </row>
    <row r="862" spans="1:12">
      <c r="A862" s="57" t="s">
        <v>324</v>
      </c>
      <c r="B862" s="57" t="s">
        <v>314</v>
      </c>
      <c r="C862" s="57">
        <v>2025</v>
      </c>
      <c r="D862" s="58">
        <f>MATCH(B862,{"GENNAIO","FEBBRAIO","MARZO","APRILE","MAGGIO","GIUGNO","LUGLIO","AGOSTO","SETTEMBRE","OTTOBRE","NOVEMBRE","DICEMBRE"},0)</f>
        <v>6</v>
      </c>
      <c r="E862" s="57" t="str">
        <f t="shared" ref="E862:E863" si="1384">CONCATENATE(,B862," ",C862)</f>
        <v>GIUGNO 2025</v>
      </c>
      <c r="F862" s="57" t="str">
        <f t="shared" ref="F862:F863" si="1385">CONCATENATE(D862," ",E862)</f>
        <v>6 GIUGNO 2025</v>
      </c>
      <c r="G862" s="1309" t="s">
        <v>96</v>
      </c>
      <c r="H862" s="1309" t="str">
        <f>VLOOKUP(G862,CATEGORIE!$H$3:$I$104,2,FALSE)</f>
        <v>COSTO SOPRAVVIVENZA</v>
      </c>
      <c r="I862" s="59">
        <v>4</v>
      </c>
      <c r="J862" s="940"/>
      <c r="K862" s="59"/>
      <c r="L862" s="59"/>
    </row>
    <row r="863" spans="1:12">
      <c r="A863" s="57" t="s">
        <v>325</v>
      </c>
      <c r="B863" s="57" t="s">
        <v>314</v>
      </c>
      <c r="C863" s="57">
        <v>2025</v>
      </c>
      <c r="D863" s="58">
        <f>MATCH(B863,{"GENNAIO","FEBBRAIO","MARZO","APRILE","MAGGIO","GIUGNO","LUGLIO","AGOSTO","SETTEMBRE","OTTOBRE","NOVEMBRE","DICEMBRE"},0)</f>
        <v>6</v>
      </c>
      <c r="E863" s="57" t="str">
        <f t="shared" si="1384"/>
        <v>GIUGNO 2025</v>
      </c>
      <c r="F863" s="57" t="str">
        <f t="shared" si="1385"/>
        <v>6 GIUGNO 2025</v>
      </c>
      <c r="G863" s="1309" t="s">
        <v>116</v>
      </c>
      <c r="H863" s="1309" t="str">
        <f>VLOOKUP(G863,CATEGORIE!$H$3:$I$104,2,FALSE)</f>
        <v>TASSE</v>
      </c>
      <c r="I863" s="59">
        <v>7.0000000000000007E-2</v>
      </c>
      <c r="J863" s="940"/>
      <c r="K863" s="59"/>
      <c r="L863" s="59"/>
    </row>
    <row r="864" spans="1:12">
      <c r="A864" s="57" t="s">
        <v>326</v>
      </c>
      <c r="B864" s="57" t="s">
        <v>314</v>
      </c>
      <c r="C864" s="57">
        <v>2025</v>
      </c>
      <c r="D864" s="58">
        <f>MATCH(B864,{"GENNAIO","FEBBRAIO","MARZO","APRILE","MAGGIO","GIUGNO","LUGLIO","AGOSTO","SETTEMBRE","OTTOBRE","NOVEMBRE","DICEMBRE"},0)</f>
        <v>6</v>
      </c>
      <c r="E864" s="57" t="str">
        <f t="shared" ref="E864" si="1386">CONCATENATE(,B864," ",C864)</f>
        <v>GIUGNO 2025</v>
      </c>
      <c r="F864" s="57" t="str">
        <f t="shared" ref="F864" si="1387">CONCATENATE(D864," ",E864)</f>
        <v>6 GIUGNO 2025</v>
      </c>
      <c r="G864" s="1309" t="s">
        <v>96</v>
      </c>
      <c r="H864" s="1309" t="str">
        <f>VLOOKUP(G864,CATEGORIE!$H$3:$I$104,2,FALSE)</f>
        <v>COSTO SOPRAVVIVENZA</v>
      </c>
      <c r="I864" s="59">
        <v>36.56</v>
      </c>
      <c r="J864" s="940"/>
      <c r="K864" s="59"/>
      <c r="L864" s="59"/>
    </row>
    <row r="865" spans="1:12">
      <c r="A865" s="57" t="s">
        <v>325</v>
      </c>
      <c r="B865" s="57" t="s">
        <v>314</v>
      </c>
      <c r="C865" s="57">
        <v>2025</v>
      </c>
      <c r="D865" s="58">
        <f>MATCH(B865,{"GENNAIO","FEBBRAIO","MARZO","APRILE","MAGGIO","GIUGNO","LUGLIO","AGOSTO","SETTEMBRE","OTTOBRE","NOVEMBRE","DICEMBRE"},0)</f>
        <v>6</v>
      </c>
      <c r="E865" s="57" t="str">
        <f t="shared" ref="E865" si="1388">CONCATENATE(,B865," ",C865)</f>
        <v>GIUGNO 2025</v>
      </c>
      <c r="F865" s="57" t="str">
        <f t="shared" ref="F865" si="1389">CONCATENATE(D865," ",E865)</f>
        <v>6 GIUGNO 2025</v>
      </c>
      <c r="G865" s="1309" t="s">
        <v>116</v>
      </c>
      <c r="H865" s="1309" t="str">
        <f>VLOOKUP(G865,CATEGORIE!$H$3:$I$104,2,FALSE)</f>
        <v>TASSE</v>
      </c>
      <c r="I865" s="59">
        <v>0.64</v>
      </c>
      <c r="J865" s="940"/>
      <c r="K865" s="59"/>
      <c r="L865" s="59"/>
    </row>
    <row r="866" spans="1:12">
      <c r="A866" s="57" t="s">
        <v>92</v>
      </c>
      <c r="B866" s="57" t="s">
        <v>314</v>
      </c>
      <c r="C866" s="57">
        <v>2025</v>
      </c>
      <c r="D866" s="58">
        <f>MATCH(B866,{"GENNAIO","FEBBRAIO","MARZO","APRILE","MAGGIO","GIUGNO","LUGLIO","AGOSTO","SETTEMBRE","OTTOBRE","NOVEMBRE","DICEMBRE"},0)</f>
        <v>6</v>
      </c>
      <c r="E866" s="57" t="str">
        <f t="shared" ref="E866" si="1390">CONCATENATE(,B866," ",C866)</f>
        <v>GIUGNO 2025</v>
      </c>
      <c r="F866" s="57" t="str">
        <f t="shared" ref="F866" si="1391">CONCATENATE(D866," ",E866)</f>
        <v>6 GIUGNO 2025</v>
      </c>
      <c r="G866" s="1309" t="s">
        <v>93</v>
      </c>
      <c r="H866" s="1309" t="str">
        <f>VLOOKUP(G866,CATEGORIE!$H$3:$I$104,2,FALSE)</f>
        <v>COSTO SOPRAVVIVENZA</v>
      </c>
      <c r="I866" s="59">
        <v>6.5</v>
      </c>
      <c r="J866" s="940"/>
      <c r="K866" s="59"/>
      <c r="L866" s="59"/>
    </row>
    <row r="867" spans="1:12">
      <c r="A867" s="57" t="s">
        <v>327</v>
      </c>
      <c r="B867" s="57" t="s">
        <v>314</v>
      </c>
      <c r="C867" s="57">
        <v>2025</v>
      </c>
      <c r="D867" s="58">
        <f>MATCH(B867,{"GENNAIO","FEBBRAIO","MARZO","APRILE","MAGGIO","GIUGNO","LUGLIO","AGOSTO","SETTEMBRE","OTTOBRE","NOVEMBRE","DICEMBRE"},0)</f>
        <v>6</v>
      </c>
      <c r="E867" s="57" t="str">
        <f t="shared" ref="E867" si="1392">CONCATENATE(,B867," ",C867)</f>
        <v>GIUGNO 2025</v>
      </c>
      <c r="F867" s="57" t="str">
        <f t="shared" ref="F867" si="1393">CONCATENATE(D867," ",E867)</f>
        <v>6 GIUGNO 2025</v>
      </c>
      <c r="G867" s="1309" t="s">
        <v>94</v>
      </c>
      <c r="H867" s="1309" t="str">
        <f>VLOOKUP(G867,CATEGORIE!$H$3:$I$104,2,FALSE)</f>
        <v>COSTO SVAGHI</v>
      </c>
      <c r="I867" s="59">
        <v>31</v>
      </c>
      <c r="J867" s="940"/>
      <c r="K867" s="59"/>
      <c r="L867" s="59" t="s">
        <v>328</v>
      </c>
    </row>
    <row r="868" spans="1:12">
      <c r="A868" s="57" t="s">
        <v>329</v>
      </c>
      <c r="B868" s="57" t="s">
        <v>314</v>
      </c>
      <c r="C868" s="57">
        <v>2025</v>
      </c>
      <c r="D868" s="58">
        <f>MATCH(B868,{"GENNAIO","FEBBRAIO","MARZO","APRILE","MAGGIO","GIUGNO","LUGLIO","AGOSTO","SETTEMBRE","OTTOBRE","NOVEMBRE","DICEMBRE"},0)</f>
        <v>6</v>
      </c>
      <c r="E868" s="57" t="str">
        <f t="shared" ref="E868:E869" si="1394">CONCATENATE(,B868," ",C868)</f>
        <v>GIUGNO 2025</v>
      </c>
      <c r="F868" s="57" t="str">
        <f t="shared" ref="F868:F869" si="1395">CONCATENATE(D868," ",E868)</f>
        <v>6 GIUGNO 2025</v>
      </c>
      <c r="G868" s="1309" t="s">
        <v>94</v>
      </c>
      <c r="H868" s="1309" t="str">
        <f>VLOOKUP(G868,CATEGORIE!$H$3:$I$104,2,FALSE)</f>
        <v>COSTO SVAGHI</v>
      </c>
      <c r="I868" s="59">
        <v>45</v>
      </c>
      <c r="J868" s="940"/>
      <c r="K868" s="59"/>
      <c r="L868" s="59"/>
    </row>
    <row r="869" spans="1:12">
      <c r="A869" s="57" t="s">
        <v>92</v>
      </c>
      <c r="B869" s="57" t="s">
        <v>314</v>
      </c>
      <c r="C869" s="57">
        <v>2025</v>
      </c>
      <c r="D869" s="58">
        <f>MATCH(B869,{"GENNAIO","FEBBRAIO","MARZO","APRILE","MAGGIO","GIUGNO","LUGLIO","AGOSTO","SETTEMBRE","OTTOBRE","NOVEMBRE","DICEMBRE"},0)</f>
        <v>6</v>
      </c>
      <c r="E869" s="57" t="str">
        <f t="shared" si="1394"/>
        <v>GIUGNO 2025</v>
      </c>
      <c r="F869" s="57" t="str">
        <f t="shared" si="1395"/>
        <v>6 GIUGNO 2025</v>
      </c>
      <c r="G869" s="1309" t="s">
        <v>93</v>
      </c>
      <c r="H869" s="1309" t="str">
        <f>VLOOKUP(G869,CATEGORIE!$H$3:$I$104,2,FALSE)</f>
        <v>COSTO SOPRAVVIVENZA</v>
      </c>
      <c r="I869" s="59">
        <v>6.5</v>
      </c>
      <c r="J869" s="940"/>
      <c r="K869" s="59"/>
      <c r="L869" s="59"/>
    </row>
    <row r="870" spans="1:12">
      <c r="A870" s="57" t="s">
        <v>110</v>
      </c>
      <c r="B870" s="57" t="s">
        <v>314</v>
      </c>
      <c r="C870" s="57">
        <v>2025</v>
      </c>
      <c r="D870" s="58">
        <f>MATCH(B870,{"GENNAIO","FEBBRAIO","MARZO","APRILE","MAGGIO","GIUGNO","LUGLIO","AGOSTO","SETTEMBRE","OTTOBRE","NOVEMBRE","DICEMBRE"},0)</f>
        <v>6</v>
      </c>
      <c r="E870" s="57" t="str">
        <f t="shared" ref="E870" si="1396">CONCATENATE(,B870," ",C870)</f>
        <v>GIUGNO 2025</v>
      </c>
      <c r="F870" s="57" t="str">
        <f t="shared" ref="F870" si="1397">CONCATENATE(D870," ",E870)</f>
        <v>6 GIUGNO 2025</v>
      </c>
      <c r="G870" s="1309" t="s">
        <v>111</v>
      </c>
      <c r="H870" s="1309" t="str">
        <f>VLOOKUP(G870,CATEGORIE!$H$3:$I$104,2,FALSE)</f>
        <v>COSTO MOBILITA'</v>
      </c>
      <c r="I870" s="59">
        <v>4.5199999999999996</v>
      </c>
      <c r="J870" s="940"/>
      <c r="K870" s="59" t="s">
        <v>112</v>
      </c>
      <c r="L870" s="59"/>
    </row>
    <row r="871" spans="1:12">
      <c r="A871" s="57" t="s">
        <v>102</v>
      </c>
      <c r="B871" s="57" t="s">
        <v>314</v>
      </c>
      <c r="C871" s="57">
        <v>2025</v>
      </c>
      <c r="D871" s="58">
        <f>MATCH(B871,{"GENNAIO","FEBBRAIO","MARZO","APRILE","MAGGIO","GIUGNO","LUGLIO","AGOSTO","SETTEMBRE","OTTOBRE","NOVEMBRE","DICEMBRE"},0)</f>
        <v>6</v>
      </c>
      <c r="E871" s="57" t="str">
        <f t="shared" ref="E871" si="1398">CONCATENATE(,B871," ",C871)</f>
        <v>GIUGNO 2025</v>
      </c>
      <c r="F871" s="57" t="str">
        <f t="shared" ref="F871" si="1399">CONCATENATE(D871," ",E871)</f>
        <v>6 GIUGNO 2025</v>
      </c>
      <c r="G871" s="1309" t="s">
        <v>96</v>
      </c>
      <c r="H871" s="1309" t="str">
        <f>VLOOKUP(G871,CATEGORIE!$H$3:$I$104,2,FALSE)</f>
        <v>COSTO SOPRAVVIVENZA</v>
      </c>
      <c r="I871" s="59">
        <v>7.57</v>
      </c>
      <c r="J871" s="940"/>
      <c r="K871" s="59"/>
      <c r="L871" s="59"/>
    </row>
    <row r="872" spans="1:12">
      <c r="A872" s="57" t="s">
        <v>330</v>
      </c>
      <c r="B872" s="57" t="s">
        <v>314</v>
      </c>
      <c r="C872" s="57">
        <v>2025</v>
      </c>
      <c r="D872" s="58">
        <f>MATCH(B872,{"GENNAIO","FEBBRAIO","MARZO","APRILE","MAGGIO","GIUGNO","LUGLIO","AGOSTO","SETTEMBRE","OTTOBRE","NOVEMBRE","DICEMBRE"},0)</f>
        <v>6</v>
      </c>
      <c r="E872" s="57" t="str">
        <f t="shared" ref="E872" si="1400">CONCATENATE(,B872," ",C872)</f>
        <v>GIUGNO 2025</v>
      </c>
      <c r="F872" s="57" t="str">
        <f t="shared" ref="F872" si="1401">CONCATENATE(D872," ",E872)</f>
        <v>6 GIUGNO 2025</v>
      </c>
      <c r="G872" s="1309" t="s">
        <v>94</v>
      </c>
      <c r="H872" s="1309" t="str">
        <f>VLOOKUP(G872,CATEGORIE!$H$3:$I$104,2,FALSE)</f>
        <v>COSTO SVAGHI</v>
      </c>
      <c r="I872" s="59">
        <v>48.5</v>
      </c>
      <c r="J872" s="940"/>
      <c r="K872" s="59"/>
      <c r="L872" s="59"/>
    </row>
    <row r="873" spans="1:12">
      <c r="A873" s="57" t="s">
        <v>92</v>
      </c>
      <c r="B873" s="57" t="s">
        <v>314</v>
      </c>
      <c r="C873" s="57">
        <v>2025</v>
      </c>
      <c r="D873" s="58">
        <f>MATCH(B873,{"GENNAIO","FEBBRAIO","MARZO","APRILE","MAGGIO","GIUGNO","LUGLIO","AGOSTO","SETTEMBRE","OTTOBRE","NOVEMBRE","DICEMBRE"},0)</f>
        <v>6</v>
      </c>
      <c r="E873" s="57" t="str">
        <f t="shared" ref="E873" si="1402">CONCATENATE(,B873," ",C873)</f>
        <v>GIUGNO 2025</v>
      </c>
      <c r="F873" s="57" t="str">
        <f t="shared" ref="F873" si="1403">CONCATENATE(D873," ",E873)</f>
        <v>6 GIUGNO 2025</v>
      </c>
      <c r="G873" s="1309" t="s">
        <v>94</v>
      </c>
      <c r="H873" s="1309" t="str">
        <f>VLOOKUP(G873,CATEGORIE!$H$3:$I$104,2,FALSE)</f>
        <v>COSTO SVAGHI</v>
      </c>
      <c r="I873" s="59">
        <v>9.5</v>
      </c>
      <c r="J873" s="940"/>
      <c r="K873" s="59"/>
      <c r="L873" s="59"/>
    </row>
    <row r="874" spans="1:12">
      <c r="A874" s="57" t="s">
        <v>99</v>
      </c>
      <c r="B874" s="57" t="s">
        <v>314</v>
      </c>
      <c r="C874" s="57">
        <v>2025</v>
      </c>
      <c r="D874" s="58">
        <f>MATCH(B874,{"GENNAIO","FEBBRAIO","MARZO","APRILE","MAGGIO","GIUGNO","LUGLIO","AGOSTO","SETTEMBRE","OTTOBRE","NOVEMBRE","DICEMBRE"},0)</f>
        <v>6</v>
      </c>
      <c r="E874" s="57" t="str">
        <f t="shared" ref="E874" si="1404">CONCATENATE(,B874," ",C874)</f>
        <v>GIUGNO 2025</v>
      </c>
      <c r="F874" s="57" t="str">
        <f t="shared" ref="F874" si="1405">CONCATENATE(D874," ",E874)</f>
        <v>6 GIUGNO 2025</v>
      </c>
      <c r="G874" s="1309" t="s">
        <v>100</v>
      </c>
      <c r="H874" s="1309" t="str">
        <f>VLOOKUP(G874,CATEGORIE!$H$3:$I$104,2,FALSE)</f>
        <v>COSTO SFIZI</v>
      </c>
      <c r="I874" s="59">
        <v>23.2</v>
      </c>
      <c r="J874" s="940"/>
      <c r="K874" s="57" t="s">
        <v>99</v>
      </c>
      <c r="L874" s="59"/>
    </row>
    <row r="875" spans="1:12">
      <c r="A875" s="57" t="s">
        <v>95</v>
      </c>
      <c r="B875" s="57" t="s">
        <v>314</v>
      </c>
      <c r="C875" s="57">
        <v>2025</v>
      </c>
      <c r="D875" s="58">
        <f>MATCH(B875,{"GENNAIO","FEBBRAIO","MARZO","APRILE","MAGGIO","GIUGNO","LUGLIO","AGOSTO","SETTEMBRE","OTTOBRE","NOVEMBRE","DICEMBRE"},0)</f>
        <v>6</v>
      </c>
      <c r="E875" s="57" t="str">
        <f t="shared" ref="E875" si="1406">CONCATENATE(,B875," ",C875)</f>
        <v>GIUGNO 2025</v>
      </c>
      <c r="F875" s="57" t="str">
        <f t="shared" ref="F875" si="1407">CONCATENATE(D875," ",E875)</f>
        <v>6 GIUGNO 2025</v>
      </c>
      <c r="G875" s="1309" t="s">
        <v>96</v>
      </c>
      <c r="H875" s="1309" t="str">
        <f>VLOOKUP(G875,CATEGORIE!$H$3:$I$104,2,FALSE)</f>
        <v>COSTO SOPRAVVIVENZA</v>
      </c>
      <c r="I875" s="59">
        <v>17.73</v>
      </c>
      <c r="J875" s="940"/>
      <c r="K875" s="59"/>
      <c r="L875" s="59"/>
    </row>
    <row r="876" spans="1:12">
      <c r="A876" s="57" t="s">
        <v>102</v>
      </c>
      <c r="B876" s="57" t="s">
        <v>314</v>
      </c>
      <c r="C876" s="57">
        <v>2025</v>
      </c>
      <c r="D876" s="58">
        <f>MATCH(B876,{"GENNAIO","FEBBRAIO","MARZO","APRILE","MAGGIO","GIUGNO","LUGLIO","AGOSTO","SETTEMBRE","OTTOBRE","NOVEMBRE","DICEMBRE"},0)</f>
        <v>6</v>
      </c>
      <c r="E876" s="57" t="str">
        <f t="shared" ref="E876" si="1408">CONCATENATE(,B876," ",C876)</f>
        <v>GIUGNO 2025</v>
      </c>
      <c r="F876" s="57" t="str">
        <f t="shared" ref="F876" si="1409">CONCATENATE(D876," ",E876)</f>
        <v>6 GIUGNO 2025</v>
      </c>
      <c r="G876" s="1309" t="s">
        <v>96</v>
      </c>
      <c r="H876" s="1309" t="str">
        <f>VLOOKUP(G876,CATEGORIE!$H$3:$I$104,2,FALSE)</f>
        <v>COSTO SOPRAVVIVENZA</v>
      </c>
      <c r="I876" s="59">
        <v>3.74</v>
      </c>
      <c r="J876" s="940"/>
      <c r="K876" s="59"/>
      <c r="L876" s="59"/>
    </row>
    <row r="877" spans="1:12">
      <c r="A877" s="57" t="s">
        <v>286</v>
      </c>
      <c r="B877" s="57" t="s">
        <v>314</v>
      </c>
      <c r="C877" s="57">
        <v>2025</v>
      </c>
      <c r="D877" s="58">
        <f>MATCH(B877,{"GENNAIO","FEBBRAIO","MARZO","APRILE","MAGGIO","GIUGNO","LUGLIO","AGOSTO","SETTEMBRE","OTTOBRE","NOVEMBRE","DICEMBRE"},0)</f>
        <v>6</v>
      </c>
      <c r="E877" s="57" t="str">
        <f t="shared" ref="E877" si="1410">CONCATENATE(,B877," ",C877)</f>
        <v>GIUGNO 2025</v>
      </c>
      <c r="F877" s="57" t="str">
        <f t="shared" ref="F877" si="1411">CONCATENATE(D877," ",E877)</f>
        <v>6 GIUGNO 2025</v>
      </c>
      <c r="G877" s="1309" t="s">
        <v>1250</v>
      </c>
      <c r="H877" s="1309" t="str">
        <f>VLOOKUP(G877,CATEGORIE!$H$3:$I$104,2,FALSE)</f>
        <v>COSTO VACANZE</v>
      </c>
      <c r="I877" s="59">
        <v>215.63</v>
      </c>
      <c r="J877" s="940" t="s">
        <v>138</v>
      </c>
      <c r="K877" s="59" t="s">
        <v>112</v>
      </c>
      <c r="L877" s="59" t="s">
        <v>260</v>
      </c>
    </row>
    <row r="878" spans="1:12">
      <c r="A878" s="57" t="s">
        <v>331</v>
      </c>
      <c r="B878" s="57" t="s">
        <v>314</v>
      </c>
      <c r="C878" s="57">
        <v>2025</v>
      </c>
      <c r="D878" s="58">
        <f>MATCH(B878,{"GENNAIO","FEBBRAIO","MARZO","APRILE","MAGGIO","GIUGNO","LUGLIO","AGOSTO","SETTEMBRE","OTTOBRE","NOVEMBRE","DICEMBRE"},0)</f>
        <v>6</v>
      </c>
      <c r="E878" s="57" t="str">
        <f t="shared" ref="E878" si="1412">CONCATENATE(,B878," ",C878)</f>
        <v>GIUGNO 2025</v>
      </c>
      <c r="F878" s="57" t="str">
        <f t="shared" ref="F878" si="1413">CONCATENATE(D878," ",E878)</f>
        <v>6 GIUGNO 2025</v>
      </c>
      <c r="G878" s="1309" t="s">
        <v>94</v>
      </c>
      <c r="H878" s="1309" t="str">
        <f>VLOOKUP(G878,CATEGORIE!$H$3:$I$104,2,FALSE)</f>
        <v>COSTO SVAGHI</v>
      </c>
      <c r="I878" s="59">
        <v>38.5</v>
      </c>
      <c r="J878" s="940"/>
      <c r="K878" s="59"/>
      <c r="L878" s="59"/>
    </row>
    <row r="879" spans="1:12">
      <c r="A879" s="57" t="s">
        <v>99</v>
      </c>
      <c r="B879" s="57" t="s">
        <v>314</v>
      </c>
      <c r="C879" s="57">
        <v>2025</v>
      </c>
      <c r="D879" s="58">
        <f>MATCH(B879,{"GENNAIO","FEBBRAIO","MARZO","APRILE","MAGGIO","GIUGNO","LUGLIO","AGOSTO","SETTEMBRE","OTTOBRE","NOVEMBRE","DICEMBRE"},0)</f>
        <v>6</v>
      </c>
      <c r="E879" s="57" t="str">
        <f t="shared" ref="E879" si="1414">CONCATENATE(,B879," ",C879)</f>
        <v>GIUGNO 2025</v>
      </c>
      <c r="F879" s="57" t="str">
        <f t="shared" ref="F879" si="1415">CONCATENATE(D879," ",E879)</f>
        <v>6 GIUGNO 2025</v>
      </c>
      <c r="G879" s="1309" t="s">
        <v>100</v>
      </c>
      <c r="H879" s="1309" t="str">
        <f>VLOOKUP(G879,CATEGORIE!$H$3:$I$104,2,FALSE)</f>
        <v>COSTO SFIZI</v>
      </c>
      <c r="I879" s="59">
        <v>15.39</v>
      </c>
      <c r="J879" s="940" t="s">
        <v>151</v>
      </c>
      <c r="K879" s="57" t="s">
        <v>99</v>
      </c>
      <c r="L879" s="59" t="s">
        <v>332</v>
      </c>
    </row>
    <row r="880" spans="1:12">
      <c r="A880" s="57" t="s">
        <v>99</v>
      </c>
      <c r="B880" s="57" t="s">
        <v>314</v>
      </c>
      <c r="C880" s="57">
        <v>2025</v>
      </c>
      <c r="D880" s="58">
        <f>MATCH(B880,{"GENNAIO","FEBBRAIO","MARZO","APRILE","MAGGIO","GIUGNO","LUGLIO","AGOSTO","SETTEMBRE","OTTOBRE","NOVEMBRE","DICEMBRE"},0)</f>
        <v>6</v>
      </c>
      <c r="E880" s="57" t="str">
        <f>CONCATENATE(,B880," ",C880)</f>
        <v>GIUGNO 2025</v>
      </c>
      <c r="F880" s="57" t="str">
        <f>CONCATENATE(D880," ",E880)</f>
        <v>6 GIUGNO 2025</v>
      </c>
      <c r="G880" s="1309" t="s">
        <v>132</v>
      </c>
      <c r="H880" s="1309" t="str">
        <f>VLOOKUP(G880,CATEGORIE!$H$3:$I$104,2,FALSE)</f>
        <v>COSTO CASA</v>
      </c>
      <c r="I880" s="59">
        <v>109.8</v>
      </c>
      <c r="J880" s="940" t="s">
        <v>197</v>
      </c>
      <c r="K880" s="57" t="s">
        <v>99</v>
      </c>
      <c r="L880" s="59" t="s">
        <v>287</v>
      </c>
    </row>
    <row r="881" spans="1:12">
      <c r="A881" s="57" t="s">
        <v>130</v>
      </c>
      <c r="B881" s="57" t="s">
        <v>314</v>
      </c>
      <c r="C881" s="57">
        <v>2025</v>
      </c>
      <c r="D881" s="58">
        <f>MATCH(B881,{"GENNAIO","FEBBRAIO","MARZO","APRILE","MAGGIO","GIUGNO","LUGLIO","AGOSTO","SETTEMBRE","OTTOBRE","NOVEMBRE","DICEMBRE"},0)</f>
        <v>6</v>
      </c>
      <c r="E881" s="57" t="str">
        <f t="shared" ref="E881" si="1416">CONCATENATE(,B881," ",C881)</f>
        <v>GIUGNO 2025</v>
      </c>
      <c r="F881" s="57" t="str">
        <f t="shared" ref="F881" si="1417">CONCATENATE(D881," ",E881)</f>
        <v>6 GIUGNO 2025</v>
      </c>
      <c r="G881" s="1309" t="s">
        <v>94</v>
      </c>
      <c r="H881" s="1309" t="str">
        <f>VLOOKUP(G881,CATEGORIE!$H$3:$I$104,2,FALSE)</f>
        <v>COSTO SVAGHI</v>
      </c>
      <c r="I881" s="59">
        <v>28</v>
      </c>
      <c r="J881" s="940"/>
      <c r="K881" s="59"/>
      <c r="L881" s="59"/>
    </row>
    <row r="882" spans="1:12">
      <c r="A882" s="57" t="s">
        <v>101</v>
      </c>
      <c r="B882" s="57" t="s">
        <v>314</v>
      </c>
      <c r="C882" s="57">
        <v>2025</v>
      </c>
      <c r="D882" s="58">
        <f>MATCH(B882,{"GENNAIO","FEBBRAIO","MARZO","APRILE","MAGGIO","GIUGNO","LUGLIO","AGOSTO","SETTEMBRE","OTTOBRE","NOVEMBRE","DICEMBRE"},0)</f>
        <v>6</v>
      </c>
      <c r="E882" s="57" t="str">
        <f>CONCATENATE(,B882," ",C882)</f>
        <v>GIUGNO 2025</v>
      </c>
      <c r="F882" s="57" t="str">
        <f>CONCATENATE(D882," ",E882)</f>
        <v>6 GIUGNO 2025</v>
      </c>
      <c r="G882" s="1309" t="s">
        <v>91</v>
      </c>
      <c r="H882" s="1309" t="str">
        <f>VLOOKUP(G882,CATEGORIE!$H$3:$I$104,2,FALSE)</f>
        <v>COSTO SOPRAVVIVENZA</v>
      </c>
      <c r="I882" s="59">
        <v>0.4</v>
      </c>
      <c r="J882" s="940"/>
      <c r="K882" s="59"/>
      <c r="L882" s="59"/>
    </row>
    <row r="883" spans="1:12">
      <c r="A883" s="57" t="s">
        <v>101</v>
      </c>
      <c r="B883" s="57" t="s">
        <v>314</v>
      </c>
      <c r="C883" s="57">
        <v>2025</v>
      </c>
      <c r="D883" s="58">
        <f>MATCH(B883,{"GENNAIO","FEBBRAIO","MARZO","APRILE","MAGGIO","GIUGNO","LUGLIO","AGOSTO","SETTEMBRE","OTTOBRE","NOVEMBRE","DICEMBRE"},0)</f>
        <v>6</v>
      </c>
      <c r="E883" s="57" t="str">
        <f>CONCATENATE(,B883," ",C883)</f>
        <v>GIUGNO 2025</v>
      </c>
      <c r="F883" s="57" t="str">
        <f>CONCATENATE(D883," ",E883)</f>
        <v>6 GIUGNO 2025</v>
      </c>
      <c r="G883" s="1309" t="s">
        <v>91</v>
      </c>
      <c r="H883" s="1309" t="str">
        <f>VLOOKUP(G883,CATEGORIE!$H$3:$I$104,2,FALSE)</f>
        <v>COSTO SOPRAVVIVENZA</v>
      </c>
      <c r="I883" s="59">
        <v>0.4</v>
      </c>
      <c r="J883" s="940"/>
      <c r="K883" s="59"/>
      <c r="L883" s="59"/>
    </row>
    <row r="884" spans="1:12">
      <c r="A884" s="57" t="s">
        <v>101</v>
      </c>
      <c r="B884" s="57" t="s">
        <v>314</v>
      </c>
      <c r="C884" s="57">
        <v>2025</v>
      </c>
      <c r="D884" s="58">
        <f>MATCH(B884,{"GENNAIO","FEBBRAIO","MARZO","APRILE","MAGGIO","GIUGNO","LUGLIO","AGOSTO","SETTEMBRE","OTTOBRE","NOVEMBRE","DICEMBRE"},0)</f>
        <v>6</v>
      </c>
      <c r="E884" s="57" t="str">
        <f>CONCATENATE(,B884," ",C884)</f>
        <v>GIUGNO 2025</v>
      </c>
      <c r="F884" s="57" t="str">
        <f>CONCATENATE(D884," ",E884)</f>
        <v>6 GIUGNO 2025</v>
      </c>
      <c r="G884" s="1309" t="s">
        <v>91</v>
      </c>
      <c r="H884" s="1309" t="str">
        <f>VLOOKUP(G884,CATEGORIE!$H$3:$I$104,2,FALSE)</f>
        <v>COSTO SOPRAVVIVENZA</v>
      </c>
      <c r="I884" s="59">
        <v>0.4</v>
      </c>
      <c r="J884" s="940"/>
      <c r="K884" s="59"/>
      <c r="L884" s="59"/>
    </row>
    <row r="885" spans="1:12">
      <c r="A885" s="57" t="s">
        <v>101</v>
      </c>
      <c r="B885" s="57" t="s">
        <v>314</v>
      </c>
      <c r="C885" s="57">
        <v>2025</v>
      </c>
      <c r="D885" s="58">
        <f>MATCH(B885,{"GENNAIO","FEBBRAIO","MARZO","APRILE","MAGGIO","GIUGNO","LUGLIO","AGOSTO","SETTEMBRE","OTTOBRE","NOVEMBRE","DICEMBRE"},0)</f>
        <v>6</v>
      </c>
      <c r="E885" s="57" t="str">
        <f>CONCATENATE(,B885," ",C885)</f>
        <v>GIUGNO 2025</v>
      </c>
      <c r="F885" s="57" t="str">
        <f>CONCATENATE(D885," ",E885)</f>
        <v>6 GIUGNO 2025</v>
      </c>
      <c r="G885" s="1309" t="s">
        <v>91</v>
      </c>
      <c r="H885" s="1309" t="str">
        <f>VLOOKUP(G885,CATEGORIE!$H$3:$I$104,2,FALSE)</f>
        <v>COSTO SOPRAVVIVENZA</v>
      </c>
      <c r="I885" s="59">
        <v>0.4</v>
      </c>
      <c r="J885" s="940"/>
      <c r="K885" s="59"/>
      <c r="L885" s="59"/>
    </row>
    <row r="886" spans="1:12">
      <c r="A886" s="57" t="s">
        <v>92</v>
      </c>
      <c r="B886" s="57" t="s">
        <v>314</v>
      </c>
      <c r="C886" s="57">
        <v>2025</v>
      </c>
      <c r="D886" s="58">
        <f>MATCH(B886,{"GENNAIO","FEBBRAIO","MARZO","APRILE","MAGGIO","GIUGNO","LUGLIO","AGOSTO","SETTEMBRE","OTTOBRE","NOVEMBRE","DICEMBRE"},0)</f>
        <v>6</v>
      </c>
      <c r="E886" s="57" t="str">
        <f t="shared" ref="E886" si="1418">CONCATENATE(,B886," ",C886)</f>
        <v>GIUGNO 2025</v>
      </c>
      <c r="F886" s="57" t="str">
        <f t="shared" ref="F886" si="1419">CONCATENATE(D886," ",E886)</f>
        <v>6 GIUGNO 2025</v>
      </c>
      <c r="G886" s="1309" t="s">
        <v>94</v>
      </c>
      <c r="H886" s="1309" t="str">
        <f>VLOOKUP(G886,CATEGORIE!$H$3:$I$104,2,FALSE)</f>
        <v>COSTO SVAGHI</v>
      </c>
      <c r="I886" s="59">
        <v>8.5</v>
      </c>
      <c r="J886" s="940"/>
      <c r="K886" s="59"/>
      <c r="L886" s="59"/>
    </row>
    <row r="887" spans="1:12">
      <c r="A887" s="57" t="s">
        <v>92</v>
      </c>
      <c r="B887" s="57" t="s">
        <v>314</v>
      </c>
      <c r="C887" s="57">
        <v>2025</v>
      </c>
      <c r="D887" s="58">
        <f>MATCH(B887,{"GENNAIO","FEBBRAIO","MARZO","APRILE","MAGGIO","GIUGNO","LUGLIO","AGOSTO","SETTEMBRE","OTTOBRE","NOVEMBRE","DICEMBRE"},0)</f>
        <v>6</v>
      </c>
      <c r="E887" s="57" t="str">
        <f t="shared" ref="E887" si="1420">CONCATENATE(,B887," ",C887)</f>
        <v>GIUGNO 2025</v>
      </c>
      <c r="F887" s="57" t="str">
        <f t="shared" ref="F887" si="1421">CONCATENATE(D887," ",E887)</f>
        <v>6 GIUGNO 2025</v>
      </c>
      <c r="G887" s="1309" t="s">
        <v>93</v>
      </c>
      <c r="H887" s="1309" t="str">
        <f>VLOOKUP(G887,CATEGORIE!$H$3:$I$104,2,FALSE)</f>
        <v>COSTO SOPRAVVIVENZA</v>
      </c>
      <c r="I887" s="59">
        <v>6.5</v>
      </c>
      <c r="J887" s="940"/>
      <c r="K887" s="59"/>
      <c r="L887" s="59"/>
    </row>
    <row r="888" spans="1:12">
      <c r="A888" s="57" t="s">
        <v>105</v>
      </c>
      <c r="B888" s="57" t="s">
        <v>314</v>
      </c>
      <c r="C888" s="57">
        <v>2025</v>
      </c>
      <c r="D888" s="58">
        <f>MATCH(B888,{"GENNAIO","FEBBRAIO","MARZO","APRILE","MAGGIO","GIUGNO","LUGLIO","AGOSTO","SETTEMBRE","OTTOBRE","NOVEMBRE","DICEMBRE"},0)</f>
        <v>6</v>
      </c>
      <c r="E888" s="57" t="str">
        <f t="shared" ref="E888" si="1422">CONCATENATE(,B888," ",C888)</f>
        <v>GIUGNO 2025</v>
      </c>
      <c r="F888" s="57" t="str">
        <f t="shared" ref="F888" si="1423">CONCATENATE(D888," ",E888)</f>
        <v>6 GIUGNO 2025</v>
      </c>
      <c r="G888" s="1309" t="s">
        <v>96</v>
      </c>
      <c r="H888" s="1309" t="str">
        <f>VLOOKUP(G888,CATEGORIE!$H$3:$I$104,2,FALSE)</f>
        <v>COSTO SOPRAVVIVENZA</v>
      </c>
      <c r="I888" s="59">
        <v>24.43</v>
      </c>
      <c r="J888" s="940"/>
      <c r="K888" s="59"/>
      <c r="L888" s="59"/>
    </row>
    <row r="889" spans="1:12">
      <c r="A889" s="57" t="s">
        <v>101</v>
      </c>
      <c r="B889" s="57" t="s">
        <v>314</v>
      </c>
      <c r="C889" s="57">
        <v>2025</v>
      </c>
      <c r="D889" s="58">
        <f>MATCH(B889,{"GENNAIO","FEBBRAIO","MARZO","APRILE","MAGGIO","GIUGNO","LUGLIO","AGOSTO","SETTEMBRE","OTTOBRE","NOVEMBRE","DICEMBRE"},0)</f>
        <v>6</v>
      </c>
      <c r="E889" s="57" t="str">
        <f t="shared" ref="E889" si="1424">CONCATENATE(,B889," ",C889)</f>
        <v>GIUGNO 2025</v>
      </c>
      <c r="F889" s="57" t="str">
        <f t="shared" ref="F889" si="1425">CONCATENATE(D889," ",E889)</f>
        <v>6 GIUGNO 2025</v>
      </c>
      <c r="G889" s="1309" t="s">
        <v>91</v>
      </c>
      <c r="H889" s="1309" t="str">
        <f>VLOOKUP(G889,CATEGORIE!$H$3:$I$104,2,FALSE)</f>
        <v>COSTO SOPRAVVIVENZA</v>
      </c>
      <c r="I889" s="59">
        <v>0.4</v>
      </c>
      <c r="J889" s="940"/>
      <c r="K889" s="59"/>
      <c r="L889" s="59"/>
    </row>
    <row r="890" spans="1:12">
      <c r="A890" s="57" t="s">
        <v>99</v>
      </c>
      <c r="B890" s="57" t="s">
        <v>314</v>
      </c>
      <c r="C890" s="57">
        <v>2025</v>
      </c>
      <c r="D890" s="58">
        <f>MATCH(B890,{"GENNAIO","FEBBRAIO","MARZO","APRILE","MAGGIO","GIUGNO","LUGLIO","AGOSTO","SETTEMBRE","OTTOBRE","NOVEMBRE","DICEMBRE"},0)</f>
        <v>6</v>
      </c>
      <c r="E890" s="57" t="str">
        <f t="shared" ref="E890" si="1426">CONCATENATE(,B890," ",C890)</f>
        <v>GIUGNO 2025</v>
      </c>
      <c r="F890" s="57" t="str">
        <f t="shared" ref="F890" si="1427">CONCATENATE(D890," ",E890)</f>
        <v>6 GIUGNO 2025</v>
      </c>
      <c r="G890" s="1309" t="s">
        <v>132</v>
      </c>
      <c r="H890" s="1309" t="str">
        <f>VLOOKUP(G890,CATEGORIE!$H$3:$I$104,2,FALSE)</f>
        <v>COSTO CASA</v>
      </c>
      <c r="I890" s="59">
        <v>109.8</v>
      </c>
      <c r="J890" s="940" t="s">
        <v>126</v>
      </c>
      <c r="K890" s="57" t="s">
        <v>99</v>
      </c>
      <c r="L890" s="59" t="s">
        <v>287</v>
      </c>
    </row>
    <row r="891" spans="1:12">
      <c r="A891" s="57" t="s">
        <v>313</v>
      </c>
      <c r="B891" s="57" t="s">
        <v>333</v>
      </c>
      <c r="C891" s="57">
        <v>2025</v>
      </c>
      <c r="D891" s="58">
        <f>MATCH(B891,{"GENNAIO","FEBBRAIO","MARZO","APRILE","MAGGIO","GIUGNO","LUGLIO","AGOSTO","SETTEMBRE","OTTOBRE","NOVEMBRE","DICEMBRE"},0)</f>
        <v>5</v>
      </c>
      <c r="E891" s="57" t="str">
        <f t="shared" ref="E891" si="1428">CONCATENATE(,B891," ",C891)</f>
        <v>MAGGIO 2025</v>
      </c>
      <c r="F891" s="57" t="str">
        <f t="shared" ref="F891" si="1429">CONCATENATE(D891," ",E891)</f>
        <v>5 MAGGIO 2025</v>
      </c>
      <c r="G891" s="1309" t="s">
        <v>693</v>
      </c>
      <c r="H891" s="1309" t="str">
        <f>VLOOKUP(G891,CATEGORIE!$H$3:$I$104,2,FALSE)</f>
        <v>GESTIONE CONTO</v>
      </c>
      <c r="I891" s="59">
        <v>0.52</v>
      </c>
      <c r="J891" s="940"/>
      <c r="K891" s="59"/>
      <c r="L891" s="59"/>
    </row>
    <row r="892" spans="1:12">
      <c r="A892" s="57" t="s">
        <v>130</v>
      </c>
      <c r="B892" s="57" t="s">
        <v>333</v>
      </c>
      <c r="C892" s="57">
        <v>2025</v>
      </c>
      <c r="D892" s="58">
        <f>MATCH(B892,{"GENNAIO","FEBBRAIO","MARZO","APRILE","MAGGIO","GIUGNO","LUGLIO","AGOSTO","SETTEMBRE","OTTOBRE","NOVEMBRE","DICEMBRE"},0)</f>
        <v>5</v>
      </c>
      <c r="E892" s="57" t="str">
        <f t="shared" ref="E892" si="1430">CONCATENATE(,B892," ",C892)</f>
        <v>MAGGIO 2025</v>
      </c>
      <c r="F892" s="57" t="str">
        <f t="shared" ref="F892" si="1431">CONCATENATE(D892," ",E892)</f>
        <v>5 MAGGIO 2025</v>
      </c>
      <c r="G892" s="1309" t="s">
        <v>94</v>
      </c>
      <c r="H892" s="1309" t="str">
        <f>VLOOKUP(G892,CATEGORIE!$H$3:$I$104,2,FALSE)</f>
        <v>COSTO SVAGHI</v>
      </c>
      <c r="I892" s="59">
        <v>22.5</v>
      </c>
      <c r="J892" s="940"/>
      <c r="K892" s="59"/>
      <c r="L892" s="59"/>
    </row>
    <row r="893" spans="1:12">
      <c r="A893" s="57" t="s">
        <v>130</v>
      </c>
      <c r="B893" s="57" t="s">
        <v>333</v>
      </c>
      <c r="C893" s="57">
        <v>2025</v>
      </c>
      <c r="D893" s="58">
        <f>MATCH(B893,{"GENNAIO","FEBBRAIO","MARZO","APRILE","MAGGIO","GIUGNO","LUGLIO","AGOSTO","SETTEMBRE","OTTOBRE","NOVEMBRE","DICEMBRE"},0)</f>
        <v>5</v>
      </c>
      <c r="E893" s="57" t="str">
        <f t="shared" ref="E893" si="1432">CONCATENATE(,B893," ",C893)</f>
        <v>MAGGIO 2025</v>
      </c>
      <c r="F893" s="57" t="str">
        <f t="shared" ref="F893" si="1433">CONCATENATE(D893," ",E893)</f>
        <v>5 MAGGIO 2025</v>
      </c>
      <c r="G893" s="1309" t="s">
        <v>94</v>
      </c>
      <c r="H893" s="1309" t="str">
        <f>VLOOKUP(G893,CATEGORIE!$H$3:$I$104,2,FALSE)</f>
        <v>COSTO SVAGHI</v>
      </c>
      <c r="I893" s="59">
        <v>12.5</v>
      </c>
      <c r="J893" s="940"/>
      <c r="K893" s="59"/>
      <c r="L893" s="59"/>
    </row>
    <row r="894" spans="1:12">
      <c r="A894" s="57" t="s">
        <v>92</v>
      </c>
      <c r="B894" s="57" t="s">
        <v>333</v>
      </c>
      <c r="C894" s="57">
        <v>2025</v>
      </c>
      <c r="D894" s="58">
        <f>MATCH(B894,{"GENNAIO","FEBBRAIO","MARZO","APRILE","MAGGIO","GIUGNO","LUGLIO","AGOSTO","SETTEMBRE","OTTOBRE","NOVEMBRE","DICEMBRE"},0)</f>
        <v>5</v>
      </c>
      <c r="E894" s="57" t="str">
        <f t="shared" ref="E894" si="1434">CONCATENATE(,B894," ",C894)</f>
        <v>MAGGIO 2025</v>
      </c>
      <c r="F894" s="57" t="str">
        <f t="shared" ref="F894" si="1435">CONCATENATE(D894," ",E894)</f>
        <v>5 MAGGIO 2025</v>
      </c>
      <c r="G894" s="1309" t="s">
        <v>93</v>
      </c>
      <c r="H894" s="1309" t="str">
        <f>VLOOKUP(G894,CATEGORIE!$H$3:$I$104,2,FALSE)</f>
        <v>COSTO SOPRAVVIVENZA</v>
      </c>
      <c r="I894" s="59">
        <v>6.5</v>
      </c>
      <c r="J894" s="940"/>
      <c r="K894" s="59"/>
      <c r="L894" s="59"/>
    </row>
    <row r="895" spans="1:12">
      <c r="A895" s="57" t="s">
        <v>105</v>
      </c>
      <c r="B895" s="57" t="s">
        <v>333</v>
      </c>
      <c r="C895" s="57">
        <v>2025</v>
      </c>
      <c r="D895" s="58">
        <f>MATCH(B895,{"GENNAIO","FEBBRAIO","MARZO","APRILE","MAGGIO","GIUGNO","LUGLIO","AGOSTO","SETTEMBRE","OTTOBRE","NOVEMBRE","DICEMBRE"},0)</f>
        <v>5</v>
      </c>
      <c r="E895" s="57" t="str">
        <f t="shared" ref="E895" si="1436">CONCATENATE(,B895," ",C895)</f>
        <v>MAGGIO 2025</v>
      </c>
      <c r="F895" s="57" t="str">
        <f t="shared" ref="F895" si="1437">CONCATENATE(D895," ",E895)</f>
        <v>5 MAGGIO 2025</v>
      </c>
      <c r="G895" s="1309" t="s">
        <v>96</v>
      </c>
      <c r="H895" s="1309" t="str">
        <f>VLOOKUP(G895,CATEGORIE!$H$3:$I$104,2,FALSE)</f>
        <v>COSTO SOPRAVVIVENZA</v>
      </c>
      <c r="I895" s="59">
        <v>3.87</v>
      </c>
      <c r="J895" s="940"/>
      <c r="K895" s="59"/>
      <c r="L895" s="59"/>
    </row>
    <row r="896" spans="1:12">
      <c r="A896" s="57" t="s">
        <v>92</v>
      </c>
      <c r="B896" s="57" t="s">
        <v>333</v>
      </c>
      <c r="C896" s="57">
        <v>2025</v>
      </c>
      <c r="D896" s="58">
        <f>MATCH(B896,{"GENNAIO","FEBBRAIO","MARZO","APRILE","MAGGIO","GIUGNO","LUGLIO","AGOSTO","SETTEMBRE","OTTOBRE","NOVEMBRE","DICEMBRE"},0)</f>
        <v>5</v>
      </c>
      <c r="E896" s="57" t="str">
        <f t="shared" ref="E896" si="1438">CONCATENATE(,B896," ",C896)</f>
        <v>MAGGIO 2025</v>
      </c>
      <c r="F896" s="57" t="str">
        <f t="shared" ref="F896" si="1439">CONCATENATE(D896," ",E896)</f>
        <v>5 MAGGIO 2025</v>
      </c>
      <c r="G896" s="1309" t="s">
        <v>94</v>
      </c>
      <c r="H896" s="1309" t="str">
        <f>VLOOKUP(G896,CATEGORIE!$H$3:$I$104,2,FALSE)</f>
        <v>COSTO SVAGHI</v>
      </c>
      <c r="I896" s="59">
        <v>4.2</v>
      </c>
      <c r="J896" s="940"/>
      <c r="K896" s="59"/>
      <c r="L896" s="59"/>
    </row>
    <row r="897" spans="1:12">
      <c r="A897" s="57" t="s">
        <v>101</v>
      </c>
      <c r="B897" s="57" t="s">
        <v>333</v>
      </c>
      <c r="C897" s="57">
        <v>2025</v>
      </c>
      <c r="D897" s="58">
        <f>MATCH(B897,{"GENNAIO","FEBBRAIO","MARZO","APRILE","MAGGIO","GIUGNO","LUGLIO","AGOSTO","SETTEMBRE","OTTOBRE","NOVEMBRE","DICEMBRE"},0)</f>
        <v>5</v>
      </c>
      <c r="E897" s="57" t="str">
        <f t="shared" ref="E897" si="1440">CONCATENATE(,B897," ",C897)</f>
        <v>MAGGIO 2025</v>
      </c>
      <c r="F897" s="57" t="str">
        <f t="shared" ref="F897" si="1441">CONCATENATE(D897," ",E897)</f>
        <v>5 MAGGIO 2025</v>
      </c>
      <c r="G897" s="1309" t="s">
        <v>91</v>
      </c>
      <c r="H897" s="1309" t="str">
        <f>VLOOKUP(G897,CATEGORIE!$H$3:$I$104,2,FALSE)</f>
        <v>COSTO SOPRAVVIVENZA</v>
      </c>
      <c r="I897" s="59">
        <v>0.6</v>
      </c>
      <c r="J897" s="940"/>
      <c r="K897" s="59"/>
      <c r="L897" s="59"/>
    </row>
    <row r="898" spans="1:12">
      <c r="A898" s="57" t="s">
        <v>102</v>
      </c>
      <c r="B898" s="57" t="s">
        <v>333</v>
      </c>
      <c r="C898" s="57">
        <v>2025</v>
      </c>
      <c r="D898" s="58">
        <f>MATCH(B898,{"GENNAIO","FEBBRAIO","MARZO","APRILE","MAGGIO","GIUGNO","LUGLIO","AGOSTO","SETTEMBRE","OTTOBRE","NOVEMBRE","DICEMBRE"},0)</f>
        <v>5</v>
      </c>
      <c r="E898" s="57" t="str">
        <f t="shared" ref="E898:E901" si="1442">CONCATENATE(,B898," ",C898)</f>
        <v>MAGGIO 2025</v>
      </c>
      <c r="F898" s="57" t="str">
        <f t="shared" ref="F898:F901" si="1443">CONCATENATE(D898," ",E898)</f>
        <v>5 MAGGIO 2025</v>
      </c>
      <c r="G898" s="1309" t="s">
        <v>96</v>
      </c>
      <c r="H898" s="1309" t="str">
        <f>VLOOKUP(G898,CATEGORIE!$H$3:$I$104,2,FALSE)</f>
        <v>COSTO SOPRAVVIVENZA</v>
      </c>
      <c r="I898" s="59">
        <v>4.25</v>
      </c>
      <c r="J898" s="940"/>
      <c r="K898" s="59"/>
      <c r="L898" s="59"/>
    </row>
    <row r="899" spans="1:12">
      <c r="A899" s="57" t="s">
        <v>101</v>
      </c>
      <c r="B899" s="57" t="s">
        <v>333</v>
      </c>
      <c r="C899" s="57">
        <v>2025</v>
      </c>
      <c r="D899" s="58">
        <f>MATCH(B899,{"GENNAIO","FEBBRAIO","MARZO","APRILE","MAGGIO","GIUGNO","LUGLIO","AGOSTO","SETTEMBRE","OTTOBRE","NOVEMBRE","DICEMBRE"},0)</f>
        <v>5</v>
      </c>
      <c r="E899" s="57" t="str">
        <f t="shared" ref="E899" si="1444">CONCATENATE(,B899," ",C899)</f>
        <v>MAGGIO 2025</v>
      </c>
      <c r="F899" s="57" t="str">
        <f t="shared" ref="F899" si="1445">CONCATENATE(D899," ",E899)</f>
        <v>5 MAGGIO 2025</v>
      </c>
      <c r="G899" s="1309" t="s">
        <v>91</v>
      </c>
      <c r="H899" s="1309" t="str">
        <f>VLOOKUP(G899,CATEGORIE!$H$3:$I$104,2,FALSE)</f>
        <v>COSTO SOPRAVVIVENZA</v>
      </c>
      <c r="I899" s="59">
        <v>0.4</v>
      </c>
      <c r="J899" s="940"/>
      <c r="K899" s="59"/>
      <c r="L899" s="59"/>
    </row>
    <row r="900" spans="1:12">
      <c r="A900" s="57" t="s">
        <v>101</v>
      </c>
      <c r="B900" s="57" t="s">
        <v>333</v>
      </c>
      <c r="C900" s="57">
        <v>2025</v>
      </c>
      <c r="D900" s="58">
        <f>MATCH(B900,{"GENNAIO","FEBBRAIO","MARZO","APRILE","MAGGIO","GIUGNO","LUGLIO","AGOSTO","SETTEMBRE","OTTOBRE","NOVEMBRE","DICEMBRE"},0)</f>
        <v>5</v>
      </c>
      <c r="E900" s="57" t="str">
        <f t="shared" si="1442"/>
        <v>MAGGIO 2025</v>
      </c>
      <c r="F900" s="57" t="str">
        <f t="shared" si="1443"/>
        <v>5 MAGGIO 2025</v>
      </c>
      <c r="G900" s="1309" t="s">
        <v>91</v>
      </c>
      <c r="H900" s="1309" t="str">
        <f>VLOOKUP(G900,CATEGORIE!$H$3:$I$104,2,FALSE)</f>
        <v>COSTO SOPRAVVIVENZA</v>
      </c>
      <c r="I900" s="59">
        <v>0.4</v>
      </c>
      <c r="J900" s="940"/>
      <c r="K900" s="59"/>
      <c r="L900" s="59"/>
    </row>
    <row r="901" spans="1:12">
      <c r="A901" s="57" t="s">
        <v>95</v>
      </c>
      <c r="B901" s="57" t="s">
        <v>333</v>
      </c>
      <c r="C901" s="57">
        <v>2025</v>
      </c>
      <c r="D901" s="58">
        <f>MATCH(B901,{"GENNAIO","FEBBRAIO","MARZO","APRILE","MAGGIO","GIUGNO","LUGLIO","AGOSTO","SETTEMBRE","OTTOBRE","NOVEMBRE","DICEMBRE"},0)</f>
        <v>5</v>
      </c>
      <c r="E901" s="57" t="str">
        <f t="shared" si="1442"/>
        <v>MAGGIO 2025</v>
      </c>
      <c r="F901" s="57" t="str">
        <f t="shared" si="1443"/>
        <v>5 MAGGIO 2025</v>
      </c>
      <c r="G901" s="1309" t="s">
        <v>96</v>
      </c>
      <c r="H901" s="1309" t="str">
        <f>VLOOKUP(G901,CATEGORIE!$H$3:$I$104,2,FALSE)</f>
        <v>COSTO SOPRAVVIVENZA</v>
      </c>
      <c r="I901" s="59">
        <v>13.61</v>
      </c>
      <c r="J901" s="940"/>
      <c r="K901" s="59"/>
      <c r="L901" s="59"/>
    </row>
    <row r="902" spans="1:12">
      <c r="A902" s="57" t="s">
        <v>334</v>
      </c>
      <c r="B902" s="57" t="s">
        <v>333</v>
      </c>
      <c r="C902" s="57">
        <v>2025</v>
      </c>
      <c r="D902" s="58">
        <f>MATCH(B902,{"GENNAIO","FEBBRAIO","MARZO","APRILE","MAGGIO","GIUGNO","LUGLIO","AGOSTO","SETTEMBRE","OTTOBRE","NOVEMBRE","DICEMBRE"},0)</f>
        <v>5</v>
      </c>
      <c r="E902" s="57" t="str">
        <f t="shared" ref="E902" si="1446">CONCATENATE(,B902," ",C902)</f>
        <v>MAGGIO 2025</v>
      </c>
      <c r="F902" s="57" t="str">
        <f t="shared" ref="F902" si="1447">CONCATENATE(D902," ",E902)</f>
        <v>5 MAGGIO 2025</v>
      </c>
      <c r="G902" s="1309" t="s">
        <v>94</v>
      </c>
      <c r="H902" s="1309" t="str">
        <f>VLOOKUP(G902,CATEGORIE!$H$3:$I$104,2,FALSE)</f>
        <v>COSTO SVAGHI</v>
      </c>
      <c r="I902" s="59">
        <v>83</v>
      </c>
      <c r="J902" s="940"/>
      <c r="K902" s="59"/>
      <c r="L902" s="59"/>
    </row>
    <row r="903" spans="1:12">
      <c r="A903" s="57" t="s">
        <v>105</v>
      </c>
      <c r="B903" s="57" t="s">
        <v>333</v>
      </c>
      <c r="C903" s="57">
        <v>2025</v>
      </c>
      <c r="D903" s="58">
        <f>MATCH(B903,{"GENNAIO","FEBBRAIO","MARZO","APRILE","MAGGIO","GIUGNO","LUGLIO","AGOSTO","SETTEMBRE","OTTOBRE","NOVEMBRE","DICEMBRE"},0)</f>
        <v>5</v>
      </c>
      <c r="E903" s="57" t="str">
        <f t="shared" ref="E903" si="1448">CONCATENATE(,B903," ",C903)</f>
        <v>MAGGIO 2025</v>
      </c>
      <c r="F903" s="57" t="str">
        <f t="shared" ref="F903" si="1449">CONCATENATE(D903," ",E903)</f>
        <v>5 MAGGIO 2025</v>
      </c>
      <c r="G903" s="1309" t="s">
        <v>96</v>
      </c>
      <c r="H903" s="1309" t="str">
        <f>VLOOKUP(G903,CATEGORIE!$H$3:$I$104,2,FALSE)</f>
        <v>COSTO SOPRAVVIVENZA</v>
      </c>
      <c r="I903" s="59">
        <v>10.23</v>
      </c>
      <c r="J903" s="940"/>
      <c r="K903" s="59"/>
      <c r="L903" s="59"/>
    </row>
    <row r="904" spans="1:12">
      <c r="A904" s="57" t="s">
        <v>135</v>
      </c>
      <c r="B904" s="57" t="s">
        <v>333</v>
      </c>
      <c r="C904" s="57">
        <v>2025</v>
      </c>
      <c r="D904" s="58">
        <f>MATCH(B904,{"GENNAIO","FEBBRAIO","MARZO","APRILE","MAGGIO","GIUGNO","LUGLIO","AGOSTO","SETTEMBRE","OTTOBRE","NOVEMBRE","DICEMBRE"},0)</f>
        <v>5</v>
      </c>
      <c r="E904" s="57" t="str">
        <f t="shared" ref="E904" si="1450">CONCATENATE(,B904," ",C904)</f>
        <v>MAGGIO 2025</v>
      </c>
      <c r="F904" s="57" t="str">
        <f t="shared" ref="F904" si="1451">CONCATENATE(D904," ",E904)</f>
        <v>5 MAGGIO 2025</v>
      </c>
      <c r="G904" s="1309" t="s">
        <v>132</v>
      </c>
      <c r="H904" s="1309" t="str">
        <f>VLOOKUP(G904,CATEGORIE!$H$3:$I$104,2,FALSE)</f>
        <v>COSTO CASA</v>
      </c>
      <c r="I904" s="59">
        <v>16.03</v>
      </c>
      <c r="J904" s="940"/>
      <c r="K904" s="59"/>
      <c r="L904" s="59"/>
    </row>
    <row r="905" spans="1:12">
      <c r="A905" s="57" t="s">
        <v>335</v>
      </c>
      <c r="B905" s="57" t="s">
        <v>333</v>
      </c>
      <c r="C905" s="57">
        <v>2025</v>
      </c>
      <c r="D905" s="58">
        <f>MATCH(B905,{"GENNAIO","FEBBRAIO","MARZO","APRILE","MAGGIO","GIUGNO","LUGLIO","AGOSTO","SETTEMBRE","OTTOBRE","NOVEMBRE","DICEMBRE"},0)</f>
        <v>5</v>
      </c>
      <c r="E905" s="57" t="str">
        <f t="shared" ref="E905" si="1452">CONCATENATE(,B905," ",C905)</f>
        <v>MAGGIO 2025</v>
      </c>
      <c r="F905" s="57" t="str">
        <f t="shared" ref="F905" si="1453">CONCATENATE(D905," ",E905)</f>
        <v>5 MAGGIO 2025</v>
      </c>
      <c r="G905" s="1309" t="s">
        <v>94</v>
      </c>
      <c r="H905" s="1309" t="str">
        <f>VLOOKUP(G905,CATEGORIE!$H$3:$I$104,2,FALSE)</f>
        <v>COSTO SVAGHI</v>
      </c>
      <c r="I905" s="59">
        <v>10</v>
      </c>
      <c r="J905" s="940"/>
      <c r="K905" s="59"/>
      <c r="L905" s="59"/>
    </row>
    <row r="906" spans="1:12">
      <c r="A906" s="57" t="s">
        <v>336</v>
      </c>
      <c r="B906" s="57" t="s">
        <v>333</v>
      </c>
      <c r="C906" s="57">
        <v>2025</v>
      </c>
      <c r="D906" s="58">
        <f>MATCH(B906,{"GENNAIO","FEBBRAIO","MARZO","APRILE","MAGGIO","GIUGNO","LUGLIO","AGOSTO","SETTEMBRE","OTTOBRE","NOVEMBRE","DICEMBRE"},0)</f>
        <v>5</v>
      </c>
      <c r="E906" s="57" t="str">
        <f t="shared" ref="E906" si="1454">CONCATENATE(,B906," ",C906)</f>
        <v>MAGGIO 2025</v>
      </c>
      <c r="F906" s="57" t="str">
        <f t="shared" ref="F906" si="1455">CONCATENATE(D906," ",E906)</f>
        <v>5 MAGGIO 2025</v>
      </c>
      <c r="G906" s="1309" t="s">
        <v>94</v>
      </c>
      <c r="H906" s="1309" t="str">
        <f>VLOOKUP(G906,CATEGORIE!$H$3:$I$104,2,FALSE)</f>
        <v>COSTO SVAGHI</v>
      </c>
      <c r="I906" s="59">
        <v>5</v>
      </c>
      <c r="J906" s="940"/>
      <c r="K906" s="59"/>
      <c r="L906" s="59"/>
    </row>
    <row r="907" spans="1:12">
      <c r="A907" s="57" t="s">
        <v>130</v>
      </c>
      <c r="B907" s="57" t="s">
        <v>333</v>
      </c>
      <c r="C907" s="57">
        <v>2025</v>
      </c>
      <c r="D907" s="58">
        <f>MATCH(B907,{"GENNAIO","FEBBRAIO","MARZO","APRILE","MAGGIO","GIUGNO","LUGLIO","AGOSTO","SETTEMBRE","OTTOBRE","NOVEMBRE","DICEMBRE"},0)</f>
        <v>5</v>
      </c>
      <c r="E907" s="57" t="str">
        <f t="shared" ref="E907:E908" si="1456">CONCATENATE(,B907," ",C907)</f>
        <v>MAGGIO 2025</v>
      </c>
      <c r="F907" s="57" t="str">
        <f t="shared" ref="F907:F908" si="1457">CONCATENATE(D907," ",E907)</f>
        <v>5 MAGGIO 2025</v>
      </c>
      <c r="G907" s="1309" t="s">
        <v>94</v>
      </c>
      <c r="H907" s="1309" t="str">
        <f>VLOOKUP(G907,CATEGORIE!$H$3:$I$104,2,FALSE)</f>
        <v>COSTO SVAGHI</v>
      </c>
      <c r="I907" s="59">
        <v>12.5</v>
      </c>
      <c r="J907" s="940"/>
      <c r="K907" s="59"/>
      <c r="L907" s="59"/>
    </row>
    <row r="908" spans="1:12">
      <c r="A908" s="57" t="s">
        <v>337</v>
      </c>
      <c r="B908" s="57" t="s">
        <v>333</v>
      </c>
      <c r="C908" s="57">
        <v>2025</v>
      </c>
      <c r="D908" s="58">
        <f>MATCH(B908,{"GENNAIO","FEBBRAIO","MARZO","APRILE","MAGGIO","GIUGNO","LUGLIO","AGOSTO","SETTEMBRE","OTTOBRE","NOVEMBRE","DICEMBRE"},0)</f>
        <v>5</v>
      </c>
      <c r="E908" s="57" t="str">
        <f t="shared" si="1456"/>
        <v>MAGGIO 2025</v>
      </c>
      <c r="F908" s="57" t="str">
        <f t="shared" si="1457"/>
        <v>5 MAGGIO 2025</v>
      </c>
      <c r="G908" s="1309" t="s">
        <v>94</v>
      </c>
      <c r="H908" s="1309" t="str">
        <f>VLOOKUP(G908,CATEGORIE!$H$3:$I$104,2,FALSE)</f>
        <v>COSTO SVAGHI</v>
      </c>
      <c r="I908" s="59">
        <v>7</v>
      </c>
      <c r="J908" s="940"/>
      <c r="K908" s="59"/>
      <c r="L908" s="59"/>
    </row>
    <row r="909" spans="1:12">
      <c r="A909" s="57" t="s">
        <v>337</v>
      </c>
      <c r="B909" s="57" t="s">
        <v>333</v>
      </c>
      <c r="C909" s="57">
        <v>2025</v>
      </c>
      <c r="D909" s="58">
        <f>MATCH(B909,{"GENNAIO","FEBBRAIO","MARZO","APRILE","MAGGIO","GIUGNO","LUGLIO","AGOSTO","SETTEMBRE","OTTOBRE","NOVEMBRE","DICEMBRE"},0)</f>
        <v>5</v>
      </c>
      <c r="E909" s="57" t="str">
        <f t="shared" ref="E909" si="1458">CONCATENATE(,B909," ",C909)</f>
        <v>MAGGIO 2025</v>
      </c>
      <c r="F909" s="57" t="str">
        <f t="shared" ref="F909" si="1459">CONCATENATE(D909," ",E909)</f>
        <v>5 MAGGIO 2025</v>
      </c>
      <c r="G909" s="1309" t="s">
        <v>94</v>
      </c>
      <c r="H909" s="1309" t="str">
        <f>VLOOKUP(G909,CATEGORIE!$H$3:$I$104,2,FALSE)</f>
        <v>COSTO SVAGHI</v>
      </c>
      <c r="I909" s="59">
        <v>33</v>
      </c>
      <c r="J909" s="940"/>
      <c r="K909" s="59"/>
      <c r="L909" s="59"/>
    </row>
    <row r="910" spans="1:12">
      <c r="A910" s="57" t="s">
        <v>92</v>
      </c>
      <c r="B910" s="57" t="s">
        <v>333</v>
      </c>
      <c r="C910" s="57">
        <v>2025</v>
      </c>
      <c r="D910" s="58">
        <f>MATCH(B910,{"GENNAIO","FEBBRAIO","MARZO","APRILE","MAGGIO","GIUGNO","LUGLIO","AGOSTO","SETTEMBRE","OTTOBRE","NOVEMBRE","DICEMBRE"},0)</f>
        <v>5</v>
      </c>
      <c r="E910" s="57" t="str">
        <f t="shared" ref="E910" si="1460">CONCATENATE(,B910," ",C910)</f>
        <v>MAGGIO 2025</v>
      </c>
      <c r="F910" s="57" t="str">
        <f t="shared" ref="F910" si="1461">CONCATENATE(D910," ",E910)</f>
        <v>5 MAGGIO 2025</v>
      </c>
      <c r="G910" s="1309" t="s">
        <v>93</v>
      </c>
      <c r="H910" s="1309" t="str">
        <f>VLOOKUP(G910,CATEGORIE!$H$3:$I$104,2,FALSE)</f>
        <v>COSTO SOPRAVVIVENZA</v>
      </c>
      <c r="I910" s="59">
        <v>6.5</v>
      </c>
      <c r="J910" s="940"/>
      <c r="K910" s="59"/>
      <c r="L910" s="59"/>
    </row>
    <row r="911" spans="1:12">
      <c r="A911" s="57" t="s">
        <v>101</v>
      </c>
      <c r="B911" s="57" t="s">
        <v>333</v>
      </c>
      <c r="C911" s="57">
        <v>2025</v>
      </c>
      <c r="D911" s="58">
        <f>MATCH(B911,{"GENNAIO","FEBBRAIO","MARZO","APRILE","MAGGIO","GIUGNO","LUGLIO","AGOSTO","SETTEMBRE","OTTOBRE","NOVEMBRE","DICEMBRE"},0)</f>
        <v>5</v>
      </c>
      <c r="E911" s="57" t="str">
        <f t="shared" ref="E911" si="1462">CONCATENATE(,B911," ",C911)</f>
        <v>MAGGIO 2025</v>
      </c>
      <c r="F911" s="57" t="str">
        <f t="shared" ref="F911" si="1463">CONCATENATE(D911," ",E911)</f>
        <v>5 MAGGIO 2025</v>
      </c>
      <c r="G911" s="1309" t="s">
        <v>91</v>
      </c>
      <c r="H911" s="1309" t="str">
        <f>VLOOKUP(G911,CATEGORIE!$H$3:$I$104,2,FALSE)</f>
        <v>COSTO SOPRAVVIVENZA</v>
      </c>
      <c r="I911" s="59">
        <v>0.4</v>
      </c>
      <c r="J911" s="940"/>
      <c r="K911" s="59"/>
      <c r="L911" s="59"/>
    </row>
    <row r="912" spans="1:12" ht="18.600000000000001" customHeight="1">
      <c r="A912" s="57" t="s">
        <v>101</v>
      </c>
      <c r="B912" s="57" t="s">
        <v>333</v>
      </c>
      <c r="C912" s="57">
        <v>2025</v>
      </c>
      <c r="D912" s="58">
        <f>MATCH(B912,{"GENNAIO","FEBBRAIO","MARZO","APRILE","MAGGIO","GIUGNO","LUGLIO","AGOSTO","SETTEMBRE","OTTOBRE","NOVEMBRE","DICEMBRE"},0)</f>
        <v>5</v>
      </c>
      <c r="E912" s="57" t="str">
        <f t="shared" ref="E912" si="1464">CONCATENATE(,B912," ",C912)</f>
        <v>MAGGIO 2025</v>
      </c>
      <c r="F912" s="57" t="str">
        <f t="shared" ref="F912" si="1465">CONCATENATE(D912," ",E912)</f>
        <v>5 MAGGIO 2025</v>
      </c>
      <c r="G912" s="1309" t="s">
        <v>91</v>
      </c>
      <c r="H912" s="1309" t="str">
        <f>VLOOKUP(G912,CATEGORIE!$H$3:$I$104,2,FALSE)</f>
        <v>COSTO SOPRAVVIVENZA</v>
      </c>
      <c r="I912" s="59">
        <v>0.4</v>
      </c>
      <c r="J912" s="940"/>
      <c r="K912" s="59"/>
      <c r="L912" s="59"/>
    </row>
    <row r="913" spans="1:12">
      <c r="A913" s="57" t="s">
        <v>101</v>
      </c>
      <c r="B913" s="57" t="s">
        <v>333</v>
      </c>
      <c r="C913" s="57">
        <v>2025</v>
      </c>
      <c r="D913" s="58">
        <f>MATCH(B913,{"GENNAIO","FEBBRAIO","MARZO","APRILE","MAGGIO","GIUGNO","LUGLIO","AGOSTO","SETTEMBRE","OTTOBRE","NOVEMBRE","DICEMBRE"},0)</f>
        <v>5</v>
      </c>
      <c r="E913" s="57" t="str">
        <f t="shared" ref="E913" si="1466">CONCATENATE(,B913," ",C913)</f>
        <v>MAGGIO 2025</v>
      </c>
      <c r="F913" s="57" t="str">
        <f t="shared" ref="F913" si="1467">CONCATENATE(D913," ",E913)</f>
        <v>5 MAGGIO 2025</v>
      </c>
      <c r="G913" s="1309" t="s">
        <v>91</v>
      </c>
      <c r="H913" s="1309" t="str">
        <f>VLOOKUP(G913,CATEGORIE!$H$3:$I$104,2,FALSE)</f>
        <v>COSTO SOPRAVVIVENZA</v>
      </c>
      <c r="I913" s="59">
        <v>0.4</v>
      </c>
      <c r="J913" s="940"/>
      <c r="K913" s="59"/>
      <c r="L913" s="59"/>
    </row>
    <row r="914" spans="1:12" ht="18.600000000000001" customHeight="1">
      <c r="A914" s="57" t="s">
        <v>101</v>
      </c>
      <c r="B914" s="57" t="s">
        <v>333</v>
      </c>
      <c r="C914" s="57">
        <v>2025</v>
      </c>
      <c r="D914" s="58">
        <f>MATCH(B914,{"GENNAIO","FEBBRAIO","MARZO","APRILE","MAGGIO","GIUGNO","LUGLIO","AGOSTO","SETTEMBRE","OTTOBRE","NOVEMBRE","DICEMBRE"},0)</f>
        <v>5</v>
      </c>
      <c r="E914" s="57" t="str">
        <f t="shared" ref="E914" si="1468">CONCATENATE(,B914," ",C914)</f>
        <v>MAGGIO 2025</v>
      </c>
      <c r="F914" s="57" t="str">
        <f t="shared" ref="F914" si="1469">CONCATENATE(D914," ",E914)</f>
        <v>5 MAGGIO 2025</v>
      </c>
      <c r="G914" s="1309" t="s">
        <v>91</v>
      </c>
      <c r="H914" s="1309" t="str">
        <f>VLOOKUP(G914,CATEGORIE!$H$3:$I$104,2,FALSE)</f>
        <v>COSTO SOPRAVVIVENZA</v>
      </c>
      <c r="I914" s="59">
        <v>0.4</v>
      </c>
      <c r="J914" s="940"/>
      <c r="K914" s="59"/>
      <c r="L914" s="59"/>
    </row>
    <row r="915" spans="1:12" ht="18.600000000000001" customHeight="1">
      <c r="A915" s="57" t="s">
        <v>92</v>
      </c>
      <c r="B915" s="57" t="s">
        <v>333</v>
      </c>
      <c r="C915" s="57">
        <v>2025</v>
      </c>
      <c r="D915" s="58">
        <f>MATCH(B915,{"GENNAIO","FEBBRAIO","MARZO","APRILE","MAGGIO","GIUGNO","LUGLIO","AGOSTO","SETTEMBRE","OTTOBRE","NOVEMBRE","DICEMBRE"},0)</f>
        <v>5</v>
      </c>
      <c r="E915" s="57" t="str">
        <f t="shared" ref="E915" si="1470">CONCATENATE(,B915," ",C915)</f>
        <v>MAGGIO 2025</v>
      </c>
      <c r="F915" s="57" t="str">
        <f t="shared" ref="F915" si="1471">CONCATENATE(D915," ",E915)</f>
        <v>5 MAGGIO 2025</v>
      </c>
      <c r="G915" s="1309" t="s">
        <v>94</v>
      </c>
      <c r="H915" s="1309" t="str">
        <f>VLOOKUP(G915,CATEGORIE!$H$3:$I$104,2,FALSE)</f>
        <v>COSTO SVAGHI</v>
      </c>
      <c r="I915" s="59">
        <v>4.2</v>
      </c>
      <c r="J915" s="940"/>
      <c r="K915" s="59"/>
      <c r="L915" s="59"/>
    </row>
    <row r="916" spans="1:12" ht="16.5" customHeight="1">
      <c r="A916" s="57" t="s">
        <v>95</v>
      </c>
      <c r="B916" s="57" t="s">
        <v>333</v>
      </c>
      <c r="C916" s="57">
        <v>2025</v>
      </c>
      <c r="D916" s="58">
        <f>MATCH(B916,{"GENNAIO","FEBBRAIO","MARZO","APRILE","MAGGIO","GIUGNO","LUGLIO","AGOSTO","SETTEMBRE","OTTOBRE","NOVEMBRE","DICEMBRE"},0)</f>
        <v>5</v>
      </c>
      <c r="E916" s="57" t="str">
        <f t="shared" ref="E916" si="1472">CONCATENATE(,B916," ",C916)</f>
        <v>MAGGIO 2025</v>
      </c>
      <c r="F916" s="57" t="str">
        <f t="shared" ref="F916" si="1473">CONCATENATE(D916," ",E916)</f>
        <v>5 MAGGIO 2025</v>
      </c>
      <c r="G916" s="1309" t="s">
        <v>96</v>
      </c>
      <c r="H916" s="1309" t="str">
        <f>VLOOKUP(G916,CATEGORIE!$H$3:$I$104,2,FALSE)</f>
        <v>COSTO SOPRAVVIVENZA</v>
      </c>
      <c r="I916" s="59">
        <v>17.71</v>
      </c>
      <c r="J916" s="940"/>
      <c r="K916" s="59"/>
      <c r="L916" s="59"/>
    </row>
    <row r="917" spans="1:12" ht="18.600000000000001" customHeight="1">
      <c r="A917" s="57" t="s">
        <v>130</v>
      </c>
      <c r="B917" s="57" t="s">
        <v>333</v>
      </c>
      <c r="C917" s="57">
        <v>2025</v>
      </c>
      <c r="D917" s="58">
        <f>MATCH(B917,{"GENNAIO","FEBBRAIO","MARZO","APRILE","MAGGIO","GIUGNO","LUGLIO","AGOSTO","SETTEMBRE","OTTOBRE","NOVEMBRE","DICEMBRE"},0)</f>
        <v>5</v>
      </c>
      <c r="E917" s="57" t="str">
        <f t="shared" ref="E917" si="1474">CONCATENATE(,B917," ",C917)</f>
        <v>MAGGIO 2025</v>
      </c>
      <c r="F917" s="57" t="str">
        <f t="shared" ref="F917" si="1475">CONCATENATE(D917," ",E917)</f>
        <v>5 MAGGIO 2025</v>
      </c>
      <c r="G917" s="1309" t="s">
        <v>94</v>
      </c>
      <c r="H917" s="1309" t="str">
        <f>VLOOKUP(G917,CATEGORIE!$H$3:$I$104,2,FALSE)</f>
        <v>COSTO SVAGHI</v>
      </c>
      <c r="I917" s="59">
        <v>18</v>
      </c>
      <c r="J917" s="940"/>
      <c r="K917" s="59"/>
      <c r="L917" s="59"/>
    </row>
    <row r="918" spans="1:12" ht="16.5" customHeight="1">
      <c r="A918" s="57" t="s">
        <v>338</v>
      </c>
      <c r="B918" s="57" t="s">
        <v>333</v>
      </c>
      <c r="C918" s="57">
        <v>2025</v>
      </c>
      <c r="D918" s="58">
        <f>MATCH(B918,{"GENNAIO","FEBBRAIO","MARZO","APRILE","MAGGIO","GIUGNO","LUGLIO","AGOSTO","SETTEMBRE","OTTOBRE","NOVEMBRE","DICEMBRE"},0)</f>
        <v>5</v>
      </c>
      <c r="E918" s="57" t="str">
        <f t="shared" ref="E918" si="1476">CONCATENATE(,B918," ",C918)</f>
        <v>MAGGIO 2025</v>
      </c>
      <c r="F918" s="57" t="str">
        <f t="shared" ref="F918" si="1477">CONCATENATE(D918," ",E918)</f>
        <v>5 MAGGIO 2025</v>
      </c>
      <c r="G918" s="1309" t="s">
        <v>94</v>
      </c>
      <c r="H918" s="1309" t="str">
        <f>VLOOKUP(G918,CATEGORIE!$H$3:$I$104,2,FALSE)</f>
        <v>COSTO SVAGHI</v>
      </c>
      <c r="I918" s="59">
        <v>46</v>
      </c>
      <c r="J918" s="940"/>
      <c r="K918" s="59"/>
      <c r="L918" s="59"/>
    </row>
    <row r="919" spans="1:12" ht="16.5" customHeight="1">
      <c r="A919" s="57" t="s">
        <v>327</v>
      </c>
      <c r="B919" s="57" t="s">
        <v>333</v>
      </c>
      <c r="C919" s="57">
        <v>2025</v>
      </c>
      <c r="D919" s="58">
        <f>MATCH(B919,{"GENNAIO","FEBBRAIO","MARZO","APRILE","MAGGIO","GIUGNO","LUGLIO","AGOSTO","SETTEMBRE","OTTOBRE","NOVEMBRE","DICEMBRE"},0)</f>
        <v>5</v>
      </c>
      <c r="E919" s="57" t="str">
        <f t="shared" ref="E919:E920" si="1478">CONCATENATE(,B919," ",C919)</f>
        <v>MAGGIO 2025</v>
      </c>
      <c r="F919" s="57" t="str">
        <f t="shared" ref="F919:F920" si="1479">CONCATENATE(D919," ",E919)</f>
        <v>5 MAGGIO 2025</v>
      </c>
      <c r="G919" s="1309" t="s">
        <v>163</v>
      </c>
      <c r="H919" s="1309" t="str">
        <f>VLOOKUP(G919,CATEGORIE!$H$3:$I$104,2,FALSE)</f>
        <v>COSTO SVAGHI</v>
      </c>
      <c r="I919" s="59">
        <v>30</v>
      </c>
      <c r="J919" s="940"/>
      <c r="K919" s="59"/>
      <c r="L919" s="59" t="s">
        <v>328</v>
      </c>
    </row>
    <row r="920" spans="1:12" ht="18.600000000000001" customHeight="1">
      <c r="A920" s="57" t="s">
        <v>92</v>
      </c>
      <c r="B920" s="57" t="s">
        <v>333</v>
      </c>
      <c r="C920" s="57">
        <v>2025</v>
      </c>
      <c r="D920" s="58">
        <f>MATCH(B920,{"GENNAIO","FEBBRAIO","MARZO","APRILE","MAGGIO","GIUGNO","LUGLIO","AGOSTO","SETTEMBRE","OTTOBRE","NOVEMBRE","DICEMBRE"},0)</f>
        <v>5</v>
      </c>
      <c r="E920" s="57" t="str">
        <f t="shared" si="1478"/>
        <v>MAGGIO 2025</v>
      </c>
      <c r="F920" s="57" t="str">
        <f t="shared" si="1479"/>
        <v>5 MAGGIO 2025</v>
      </c>
      <c r="G920" s="1309" t="s">
        <v>93</v>
      </c>
      <c r="H920" s="1309" t="str">
        <f>VLOOKUP(G920,CATEGORIE!$H$3:$I$104,2,FALSE)</f>
        <v>COSTO SOPRAVVIVENZA</v>
      </c>
      <c r="I920" s="59">
        <v>6.5</v>
      </c>
      <c r="J920" s="940"/>
      <c r="K920" s="59"/>
      <c r="L920" s="59"/>
    </row>
    <row r="921" spans="1:12">
      <c r="A921" s="57" t="s">
        <v>99</v>
      </c>
      <c r="B921" s="57" t="s">
        <v>333</v>
      </c>
      <c r="C921" s="57">
        <v>2025</v>
      </c>
      <c r="D921" s="58">
        <f>MATCH(B921,{"GENNAIO","FEBBRAIO","MARZO","APRILE","MAGGIO","GIUGNO","LUGLIO","AGOSTO","SETTEMBRE","OTTOBRE","NOVEMBRE","DICEMBRE"},0)</f>
        <v>5</v>
      </c>
      <c r="E921" s="57" t="str">
        <f t="shared" ref="E921" si="1480">CONCATENATE(,B921," ",C921)</f>
        <v>MAGGIO 2025</v>
      </c>
      <c r="F921" s="57" t="str">
        <f t="shared" ref="F921" si="1481">CONCATENATE(D921," ",E921)</f>
        <v>5 MAGGIO 2025</v>
      </c>
      <c r="G921" s="1309" t="s">
        <v>100</v>
      </c>
      <c r="H921" s="1309" t="str">
        <f>VLOOKUP(G921,CATEGORIE!$H$3:$I$104,2,FALSE)</f>
        <v>COSTO SFIZI</v>
      </c>
      <c r="I921" s="59">
        <v>42.49</v>
      </c>
      <c r="J921" s="940"/>
      <c r="K921" s="57" t="s">
        <v>99</v>
      </c>
      <c r="L921" s="59"/>
    </row>
    <row r="922" spans="1:12">
      <c r="A922" s="57" t="s">
        <v>99</v>
      </c>
      <c r="B922" s="57" t="s">
        <v>333</v>
      </c>
      <c r="C922" s="57">
        <v>2025</v>
      </c>
      <c r="D922" s="58">
        <f>MATCH(B922,{"GENNAIO","FEBBRAIO","MARZO","APRILE","MAGGIO","GIUGNO","LUGLIO","AGOSTO","SETTEMBRE","OTTOBRE","NOVEMBRE","DICEMBRE"},0)</f>
        <v>5</v>
      </c>
      <c r="E922" s="57" t="str">
        <f t="shared" ref="E922" si="1482">CONCATENATE(,B922," ",C922)</f>
        <v>MAGGIO 2025</v>
      </c>
      <c r="F922" s="57" t="str">
        <f t="shared" ref="F922" si="1483">CONCATENATE(D922," ",E922)</f>
        <v>5 MAGGIO 2025</v>
      </c>
      <c r="G922" s="1309" t="s">
        <v>108</v>
      </c>
      <c r="H922" s="1309" t="str">
        <f>VLOOKUP(G922,CATEGORIE!$H$3:$I$104,2,FALSE)</f>
        <v>COSTO SFIZI</v>
      </c>
      <c r="I922" s="59">
        <v>18.989999999999998</v>
      </c>
      <c r="J922" s="940"/>
      <c r="K922" s="57" t="s">
        <v>99</v>
      </c>
      <c r="L922" s="59"/>
    </row>
    <row r="923" spans="1:12">
      <c r="A923" s="57" t="s">
        <v>92</v>
      </c>
      <c r="B923" s="57" t="s">
        <v>333</v>
      </c>
      <c r="C923" s="57">
        <v>2025</v>
      </c>
      <c r="D923" s="58">
        <f>MATCH(B923,{"GENNAIO","FEBBRAIO","MARZO","APRILE","MAGGIO","GIUGNO","LUGLIO","AGOSTO","SETTEMBRE","OTTOBRE","NOVEMBRE","DICEMBRE"},0)</f>
        <v>5</v>
      </c>
      <c r="E923" s="57" t="str">
        <f t="shared" ref="E923" si="1484">CONCATENATE(,B923," ",C923)</f>
        <v>MAGGIO 2025</v>
      </c>
      <c r="F923" s="57" t="str">
        <f t="shared" ref="F923" si="1485">CONCATENATE(D923," ",E923)</f>
        <v>5 MAGGIO 2025</v>
      </c>
      <c r="G923" s="1309" t="s">
        <v>94</v>
      </c>
      <c r="H923" s="1309" t="str">
        <f>VLOOKUP(G923,CATEGORIE!$H$3:$I$104,2,FALSE)</f>
        <v>COSTO SVAGHI</v>
      </c>
      <c r="I923" s="59">
        <v>4.2</v>
      </c>
      <c r="J923" s="940"/>
      <c r="K923" s="59"/>
      <c r="L923" s="59"/>
    </row>
    <row r="924" spans="1:12">
      <c r="A924" s="57" t="s">
        <v>102</v>
      </c>
      <c r="B924" s="57" t="s">
        <v>333</v>
      </c>
      <c r="C924" s="57">
        <v>2025</v>
      </c>
      <c r="D924" s="58">
        <f>MATCH(B924,{"GENNAIO","FEBBRAIO","MARZO","APRILE","MAGGIO","GIUGNO","LUGLIO","AGOSTO","SETTEMBRE","OTTOBRE","NOVEMBRE","DICEMBRE"},0)</f>
        <v>5</v>
      </c>
      <c r="E924" s="57" t="str">
        <f t="shared" ref="E924" si="1486">CONCATENATE(,B924," ",C924)</f>
        <v>MAGGIO 2025</v>
      </c>
      <c r="F924" s="57" t="str">
        <f t="shared" ref="F924" si="1487">CONCATENATE(D924," ",E924)</f>
        <v>5 MAGGIO 2025</v>
      </c>
      <c r="G924" s="1309" t="s">
        <v>96</v>
      </c>
      <c r="H924" s="1309" t="str">
        <f>VLOOKUP(G924,CATEGORIE!$H$3:$I$104,2,FALSE)</f>
        <v>COSTO SOPRAVVIVENZA</v>
      </c>
      <c r="I924" s="59">
        <v>12.75</v>
      </c>
      <c r="J924" s="940"/>
      <c r="K924" s="59"/>
      <c r="L924" s="59"/>
    </row>
    <row r="925" spans="1:12">
      <c r="A925" s="57" t="s">
        <v>229</v>
      </c>
      <c r="B925" s="57" t="s">
        <v>333</v>
      </c>
      <c r="C925" s="57">
        <v>2025</v>
      </c>
      <c r="D925" s="58">
        <f>MATCH(B925,{"GENNAIO","FEBBRAIO","MARZO","APRILE","MAGGIO","GIUGNO","LUGLIO","AGOSTO","SETTEMBRE","OTTOBRE","NOVEMBRE","DICEMBRE"},0)</f>
        <v>5</v>
      </c>
      <c r="E925" s="57" t="str">
        <f t="shared" ref="E925" si="1488">CONCATENATE(,B925," ",C925)</f>
        <v>MAGGIO 2025</v>
      </c>
      <c r="F925" s="57" t="str">
        <f t="shared" ref="F925" si="1489">CONCATENATE(D925," ",E925)</f>
        <v>5 MAGGIO 2025</v>
      </c>
      <c r="G925" s="1309" t="s">
        <v>163</v>
      </c>
      <c r="H925" s="1309" t="str">
        <f>VLOOKUP(G925,CATEGORIE!$H$3:$I$104,2,FALSE)</f>
        <v>COSTO SVAGHI</v>
      </c>
      <c r="I925" s="59">
        <v>38.19</v>
      </c>
      <c r="J925" s="940" t="s">
        <v>215</v>
      </c>
      <c r="K925" s="59" t="s">
        <v>112</v>
      </c>
      <c r="L925" s="59" t="s">
        <v>339</v>
      </c>
    </row>
    <row r="926" spans="1:12">
      <c r="A926" s="57" t="s">
        <v>340</v>
      </c>
      <c r="B926" s="57" t="s">
        <v>333</v>
      </c>
      <c r="C926" s="57">
        <v>2025</v>
      </c>
      <c r="D926" s="58">
        <f>MATCH(B926,{"GENNAIO","FEBBRAIO","MARZO","APRILE","MAGGIO","GIUGNO","LUGLIO","AGOSTO","SETTEMBRE","OTTOBRE","NOVEMBRE","DICEMBRE"},0)</f>
        <v>5</v>
      </c>
      <c r="E926" s="57" t="str">
        <f t="shared" ref="E926" si="1490">CONCATENATE(,B926," ",C926)</f>
        <v>MAGGIO 2025</v>
      </c>
      <c r="F926" s="57" t="str">
        <f t="shared" ref="F926" si="1491">CONCATENATE(D926," ",E926)</f>
        <v>5 MAGGIO 2025</v>
      </c>
      <c r="G926" s="1309" t="s">
        <v>108</v>
      </c>
      <c r="H926" s="1309" t="str">
        <f>VLOOKUP(G926,CATEGORIE!$H$3:$I$104,2,FALSE)</f>
        <v>COSTO SFIZI</v>
      </c>
      <c r="I926" s="59">
        <v>40.98</v>
      </c>
      <c r="J926" s="940"/>
      <c r="K926" s="59" t="s">
        <v>112</v>
      </c>
      <c r="L926" s="59"/>
    </row>
    <row r="927" spans="1:12">
      <c r="A927" s="57" t="s">
        <v>341</v>
      </c>
      <c r="B927" s="57" t="s">
        <v>333</v>
      </c>
      <c r="C927" s="57">
        <v>2025</v>
      </c>
      <c r="D927" s="58">
        <f>MATCH(B927,{"GENNAIO","FEBBRAIO","MARZO","APRILE","MAGGIO","GIUGNO","LUGLIO","AGOSTO","SETTEMBRE","OTTOBRE","NOVEMBRE","DICEMBRE"},0)</f>
        <v>5</v>
      </c>
      <c r="E927" s="57" t="str">
        <f t="shared" ref="E927:E928" si="1492">CONCATENATE(,B927," ",C927)</f>
        <v>MAGGIO 2025</v>
      </c>
      <c r="F927" s="57" t="str">
        <f t="shared" ref="F927:F928" si="1493">CONCATENATE(D927," ",E927)</f>
        <v>5 MAGGIO 2025</v>
      </c>
      <c r="G927" s="1309" t="s">
        <v>1250</v>
      </c>
      <c r="H927" s="1309" t="str">
        <f>VLOOKUP(G927,CATEGORIE!$H$3:$I$104,2,FALSE)</f>
        <v>COSTO VACANZE</v>
      </c>
      <c r="I927" s="59">
        <v>77.72</v>
      </c>
      <c r="J927" s="940" t="s">
        <v>215</v>
      </c>
      <c r="K927" s="59" t="s">
        <v>112</v>
      </c>
      <c r="L927" s="59" t="s">
        <v>342</v>
      </c>
    </row>
    <row r="928" spans="1:12">
      <c r="A928" s="57" t="s">
        <v>343</v>
      </c>
      <c r="B928" s="57" t="s">
        <v>333</v>
      </c>
      <c r="C928" s="57">
        <v>2025</v>
      </c>
      <c r="D928" s="58">
        <f>MATCH(B928,{"GENNAIO","FEBBRAIO","MARZO","APRILE","MAGGIO","GIUGNO","LUGLIO","AGOSTO","SETTEMBRE","OTTOBRE","NOVEMBRE","DICEMBRE"},0)</f>
        <v>5</v>
      </c>
      <c r="E928" s="57" t="str">
        <f t="shared" si="1492"/>
        <v>MAGGIO 2025</v>
      </c>
      <c r="F928" s="57" t="str">
        <f t="shared" si="1493"/>
        <v>5 MAGGIO 2025</v>
      </c>
      <c r="G928" s="1309" t="s">
        <v>185</v>
      </c>
      <c r="H928" s="1309" t="str">
        <f>VLOOKUP(G928,CATEGORIE!$H$3:$I$104,2,FALSE)</f>
        <v>COSTO SFIZI</v>
      </c>
      <c r="I928" s="59">
        <v>30.66</v>
      </c>
      <c r="J928" s="940" t="s">
        <v>215</v>
      </c>
      <c r="K928" s="59" t="s">
        <v>112</v>
      </c>
      <c r="L928" s="59" t="s">
        <v>344</v>
      </c>
    </row>
    <row r="929" spans="1:12">
      <c r="A929" s="57" t="s">
        <v>343</v>
      </c>
      <c r="B929" s="57" t="s">
        <v>333</v>
      </c>
      <c r="C929" s="57">
        <v>2025</v>
      </c>
      <c r="D929" s="58">
        <f>MATCH(B929,{"GENNAIO","FEBBRAIO","MARZO","APRILE","MAGGIO","GIUGNO","LUGLIO","AGOSTO","SETTEMBRE","OTTOBRE","NOVEMBRE","DICEMBRE"},0)</f>
        <v>5</v>
      </c>
      <c r="E929" s="57" t="str">
        <f t="shared" ref="E929" si="1494">CONCATENATE(,B929," ",C929)</f>
        <v>MAGGIO 2025</v>
      </c>
      <c r="F929" s="57" t="str">
        <f t="shared" ref="F929" si="1495">CONCATENATE(D929," ",E929)</f>
        <v>5 MAGGIO 2025</v>
      </c>
      <c r="G929" s="1309" t="s">
        <v>185</v>
      </c>
      <c r="H929" s="1309" t="str">
        <f>VLOOKUP(G929,CATEGORIE!$H$3:$I$104,2,FALSE)</f>
        <v>COSTO SFIZI</v>
      </c>
      <c r="I929" s="59">
        <v>30.67</v>
      </c>
      <c r="J929" s="940" t="s">
        <v>124</v>
      </c>
      <c r="K929" s="59" t="s">
        <v>112</v>
      </c>
      <c r="L929" s="59" t="s">
        <v>344</v>
      </c>
    </row>
    <row r="930" spans="1:12">
      <c r="A930" s="57" t="s">
        <v>135</v>
      </c>
      <c r="B930" s="57" t="s">
        <v>333</v>
      </c>
      <c r="C930" s="57">
        <v>2025</v>
      </c>
      <c r="D930" s="58">
        <f>MATCH(B930,{"GENNAIO","FEBBRAIO","MARZO","APRILE","MAGGIO","GIUGNO","LUGLIO","AGOSTO","SETTEMBRE","OTTOBRE","NOVEMBRE","DICEMBRE"},0)</f>
        <v>5</v>
      </c>
      <c r="E930" s="57" t="str">
        <f t="shared" ref="E930" si="1496">CONCATENATE(,B930," ",C930)</f>
        <v>MAGGIO 2025</v>
      </c>
      <c r="F930" s="57" t="str">
        <f t="shared" ref="F930" si="1497">CONCATENATE(D930," ",E930)</f>
        <v>5 MAGGIO 2025</v>
      </c>
      <c r="G930" s="1309" t="s">
        <v>132</v>
      </c>
      <c r="H930" s="1309" t="str">
        <f>VLOOKUP(G930,CATEGORIE!$H$3:$I$104,2,FALSE)</f>
        <v>COSTO CASA</v>
      </c>
      <c r="I930" s="59">
        <v>39.97</v>
      </c>
      <c r="J930" s="940"/>
      <c r="K930" s="59"/>
      <c r="L930" s="59"/>
    </row>
    <row r="931" spans="1:12">
      <c r="A931" s="57" t="s">
        <v>345</v>
      </c>
      <c r="B931" s="57" t="s">
        <v>333</v>
      </c>
      <c r="C931" s="57">
        <v>2025</v>
      </c>
      <c r="D931" s="58">
        <f>MATCH(B931,{"GENNAIO","FEBBRAIO","MARZO","APRILE","MAGGIO","GIUGNO","LUGLIO","AGOSTO","SETTEMBRE","OTTOBRE","NOVEMBRE","DICEMBRE"},0)</f>
        <v>5</v>
      </c>
      <c r="E931" s="57" t="str">
        <f t="shared" ref="E931" si="1498">CONCATENATE(,B931," ",C931)</f>
        <v>MAGGIO 2025</v>
      </c>
      <c r="F931" s="57" t="str">
        <f t="shared" ref="F931" si="1499">CONCATENATE(D931," ",E931)</f>
        <v>5 MAGGIO 2025</v>
      </c>
      <c r="G931" s="1309" t="s">
        <v>185</v>
      </c>
      <c r="H931" s="1309" t="str">
        <f>VLOOKUP(G931,CATEGORIE!$H$3:$I$104,2,FALSE)</f>
        <v>COSTO SFIZI</v>
      </c>
      <c r="I931" s="59">
        <v>50.3</v>
      </c>
      <c r="J931" s="940"/>
      <c r="K931" s="59"/>
      <c r="L931" s="59" t="s">
        <v>346</v>
      </c>
    </row>
    <row r="932" spans="1:12">
      <c r="A932" s="57" t="s">
        <v>347</v>
      </c>
      <c r="B932" s="57" t="s">
        <v>333</v>
      </c>
      <c r="C932" s="57">
        <v>2025</v>
      </c>
      <c r="D932" s="58">
        <f>MATCH(B932,{"GENNAIO","FEBBRAIO","MARZO","APRILE","MAGGIO","GIUGNO","LUGLIO","AGOSTO","SETTEMBRE","OTTOBRE","NOVEMBRE","DICEMBRE"},0)</f>
        <v>5</v>
      </c>
      <c r="E932" s="57" t="str">
        <f t="shared" ref="E932:E933" si="1500">CONCATENATE(,B932," ",C932)</f>
        <v>MAGGIO 2025</v>
      </c>
      <c r="F932" s="57" t="str">
        <f t="shared" ref="F932:F933" si="1501">CONCATENATE(D932," ",E932)</f>
        <v>5 MAGGIO 2025</v>
      </c>
      <c r="G932" s="1309" t="s">
        <v>108</v>
      </c>
      <c r="H932" s="1309" t="str">
        <f>VLOOKUP(G932,CATEGORIE!$H$3:$I$104,2,FALSE)</f>
        <v>COSTO SFIZI</v>
      </c>
      <c r="I932" s="59">
        <v>53.33</v>
      </c>
      <c r="J932" s="940"/>
      <c r="K932" s="59"/>
      <c r="L932" s="59"/>
    </row>
    <row r="933" spans="1:12" ht="18.600000000000001" customHeight="1">
      <c r="A933" s="57" t="s">
        <v>348</v>
      </c>
      <c r="B933" s="57" t="s">
        <v>333</v>
      </c>
      <c r="C933" s="57">
        <v>2025</v>
      </c>
      <c r="D933" s="58">
        <f>MATCH(B933,{"GENNAIO","FEBBRAIO","MARZO","APRILE","MAGGIO","GIUGNO","LUGLIO","AGOSTO","SETTEMBRE","OTTOBRE","NOVEMBRE","DICEMBRE"},0)</f>
        <v>5</v>
      </c>
      <c r="E933" s="57" t="str">
        <f t="shared" si="1500"/>
        <v>MAGGIO 2025</v>
      </c>
      <c r="F933" s="57" t="str">
        <f t="shared" si="1501"/>
        <v>5 MAGGIO 2025</v>
      </c>
      <c r="G933" s="1309" t="s">
        <v>693</v>
      </c>
      <c r="H933" s="1309" t="str">
        <f>VLOOKUP(G933,CATEGORIE!$H$3:$I$104,2,FALSE)</f>
        <v>GESTIONE CONTO</v>
      </c>
      <c r="I933" s="59">
        <v>-25.82</v>
      </c>
      <c r="J933" s="940"/>
      <c r="K933" s="59"/>
      <c r="L933" s="59" t="s">
        <v>349</v>
      </c>
    </row>
    <row r="934" spans="1:12" ht="16.5" customHeight="1">
      <c r="A934" s="57" t="s">
        <v>170</v>
      </c>
      <c r="B934" s="57" t="s">
        <v>333</v>
      </c>
      <c r="C934" s="57">
        <v>2025</v>
      </c>
      <c r="D934" s="58">
        <f>MATCH(B934,{"GENNAIO","FEBBRAIO","MARZO","APRILE","MAGGIO","GIUGNO","LUGLIO","AGOSTO","SETTEMBRE","OTTOBRE","NOVEMBRE","DICEMBRE"},0)</f>
        <v>5</v>
      </c>
      <c r="E934" s="57" t="str">
        <f t="shared" ref="E934" si="1502">CONCATENATE(,B934," ",C934)</f>
        <v>MAGGIO 2025</v>
      </c>
      <c r="F934" s="57" t="str">
        <f t="shared" ref="F934" si="1503">CONCATENATE(D934," ",E934)</f>
        <v>5 MAGGIO 2025</v>
      </c>
      <c r="G934" s="1309" t="s">
        <v>132</v>
      </c>
      <c r="H934" s="1309" t="str">
        <f>VLOOKUP(G934,CATEGORIE!$H$3:$I$104,2,FALSE)</f>
        <v>COSTO CASA</v>
      </c>
      <c r="I934" s="59">
        <v>8</v>
      </c>
      <c r="J934" s="940"/>
      <c r="K934" s="59"/>
      <c r="L934" s="59"/>
    </row>
    <row r="935" spans="1:12" ht="16.5" customHeight="1">
      <c r="A935" s="57" t="s">
        <v>95</v>
      </c>
      <c r="B935" s="57" t="s">
        <v>333</v>
      </c>
      <c r="C935" s="57">
        <v>2025</v>
      </c>
      <c r="D935" s="58">
        <f>MATCH(B935,{"GENNAIO","FEBBRAIO","MARZO","APRILE","MAGGIO","GIUGNO","LUGLIO","AGOSTO","SETTEMBRE","OTTOBRE","NOVEMBRE","DICEMBRE"},0)</f>
        <v>5</v>
      </c>
      <c r="E935" s="57" t="str">
        <f t="shared" ref="E935" si="1504">CONCATENATE(,B935," ",C935)</f>
        <v>MAGGIO 2025</v>
      </c>
      <c r="F935" s="57" t="str">
        <f t="shared" ref="F935" si="1505">CONCATENATE(D935," ",E935)</f>
        <v>5 MAGGIO 2025</v>
      </c>
      <c r="G935" s="1309" t="s">
        <v>96</v>
      </c>
      <c r="H935" s="1309" t="str">
        <f>VLOOKUP(G935,CATEGORIE!$H$3:$I$104,2,FALSE)</f>
        <v>COSTO SOPRAVVIVENZA</v>
      </c>
      <c r="I935" s="59">
        <v>53.4</v>
      </c>
      <c r="J935" s="940"/>
      <c r="K935" s="59"/>
      <c r="L935" s="59"/>
    </row>
    <row r="936" spans="1:12" ht="18.600000000000001" customHeight="1">
      <c r="A936" s="57" t="s">
        <v>350</v>
      </c>
      <c r="B936" s="57" t="s">
        <v>333</v>
      </c>
      <c r="C936" s="57">
        <v>2025</v>
      </c>
      <c r="D936" s="58">
        <f>MATCH(B936,{"GENNAIO","FEBBRAIO","MARZO","APRILE","MAGGIO","GIUGNO","LUGLIO","AGOSTO","SETTEMBRE","OTTOBRE","NOVEMBRE","DICEMBRE"},0)</f>
        <v>5</v>
      </c>
      <c r="E936" s="57" t="str">
        <f t="shared" ref="E936" si="1506">CONCATENATE(,B936," ",C936)</f>
        <v>MAGGIO 2025</v>
      </c>
      <c r="F936" s="57" t="str">
        <f t="shared" ref="F936" si="1507">CONCATENATE(D936," ",E936)</f>
        <v>5 MAGGIO 2025</v>
      </c>
      <c r="G936" s="1309" t="s">
        <v>94</v>
      </c>
      <c r="H936" s="1309" t="str">
        <f>VLOOKUP(G936,CATEGORIE!$H$3:$I$104,2,FALSE)</f>
        <v>COSTO SVAGHI</v>
      </c>
      <c r="I936" s="59">
        <v>19</v>
      </c>
      <c r="J936" s="940"/>
      <c r="K936" s="59"/>
      <c r="L936" s="59"/>
    </row>
    <row r="937" spans="1:12" ht="18.600000000000001" customHeight="1">
      <c r="A937" s="57" t="s">
        <v>97</v>
      </c>
      <c r="B937" s="57" t="s">
        <v>333</v>
      </c>
      <c r="C937" s="57">
        <v>2025</v>
      </c>
      <c r="D937" s="58">
        <f>MATCH(B937,{"GENNAIO","FEBBRAIO","MARZO","APRILE","MAGGIO","GIUGNO","LUGLIO","AGOSTO","SETTEMBRE","OTTOBRE","NOVEMBRE","DICEMBRE"},0)</f>
        <v>5</v>
      </c>
      <c r="E937" s="57" t="str">
        <f t="shared" ref="E937" si="1508">CONCATENATE(,B937," ",C937)</f>
        <v>MAGGIO 2025</v>
      </c>
      <c r="F937" s="57" t="str">
        <f t="shared" ref="F937" si="1509">CONCATENATE(D937," ",E937)</f>
        <v>5 MAGGIO 2025</v>
      </c>
      <c r="G937" s="1309" t="s">
        <v>1250</v>
      </c>
      <c r="H937" s="1309" t="str">
        <f>VLOOKUP(G937,CATEGORIE!$H$3:$I$104,2,FALSE)</f>
        <v>COSTO VACANZE</v>
      </c>
      <c r="I937" s="59">
        <v>25</v>
      </c>
      <c r="J937" s="940"/>
      <c r="K937" s="59" t="s">
        <v>97</v>
      </c>
      <c r="L937" s="59" t="s">
        <v>342</v>
      </c>
    </row>
    <row r="938" spans="1:12">
      <c r="A938" s="57" t="s">
        <v>99</v>
      </c>
      <c r="B938" s="57" t="s">
        <v>333</v>
      </c>
      <c r="C938" s="57">
        <v>2025</v>
      </c>
      <c r="D938" s="58">
        <f>MATCH(B938,{"GENNAIO","FEBBRAIO","MARZO","APRILE","MAGGIO","GIUGNO","LUGLIO","AGOSTO","SETTEMBRE","OTTOBRE","NOVEMBRE","DICEMBRE"},0)</f>
        <v>5</v>
      </c>
      <c r="E938" s="57" t="str">
        <f t="shared" ref="E938" si="1510">CONCATENATE(,B938," ",C938)</f>
        <v>MAGGIO 2025</v>
      </c>
      <c r="F938" s="57" t="str">
        <f t="shared" ref="F938" si="1511">CONCATENATE(D938," ",E938)</f>
        <v>5 MAGGIO 2025</v>
      </c>
      <c r="G938" s="1309" t="s">
        <v>100</v>
      </c>
      <c r="H938" s="1309" t="str">
        <f>VLOOKUP(G938,CATEGORIE!$H$3:$I$104,2,FALSE)</f>
        <v>COSTO SFIZI</v>
      </c>
      <c r="I938" s="59">
        <v>15.39</v>
      </c>
      <c r="J938" s="940" t="s">
        <v>167</v>
      </c>
      <c r="K938" s="57" t="s">
        <v>99</v>
      </c>
      <c r="L938" s="59" t="s">
        <v>332</v>
      </c>
    </row>
    <row r="939" spans="1:12">
      <c r="A939" s="57" t="s">
        <v>117</v>
      </c>
      <c r="B939" s="57" t="s">
        <v>333</v>
      </c>
      <c r="C939" s="57">
        <v>2025</v>
      </c>
      <c r="D939" s="58">
        <f>MATCH(B939,{"GENNAIO","FEBBRAIO","MARZO","APRILE","MAGGIO","GIUGNO","LUGLIO","AGOSTO","SETTEMBRE","OTTOBRE","NOVEMBRE","DICEMBRE"},0)</f>
        <v>5</v>
      </c>
      <c r="E939" s="57" t="str">
        <f t="shared" ref="E939" si="1512">CONCATENATE(,B939," ",C939)</f>
        <v>MAGGIO 2025</v>
      </c>
      <c r="F939" s="57" t="str">
        <f t="shared" ref="F939" si="1513">CONCATENATE(D939," ",E939)</f>
        <v>5 MAGGIO 2025</v>
      </c>
      <c r="G939" s="1309" t="s">
        <v>94</v>
      </c>
      <c r="H939" s="1309" t="str">
        <f>VLOOKUP(G939,CATEGORIE!$H$3:$I$104,2,FALSE)</f>
        <v>COSTO SVAGHI</v>
      </c>
      <c r="I939" s="59">
        <v>18</v>
      </c>
      <c r="J939" s="940"/>
      <c r="K939" s="59"/>
      <c r="L939" s="59"/>
    </row>
    <row r="940" spans="1:12">
      <c r="A940" s="57" t="s">
        <v>92</v>
      </c>
      <c r="B940" s="57" t="s">
        <v>333</v>
      </c>
      <c r="C940" s="57">
        <v>2025</v>
      </c>
      <c r="D940" s="58">
        <f>MATCH(B940,{"GENNAIO","FEBBRAIO","MARZO","APRILE","MAGGIO","GIUGNO","LUGLIO","AGOSTO","SETTEMBRE","OTTOBRE","NOVEMBRE","DICEMBRE"},0)</f>
        <v>5</v>
      </c>
      <c r="E940" s="57" t="str">
        <f t="shared" ref="E940" si="1514">CONCATENATE(,B940," ",C940)</f>
        <v>MAGGIO 2025</v>
      </c>
      <c r="F940" s="57" t="str">
        <f t="shared" ref="F940" si="1515">CONCATENATE(D940," ",E940)</f>
        <v>5 MAGGIO 2025</v>
      </c>
      <c r="G940" s="1309" t="s">
        <v>94</v>
      </c>
      <c r="H940" s="1309" t="str">
        <f>VLOOKUP(G940,CATEGORIE!$H$3:$I$104,2,FALSE)</f>
        <v>COSTO SVAGHI</v>
      </c>
      <c r="I940" s="59">
        <v>15</v>
      </c>
      <c r="J940" s="940"/>
      <c r="K940" s="59"/>
      <c r="L940" s="59"/>
    </row>
    <row r="941" spans="1:12">
      <c r="A941" s="57" t="s">
        <v>351</v>
      </c>
      <c r="B941" s="57" t="s">
        <v>352</v>
      </c>
      <c r="C941" s="57">
        <v>2025</v>
      </c>
      <c r="D941" s="58">
        <f>MATCH(B941,{"GENNAIO","FEBBRAIO","MARZO","APRILE","MAGGIO","GIUGNO","LUGLIO","AGOSTO","SETTEMBRE","OTTOBRE","NOVEMBRE","DICEMBRE"},0)</f>
        <v>4</v>
      </c>
      <c r="E941" s="57" t="str">
        <f t="shared" ref="E941" si="1516">CONCATENATE(,B941," ",C941)</f>
        <v>APRILE 2025</v>
      </c>
      <c r="F941" s="57" t="str">
        <f t="shared" ref="F941" si="1517">CONCATENATE(D941," ",E941)</f>
        <v>4 APRILE 2025</v>
      </c>
      <c r="G941" s="1309" t="s">
        <v>116</v>
      </c>
      <c r="H941" s="1309" t="str">
        <f>VLOOKUP(G941,CATEGORIE!$H$3:$I$104,2,FALSE)</f>
        <v>TASSE</v>
      </c>
      <c r="I941" s="59">
        <v>-0.19</v>
      </c>
      <c r="J941" s="940"/>
      <c r="K941" s="59"/>
      <c r="L941" s="59" t="s">
        <v>353</v>
      </c>
    </row>
    <row r="942" spans="1:12">
      <c r="A942" s="57" t="s">
        <v>354</v>
      </c>
      <c r="B942" s="57" t="s">
        <v>352</v>
      </c>
      <c r="C942" s="57">
        <v>2025</v>
      </c>
      <c r="D942" s="58">
        <f>MATCH(B942,{"GENNAIO","FEBBRAIO","MARZO","APRILE","MAGGIO","GIUGNO","LUGLIO","AGOSTO","SETTEMBRE","OTTOBRE","NOVEMBRE","DICEMBRE"},0)</f>
        <v>4</v>
      </c>
      <c r="E942" s="57" t="str">
        <f t="shared" ref="E942" si="1518">CONCATENATE(,B942," ",C942)</f>
        <v>APRILE 2025</v>
      </c>
      <c r="F942" s="57" t="str">
        <f t="shared" ref="F942" si="1519">CONCATENATE(D942," ",E942)</f>
        <v>4 APRILE 2025</v>
      </c>
      <c r="G942" s="1309" t="s">
        <v>94</v>
      </c>
      <c r="H942" s="1309" t="str">
        <f>VLOOKUP(G942,CATEGORIE!$H$3:$I$104,2,FALSE)</f>
        <v>COSTO SVAGHI</v>
      </c>
      <c r="I942" s="59">
        <v>56</v>
      </c>
      <c r="J942" s="940"/>
      <c r="K942" s="59"/>
      <c r="L942" s="59" t="s">
        <v>342</v>
      </c>
    </row>
    <row r="943" spans="1:12">
      <c r="A943" s="57" t="s">
        <v>355</v>
      </c>
      <c r="B943" s="57" t="s">
        <v>352</v>
      </c>
      <c r="C943" s="57">
        <v>2025</v>
      </c>
      <c r="D943" s="58">
        <f>MATCH(B943,{"GENNAIO","FEBBRAIO","MARZO","APRILE","MAGGIO","GIUGNO","LUGLIO","AGOSTO","SETTEMBRE","OTTOBRE","NOVEMBRE","DICEMBRE"},0)</f>
        <v>4</v>
      </c>
      <c r="E943" s="57" t="str">
        <f t="shared" ref="E943" si="1520">CONCATENATE(,B943," ",C943)</f>
        <v>APRILE 2025</v>
      </c>
      <c r="F943" s="57" t="str">
        <f t="shared" ref="F943" si="1521">CONCATENATE(D943," ",E943)</f>
        <v>4 APRILE 2025</v>
      </c>
      <c r="G943" s="1309" t="s">
        <v>94</v>
      </c>
      <c r="H943" s="1309" t="str">
        <f>VLOOKUP(G943,CATEGORIE!$H$3:$I$104,2,FALSE)</f>
        <v>COSTO SVAGHI</v>
      </c>
      <c r="I943" s="59">
        <v>63.2</v>
      </c>
      <c r="J943" s="940"/>
      <c r="K943" s="59"/>
      <c r="L943" s="59" t="s">
        <v>342</v>
      </c>
    </row>
    <row r="944" spans="1:12" ht="18.600000000000001" customHeight="1">
      <c r="A944" s="57" t="s">
        <v>92</v>
      </c>
      <c r="B944" s="57" t="s">
        <v>352</v>
      </c>
      <c r="C944" s="57">
        <v>2025</v>
      </c>
      <c r="D944" s="58">
        <f>MATCH(B944,{"GENNAIO","FEBBRAIO","MARZO","APRILE","MAGGIO","GIUGNO","LUGLIO","AGOSTO","SETTEMBRE","OTTOBRE","NOVEMBRE","DICEMBRE"},0)</f>
        <v>4</v>
      </c>
      <c r="E944" s="57" t="str">
        <f t="shared" ref="E944" si="1522">CONCATENATE(,B944," ",C944)</f>
        <v>APRILE 2025</v>
      </c>
      <c r="F944" s="57" t="str">
        <f t="shared" ref="F944" si="1523">CONCATENATE(D944," ",E944)</f>
        <v>4 APRILE 2025</v>
      </c>
      <c r="G944" s="1309" t="s">
        <v>94</v>
      </c>
      <c r="H944" s="1309" t="str">
        <f>VLOOKUP(G944,CATEGORIE!$H$3:$I$104,2,FALSE)</f>
        <v>COSTO SVAGHI</v>
      </c>
      <c r="I944" s="59">
        <v>11</v>
      </c>
      <c r="J944" s="940"/>
      <c r="K944" s="59"/>
      <c r="L944" s="59"/>
    </row>
    <row r="945" spans="1:12" ht="18.600000000000001" customHeight="1">
      <c r="A945" s="57" t="s">
        <v>92</v>
      </c>
      <c r="B945" s="57" t="s">
        <v>352</v>
      </c>
      <c r="C945" s="57">
        <v>2025</v>
      </c>
      <c r="D945" s="58">
        <f>MATCH(B945,{"GENNAIO","FEBBRAIO","MARZO","APRILE","MAGGIO","GIUGNO","LUGLIO","AGOSTO","SETTEMBRE","OTTOBRE","NOVEMBRE","DICEMBRE"},0)</f>
        <v>4</v>
      </c>
      <c r="E945" s="57" t="str">
        <f t="shared" ref="E945" si="1524">CONCATENATE(,B945," ",C945)</f>
        <v>APRILE 2025</v>
      </c>
      <c r="F945" s="57" t="str">
        <f t="shared" ref="F945" si="1525">CONCATENATE(D945," ",E945)</f>
        <v>4 APRILE 2025</v>
      </c>
      <c r="G945" s="1309" t="s">
        <v>93</v>
      </c>
      <c r="H945" s="1309" t="str">
        <f>VLOOKUP(G945,CATEGORIE!$H$3:$I$104,2,FALSE)</f>
        <v>COSTO SOPRAVVIVENZA</v>
      </c>
      <c r="I945" s="59">
        <v>6.5</v>
      </c>
      <c r="J945" s="940"/>
      <c r="K945" s="59"/>
      <c r="L945" s="59"/>
    </row>
    <row r="946" spans="1:12" ht="18.600000000000001" customHeight="1">
      <c r="A946" s="57" t="s">
        <v>224</v>
      </c>
      <c r="B946" s="57" t="s">
        <v>352</v>
      </c>
      <c r="C946" s="57">
        <v>2025</v>
      </c>
      <c r="D946" s="58">
        <f>MATCH(B946,{"GENNAIO","FEBBRAIO","MARZO","APRILE","MAGGIO","GIUGNO","LUGLIO","AGOSTO","SETTEMBRE","OTTOBRE","NOVEMBRE","DICEMBRE"},0)</f>
        <v>4</v>
      </c>
      <c r="E946" s="57" t="str">
        <f t="shared" ref="E946" si="1526">CONCATENATE(,B946," ",C946)</f>
        <v>APRILE 2025</v>
      </c>
      <c r="F946" s="57" t="str">
        <f t="shared" ref="F946" si="1527">CONCATENATE(D946," ",E946)</f>
        <v>4 APRILE 2025</v>
      </c>
      <c r="G946" s="1309" t="s">
        <v>185</v>
      </c>
      <c r="H946" s="1309" t="str">
        <f>VLOOKUP(G946,CATEGORIE!$H$3:$I$104,2,FALSE)</f>
        <v>COSTO SFIZI</v>
      </c>
      <c r="I946" s="59">
        <v>4</v>
      </c>
      <c r="J946" s="940"/>
      <c r="K946" s="59"/>
      <c r="L946" s="59" t="s">
        <v>356</v>
      </c>
    </row>
    <row r="947" spans="1:12" ht="18.600000000000001" customHeight="1">
      <c r="A947" s="57" t="s">
        <v>296</v>
      </c>
      <c r="B947" s="57" t="s">
        <v>352</v>
      </c>
      <c r="C947" s="57">
        <v>2025</v>
      </c>
      <c r="D947" s="58">
        <f>MATCH(B947,{"GENNAIO","FEBBRAIO","MARZO","APRILE","MAGGIO","GIUGNO","LUGLIO","AGOSTO","SETTEMBRE","OTTOBRE","NOVEMBRE","DICEMBRE"},0)</f>
        <v>4</v>
      </c>
      <c r="E947" s="57" t="str">
        <f t="shared" ref="E947" si="1528">CONCATENATE(,B947," ",C947)</f>
        <v>APRILE 2025</v>
      </c>
      <c r="F947" s="57" t="str">
        <f t="shared" ref="F947" si="1529">CONCATENATE(D947," ",E947)</f>
        <v>4 APRILE 2025</v>
      </c>
      <c r="G947" s="1309" t="s">
        <v>1289</v>
      </c>
      <c r="H947" s="1309" t="str">
        <f>VLOOKUP(G947,CATEGORIE!$H$3:$I$104,2,FALSE)</f>
        <v>COSTO SFIZI</v>
      </c>
      <c r="I947" s="59">
        <v>51</v>
      </c>
      <c r="J947" s="940"/>
      <c r="K947" s="59"/>
      <c r="L947" s="59"/>
    </row>
    <row r="948" spans="1:12">
      <c r="A948" s="57" t="s">
        <v>130</v>
      </c>
      <c r="B948" s="57" t="s">
        <v>352</v>
      </c>
      <c r="C948" s="57">
        <v>2025</v>
      </c>
      <c r="D948" s="58">
        <f>MATCH(B948,{"GENNAIO","FEBBRAIO","MARZO","APRILE","MAGGIO","GIUGNO","LUGLIO","AGOSTO","SETTEMBRE","OTTOBRE","NOVEMBRE","DICEMBRE"},0)</f>
        <v>4</v>
      </c>
      <c r="E948" s="57" t="str">
        <f t="shared" ref="E948" si="1530">CONCATENATE(,B948," ",C948)</f>
        <v>APRILE 2025</v>
      </c>
      <c r="F948" s="57" t="str">
        <f t="shared" ref="F948" si="1531">CONCATENATE(D948," ",E948)</f>
        <v>4 APRILE 2025</v>
      </c>
      <c r="G948" s="1309" t="s">
        <v>94</v>
      </c>
      <c r="H948" s="1309" t="str">
        <f>VLOOKUP(G948,CATEGORIE!$H$3:$I$104,2,FALSE)</f>
        <v>COSTO SVAGHI</v>
      </c>
      <c r="I948" s="59">
        <v>41</v>
      </c>
      <c r="J948" s="940"/>
      <c r="K948" s="59"/>
      <c r="L948" s="59"/>
    </row>
    <row r="949" spans="1:12">
      <c r="A949" s="57" t="s">
        <v>105</v>
      </c>
      <c r="B949" s="57" t="s">
        <v>352</v>
      </c>
      <c r="C949" s="57">
        <v>2025</v>
      </c>
      <c r="D949" s="58">
        <f>MATCH(B949,{"GENNAIO","FEBBRAIO","MARZO","APRILE","MAGGIO","GIUGNO","LUGLIO","AGOSTO","SETTEMBRE","OTTOBRE","NOVEMBRE","DICEMBRE"},0)</f>
        <v>4</v>
      </c>
      <c r="E949" s="57" t="str">
        <f t="shared" ref="E949" si="1532">CONCATENATE(,B949," ",C949)</f>
        <v>APRILE 2025</v>
      </c>
      <c r="F949" s="57" t="str">
        <f t="shared" ref="F949" si="1533">CONCATENATE(D949," ",E949)</f>
        <v>4 APRILE 2025</v>
      </c>
      <c r="G949" s="1309" t="s">
        <v>96</v>
      </c>
      <c r="H949" s="1309" t="str">
        <f>VLOOKUP(G949,CATEGORIE!$H$3:$I$104,2,FALSE)</f>
        <v>COSTO SOPRAVVIVENZA</v>
      </c>
      <c r="I949" s="59">
        <v>28.44</v>
      </c>
      <c r="J949" s="940"/>
      <c r="K949" s="59"/>
      <c r="L949" s="59"/>
    </row>
    <row r="950" spans="1:12">
      <c r="A950" s="57" t="s">
        <v>95</v>
      </c>
      <c r="B950" s="57" t="s">
        <v>352</v>
      </c>
      <c r="C950" s="57">
        <v>2025</v>
      </c>
      <c r="D950" s="58">
        <f>MATCH(B950,{"GENNAIO","FEBBRAIO","MARZO","APRILE","MAGGIO","GIUGNO","LUGLIO","AGOSTO","SETTEMBRE","OTTOBRE","NOVEMBRE","DICEMBRE"},0)</f>
        <v>4</v>
      </c>
      <c r="E950" s="57" t="str">
        <f t="shared" ref="E950" si="1534">CONCATENATE(,B950," ",C950)</f>
        <v>APRILE 2025</v>
      </c>
      <c r="F950" s="57" t="str">
        <f t="shared" ref="F950" si="1535">CONCATENATE(D950," ",E950)</f>
        <v>4 APRILE 2025</v>
      </c>
      <c r="G950" s="1309" t="s">
        <v>96</v>
      </c>
      <c r="H950" s="1309" t="str">
        <f>VLOOKUP(G950,CATEGORIE!$H$3:$I$104,2,FALSE)</f>
        <v>COSTO SOPRAVVIVENZA</v>
      </c>
      <c r="I950" s="59">
        <v>18.309999999999999</v>
      </c>
      <c r="J950" s="940"/>
      <c r="K950" s="59"/>
      <c r="L950" s="59"/>
    </row>
    <row r="951" spans="1:12">
      <c r="A951" s="57" t="s">
        <v>131</v>
      </c>
      <c r="B951" s="57" t="s">
        <v>352</v>
      </c>
      <c r="C951" s="57">
        <v>2025</v>
      </c>
      <c r="D951" s="58">
        <f>MATCH(B951,{"GENNAIO","FEBBRAIO","MARZO","APRILE","MAGGIO","GIUGNO","LUGLIO","AGOSTO","SETTEMBRE","OTTOBRE","NOVEMBRE","DICEMBRE"},0)</f>
        <v>4</v>
      </c>
      <c r="E951" s="57" t="str">
        <f t="shared" ref="E951" si="1536">CONCATENATE(,B951," ",C951)</f>
        <v>APRILE 2025</v>
      </c>
      <c r="F951" s="57" t="str">
        <f t="shared" ref="F951" si="1537">CONCATENATE(D951," ",E951)</f>
        <v>4 APRILE 2025</v>
      </c>
      <c r="G951" s="1309" t="s">
        <v>132</v>
      </c>
      <c r="H951" s="1309" t="str">
        <f>VLOOKUP(G951,CATEGORIE!$H$3:$I$104,2,FALSE)</f>
        <v>COSTO CASA</v>
      </c>
      <c r="I951" s="59">
        <v>58.85</v>
      </c>
      <c r="J951" s="940"/>
      <c r="K951" s="59"/>
      <c r="L951" s="59"/>
    </row>
    <row r="952" spans="1:12" ht="16.5" customHeight="1">
      <c r="A952" s="57" t="s">
        <v>92</v>
      </c>
      <c r="B952" s="57" t="s">
        <v>352</v>
      </c>
      <c r="C952" s="57">
        <v>2025</v>
      </c>
      <c r="D952" s="58">
        <f>MATCH(B952,{"GENNAIO","FEBBRAIO","MARZO","APRILE","MAGGIO","GIUGNO","LUGLIO","AGOSTO","SETTEMBRE","OTTOBRE","NOVEMBRE","DICEMBRE"},0)</f>
        <v>4</v>
      </c>
      <c r="E952" s="57" t="str">
        <f t="shared" ref="E952" si="1538">CONCATENATE(,B952," ",C952)</f>
        <v>APRILE 2025</v>
      </c>
      <c r="F952" s="57" t="str">
        <f t="shared" ref="F952" si="1539">CONCATENATE(D952," ",E952)</f>
        <v>4 APRILE 2025</v>
      </c>
      <c r="G952" s="1309" t="s">
        <v>94</v>
      </c>
      <c r="H952" s="1309" t="str">
        <f>VLOOKUP(G952,CATEGORIE!$H$3:$I$104,2,FALSE)</f>
        <v>COSTO SVAGHI</v>
      </c>
      <c r="I952" s="59">
        <v>10.7</v>
      </c>
      <c r="J952" s="940"/>
      <c r="K952" s="59"/>
      <c r="L952" s="59"/>
    </row>
    <row r="953" spans="1:12">
      <c r="A953" s="57" t="s">
        <v>101</v>
      </c>
      <c r="B953" s="57" t="s">
        <v>352</v>
      </c>
      <c r="C953" s="57">
        <v>2025</v>
      </c>
      <c r="D953" s="58">
        <f>MATCH(B953,{"GENNAIO","FEBBRAIO","MARZO","APRILE","MAGGIO","GIUGNO","LUGLIO","AGOSTO","SETTEMBRE","OTTOBRE","NOVEMBRE","DICEMBRE"},0)</f>
        <v>4</v>
      </c>
      <c r="E953" s="57" t="str">
        <f t="shared" ref="E953:E954" si="1540">CONCATENATE(,B953," ",C953)</f>
        <v>APRILE 2025</v>
      </c>
      <c r="F953" s="57" t="str">
        <f t="shared" ref="F953:F954" si="1541">CONCATENATE(D953," ",E953)</f>
        <v>4 APRILE 2025</v>
      </c>
      <c r="G953" s="1309" t="s">
        <v>91</v>
      </c>
      <c r="H953" s="1309" t="str">
        <f>VLOOKUP(G953,CATEGORIE!$H$3:$I$104,2,FALSE)</f>
        <v>COSTO SOPRAVVIVENZA</v>
      </c>
      <c r="I953" s="59">
        <v>0.4</v>
      </c>
      <c r="J953" s="940"/>
      <c r="K953" s="59"/>
      <c r="L953" s="59"/>
    </row>
    <row r="954" spans="1:12">
      <c r="A954" s="57" t="s">
        <v>101</v>
      </c>
      <c r="B954" s="57" t="s">
        <v>352</v>
      </c>
      <c r="C954" s="57">
        <v>2025</v>
      </c>
      <c r="D954" s="58">
        <f>MATCH(B954,{"GENNAIO","FEBBRAIO","MARZO","APRILE","MAGGIO","GIUGNO","LUGLIO","AGOSTO","SETTEMBRE","OTTOBRE","NOVEMBRE","DICEMBRE"},0)</f>
        <v>4</v>
      </c>
      <c r="E954" s="57" t="str">
        <f t="shared" si="1540"/>
        <v>APRILE 2025</v>
      </c>
      <c r="F954" s="57" t="str">
        <f t="shared" si="1541"/>
        <v>4 APRILE 2025</v>
      </c>
      <c r="G954" s="1309" t="s">
        <v>91</v>
      </c>
      <c r="H954" s="1309" t="str">
        <f>VLOOKUP(G954,CATEGORIE!$H$3:$I$104,2,FALSE)</f>
        <v>COSTO SOPRAVVIVENZA</v>
      </c>
      <c r="I954" s="59">
        <v>0.4</v>
      </c>
      <c r="J954" s="940"/>
      <c r="K954" s="59"/>
      <c r="L954" s="59"/>
    </row>
    <row r="955" spans="1:12">
      <c r="A955" s="57" t="s">
        <v>99</v>
      </c>
      <c r="B955" s="57" t="s">
        <v>352</v>
      </c>
      <c r="C955" s="57">
        <v>2025</v>
      </c>
      <c r="D955" s="58">
        <f>MATCH(B955,{"GENNAIO","FEBBRAIO","MARZO","APRILE","MAGGIO","GIUGNO","LUGLIO","AGOSTO","SETTEMBRE","OTTOBRE","NOVEMBRE","DICEMBRE"},0)</f>
        <v>4</v>
      </c>
      <c r="E955" s="57" t="str">
        <f t="shared" ref="E955" si="1542">CONCATENATE(,B955," ",C955)</f>
        <v>APRILE 2025</v>
      </c>
      <c r="F955" s="57" t="str">
        <f t="shared" ref="F955" si="1543">CONCATENATE(D955," ",E955)</f>
        <v>4 APRILE 2025</v>
      </c>
      <c r="G955" s="1309" t="s">
        <v>100</v>
      </c>
      <c r="H955" s="1309" t="str">
        <f>VLOOKUP(G955,CATEGORIE!$H$3:$I$104,2,FALSE)</f>
        <v>COSTO SFIZI</v>
      </c>
      <c r="I955" s="59">
        <v>40.799999999999997</v>
      </c>
      <c r="J955" s="940"/>
      <c r="K955" s="57" t="s">
        <v>99</v>
      </c>
      <c r="L955" s="59"/>
    </row>
    <row r="956" spans="1:12">
      <c r="A956" s="57" t="s">
        <v>101</v>
      </c>
      <c r="B956" s="57" t="s">
        <v>352</v>
      </c>
      <c r="C956" s="57">
        <v>2025</v>
      </c>
      <c r="D956" s="58">
        <f>MATCH(B956,{"GENNAIO","FEBBRAIO","MARZO","APRILE","MAGGIO","GIUGNO","LUGLIO","AGOSTO","SETTEMBRE","OTTOBRE","NOVEMBRE","DICEMBRE"},0)</f>
        <v>4</v>
      </c>
      <c r="E956" s="57" t="str">
        <f t="shared" ref="E956" si="1544">CONCATENATE(,B956," ",C956)</f>
        <v>APRILE 2025</v>
      </c>
      <c r="F956" s="57" t="str">
        <f t="shared" ref="F956" si="1545">CONCATENATE(D956," ",E956)</f>
        <v>4 APRILE 2025</v>
      </c>
      <c r="G956" s="1309" t="s">
        <v>91</v>
      </c>
      <c r="H956" s="1309" t="str">
        <f>VLOOKUP(G956,CATEGORIE!$H$3:$I$104,2,FALSE)</f>
        <v>COSTO SOPRAVVIVENZA</v>
      </c>
      <c r="I956" s="59">
        <v>0.4</v>
      </c>
      <c r="J956" s="940"/>
      <c r="K956" s="59"/>
      <c r="L956" s="59"/>
    </row>
    <row r="957" spans="1:12">
      <c r="A957" s="57" t="s">
        <v>101</v>
      </c>
      <c r="B957" s="57" t="s">
        <v>352</v>
      </c>
      <c r="C957" s="57">
        <v>2025</v>
      </c>
      <c r="D957" s="58">
        <f>MATCH(B957,{"GENNAIO","FEBBRAIO","MARZO","APRILE","MAGGIO","GIUGNO","LUGLIO","AGOSTO","SETTEMBRE","OTTOBRE","NOVEMBRE","DICEMBRE"},0)</f>
        <v>4</v>
      </c>
      <c r="E957" s="57" t="str">
        <f t="shared" ref="E957" si="1546">CONCATENATE(,B957," ",C957)</f>
        <v>APRILE 2025</v>
      </c>
      <c r="F957" s="57" t="str">
        <f t="shared" ref="F957" si="1547">CONCATENATE(D957," ",E957)</f>
        <v>4 APRILE 2025</v>
      </c>
      <c r="G957" s="1309" t="s">
        <v>91</v>
      </c>
      <c r="H957" s="1309" t="str">
        <f>VLOOKUP(G957,CATEGORIE!$H$3:$I$104,2,FALSE)</f>
        <v>COSTO SOPRAVVIVENZA</v>
      </c>
      <c r="I957" s="59">
        <v>0.4</v>
      </c>
      <c r="J957" s="940"/>
      <c r="K957" s="59"/>
      <c r="L957" s="59"/>
    </row>
    <row r="958" spans="1:12">
      <c r="A958" s="57" t="s">
        <v>357</v>
      </c>
      <c r="B958" s="57" t="s">
        <v>352</v>
      </c>
      <c r="C958" s="57">
        <v>2025</v>
      </c>
      <c r="D958" s="58">
        <f>MATCH(B958,{"GENNAIO","FEBBRAIO","MARZO","APRILE","MAGGIO","GIUGNO","LUGLIO","AGOSTO","SETTEMBRE","OTTOBRE","NOVEMBRE","DICEMBRE"},0)</f>
        <v>4</v>
      </c>
      <c r="E958" s="57" t="str">
        <f t="shared" ref="E958" si="1548">CONCATENATE(,B958," ",C958)</f>
        <v>APRILE 2025</v>
      </c>
      <c r="F958" s="57" t="str">
        <f t="shared" ref="F958" si="1549">CONCATENATE(D958," ",E958)</f>
        <v>4 APRILE 2025</v>
      </c>
      <c r="G958" s="1309" t="s">
        <v>96</v>
      </c>
      <c r="H958" s="1309" t="str">
        <f>VLOOKUP(G958,CATEGORIE!$H$3:$I$104,2,FALSE)</f>
        <v>COSTO SOPRAVVIVENZA</v>
      </c>
      <c r="I958" s="59">
        <v>21.8</v>
      </c>
      <c r="J958" s="940"/>
      <c r="K958" s="59"/>
      <c r="L958" s="59"/>
    </row>
    <row r="959" spans="1:12">
      <c r="A959" s="57" t="s">
        <v>92</v>
      </c>
      <c r="B959" s="57" t="s">
        <v>352</v>
      </c>
      <c r="C959" s="57">
        <v>2025</v>
      </c>
      <c r="D959" s="58">
        <f>MATCH(B959,{"GENNAIO","FEBBRAIO","MARZO","APRILE","MAGGIO","GIUGNO","LUGLIO","AGOSTO","SETTEMBRE","OTTOBRE","NOVEMBRE","DICEMBRE"},0)</f>
        <v>4</v>
      </c>
      <c r="E959" s="57" t="str">
        <f t="shared" ref="E959" si="1550">CONCATENATE(,B959," ",C959)</f>
        <v>APRILE 2025</v>
      </c>
      <c r="F959" s="57" t="str">
        <f t="shared" ref="F959" si="1551">CONCATENATE(D959," ",E959)</f>
        <v>4 APRILE 2025</v>
      </c>
      <c r="G959" s="1309" t="s">
        <v>94</v>
      </c>
      <c r="H959" s="1309" t="str">
        <f>VLOOKUP(G959,CATEGORIE!$H$3:$I$104,2,FALSE)</f>
        <v>COSTO SVAGHI</v>
      </c>
      <c r="I959" s="59">
        <v>5.6</v>
      </c>
      <c r="J959" s="940"/>
      <c r="K959" s="59"/>
      <c r="L959" s="59"/>
    </row>
    <row r="960" spans="1:12">
      <c r="A960" s="57" t="s">
        <v>101</v>
      </c>
      <c r="B960" s="57" t="s">
        <v>352</v>
      </c>
      <c r="C960" s="57">
        <v>2025</v>
      </c>
      <c r="D960" s="58">
        <f>MATCH(B960,{"GENNAIO","FEBBRAIO","MARZO","APRILE","MAGGIO","GIUGNO","LUGLIO","AGOSTO","SETTEMBRE","OTTOBRE","NOVEMBRE","DICEMBRE"},0)</f>
        <v>4</v>
      </c>
      <c r="E960" s="57" t="str">
        <f t="shared" ref="E960" si="1552">CONCATENATE(,B960," ",C960)</f>
        <v>APRILE 2025</v>
      </c>
      <c r="F960" s="57" t="str">
        <f t="shared" ref="F960" si="1553">CONCATENATE(D960," ",E960)</f>
        <v>4 APRILE 2025</v>
      </c>
      <c r="G960" s="1309" t="s">
        <v>91</v>
      </c>
      <c r="H960" s="1309" t="str">
        <f>VLOOKUP(G960,CATEGORIE!$H$3:$I$104,2,FALSE)</f>
        <v>COSTO SOPRAVVIVENZA</v>
      </c>
      <c r="I960" s="59">
        <v>0.4</v>
      </c>
      <c r="J960" s="940"/>
      <c r="K960" s="59"/>
      <c r="L960" s="59"/>
    </row>
    <row r="961" spans="1:12" ht="18.600000000000001" customHeight="1">
      <c r="A961" s="57" t="s">
        <v>101</v>
      </c>
      <c r="B961" s="57" t="s">
        <v>352</v>
      </c>
      <c r="C961" s="57">
        <v>2025</v>
      </c>
      <c r="D961" s="58">
        <f>MATCH(B961,{"GENNAIO","FEBBRAIO","MARZO","APRILE","MAGGIO","GIUGNO","LUGLIO","AGOSTO","SETTEMBRE","OTTOBRE","NOVEMBRE","DICEMBRE"},0)</f>
        <v>4</v>
      </c>
      <c r="E961" s="57" t="str">
        <f t="shared" ref="E961" si="1554">CONCATENATE(,B961," ",C961)</f>
        <v>APRILE 2025</v>
      </c>
      <c r="F961" s="57" t="str">
        <f t="shared" ref="F961" si="1555">CONCATENATE(D961," ",E961)</f>
        <v>4 APRILE 2025</v>
      </c>
      <c r="G961" s="1309" t="s">
        <v>91</v>
      </c>
      <c r="H961" s="1309" t="str">
        <f>VLOOKUP(G961,CATEGORIE!$H$3:$I$104,2,FALSE)</f>
        <v>COSTO SOPRAVVIVENZA</v>
      </c>
      <c r="I961" s="59">
        <v>0.4</v>
      </c>
      <c r="J961" s="940"/>
      <c r="K961" s="59"/>
      <c r="L961" s="59"/>
    </row>
    <row r="962" spans="1:12" ht="18.600000000000001" customHeight="1">
      <c r="A962" s="57" t="s">
        <v>358</v>
      </c>
      <c r="B962" s="57" t="s">
        <v>352</v>
      </c>
      <c r="C962" s="57">
        <v>2025</v>
      </c>
      <c r="D962" s="58">
        <f>MATCH(B962,{"GENNAIO","FEBBRAIO","MARZO","APRILE","MAGGIO","GIUGNO","LUGLIO","AGOSTO","SETTEMBRE","OTTOBRE","NOVEMBRE","DICEMBRE"},0)</f>
        <v>4</v>
      </c>
      <c r="E962" s="57" t="str">
        <f t="shared" ref="E962" si="1556">CONCATENATE(,B962," ",C962)</f>
        <v>APRILE 2025</v>
      </c>
      <c r="F962" s="57" t="str">
        <f t="shared" ref="F962" si="1557">CONCATENATE(D962," ",E962)</f>
        <v>4 APRILE 2025</v>
      </c>
      <c r="G962" s="1309" t="s">
        <v>1250</v>
      </c>
      <c r="H962" s="1309" t="str">
        <f>VLOOKUP(G962,CATEGORIE!$H$3:$I$104,2,FALSE)</f>
        <v>COSTO VACANZE</v>
      </c>
      <c r="I962" s="59">
        <v>67.5</v>
      </c>
      <c r="J962" s="940"/>
      <c r="K962" s="59"/>
      <c r="L962" s="59" t="s">
        <v>342</v>
      </c>
    </row>
    <row r="963" spans="1:12" ht="18.600000000000001" customHeight="1">
      <c r="A963" s="57" t="s">
        <v>359</v>
      </c>
      <c r="B963" s="57" t="s">
        <v>352</v>
      </c>
      <c r="C963" s="57">
        <v>2025</v>
      </c>
      <c r="D963" s="58">
        <f>MATCH(B963,{"GENNAIO","FEBBRAIO","MARZO","APRILE","MAGGIO","GIUGNO","LUGLIO","AGOSTO","SETTEMBRE","OTTOBRE","NOVEMBRE","DICEMBRE"},0)</f>
        <v>4</v>
      </c>
      <c r="E963" s="57" t="str">
        <f t="shared" ref="E963:E964" si="1558">CONCATENATE(,B963," ",C963)</f>
        <v>APRILE 2025</v>
      </c>
      <c r="F963" s="57" t="str">
        <f t="shared" ref="F963:F964" si="1559">CONCATENATE(D963," ",E963)</f>
        <v>4 APRILE 2025</v>
      </c>
      <c r="G963" s="1309" t="s">
        <v>1250</v>
      </c>
      <c r="H963" s="1309" t="str">
        <f>VLOOKUP(G963,CATEGORIE!$H$3:$I$104,2,FALSE)</f>
        <v>COSTO VACANZE</v>
      </c>
      <c r="I963" s="59">
        <v>61.68</v>
      </c>
      <c r="J963" s="940"/>
      <c r="K963" s="59" t="s">
        <v>97</v>
      </c>
      <c r="L963" s="59" t="s">
        <v>342</v>
      </c>
    </row>
    <row r="964" spans="1:12">
      <c r="A964" s="57" t="s">
        <v>102</v>
      </c>
      <c r="B964" s="57" t="s">
        <v>352</v>
      </c>
      <c r="C964" s="57">
        <v>2025</v>
      </c>
      <c r="D964" s="58">
        <f>MATCH(B964,{"GENNAIO","FEBBRAIO","MARZO","APRILE","MAGGIO","GIUGNO","LUGLIO","AGOSTO","SETTEMBRE","OTTOBRE","NOVEMBRE","DICEMBRE"},0)</f>
        <v>4</v>
      </c>
      <c r="E964" s="57" t="str">
        <f t="shared" si="1558"/>
        <v>APRILE 2025</v>
      </c>
      <c r="F964" s="57" t="str">
        <f t="shared" si="1559"/>
        <v>4 APRILE 2025</v>
      </c>
      <c r="G964" s="1309" t="s">
        <v>96</v>
      </c>
      <c r="H964" s="1309" t="str">
        <f>VLOOKUP(G964,CATEGORIE!$H$3:$I$104,2,FALSE)</f>
        <v>COSTO SOPRAVVIVENZA</v>
      </c>
      <c r="I964" s="59">
        <v>6.04</v>
      </c>
      <c r="J964" s="940"/>
      <c r="K964" s="59"/>
      <c r="L964" s="59" t="s">
        <v>360</v>
      </c>
    </row>
    <row r="965" spans="1:12" ht="18.600000000000001" customHeight="1">
      <c r="A965" s="57" t="s">
        <v>95</v>
      </c>
      <c r="B965" s="57" t="s">
        <v>352</v>
      </c>
      <c r="C965" s="57">
        <v>2025</v>
      </c>
      <c r="D965" s="58">
        <f>MATCH(B965,{"GENNAIO","FEBBRAIO","MARZO","APRILE","MAGGIO","GIUGNO","LUGLIO","AGOSTO","SETTEMBRE","OTTOBRE","NOVEMBRE","DICEMBRE"},0)</f>
        <v>4</v>
      </c>
      <c r="E965" s="57" t="str">
        <f t="shared" ref="E965" si="1560">CONCATENATE(,B965," ",C965)</f>
        <v>APRILE 2025</v>
      </c>
      <c r="F965" s="57" t="str">
        <f t="shared" ref="F965" si="1561">CONCATENATE(D965," ",E965)</f>
        <v>4 APRILE 2025</v>
      </c>
      <c r="G965" s="1309" t="s">
        <v>96</v>
      </c>
      <c r="H965" s="1309" t="str">
        <f>VLOOKUP(G965,CATEGORIE!$H$3:$I$104,2,FALSE)</f>
        <v>COSTO SOPRAVVIVENZA</v>
      </c>
      <c r="I965" s="59">
        <v>27.53</v>
      </c>
      <c r="J965" s="940"/>
      <c r="K965" s="59"/>
      <c r="L965" s="59" t="s">
        <v>360</v>
      </c>
    </row>
    <row r="966" spans="1:12">
      <c r="A966" s="57" t="s">
        <v>105</v>
      </c>
      <c r="B966" s="57" t="s">
        <v>352</v>
      </c>
      <c r="C966" s="57">
        <v>2025</v>
      </c>
      <c r="D966" s="58">
        <f>MATCH(B966,{"GENNAIO","FEBBRAIO","MARZO","APRILE","MAGGIO","GIUGNO","LUGLIO","AGOSTO","SETTEMBRE","OTTOBRE","NOVEMBRE","DICEMBRE"},0)</f>
        <v>4</v>
      </c>
      <c r="E966" s="57" t="str">
        <f t="shared" ref="E966" si="1562">CONCATENATE(,B966," ",C966)</f>
        <v>APRILE 2025</v>
      </c>
      <c r="F966" s="57" t="str">
        <f t="shared" ref="F966" si="1563">CONCATENATE(D966," ",E966)</f>
        <v>4 APRILE 2025</v>
      </c>
      <c r="G966" s="1309" t="s">
        <v>96</v>
      </c>
      <c r="H966" s="1309" t="str">
        <f>VLOOKUP(G966,CATEGORIE!$H$3:$I$104,2,FALSE)</f>
        <v>COSTO SOPRAVVIVENZA</v>
      </c>
      <c r="I966" s="59">
        <v>19.95</v>
      </c>
      <c r="J966" s="940"/>
      <c r="K966" s="59"/>
      <c r="L966" s="59" t="s">
        <v>360</v>
      </c>
    </row>
    <row r="967" spans="1:12">
      <c r="A967" s="57" t="s">
        <v>120</v>
      </c>
      <c r="B967" s="57" t="s">
        <v>352</v>
      </c>
      <c r="C967" s="57">
        <v>2025</v>
      </c>
      <c r="D967" s="58">
        <f>MATCH(B967,{"GENNAIO","FEBBRAIO","MARZO","APRILE","MAGGIO","GIUGNO","LUGLIO","AGOSTO","SETTEMBRE","OTTOBRE","NOVEMBRE","DICEMBRE"},0)</f>
        <v>4</v>
      </c>
      <c r="E967" s="57" t="str">
        <f t="shared" ref="E967" si="1564">CONCATENATE(,B967," ",C967)</f>
        <v>APRILE 2025</v>
      </c>
      <c r="F967" s="57" t="str">
        <f t="shared" ref="F967" si="1565">CONCATENATE(D967," ",E967)</f>
        <v>4 APRILE 2025</v>
      </c>
      <c r="G967" s="1309" t="s">
        <v>121</v>
      </c>
      <c r="H967" s="1309" t="str">
        <f>VLOOKUP(G967,CATEGORIE!$H$3:$I$104,2,FALSE)</f>
        <v>COSTO MOBILITA'</v>
      </c>
      <c r="I967" s="59">
        <v>7</v>
      </c>
      <c r="J967" s="940"/>
      <c r="K967" s="59"/>
      <c r="L967" s="59"/>
    </row>
    <row r="968" spans="1:12">
      <c r="A968" s="57" t="s">
        <v>156</v>
      </c>
      <c r="B968" s="57" t="s">
        <v>352</v>
      </c>
      <c r="C968" s="57">
        <v>2025</v>
      </c>
      <c r="D968" s="58">
        <f>MATCH(B968,{"GENNAIO","FEBBRAIO","MARZO","APRILE","MAGGIO","GIUGNO","LUGLIO","AGOSTO","SETTEMBRE","OTTOBRE","NOVEMBRE","DICEMBRE"},0)</f>
        <v>4</v>
      </c>
      <c r="E968" s="57" t="str">
        <f t="shared" ref="E968" si="1566">CONCATENATE(,B968," ",C968)</f>
        <v>APRILE 2025</v>
      </c>
      <c r="F968" s="57" t="str">
        <f t="shared" ref="F968" si="1567">CONCATENATE(D968," ",E968)</f>
        <v>4 APRILE 2025</v>
      </c>
      <c r="G968" s="1309" t="s">
        <v>185</v>
      </c>
      <c r="H968" s="1309" t="str">
        <f>VLOOKUP(G968,CATEGORIE!$H$3:$I$104,2,FALSE)</f>
        <v>COSTO SFIZI</v>
      </c>
      <c r="I968" s="59">
        <v>34.549999999999997</v>
      </c>
      <c r="J968" s="940"/>
      <c r="K968" s="59"/>
      <c r="L968" s="59" t="s">
        <v>356</v>
      </c>
    </row>
    <row r="969" spans="1:12" ht="16.5" customHeight="1">
      <c r="A969" s="57" t="s">
        <v>361</v>
      </c>
      <c r="B969" s="57" t="s">
        <v>352</v>
      </c>
      <c r="C969" s="57">
        <v>2025</v>
      </c>
      <c r="D969" s="58">
        <f>MATCH(B969,{"GENNAIO","FEBBRAIO","MARZO","APRILE","MAGGIO","GIUGNO","LUGLIO","AGOSTO","SETTEMBRE","OTTOBRE","NOVEMBRE","DICEMBRE"},0)</f>
        <v>4</v>
      </c>
      <c r="E969" s="57" t="str">
        <f t="shared" ref="E969" si="1568">CONCATENATE(,B969," ",C969)</f>
        <v>APRILE 2025</v>
      </c>
      <c r="F969" s="57" t="str">
        <f t="shared" ref="F969" si="1569">CONCATENATE(D969," ",E969)</f>
        <v>4 APRILE 2025</v>
      </c>
      <c r="G969" s="1309" t="s">
        <v>94</v>
      </c>
      <c r="H969" s="1309" t="str">
        <f>VLOOKUP(G969,CATEGORIE!$H$3:$I$104,2,FALSE)</f>
        <v>COSTO SVAGHI</v>
      </c>
      <c r="I969" s="59">
        <v>7</v>
      </c>
      <c r="J969" s="940"/>
      <c r="K969" s="59"/>
      <c r="L969" s="59"/>
    </row>
    <row r="970" spans="1:12">
      <c r="A970" s="57" t="s">
        <v>343</v>
      </c>
      <c r="B970" s="57" t="s">
        <v>352</v>
      </c>
      <c r="C970" s="57">
        <v>2025</v>
      </c>
      <c r="D970" s="58">
        <f>MATCH(B970,{"GENNAIO","FEBBRAIO","MARZO","APRILE","MAGGIO","GIUGNO","LUGLIO","AGOSTO","SETTEMBRE","OTTOBRE","NOVEMBRE","DICEMBRE"},0)</f>
        <v>4</v>
      </c>
      <c r="E970" s="57" t="str">
        <f t="shared" ref="E970" si="1570">CONCATENATE(,B970," ",C970)</f>
        <v>APRILE 2025</v>
      </c>
      <c r="F970" s="57" t="str">
        <f t="shared" ref="F970" si="1571">CONCATENATE(D970," ",E970)</f>
        <v>4 APRILE 2025</v>
      </c>
      <c r="G970" s="1309" t="s">
        <v>185</v>
      </c>
      <c r="H970" s="1309" t="str">
        <f>VLOOKUP(G970,CATEGORIE!$H$3:$I$104,2,FALSE)</f>
        <v>COSTO SFIZI</v>
      </c>
      <c r="I970" s="59">
        <v>30.67</v>
      </c>
      <c r="J970" s="940" t="s">
        <v>138</v>
      </c>
      <c r="K970" s="59" t="s">
        <v>112</v>
      </c>
      <c r="L970" s="59" t="s">
        <v>344</v>
      </c>
    </row>
    <row r="971" spans="1:12">
      <c r="A971" s="57" t="s">
        <v>92</v>
      </c>
      <c r="B971" s="57" t="s">
        <v>352</v>
      </c>
      <c r="C971" s="57">
        <v>2025</v>
      </c>
      <c r="D971" s="58">
        <f>MATCH(B971,{"GENNAIO","FEBBRAIO","MARZO","APRILE","MAGGIO","GIUGNO","LUGLIO","AGOSTO","SETTEMBRE","OTTOBRE","NOVEMBRE","DICEMBRE"},0)</f>
        <v>4</v>
      </c>
      <c r="E971" s="57" t="str">
        <f t="shared" ref="E971" si="1572">CONCATENATE(,B971," ",C971)</f>
        <v>APRILE 2025</v>
      </c>
      <c r="F971" s="57" t="str">
        <f t="shared" ref="F971" si="1573">CONCATENATE(D971," ",E971)</f>
        <v>4 APRILE 2025</v>
      </c>
      <c r="G971" s="1309" t="s">
        <v>93</v>
      </c>
      <c r="H971" s="1309" t="str">
        <f>VLOOKUP(G971,CATEGORIE!$H$3:$I$104,2,FALSE)</f>
        <v>COSTO SOPRAVVIVENZA</v>
      </c>
      <c r="I971" s="59">
        <v>6.5</v>
      </c>
      <c r="J971" s="940"/>
      <c r="K971" s="59"/>
      <c r="L971" s="59"/>
    </row>
    <row r="972" spans="1:12">
      <c r="A972" s="57" t="s">
        <v>187</v>
      </c>
      <c r="B972" s="57" t="s">
        <v>352</v>
      </c>
      <c r="C972" s="57">
        <v>2025</v>
      </c>
      <c r="D972" s="58">
        <f>MATCH(B972,{"GENNAIO","FEBBRAIO","MARZO","APRILE","MAGGIO","GIUGNO","LUGLIO","AGOSTO","SETTEMBRE","OTTOBRE","NOVEMBRE","DICEMBRE"},0)</f>
        <v>4</v>
      </c>
      <c r="E972" s="57" t="str">
        <f t="shared" ref="E972:E974" si="1574">CONCATENATE(,B972," ",C972)</f>
        <v>APRILE 2025</v>
      </c>
      <c r="F972" s="57" t="str">
        <f t="shared" ref="F972:F974" si="1575">CONCATENATE(D972," ",E972)</f>
        <v>4 APRILE 2025</v>
      </c>
      <c r="G972" s="1309" t="s">
        <v>188</v>
      </c>
      <c r="H972" s="1309" t="str">
        <f>VLOOKUP(G972,CATEGORIE!$H$3:$I$104,2,FALSE)</f>
        <v>COSTO VACANZE</v>
      </c>
      <c r="I972" s="59">
        <v>181.17</v>
      </c>
      <c r="J972" s="940"/>
      <c r="K972" s="59"/>
      <c r="L972" s="59" t="s">
        <v>342</v>
      </c>
    </row>
    <row r="973" spans="1:12">
      <c r="A973" s="57" t="s">
        <v>101</v>
      </c>
      <c r="B973" s="57" t="s">
        <v>352</v>
      </c>
      <c r="C973" s="57">
        <v>2025</v>
      </c>
      <c r="D973" s="58">
        <f>MATCH(B973,{"GENNAIO","FEBBRAIO","MARZO","APRILE","MAGGIO","GIUGNO","LUGLIO","AGOSTO","SETTEMBRE","OTTOBRE","NOVEMBRE","DICEMBRE"},0)</f>
        <v>4</v>
      </c>
      <c r="E973" s="57" t="str">
        <f t="shared" ref="E973" si="1576">CONCATENATE(,B973," ",C973)</f>
        <v>APRILE 2025</v>
      </c>
      <c r="F973" s="57" t="str">
        <f t="shared" ref="F973" si="1577">CONCATENATE(D973," ",E973)</f>
        <v>4 APRILE 2025</v>
      </c>
      <c r="G973" s="1309" t="s">
        <v>91</v>
      </c>
      <c r="H973" s="1309" t="str">
        <f>VLOOKUP(G973,CATEGORIE!$H$3:$I$104,2,FALSE)</f>
        <v>COSTO SOPRAVVIVENZA</v>
      </c>
      <c r="I973" s="59">
        <v>0.4</v>
      </c>
      <c r="J973" s="940"/>
      <c r="K973" s="59"/>
      <c r="L973" s="59"/>
    </row>
    <row r="974" spans="1:12">
      <c r="A974" s="57" t="s">
        <v>101</v>
      </c>
      <c r="B974" s="57" t="s">
        <v>352</v>
      </c>
      <c r="C974" s="57">
        <v>2025</v>
      </c>
      <c r="D974" s="58">
        <f>MATCH(B974,{"GENNAIO","FEBBRAIO","MARZO","APRILE","MAGGIO","GIUGNO","LUGLIO","AGOSTO","SETTEMBRE","OTTOBRE","NOVEMBRE","DICEMBRE"},0)</f>
        <v>4</v>
      </c>
      <c r="E974" s="57" t="str">
        <f t="shared" si="1574"/>
        <v>APRILE 2025</v>
      </c>
      <c r="F974" s="57" t="str">
        <f t="shared" si="1575"/>
        <v>4 APRILE 2025</v>
      </c>
      <c r="G974" s="1309" t="s">
        <v>91</v>
      </c>
      <c r="H974" s="1309" t="str">
        <f>VLOOKUP(G974,CATEGORIE!$H$3:$I$104,2,FALSE)</f>
        <v>COSTO SOPRAVVIVENZA</v>
      </c>
      <c r="I974" s="59">
        <v>0.4</v>
      </c>
      <c r="J974" s="940"/>
      <c r="K974" s="59"/>
      <c r="L974" s="59"/>
    </row>
    <row r="975" spans="1:12" ht="18.600000000000001" customHeight="1">
      <c r="A975" s="57" t="s">
        <v>92</v>
      </c>
      <c r="B975" s="57" t="s">
        <v>352</v>
      </c>
      <c r="C975" s="57">
        <v>2025</v>
      </c>
      <c r="D975" s="58">
        <f>MATCH(B975,{"GENNAIO","FEBBRAIO","MARZO","APRILE","MAGGIO","GIUGNO","LUGLIO","AGOSTO","SETTEMBRE","OTTOBRE","NOVEMBRE","DICEMBRE"},0)</f>
        <v>4</v>
      </c>
      <c r="E975" s="57" t="str">
        <f t="shared" ref="E975" si="1578">CONCATENATE(,B975," ",C975)</f>
        <v>APRILE 2025</v>
      </c>
      <c r="F975" s="57" t="str">
        <f t="shared" ref="F975" si="1579">CONCATENATE(D975," ",E975)</f>
        <v>4 APRILE 2025</v>
      </c>
      <c r="G975" s="1309" t="s">
        <v>94</v>
      </c>
      <c r="H975" s="1309" t="str">
        <f>VLOOKUP(G975,CATEGORIE!$H$3:$I$104,2,FALSE)</f>
        <v>COSTO SVAGHI</v>
      </c>
      <c r="I975" s="59">
        <v>4.2</v>
      </c>
      <c r="J975" s="940"/>
      <c r="K975" s="59"/>
      <c r="L975" s="59"/>
    </row>
    <row r="976" spans="1:12">
      <c r="A976" s="57" t="s">
        <v>101</v>
      </c>
      <c r="B976" s="57" t="s">
        <v>352</v>
      </c>
      <c r="C976" s="57">
        <v>2025</v>
      </c>
      <c r="D976" s="58">
        <f>MATCH(B976,{"GENNAIO","FEBBRAIO","MARZO","APRILE","MAGGIO","GIUGNO","LUGLIO","AGOSTO","SETTEMBRE","OTTOBRE","NOVEMBRE","DICEMBRE"},0)</f>
        <v>4</v>
      </c>
      <c r="E976" s="57" t="str">
        <f t="shared" ref="E976" si="1580">CONCATENATE(,B976," ",C976)</f>
        <v>APRILE 2025</v>
      </c>
      <c r="F976" s="57" t="str">
        <f t="shared" ref="F976" si="1581">CONCATENATE(D976," ",E976)</f>
        <v>4 APRILE 2025</v>
      </c>
      <c r="G976" s="1309" t="s">
        <v>91</v>
      </c>
      <c r="H976" s="1309" t="str">
        <f>VLOOKUP(G976,CATEGORIE!$H$3:$I$104,2,FALSE)</f>
        <v>COSTO SOPRAVVIVENZA</v>
      </c>
      <c r="I976" s="59">
        <v>0.4</v>
      </c>
      <c r="J976" s="940"/>
      <c r="K976" s="59"/>
      <c r="L976" s="59"/>
    </row>
    <row r="977" spans="1:12" ht="18.600000000000001" customHeight="1">
      <c r="A977" s="57" t="s">
        <v>92</v>
      </c>
      <c r="B977" s="57" t="s">
        <v>352</v>
      </c>
      <c r="C977" s="57">
        <v>2025</v>
      </c>
      <c r="D977" s="58">
        <f>MATCH(B977,{"GENNAIO","FEBBRAIO","MARZO","APRILE","MAGGIO","GIUGNO","LUGLIO","AGOSTO","SETTEMBRE","OTTOBRE","NOVEMBRE","DICEMBRE"},0)</f>
        <v>4</v>
      </c>
      <c r="E977" s="57" t="str">
        <f t="shared" ref="E977" si="1582">CONCATENATE(,B977," ",C977)</f>
        <v>APRILE 2025</v>
      </c>
      <c r="F977" s="57" t="str">
        <f t="shared" ref="F977" si="1583">CONCATENATE(D977," ",E977)</f>
        <v>4 APRILE 2025</v>
      </c>
      <c r="G977" s="1309" t="s">
        <v>93</v>
      </c>
      <c r="H977" s="1309" t="str">
        <f>VLOOKUP(G977,CATEGORIE!$H$3:$I$104,2,FALSE)</f>
        <v>COSTO SOPRAVVIVENZA</v>
      </c>
      <c r="I977" s="59">
        <v>6.5</v>
      </c>
      <c r="J977" s="940"/>
      <c r="K977" s="59"/>
      <c r="L977" s="59"/>
    </row>
    <row r="978" spans="1:12" ht="18.600000000000001" customHeight="1">
      <c r="A978" s="57" t="s">
        <v>362</v>
      </c>
      <c r="B978" s="57" t="s">
        <v>352</v>
      </c>
      <c r="C978" s="57">
        <v>2025</v>
      </c>
      <c r="D978" s="58">
        <f>MATCH(B978,{"GENNAIO","FEBBRAIO","MARZO","APRILE","MAGGIO","GIUGNO","LUGLIO","AGOSTO","SETTEMBRE","OTTOBRE","NOVEMBRE","DICEMBRE"},0)</f>
        <v>4</v>
      </c>
      <c r="E978" s="57" t="str">
        <f t="shared" ref="E978" si="1584">CONCATENATE(,B978," ",C978)</f>
        <v>APRILE 2025</v>
      </c>
      <c r="F978" s="57" t="str">
        <f t="shared" ref="F978" si="1585">CONCATENATE(D978," ",E978)</f>
        <v>4 APRILE 2025</v>
      </c>
      <c r="G978" s="1309" t="s">
        <v>94</v>
      </c>
      <c r="H978" s="1309" t="str">
        <f>VLOOKUP(G978,CATEGORIE!$H$3:$I$104,2,FALSE)</f>
        <v>COSTO SVAGHI</v>
      </c>
      <c r="I978" s="59">
        <v>65</v>
      </c>
      <c r="J978" s="940"/>
      <c r="K978" s="59"/>
      <c r="L978" s="59"/>
    </row>
    <row r="979" spans="1:12" ht="18.600000000000001" customHeight="1">
      <c r="A979" s="57" t="s">
        <v>131</v>
      </c>
      <c r="B979" s="57" t="s">
        <v>352</v>
      </c>
      <c r="C979" s="57">
        <v>2025</v>
      </c>
      <c r="D979" s="58">
        <f>MATCH(B979,{"GENNAIO","FEBBRAIO","MARZO","APRILE","MAGGIO","GIUGNO","LUGLIO","AGOSTO","SETTEMBRE","OTTOBRE","NOVEMBRE","DICEMBRE"},0)</f>
        <v>4</v>
      </c>
      <c r="E979" s="57" t="str">
        <f t="shared" ref="E979" si="1586">CONCATENATE(,B979," ",C979)</f>
        <v>APRILE 2025</v>
      </c>
      <c r="F979" s="57" t="str">
        <f t="shared" ref="F979" si="1587">CONCATENATE(D979," ",E979)</f>
        <v>4 APRILE 2025</v>
      </c>
      <c r="G979" s="1309" t="s">
        <v>132</v>
      </c>
      <c r="H979" s="1309" t="str">
        <f>VLOOKUP(G979,CATEGORIE!$H$3:$I$104,2,FALSE)</f>
        <v>COSTO CASA</v>
      </c>
      <c r="I979" s="59">
        <v>141.85</v>
      </c>
      <c r="J979" s="940"/>
      <c r="K979" s="59"/>
      <c r="L979" s="59"/>
    </row>
    <row r="980" spans="1:12">
      <c r="A980" s="57" t="s">
        <v>363</v>
      </c>
      <c r="B980" s="57" t="s">
        <v>352</v>
      </c>
      <c r="C980" s="57">
        <v>2025</v>
      </c>
      <c r="D980" s="58">
        <f>MATCH(B980,{"GENNAIO","FEBBRAIO","MARZO","APRILE","MAGGIO","GIUGNO","LUGLIO","AGOSTO","SETTEMBRE","OTTOBRE","NOVEMBRE","DICEMBRE"},0)</f>
        <v>4</v>
      </c>
      <c r="E980" s="57" t="str">
        <f t="shared" ref="E980" si="1588">CONCATENATE(,B980," ",C980)</f>
        <v>APRILE 2025</v>
      </c>
      <c r="F980" s="57" t="str">
        <f t="shared" ref="F980" si="1589">CONCATENATE(D980," ",E980)</f>
        <v>4 APRILE 2025</v>
      </c>
      <c r="G980" s="1309" t="s">
        <v>94</v>
      </c>
      <c r="H980" s="1309" t="str">
        <f>VLOOKUP(G980,CATEGORIE!$H$3:$I$104,2,FALSE)</f>
        <v>COSTO SVAGHI</v>
      </c>
      <c r="I980" s="59">
        <v>26</v>
      </c>
      <c r="J980" s="940"/>
      <c r="K980" s="59"/>
      <c r="L980" s="59"/>
    </row>
    <row r="981" spans="1:12">
      <c r="A981" s="57" t="s">
        <v>130</v>
      </c>
      <c r="B981" s="57" t="s">
        <v>352</v>
      </c>
      <c r="C981" s="57">
        <v>2025</v>
      </c>
      <c r="D981" s="58">
        <f>MATCH(B981,{"GENNAIO","FEBBRAIO","MARZO","APRILE","MAGGIO","GIUGNO","LUGLIO","AGOSTO","SETTEMBRE","OTTOBRE","NOVEMBRE","DICEMBRE"},0)</f>
        <v>4</v>
      </c>
      <c r="E981" s="57" t="str">
        <f t="shared" ref="E981" si="1590">CONCATENATE(,B981," ",C981)</f>
        <v>APRILE 2025</v>
      </c>
      <c r="F981" s="57" t="str">
        <f t="shared" ref="F981" si="1591">CONCATENATE(D981," ",E981)</f>
        <v>4 APRILE 2025</v>
      </c>
      <c r="G981" s="1309" t="s">
        <v>94</v>
      </c>
      <c r="H981" s="1309" t="str">
        <f>VLOOKUP(G981,CATEGORIE!$H$3:$I$104,2,FALSE)</f>
        <v>COSTO SVAGHI</v>
      </c>
      <c r="I981" s="59">
        <v>7</v>
      </c>
      <c r="J981" s="940"/>
      <c r="K981" s="59"/>
      <c r="L981" s="59"/>
    </row>
    <row r="982" spans="1:12" ht="18.600000000000001" customHeight="1">
      <c r="A982" s="57" t="s">
        <v>105</v>
      </c>
      <c r="B982" s="57" t="s">
        <v>352</v>
      </c>
      <c r="C982" s="57">
        <v>2025</v>
      </c>
      <c r="D982" s="58">
        <f>MATCH(B982,{"GENNAIO","FEBBRAIO","MARZO","APRILE","MAGGIO","GIUGNO","LUGLIO","AGOSTO","SETTEMBRE","OTTOBRE","NOVEMBRE","DICEMBRE"},0)</f>
        <v>4</v>
      </c>
      <c r="E982" s="57" t="str">
        <f t="shared" ref="E982" si="1592">CONCATENATE(,B982," ",C982)</f>
        <v>APRILE 2025</v>
      </c>
      <c r="F982" s="57" t="str">
        <f t="shared" ref="F982" si="1593">CONCATENATE(D982," ",E982)</f>
        <v>4 APRILE 2025</v>
      </c>
      <c r="G982" s="1309" t="s">
        <v>96</v>
      </c>
      <c r="H982" s="1309" t="str">
        <f>VLOOKUP(G982,CATEGORIE!$H$3:$I$104,2,FALSE)</f>
        <v>COSTO SOPRAVVIVENZA</v>
      </c>
      <c r="I982" s="59">
        <v>2.38</v>
      </c>
      <c r="J982" s="940"/>
      <c r="K982" s="59"/>
      <c r="L982" s="59"/>
    </row>
    <row r="983" spans="1:12">
      <c r="A983" s="57" t="s">
        <v>92</v>
      </c>
      <c r="B983" s="57" t="s">
        <v>352</v>
      </c>
      <c r="C983" s="57">
        <v>2025</v>
      </c>
      <c r="D983" s="58">
        <f>MATCH(B983,{"GENNAIO","FEBBRAIO","MARZO","APRILE","MAGGIO","GIUGNO","LUGLIO","AGOSTO","SETTEMBRE","OTTOBRE","NOVEMBRE","DICEMBRE"},0)</f>
        <v>4</v>
      </c>
      <c r="E983" s="57" t="str">
        <f t="shared" ref="E983" si="1594">CONCATENATE(,B983," ",C983)</f>
        <v>APRILE 2025</v>
      </c>
      <c r="F983" s="57" t="str">
        <f t="shared" ref="F983" si="1595">CONCATENATE(D983," ",E983)</f>
        <v>4 APRILE 2025</v>
      </c>
      <c r="G983" s="1309" t="s">
        <v>94</v>
      </c>
      <c r="H983" s="1309" t="str">
        <f>VLOOKUP(G983,CATEGORIE!$H$3:$I$104,2,FALSE)</f>
        <v>COSTO SVAGHI</v>
      </c>
      <c r="I983" s="59">
        <v>18</v>
      </c>
      <c r="J983" s="940"/>
      <c r="K983" s="59"/>
      <c r="L983" s="59"/>
    </row>
    <row r="984" spans="1:12">
      <c r="A984" s="57" t="s">
        <v>92</v>
      </c>
      <c r="B984" s="57" t="s">
        <v>352</v>
      </c>
      <c r="C984" s="57">
        <v>2025</v>
      </c>
      <c r="D984" s="58">
        <f>MATCH(B984,{"GENNAIO","FEBBRAIO","MARZO","APRILE","MAGGIO","GIUGNO","LUGLIO","AGOSTO","SETTEMBRE","OTTOBRE","NOVEMBRE","DICEMBRE"},0)</f>
        <v>4</v>
      </c>
      <c r="E984" s="57" t="str">
        <f t="shared" ref="E984" si="1596">CONCATENATE(,B984," ",C984)</f>
        <v>APRILE 2025</v>
      </c>
      <c r="F984" s="57" t="str">
        <f t="shared" ref="F984" si="1597">CONCATENATE(D984," ",E984)</f>
        <v>4 APRILE 2025</v>
      </c>
      <c r="G984" s="1309" t="s">
        <v>93</v>
      </c>
      <c r="H984" s="1309" t="str">
        <f>VLOOKUP(G984,CATEGORIE!$H$3:$I$104,2,FALSE)</f>
        <v>COSTO SOPRAVVIVENZA</v>
      </c>
      <c r="I984" s="59">
        <v>6.5</v>
      </c>
      <c r="J984" s="940"/>
      <c r="K984" s="59"/>
      <c r="L984" s="59"/>
    </row>
    <row r="985" spans="1:12" ht="16.5" customHeight="1">
      <c r="A985" s="57" t="s">
        <v>102</v>
      </c>
      <c r="B985" s="57" t="s">
        <v>352</v>
      </c>
      <c r="C985" s="57">
        <v>2025</v>
      </c>
      <c r="D985" s="58">
        <f>MATCH(B985,{"GENNAIO","FEBBRAIO","MARZO","APRILE","MAGGIO","GIUGNO","LUGLIO","AGOSTO","SETTEMBRE","OTTOBRE","NOVEMBRE","DICEMBRE"},0)</f>
        <v>4</v>
      </c>
      <c r="E985" s="57" t="str">
        <f t="shared" ref="E985" si="1598">CONCATENATE(,B985," ",C985)</f>
        <v>APRILE 2025</v>
      </c>
      <c r="F985" s="57" t="str">
        <f t="shared" ref="F985" si="1599">CONCATENATE(D985," ",E985)</f>
        <v>4 APRILE 2025</v>
      </c>
      <c r="G985" s="1309" t="s">
        <v>96</v>
      </c>
      <c r="H985" s="1309" t="str">
        <f>VLOOKUP(G985,CATEGORIE!$H$3:$I$104,2,FALSE)</f>
        <v>COSTO SOPRAVVIVENZA</v>
      </c>
      <c r="I985" s="59">
        <v>5.01</v>
      </c>
      <c r="J985" s="940"/>
      <c r="K985" s="59"/>
      <c r="L985" s="59"/>
    </row>
    <row r="986" spans="1:12">
      <c r="A986" s="57" t="s">
        <v>92</v>
      </c>
      <c r="B986" s="57" t="s">
        <v>352</v>
      </c>
      <c r="C986" s="57">
        <v>2025</v>
      </c>
      <c r="D986" s="58">
        <f>MATCH(B986,{"GENNAIO","FEBBRAIO","MARZO","APRILE","MAGGIO","GIUGNO","LUGLIO","AGOSTO","SETTEMBRE","OTTOBRE","NOVEMBRE","DICEMBRE"},0)</f>
        <v>4</v>
      </c>
      <c r="E986" s="57" t="str">
        <f t="shared" ref="E986" si="1600">CONCATENATE(,B986," ",C986)</f>
        <v>APRILE 2025</v>
      </c>
      <c r="F986" s="57" t="str">
        <f t="shared" ref="F986" si="1601">CONCATENATE(D986," ",E986)</f>
        <v>4 APRILE 2025</v>
      </c>
      <c r="G986" s="1309" t="s">
        <v>93</v>
      </c>
      <c r="H986" s="1309" t="str">
        <f>VLOOKUP(G986,CATEGORIE!$H$3:$I$104,2,FALSE)</f>
        <v>COSTO SOPRAVVIVENZA</v>
      </c>
      <c r="I986" s="59">
        <v>6.5</v>
      </c>
      <c r="J986" s="940"/>
      <c r="K986" s="59"/>
      <c r="L986" s="59"/>
    </row>
    <row r="987" spans="1:12">
      <c r="A987" s="57" t="s">
        <v>101</v>
      </c>
      <c r="B987" s="57" t="s">
        <v>352</v>
      </c>
      <c r="C987" s="57">
        <v>2025</v>
      </c>
      <c r="D987" s="58">
        <f>MATCH(B987,{"GENNAIO","FEBBRAIO","MARZO","APRILE","MAGGIO","GIUGNO","LUGLIO","AGOSTO","SETTEMBRE","OTTOBRE","NOVEMBRE","DICEMBRE"},0)</f>
        <v>4</v>
      </c>
      <c r="E987" s="57" t="str">
        <f t="shared" ref="E987" si="1602">CONCATENATE(,B987," ",C987)</f>
        <v>APRILE 2025</v>
      </c>
      <c r="F987" s="57" t="str">
        <f t="shared" ref="F987" si="1603">CONCATENATE(D987," ",E987)</f>
        <v>4 APRILE 2025</v>
      </c>
      <c r="G987" s="1309" t="s">
        <v>91</v>
      </c>
      <c r="H987" s="1309" t="str">
        <f>VLOOKUP(G987,CATEGORIE!$H$3:$I$104,2,FALSE)</f>
        <v>COSTO SOPRAVVIVENZA</v>
      </c>
      <c r="I987" s="59">
        <v>0.4</v>
      </c>
      <c r="J987" s="940"/>
      <c r="K987" s="59"/>
      <c r="L987" s="59"/>
    </row>
    <row r="988" spans="1:12">
      <c r="A988" s="57" t="s">
        <v>99</v>
      </c>
      <c r="B988" s="57" t="s">
        <v>352</v>
      </c>
      <c r="C988" s="57">
        <v>2025</v>
      </c>
      <c r="D988" s="58">
        <f>MATCH(B988,{"GENNAIO","FEBBRAIO","MARZO","APRILE","MAGGIO","GIUGNO","LUGLIO","AGOSTO","SETTEMBRE","OTTOBRE","NOVEMBRE","DICEMBRE"},0)</f>
        <v>4</v>
      </c>
      <c r="E988" s="57" t="str">
        <f t="shared" ref="E988" si="1604">CONCATENATE(,B988," ",C988)</f>
        <v>APRILE 2025</v>
      </c>
      <c r="F988" s="57" t="str">
        <f t="shared" ref="F988" si="1605">CONCATENATE(D988," ",E988)</f>
        <v>4 APRILE 2025</v>
      </c>
      <c r="G988" s="1309" t="s">
        <v>100</v>
      </c>
      <c r="H988" s="1309" t="str">
        <f>VLOOKUP(G988,CATEGORIE!$H$3:$I$104,2,FALSE)</f>
        <v>COSTO SFIZI</v>
      </c>
      <c r="I988" s="59">
        <v>25.49</v>
      </c>
      <c r="J988" s="940"/>
      <c r="K988" s="57" t="s">
        <v>99</v>
      </c>
      <c r="L988" s="59"/>
    </row>
    <row r="989" spans="1:12">
      <c r="A989" s="57" t="s">
        <v>99</v>
      </c>
      <c r="B989" s="57" t="s">
        <v>352</v>
      </c>
      <c r="C989" s="57">
        <v>2025</v>
      </c>
      <c r="D989" s="58">
        <f>MATCH(B989,{"GENNAIO","FEBBRAIO","MARZO","APRILE","MAGGIO","GIUGNO","LUGLIO","AGOSTO","SETTEMBRE","OTTOBRE","NOVEMBRE","DICEMBRE"},0)</f>
        <v>4</v>
      </c>
      <c r="E989" s="57" t="str">
        <f t="shared" ref="E989" si="1606">CONCATENATE(,B989," ",C989)</f>
        <v>APRILE 2025</v>
      </c>
      <c r="F989" s="57" t="str">
        <f t="shared" ref="F989" si="1607">CONCATENATE(D989," ",E989)</f>
        <v>4 APRILE 2025</v>
      </c>
      <c r="G989" s="1309" t="s">
        <v>132</v>
      </c>
      <c r="H989" s="1309" t="str">
        <f>VLOOKUP(G989,CATEGORIE!$H$3:$I$104,2,FALSE)</f>
        <v>COSTO CASA</v>
      </c>
      <c r="I989" s="59">
        <v>109.8</v>
      </c>
      <c r="J989" s="940" t="s">
        <v>145</v>
      </c>
      <c r="K989" s="57" t="s">
        <v>99</v>
      </c>
      <c r="L989" s="59" t="s">
        <v>287</v>
      </c>
    </row>
    <row r="990" spans="1:12">
      <c r="A990" s="57" t="s">
        <v>364</v>
      </c>
      <c r="B990" s="57" t="s">
        <v>352</v>
      </c>
      <c r="C990" s="57">
        <v>2025</v>
      </c>
      <c r="D990" s="58">
        <f>MATCH(B990,{"GENNAIO","FEBBRAIO","MARZO","APRILE","MAGGIO","GIUGNO","LUGLIO","AGOSTO","SETTEMBRE","OTTOBRE","NOVEMBRE","DICEMBRE"},0)</f>
        <v>4</v>
      </c>
      <c r="E990" s="57" t="str">
        <f t="shared" ref="E990" si="1608">CONCATENATE(,B990," ",C990)</f>
        <v>APRILE 2025</v>
      </c>
      <c r="F990" s="57" t="str">
        <f t="shared" ref="F990" si="1609">CONCATENATE(D990," ",E990)</f>
        <v>4 APRILE 2025</v>
      </c>
      <c r="G990" s="1309" t="s">
        <v>365</v>
      </c>
      <c r="H990" s="1309" t="str">
        <f>VLOOKUP(G990,CATEGORIE!$H$3:$I$104,2,FALSE)</f>
        <v>COSTO SOPRAVVIVENZA</v>
      </c>
      <c r="I990" s="59">
        <v>17.79</v>
      </c>
      <c r="J990" s="940" t="s">
        <v>215</v>
      </c>
      <c r="K990" s="59" t="s">
        <v>112</v>
      </c>
      <c r="L990" s="59"/>
    </row>
    <row r="991" spans="1:12">
      <c r="A991" s="57" t="s">
        <v>341</v>
      </c>
      <c r="B991" s="57" t="s">
        <v>352</v>
      </c>
      <c r="C991" s="57">
        <v>2025</v>
      </c>
      <c r="D991" s="58">
        <f>MATCH(B991,{"GENNAIO","FEBBRAIO","MARZO","APRILE","MAGGIO","GIUGNO","LUGLIO","AGOSTO","SETTEMBRE","OTTOBRE","NOVEMBRE","DICEMBRE"},0)</f>
        <v>4</v>
      </c>
      <c r="E991" s="57" t="str">
        <f t="shared" ref="E991" si="1610">CONCATENATE(,B991," ",C991)</f>
        <v>APRILE 2025</v>
      </c>
      <c r="F991" s="57" t="str">
        <f t="shared" ref="F991" si="1611">CONCATENATE(D991," ",E991)</f>
        <v>4 APRILE 2025</v>
      </c>
      <c r="G991" s="1309" t="s">
        <v>1250</v>
      </c>
      <c r="H991" s="1309" t="str">
        <f>VLOOKUP(G991,CATEGORIE!$H$3:$I$104,2,FALSE)</f>
        <v>COSTO VACANZE</v>
      </c>
      <c r="I991" s="59">
        <v>77.72</v>
      </c>
      <c r="J991" s="940" t="s">
        <v>124</v>
      </c>
      <c r="K991" s="59" t="s">
        <v>112</v>
      </c>
      <c r="L991" s="59" t="s">
        <v>342</v>
      </c>
    </row>
    <row r="992" spans="1:12" ht="16.5" customHeight="1">
      <c r="A992" s="57" t="s">
        <v>95</v>
      </c>
      <c r="B992" s="57" t="s">
        <v>352</v>
      </c>
      <c r="C992" s="57">
        <v>2025</v>
      </c>
      <c r="D992" s="58">
        <f>MATCH(B992,{"GENNAIO","FEBBRAIO","MARZO","APRILE","MAGGIO","GIUGNO","LUGLIO","AGOSTO","SETTEMBRE","OTTOBRE","NOVEMBRE","DICEMBRE"},0)</f>
        <v>4</v>
      </c>
      <c r="E992" s="57" t="str">
        <f t="shared" ref="E992" si="1612">CONCATENATE(,B992," ",C992)</f>
        <v>APRILE 2025</v>
      </c>
      <c r="F992" s="57" t="str">
        <f t="shared" ref="F992" si="1613">CONCATENATE(D992," ",E992)</f>
        <v>4 APRILE 2025</v>
      </c>
      <c r="G992" s="1309" t="s">
        <v>96</v>
      </c>
      <c r="H992" s="1309" t="str">
        <f>VLOOKUP(G992,CATEGORIE!$H$3:$I$104,2,FALSE)</f>
        <v>COSTO SOPRAVVIVENZA</v>
      </c>
      <c r="I992" s="59">
        <v>27.57</v>
      </c>
      <c r="J992" s="940"/>
      <c r="K992" s="59"/>
      <c r="L992" s="59"/>
    </row>
    <row r="993" spans="1:12">
      <c r="A993" s="57" t="s">
        <v>131</v>
      </c>
      <c r="B993" s="57" t="s">
        <v>352</v>
      </c>
      <c r="C993" s="57">
        <v>2025</v>
      </c>
      <c r="D993" s="58">
        <f>MATCH(B993,{"GENNAIO","FEBBRAIO","MARZO","APRILE","MAGGIO","GIUGNO","LUGLIO","AGOSTO","SETTEMBRE","OTTOBRE","NOVEMBRE","DICEMBRE"},0)</f>
        <v>4</v>
      </c>
      <c r="E993" s="57" t="str">
        <f t="shared" ref="E993" si="1614">CONCATENATE(,B993," ",C993)</f>
        <v>APRILE 2025</v>
      </c>
      <c r="F993" s="57" t="str">
        <f t="shared" ref="F993" si="1615">CONCATENATE(D993," ",E993)</f>
        <v>4 APRILE 2025</v>
      </c>
      <c r="G993" s="1309" t="s">
        <v>132</v>
      </c>
      <c r="H993" s="1309" t="str">
        <f>VLOOKUP(G993,CATEGORIE!$H$3:$I$104,2,FALSE)</f>
        <v>COSTO CASA</v>
      </c>
      <c r="I993" s="59">
        <v>10</v>
      </c>
      <c r="J993" s="940"/>
      <c r="K993" s="59"/>
      <c r="L993" s="59"/>
    </row>
    <row r="994" spans="1:12">
      <c r="A994" s="57" t="s">
        <v>366</v>
      </c>
      <c r="B994" s="57" t="s">
        <v>352</v>
      </c>
      <c r="C994" s="57">
        <v>2025</v>
      </c>
      <c r="D994" s="58">
        <f>MATCH(B994,{"GENNAIO","FEBBRAIO","MARZO","APRILE","MAGGIO","GIUGNO","LUGLIO","AGOSTO","SETTEMBRE","OTTOBRE","NOVEMBRE","DICEMBRE"},0)</f>
        <v>4</v>
      </c>
      <c r="E994" s="57" t="str">
        <f t="shared" ref="E994" si="1616">CONCATENATE(,B994," ",C994)</f>
        <v>APRILE 2025</v>
      </c>
      <c r="F994" s="57" t="str">
        <f t="shared" ref="F994" si="1617">CONCATENATE(D994," ",E994)</f>
        <v>4 APRILE 2025</v>
      </c>
      <c r="G994" s="1309" t="s">
        <v>94</v>
      </c>
      <c r="H994" s="1309" t="str">
        <f>VLOOKUP(G994,CATEGORIE!$H$3:$I$104,2,FALSE)</f>
        <v>COSTO SVAGHI</v>
      </c>
      <c r="I994" s="59">
        <v>63.4</v>
      </c>
      <c r="J994" s="940"/>
      <c r="K994" s="59"/>
      <c r="L994" s="59"/>
    </row>
    <row r="995" spans="1:12">
      <c r="A995" s="57" t="s">
        <v>99</v>
      </c>
      <c r="B995" s="57" t="s">
        <v>352</v>
      </c>
      <c r="C995" s="57">
        <v>2025</v>
      </c>
      <c r="D995" s="58">
        <f>MATCH(B995,{"GENNAIO","FEBBRAIO","MARZO","APRILE","MAGGIO","GIUGNO","LUGLIO","AGOSTO","SETTEMBRE","OTTOBRE","NOVEMBRE","DICEMBRE"},0)</f>
        <v>4</v>
      </c>
      <c r="E995" s="57" t="str">
        <f t="shared" ref="E995" si="1618">CONCATENATE(,B995," ",C995)</f>
        <v>APRILE 2025</v>
      </c>
      <c r="F995" s="57" t="str">
        <f t="shared" ref="F995" si="1619">CONCATENATE(D995," ",E995)</f>
        <v>4 APRILE 2025</v>
      </c>
      <c r="G995" s="1309" t="s">
        <v>100</v>
      </c>
      <c r="H995" s="1309" t="str">
        <f>VLOOKUP(G995,CATEGORIE!$H$3:$I$104,2,FALSE)</f>
        <v>COSTO SFIZI</v>
      </c>
      <c r="I995" s="59">
        <v>15.39</v>
      </c>
      <c r="J995" s="940" t="s">
        <v>197</v>
      </c>
      <c r="K995" s="57" t="s">
        <v>99</v>
      </c>
      <c r="L995" s="59" t="s">
        <v>332</v>
      </c>
    </row>
    <row r="996" spans="1:12">
      <c r="A996" s="57" t="s">
        <v>367</v>
      </c>
      <c r="B996" s="57" t="s">
        <v>352</v>
      </c>
      <c r="C996" s="57">
        <v>2025</v>
      </c>
      <c r="D996" s="58">
        <f>MATCH(B996,{"GENNAIO","FEBBRAIO","MARZO","APRILE","MAGGIO","GIUGNO","LUGLIO","AGOSTO","SETTEMBRE","OTTOBRE","NOVEMBRE","DICEMBRE"},0)</f>
        <v>4</v>
      </c>
      <c r="E996" s="57" t="str">
        <f t="shared" ref="E996" si="1620">CONCATENATE(,B996," ",C996)</f>
        <v>APRILE 2025</v>
      </c>
      <c r="F996" s="57" t="str">
        <f t="shared" ref="F996" si="1621">CONCATENATE(D996," ",E996)</f>
        <v>4 APRILE 2025</v>
      </c>
      <c r="G996" s="1309" t="s">
        <v>94</v>
      </c>
      <c r="H996" s="1309" t="str">
        <f>VLOOKUP(G996,CATEGORIE!$H$3:$I$104,2,FALSE)</f>
        <v>COSTO SVAGHI</v>
      </c>
      <c r="I996" s="59">
        <v>16</v>
      </c>
      <c r="J996" s="940"/>
      <c r="K996" s="59"/>
      <c r="L996" s="59"/>
    </row>
    <row r="997" spans="1:12" ht="16.5" customHeight="1">
      <c r="A997" s="57" t="s">
        <v>131</v>
      </c>
      <c r="B997" s="57" t="s">
        <v>352</v>
      </c>
      <c r="C997" s="57">
        <v>2025</v>
      </c>
      <c r="D997" s="58">
        <f>MATCH(B997,{"GENNAIO","FEBBRAIO","MARZO","APRILE","MAGGIO","GIUGNO","LUGLIO","AGOSTO","SETTEMBRE","OTTOBRE","NOVEMBRE","DICEMBRE"},0)</f>
        <v>4</v>
      </c>
      <c r="E997" s="57" t="str">
        <f t="shared" ref="E997" si="1622">CONCATENATE(,B997," ",C997)</f>
        <v>APRILE 2025</v>
      </c>
      <c r="F997" s="57" t="str">
        <f t="shared" ref="F997" si="1623">CONCATENATE(D997," ",E997)</f>
        <v>4 APRILE 2025</v>
      </c>
      <c r="G997" s="1309" t="s">
        <v>132</v>
      </c>
      <c r="H997" s="1309" t="str">
        <f>VLOOKUP(G997,CATEGORIE!$H$3:$I$104,2,FALSE)</f>
        <v>COSTO CASA</v>
      </c>
      <c r="I997" s="59">
        <v>26.9</v>
      </c>
      <c r="J997" s="940"/>
      <c r="K997" s="59"/>
      <c r="L997" s="59"/>
    </row>
    <row r="998" spans="1:12" ht="16.5" customHeight="1">
      <c r="A998" s="57" t="s">
        <v>101</v>
      </c>
      <c r="B998" s="57" t="s">
        <v>352</v>
      </c>
      <c r="C998" s="57">
        <v>2025</v>
      </c>
      <c r="D998" s="58">
        <f>MATCH(B998,{"GENNAIO","FEBBRAIO","MARZO","APRILE","MAGGIO","GIUGNO","LUGLIO","AGOSTO","SETTEMBRE","OTTOBRE","NOVEMBRE","DICEMBRE"},0)</f>
        <v>4</v>
      </c>
      <c r="E998" s="57" t="str">
        <f t="shared" ref="E998" si="1624">CONCATENATE(,B998," ",C998)</f>
        <v>APRILE 2025</v>
      </c>
      <c r="F998" s="57" t="str">
        <f t="shared" ref="F998" si="1625">CONCATENATE(D998," ",E998)</f>
        <v>4 APRILE 2025</v>
      </c>
      <c r="G998" s="1309" t="s">
        <v>91</v>
      </c>
      <c r="H998" s="1309" t="str">
        <f>VLOOKUP(G998,CATEGORIE!$H$3:$I$104,2,FALSE)</f>
        <v>COSTO SOPRAVVIVENZA</v>
      </c>
      <c r="I998" s="59">
        <v>0.4</v>
      </c>
      <c r="J998" s="940"/>
      <c r="K998" s="59"/>
      <c r="L998" s="59"/>
    </row>
    <row r="999" spans="1:12">
      <c r="A999" s="57" t="s">
        <v>92</v>
      </c>
      <c r="B999" s="57" t="s">
        <v>352</v>
      </c>
      <c r="C999" s="57">
        <v>2025</v>
      </c>
      <c r="D999" s="58">
        <f>MATCH(B999,{"GENNAIO","FEBBRAIO","MARZO","APRILE","MAGGIO","GIUGNO","LUGLIO","AGOSTO","SETTEMBRE","OTTOBRE","NOVEMBRE","DICEMBRE"},0)</f>
        <v>4</v>
      </c>
      <c r="E999" s="57" t="str">
        <f t="shared" ref="E999" si="1626">CONCATENATE(,B999," ",C999)</f>
        <v>APRILE 2025</v>
      </c>
      <c r="F999" s="57" t="str">
        <f t="shared" ref="F999" si="1627">CONCATENATE(D999," ",E999)</f>
        <v>4 APRILE 2025</v>
      </c>
      <c r="G999" s="1309" t="s">
        <v>93</v>
      </c>
      <c r="H999" s="1309" t="str">
        <f>VLOOKUP(G999,CATEGORIE!$H$3:$I$104,2,FALSE)</f>
        <v>COSTO SOPRAVVIVENZA</v>
      </c>
      <c r="I999" s="59">
        <v>6.5</v>
      </c>
      <c r="J999" s="940"/>
      <c r="K999" s="59"/>
      <c r="L999" s="59"/>
    </row>
    <row r="1000" spans="1:12">
      <c r="A1000" s="57" t="s">
        <v>99</v>
      </c>
      <c r="B1000" s="57" t="s">
        <v>90</v>
      </c>
      <c r="C1000" s="57">
        <v>2025</v>
      </c>
      <c r="D1000" s="58">
        <f>MATCH(B1000,{"GENNAIO","FEBBRAIO","MARZO","APRILE","MAGGIO","GIUGNO","LUGLIO","AGOSTO","SETTEMBRE","OTTOBRE","NOVEMBRE","DICEMBRE"},0)</f>
        <v>3</v>
      </c>
      <c r="E1000" s="57" t="str">
        <f t="shared" ref="E1000" si="1628">CONCATENATE(,B1000," ",C1000)</f>
        <v>MARZO 2025</v>
      </c>
      <c r="F1000" s="57" t="str">
        <f t="shared" ref="F1000" si="1629">CONCATENATE(D1000," ",E1000)</f>
        <v>3 MARZO 2025</v>
      </c>
      <c r="G1000" s="1309" t="s">
        <v>100</v>
      </c>
      <c r="H1000" s="1309" t="str">
        <f>VLOOKUP(G1000,CATEGORIE!$H$3:$I$104,2,FALSE)</f>
        <v>COSTO SFIZI</v>
      </c>
      <c r="I1000" s="59">
        <v>30.59</v>
      </c>
      <c r="J1000" s="940" t="s">
        <v>151</v>
      </c>
      <c r="K1000" s="57" t="s">
        <v>99</v>
      </c>
      <c r="L1000" s="59" t="s">
        <v>168</v>
      </c>
    </row>
    <row r="1001" spans="1:12">
      <c r="A1001" s="57" t="s">
        <v>99</v>
      </c>
      <c r="B1001" s="57" t="s">
        <v>90</v>
      </c>
      <c r="C1001" s="57">
        <v>2025</v>
      </c>
      <c r="D1001" s="58">
        <f>MATCH(B1001,{"GENNAIO","FEBBRAIO","MARZO","APRILE","MAGGIO","GIUGNO","LUGLIO","AGOSTO","SETTEMBRE","OTTOBRE","NOVEMBRE","DICEMBRE"},0)</f>
        <v>3</v>
      </c>
      <c r="E1001" s="57" t="str">
        <f t="shared" ref="E1001" si="1630">CONCATENATE(,B1001," ",C1001)</f>
        <v>MARZO 2025</v>
      </c>
      <c r="F1001" s="57" t="str">
        <f t="shared" ref="F1001" si="1631">CONCATENATE(D1001," ",E1001)</f>
        <v>3 MARZO 2025</v>
      </c>
      <c r="G1001" s="1309" t="s">
        <v>100</v>
      </c>
      <c r="H1001" s="1309" t="str">
        <f>VLOOKUP(G1001,CATEGORIE!$H$3:$I$104,2,FALSE)</f>
        <v>COSTO SFIZI</v>
      </c>
      <c r="I1001" s="59">
        <v>19.71</v>
      </c>
      <c r="J1001" s="940"/>
      <c r="K1001" s="57" t="s">
        <v>99</v>
      </c>
      <c r="L1001" s="59"/>
    </row>
    <row r="1002" spans="1:12">
      <c r="A1002" s="57" t="s">
        <v>92</v>
      </c>
      <c r="B1002" s="57" t="s">
        <v>90</v>
      </c>
      <c r="C1002" s="57">
        <v>2025</v>
      </c>
      <c r="D1002" s="58">
        <f>MATCH(B1002,{"GENNAIO","FEBBRAIO","MARZO","APRILE","MAGGIO","GIUGNO","LUGLIO","AGOSTO","SETTEMBRE","OTTOBRE","NOVEMBRE","DICEMBRE"},0)</f>
        <v>3</v>
      </c>
      <c r="E1002" s="57" t="str">
        <f t="shared" ref="E1002:E1008" si="1632">CONCATENATE(,B1002," ",C1002)</f>
        <v>MARZO 2025</v>
      </c>
      <c r="F1002" s="57" t="str">
        <f t="shared" ref="F1002:F1008" si="1633">CONCATENATE(D1002," ",E1002)</f>
        <v>3 MARZO 2025</v>
      </c>
      <c r="G1002" s="1309" t="s">
        <v>94</v>
      </c>
      <c r="H1002" s="1309" t="str">
        <f>VLOOKUP(G1002,CATEGORIE!$H$3:$I$104,2,FALSE)</f>
        <v>COSTO SVAGHI</v>
      </c>
      <c r="I1002" s="59">
        <v>2.8</v>
      </c>
      <c r="J1002" s="940"/>
      <c r="K1002" s="59"/>
      <c r="L1002" s="59"/>
    </row>
    <row r="1003" spans="1:12">
      <c r="A1003" s="57" t="s">
        <v>101</v>
      </c>
      <c r="B1003" s="57" t="s">
        <v>90</v>
      </c>
      <c r="C1003" s="57">
        <v>2025</v>
      </c>
      <c r="D1003" s="58">
        <f>MATCH(B1003,{"GENNAIO","FEBBRAIO","MARZO","APRILE","MAGGIO","GIUGNO","LUGLIO","AGOSTO","SETTEMBRE","OTTOBRE","NOVEMBRE","DICEMBRE"},0)</f>
        <v>3</v>
      </c>
      <c r="E1003" s="57" t="str">
        <f t="shared" ref="E1003" si="1634">CONCATENATE(,B1003," ",C1003)</f>
        <v>MARZO 2025</v>
      </c>
      <c r="F1003" s="57" t="str">
        <f t="shared" ref="F1003" si="1635">CONCATENATE(D1003," ",E1003)</f>
        <v>3 MARZO 2025</v>
      </c>
      <c r="G1003" s="1309" t="s">
        <v>91</v>
      </c>
      <c r="H1003" s="1309" t="str">
        <f>VLOOKUP(G1003,CATEGORIE!$H$3:$I$104,2,FALSE)</f>
        <v>COSTO SOPRAVVIVENZA</v>
      </c>
      <c r="I1003" s="59">
        <v>0.4</v>
      </c>
      <c r="J1003" s="940"/>
      <c r="K1003" s="59"/>
      <c r="L1003" s="59"/>
    </row>
    <row r="1004" spans="1:12">
      <c r="A1004" s="57" t="s">
        <v>101</v>
      </c>
      <c r="B1004" s="57" t="s">
        <v>90</v>
      </c>
      <c r="C1004" s="57">
        <v>2025</v>
      </c>
      <c r="D1004" s="58">
        <f>MATCH(B1004,{"GENNAIO","FEBBRAIO","MARZO","APRILE","MAGGIO","GIUGNO","LUGLIO","AGOSTO","SETTEMBRE","OTTOBRE","NOVEMBRE","DICEMBRE"},0)</f>
        <v>3</v>
      </c>
      <c r="E1004" s="57" t="str">
        <f t="shared" si="1632"/>
        <v>MARZO 2025</v>
      </c>
      <c r="F1004" s="57" t="str">
        <f t="shared" si="1633"/>
        <v>3 MARZO 2025</v>
      </c>
      <c r="G1004" s="1309" t="s">
        <v>91</v>
      </c>
      <c r="H1004" s="1309" t="str">
        <f>VLOOKUP(G1004,CATEGORIE!$H$3:$I$104,2,FALSE)</f>
        <v>COSTO SOPRAVVIVENZA</v>
      </c>
      <c r="I1004" s="59">
        <v>0.4</v>
      </c>
      <c r="J1004" s="940"/>
      <c r="K1004" s="59"/>
      <c r="L1004" s="59"/>
    </row>
    <row r="1005" spans="1:12">
      <c r="A1005" s="57" t="s">
        <v>101</v>
      </c>
      <c r="B1005" s="57" t="s">
        <v>90</v>
      </c>
      <c r="C1005" s="57">
        <v>2025</v>
      </c>
      <c r="D1005" s="58">
        <f>MATCH(B1005,{"GENNAIO","FEBBRAIO","MARZO","APRILE","MAGGIO","GIUGNO","LUGLIO","AGOSTO","SETTEMBRE","OTTOBRE","NOVEMBRE","DICEMBRE"},0)</f>
        <v>3</v>
      </c>
      <c r="E1005" s="57" t="str">
        <f t="shared" si="1632"/>
        <v>MARZO 2025</v>
      </c>
      <c r="F1005" s="57" t="str">
        <f t="shared" si="1633"/>
        <v>3 MARZO 2025</v>
      </c>
      <c r="G1005" s="1309" t="s">
        <v>91</v>
      </c>
      <c r="H1005" s="1309" t="str">
        <f>VLOOKUP(G1005,CATEGORIE!$H$3:$I$104,2,FALSE)</f>
        <v>COSTO SOPRAVVIVENZA</v>
      </c>
      <c r="I1005" s="59">
        <v>0.7</v>
      </c>
      <c r="J1005" s="940"/>
      <c r="K1005" s="59"/>
      <c r="L1005" s="59"/>
    </row>
    <row r="1006" spans="1:12">
      <c r="A1006" s="57" t="s">
        <v>101</v>
      </c>
      <c r="B1006" s="57" t="s">
        <v>90</v>
      </c>
      <c r="C1006" s="57">
        <v>2025</v>
      </c>
      <c r="D1006" s="58">
        <f>MATCH(B1006,{"GENNAIO","FEBBRAIO","MARZO","APRILE","MAGGIO","GIUGNO","LUGLIO","AGOSTO","SETTEMBRE","OTTOBRE","NOVEMBRE","DICEMBRE"},0)</f>
        <v>3</v>
      </c>
      <c r="E1006" s="57" t="str">
        <f t="shared" si="1632"/>
        <v>MARZO 2025</v>
      </c>
      <c r="F1006" s="57" t="str">
        <f t="shared" si="1633"/>
        <v>3 MARZO 2025</v>
      </c>
      <c r="G1006" s="1309" t="s">
        <v>91</v>
      </c>
      <c r="H1006" s="1309" t="str">
        <f>VLOOKUP(G1006,CATEGORIE!$H$3:$I$104,2,FALSE)</f>
        <v>COSTO SOPRAVVIVENZA</v>
      </c>
      <c r="I1006" s="59">
        <v>0.4</v>
      </c>
      <c r="J1006" s="940"/>
      <c r="K1006" s="59"/>
      <c r="L1006" s="59"/>
    </row>
    <row r="1007" spans="1:12">
      <c r="A1007" s="57" t="s">
        <v>101</v>
      </c>
      <c r="B1007" s="57" t="s">
        <v>90</v>
      </c>
      <c r="C1007" s="57">
        <v>2025</v>
      </c>
      <c r="D1007" s="58">
        <f>MATCH(B1007,{"GENNAIO","FEBBRAIO","MARZO","APRILE","MAGGIO","GIUGNO","LUGLIO","AGOSTO","SETTEMBRE","OTTOBRE","NOVEMBRE","DICEMBRE"},0)</f>
        <v>3</v>
      </c>
      <c r="E1007" s="57" t="str">
        <f t="shared" ref="E1007" si="1636">CONCATENATE(,B1007," ",C1007)</f>
        <v>MARZO 2025</v>
      </c>
      <c r="F1007" s="57" t="str">
        <f t="shared" ref="F1007" si="1637">CONCATENATE(D1007," ",E1007)</f>
        <v>3 MARZO 2025</v>
      </c>
      <c r="G1007" s="1309" t="s">
        <v>91</v>
      </c>
      <c r="H1007" s="1309" t="str">
        <f>VLOOKUP(G1007,CATEGORIE!$H$3:$I$104,2,FALSE)</f>
        <v>COSTO SOPRAVVIVENZA</v>
      </c>
      <c r="I1007" s="59">
        <v>0.4</v>
      </c>
      <c r="J1007" s="940"/>
      <c r="K1007" s="59"/>
      <c r="L1007" s="59"/>
    </row>
    <row r="1008" spans="1:12">
      <c r="A1008" s="57" t="s">
        <v>101</v>
      </c>
      <c r="B1008" s="57" t="s">
        <v>90</v>
      </c>
      <c r="C1008" s="57">
        <v>2025</v>
      </c>
      <c r="D1008" s="58">
        <f>MATCH(B1008,{"GENNAIO","FEBBRAIO","MARZO","APRILE","MAGGIO","GIUGNO","LUGLIO","AGOSTO","SETTEMBRE","OTTOBRE","NOVEMBRE","DICEMBRE"},0)</f>
        <v>3</v>
      </c>
      <c r="E1008" s="57" t="str">
        <f t="shared" si="1632"/>
        <v>MARZO 2025</v>
      </c>
      <c r="F1008" s="57" t="str">
        <f t="shared" si="1633"/>
        <v>3 MARZO 2025</v>
      </c>
      <c r="G1008" s="1309" t="s">
        <v>91</v>
      </c>
      <c r="H1008" s="1309" t="str">
        <f>VLOOKUP(G1008,CATEGORIE!$H$3:$I$104,2,FALSE)</f>
        <v>COSTO SOPRAVVIVENZA</v>
      </c>
      <c r="I1008" s="59">
        <v>0.4</v>
      </c>
      <c r="J1008" s="940"/>
      <c r="K1008" s="59"/>
      <c r="L1008" s="59"/>
    </row>
    <row r="1009" spans="1:12">
      <c r="A1009" s="57" t="s">
        <v>101</v>
      </c>
      <c r="B1009" s="57" t="s">
        <v>90</v>
      </c>
      <c r="C1009" s="57">
        <v>2025</v>
      </c>
      <c r="D1009" s="58">
        <f>MATCH(B1009,{"GENNAIO","FEBBRAIO","MARZO","APRILE","MAGGIO","GIUGNO","LUGLIO","AGOSTO","SETTEMBRE","OTTOBRE","NOVEMBRE","DICEMBRE"},0)</f>
        <v>3</v>
      </c>
      <c r="E1009" s="57" t="str">
        <f t="shared" ref="E1009" si="1638">CONCATENATE(,B1009," ",C1009)</f>
        <v>MARZO 2025</v>
      </c>
      <c r="F1009" s="57" t="str">
        <f t="shared" ref="F1009" si="1639">CONCATENATE(D1009," ",E1009)</f>
        <v>3 MARZO 2025</v>
      </c>
      <c r="G1009" s="1309" t="s">
        <v>91</v>
      </c>
      <c r="H1009" s="1309" t="str">
        <f>VLOOKUP(G1009,CATEGORIE!$H$3:$I$104,2,FALSE)</f>
        <v>COSTO SOPRAVVIVENZA</v>
      </c>
      <c r="I1009" s="59">
        <v>0.4</v>
      </c>
      <c r="J1009" s="940"/>
      <c r="K1009" s="59"/>
      <c r="L1009" s="59"/>
    </row>
    <row r="1010" spans="1:12">
      <c r="A1010" s="57" t="s">
        <v>101</v>
      </c>
      <c r="B1010" s="57" t="s">
        <v>90</v>
      </c>
      <c r="C1010" s="57">
        <v>2025</v>
      </c>
      <c r="D1010" s="58">
        <f>MATCH(B1010,{"GENNAIO","FEBBRAIO","MARZO","APRILE","MAGGIO","GIUGNO","LUGLIO","AGOSTO","SETTEMBRE","OTTOBRE","NOVEMBRE","DICEMBRE"},0)</f>
        <v>3</v>
      </c>
      <c r="E1010" s="57" t="str">
        <f t="shared" ref="E1010" si="1640">CONCATENATE(,B1010," ",C1010)</f>
        <v>MARZO 2025</v>
      </c>
      <c r="F1010" s="57" t="str">
        <f t="shared" ref="F1010" si="1641">CONCATENATE(D1010," ",E1010)</f>
        <v>3 MARZO 2025</v>
      </c>
      <c r="G1010" s="1309" t="s">
        <v>91</v>
      </c>
      <c r="H1010" s="1309" t="str">
        <f>VLOOKUP(G1010,CATEGORIE!$H$3:$I$104,2,FALSE)</f>
        <v>COSTO SOPRAVVIVENZA</v>
      </c>
      <c r="I1010" s="59">
        <v>0.4</v>
      </c>
      <c r="J1010" s="940"/>
      <c r="K1010" s="59"/>
      <c r="L1010" s="59"/>
    </row>
    <row r="1011" spans="1:12">
      <c r="A1011" s="57" t="s">
        <v>101</v>
      </c>
      <c r="B1011" s="57" t="s">
        <v>90</v>
      </c>
      <c r="C1011" s="57">
        <v>2025</v>
      </c>
      <c r="D1011" s="58">
        <f>MATCH(B1011,{"GENNAIO","FEBBRAIO","MARZO","APRILE","MAGGIO","GIUGNO","LUGLIO","AGOSTO","SETTEMBRE","OTTOBRE","NOVEMBRE","DICEMBRE"},0)</f>
        <v>3</v>
      </c>
      <c r="E1011" s="57" t="str">
        <f t="shared" ref="E1011" si="1642">CONCATENATE(,B1011," ",C1011)</f>
        <v>MARZO 2025</v>
      </c>
      <c r="F1011" s="57" t="str">
        <f t="shared" ref="F1011" si="1643">CONCATENATE(D1011," ",E1011)</f>
        <v>3 MARZO 2025</v>
      </c>
      <c r="G1011" s="1309" t="s">
        <v>91</v>
      </c>
      <c r="H1011" s="1309" t="str">
        <f>VLOOKUP(G1011,CATEGORIE!$H$3:$I$104,2,FALSE)</f>
        <v>COSTO SOPRAVVIVENZA</v>
      </c>
      <c r="I1011" s="59">
        <v>0.4</v>
      </c>
      <c r="J1011" s="940"/>
      <c r="K1011" s="59"/>
      <c r="L1011" s="59"/>
    </row>
    <row r="1012" spans="1:12" ht="18.95" customHeight="1">
      <c r="A1012" s="57" t="s">
        <v>101</v>
      </c>
      <c r="B1012" s="57" t="s">
        <v>90</v>
      </c>
      <c r="C1012" s="57">
        <v>2025</v>
      </c>
      <c r="D1012" s="58">
        <f>MATCH(B1012,{"GENNAIO","FEBBRAIO","MARZO","APRILE","MAGGIO","GIUGNO","LUGLIO","AGOSTO","SETTEMBRE","OTTOBRE","NOVEMBRE","DICEMBRE"},0)</f>
        <v>3</v>
      </c>
      <c r="E1012" s="57" t="str">
        <f t="shared" ref="E1012" si="1644">CONCATENATE(,B1012," ",C1012)</f>
        <v>MARZO 2025</v>
      </c>
      <c r="F1012" s="57" t="str">
        <f t="shared" ref="F1012" si="1645">CONCATENATE(D1012," ",E1012)</f>
        <v>3 MARZO 2025</v>
      </c>
      <c r="G1012" s="1309" t="s">
        <v>91</v>
      </c>
      <c r="H1012" s="1309" t="str">
        <f>VLOOKUP(G1012,CATEGORIE!$H$3:$I$104,2,FALSE)</f>
        <v>COSTO SOPRAVVIVENZA</v>
      </c>
      <c r="I1012" s="59">
        <v>0.4</v>
      </c>
      <c r="J1012" s="940"/>
      <c r="K1012" s="59"/>
      <c r="L1012" s="59"/>
    </row>
    <row r="1013" spans="1:12" ht="16.5" customHeight="1">
      <c r="A1013" s="57" t="s">
        <v>97</v>
      </c>
      <c r="B1013" s="57" t="s">
        <v>90</v>
      </c>
      <c r="C1013" s="57">
        <v>2025</v>
      </c>
      <c r="D1013" s="58">
        <f>MATCH(B1013,{"GENNAIO","FEBBRAIO","MARZO","APRILE","MAGGIO","GIUGNO","LUGLIO","AGOSTO","SETTEMBRE","OTTOBRE","NOVEMBRE","DICEMBRE"},0)</f>
        <v>3</v>
      </c>
      <c r="E1013" s="57" t="str">
        <f t="shared" ref="E1013" si="1646">CONCATENATE(,B1013," ",C1013)</f>
        <v>MARZO 2025</v>
      </c>
      <c r="F1013" s="57" t="str">
        <f t="shared" ref="F1013" si="1647">CONCATENATE(D1013," ",E1013)</f>
        <v>3 MARZO 2025</v>
      </c>
      <c r="G1013" s="1309" t="s">
        <v>1253</v>
      </c>
      <c r="H1013" s="1309" t="str">
        <f>VLOOKUP(G1013,CATEGORIE!$H$3:$I$104,2,FALSE)</f>
        <v>MOVIMENTI CONTO</v>
      </c>
      <c r="I1013" s="59">
        <v>75</v>
      </c>
      <c r="J1013" s="943"/>
      <c r="K1013" s="59" t="s">
        <v>97</v>
      </c>
      <c r="L1013" s="59" t="s">
        <v>368</v>
      </c>
    </row>
    <row r="1014" spans="1:12">
      <c r="A1014" s="57" t="s">
        <v>369</v>
      </c>
      <c r="B1014" s="57" t="s">
        <v>90</v>
      </c>
      <c r="C1014" s="57">
        <v>2025</v>
      </c>
      <c r="D1014" s="58">
        <f>MATCH(B1014,{"GENNAIO","FEBBRAIO","MARZO","APRILE","MAGGIO","GIUGNO","LUGLIO","AGOSTO","SETTEMBRE","OTTOBRE","NOVEMBRE","DICEMBRE"},0)</f>
        <v>3</v>
      </c>
      <c r="E1014" s="57" t="str">
        <f t="shared" ref="E1014" si="1648">CONCATENATE(,B1014," ",C1014)</f>
        <v>MARZO 2025</v>
      </c>
      <c r="F1014" s="57" t="str">
        <f t="shared" ref="F1014" si="1649">CONCATENATE(D1014," ",E1014)</f>
        <v>3 MARZO 2025</v>
      </c>
      <c r="G1014" s="1309" t="s">
        <v>94</v>
      </c>
      <c r="H1014" s="1309" t="str">
        <f>VLOOKUP(G1014,CATEGORIE!$H$3:$I$104,2,FALSE)</f>
        <v>COSTO SVAGHI</v>
      </c>
      <c r="I1014" s="59">
        <v>48</v>
      </c>
      <c r="J1014" s="940"/>
      <c r="K1014" s="59"/>
      <c r="L1014" s="59"/>
    </row>
    <row r="1015" spans="1:12">
      <c r="A1015" s="57" t="s">
        <v>370</v>
      </c>
      <c r="B1015" s="57" t="s">
        <v>90</v>
      </c>
      <c r="C1015" s="57">
        <v>2025</v>
      </c>
      <c r="D1015" s="58">
        <f>MATCH(B1015,{"GENNAIO","FEBBRAIO","MARZO","APRILE","MAGGIO","GIUGNO","LUGLIO","AGOSTO","SETTEMBRE","OTTOBRE","NOVEMBRE","DICEMBRE"},0)</f>
        <v>3</v>
      </c>
      <c r="E1015" s="57" t="str">
        <f t="shared" ref="E1015" si="1650">CONCATENATE(,B1015," ",C1015)</f>
        <v>MARZO 2025</v>
      </c>
      <c r="F1015" s="57" t="str">
        <f t="shared" ref="F1015" si="1651">CONCATENATE(D1015," ",E1015)</f>
        <v>3 MARZO 2025</v>
      </c>
      <c r="G1015" s="1309" t="s">
        <v>132</v>
      </c>
      <c r="H1015" s="1309" t="str">
        <f>VLOOKUP(G1015,CATEGORIE!$H$3:$I$104,2,FALSE)</f>
        <v>COSTO CASA</v>
      </c>
      <c r="I1015" s="59">
        <v>9.99</v>
      </c>
      <c r="J1015" s="940"/>
      <c r="K1015" s="59"/>
      <c r="L1015" s="59"/>
    </row>
    <row r="1016" spans="1:12">
      <c r="A1016" s="57" t="s">
        <v>99</v>
      </c>
      <c r="B1016" s="57" t="s">
        <v>90</v>
      </c>
      <c r="C1016" s="57">
        <v>2025</v>
      </c>
      <c r="D1016" s="58">
        <f>MATCH(B1016,{"GENNAIO","FEBBRAIO","MARZO","APRILE","MAGGIO","GIUGNO","LUGLIO","AGOSTO","SETTEMBRE","OTTOBRE","NOVEMBRE","DICEMBRE"},0)</f>
        <v>3</v>
      </c>
      <c r="E1016" s="57" t="str">
        <f t="shared" ref="E1016" si="1652">CONCATENATE(,B1016," ",C1016)</f>
        <v>MARZO 2025</v>
      </c>
      <c r="F1016" s="57" t="str">
        <f t="shared" ref="F1016" si="1653">CONCATENATE(D1016," ",E1016)</f>
        <v>3 MARZO 2025</v>
      </c>
      <c r="G1016" s="1309" t="s">
        <v>100</v>
      </c>
      <c r="H1016" s="1309" t="str">
        <f>VLOOKUP(G1016,CATEGORIE!$H$3:$I$104,2,FALSE)</f>
        <v>COSTO SFIZI</v>
      </c>
      <c r="I1016" s="59">
        <v>31.22</v>
      </c>
      <c r="J1016" s="940"/>
      <c r="K1016" s="57" t="s">
        <v>99</v>
      </c>
      <c r="L1016" s="59"/>
    </row>
    <row r="1017" spans="1:12" ht="16.5" customHeight="1">
      <c r="A1017" s="57" t="s">
        <v>372</v>
      </c>
      <c r="B1017" s="57" t="s">
        <v>90</v>
      </c>
      <c r="C1017" s="57">
        <v>2025</v>
      </c>
      <c r="D1017" s="58">
        <f>MATCH(B1017,{"GENNAIO","FEBBRAIO","MARZO","APRILE","MAGGIO","GIUGNO","LUGLIO","AGOSTO","SETTEMBRE","OTTOBRE","NOVEMBRE","DICEMBRE"},0)</f>
        <v>3</v>
      </c>
      <c r="E1017" s="57" t="str">
        <f t="shared" ref="E1017" si="1654">CONCATENATE(,B1017," ",C1017)</f>
        <v>MARZO 2025</v>
      </c>
      <c r="F1017" s="57" t="str">
        <f t="shared" ref="F1017" si="1655">CONCATENATE(D1017," ",E1017)</f>
        <v>3 MARZO 2025</v>
      </c>
      <c r="G1017" s="1309" t="s">
        <v>94</v>
      </c>
      <c r="H1017" s="1309" t="str">
        <f>VLOOKUP(G1017,CATEGORIE!$H$3:$I$104,2,FALSE)</f>
        <v>COSTO SVAGHI</v>
      </c>
      <c r="I1017" s="59">
        <v>14.5</v>
      </c>
      <c r="J1017" s="940"/>
      <c r="K1017" s="59"/>
      <c r="L1017" s="59"/>
    </row>
    <row r="1018" spans="1:12" ht="16.5" customHeight="1">
      <c r="A1018" s="57" t="s">
        <v>373</v>
      </c>
      <c r="B1018" s="57" t="s">
        <v>90</v>
      </c>
      <c r="C1018" s="57">
        <v>2025</v>
      </c>
      <c r="D1018" s="58">
        <f>MATCH(B1018,{"GENNAIO","FEBBRAIO","MARZO","APRILE","MAGGIO","GIUGNO","LUGLIO","AGOSTO","SETTEMBRE","OTTOBRE","NOVEMBRE","DICEMBRE"},0)</f>
        <v>3</v>
      </c>
      <c r="E1018" s="57" t="str">
        <f t="shared" ref="E1018" si="1656">CONCATENATE(,B1018," ",C1018)</f>
        <v>MARZO 2025</v>
      </c>
      <c r="F1018" s="57" t="str">
        <f t="shared" ref="F1018" si="1657">CONCATENATE(D1018," ",E1018)</f>
        <v>3 MARZO 2025</v>
      </c>
      <c r="G1018" s="1309" t="s">
        <v>94</v>
      </c>
      <c r="H1018" s="1309" t="str">
        <f>VLOOKUP(G1018,CATEGORIE!$H$3:$I$104,2,FALSE)</f>
        <v>COSTO SVAGHI</v>
      </c>
      <c r="I1018" s="59">
        <v>30</v>
      </c>
      <c r="J1018" s="943"/>
      <c r="K1018" s="59" t="s">
        <v>97</v>
      </c>
      <c r="L1018" s="59" t="s">
        <v>374</v>
      </c>
    </row>
    <row r="1019" spans="1:12">
      <c r="A1019" s="57" t="s">
        <v>92</v>
      </c>
      <c r="B1019" s="57" t="s">
        <v>90</v>
      </c>
      <c r="C1019" s="57">
        <v>2025</v>
      </c>
      <c r="D1019" s="58">
        <f>MATCH(B1019,{"GENNAIO","FEBBRAIO","MARZO","APRILE","MAGGIO","GIUGNO","LUGLIO","AGOSTO","SETTEMBRE","OTTOBRE","NOVEMBRE","DICEMBRE"},0)</f>
        <v>3</v>
      </c>
      <c r="E1019" s="57" t="str">
        <f t="shared" ref="E1019" si="1658">CONCATENATE(,B1019," ",C1019)</f>
        <v>MARZO 2025</v>
      </c>
      <c r="F1019" s="57" t="str">
        <f t="shared" ref="F1019" si="1659">CONCATENATE(D1019," ",E1019)</f>
        <v>3 MARZO 2025</v>
      </c>
      <c r="G1019" s="1309" t="s">
        <v>93</v>
      </c>
      <c r="H1019" s="1309" t="str">
        <f>VLOOKUP(G1019,CATEGORIE!$H$3:$I$104,2,FALSE)</f>
        <v>COSTO SOPRAVVIVENZA</v>
      </c>
      <c r="I1019" s="59">
        <v>6.5</v>
      </c>
      <c r="J1019" s="940"/>
      <c r="K1019" s="59"/>
      <c r="L1019" s="59"/>
    </row>
    <row r="1020" spans="1:12">
      <c r="A1020" s="57" t="s">
        <v>187</v>
      </c>
      <c r="B1020" s="57" t="s">
        <v>90</v>
      </c>
      <c r="C1020" s="57">
        <v>2025</v>
      </c>
      <c r="D1020" s="58">
        <f>MATCH(B1020,{"GENNAIO","FEBBRAIO","MARZO","APRILE","MAGGIO","GIUGNO","LUGLIO","AGOSTO","SETTEMBRE","OTTOBRE","NOVEMBRE","DICEMBRE"},0)</f>
        <v>3</v>
      </c>
      <c r="E1020" s="57" t="str">
        <f t="shared" ref="E1020" si="1660">CONCATENATE(,B1020," ",C1020)</f>
        <v>MARZO 2025</v>
      </c>
      <c r="F1020" s="57" t="str">
        <f t="shared" ref="F1020" si="1661">CONCATENATE(D1020," ",E1020)</f>
        <v>3 MARZO 2025</v>
      </c>
      <c r="G1020" s="1309" t="s">
        <v>188</v>
      </c>
      <c r="H1020" s="1309" t="str">
        <f>VLOOKUP(G1020,CATEGORIE!$H$3:$I$104,2,FALSE)</f>
        <v>COSTO VACANZE</v>
      </c>
      <c r="I1020" s="59">
        <v>17.850000000000001</v>
      </c>
      <c r="J1020" s="940"/>
      <c r="K1020" s="59"/>
      <c r="L1020" s="59" t="s">
        <v>342</v>
      </c>
    </row>
    <row r="1021" spans="1:12">
      <c r="A1021" s="57" t="s">
        <v>99</v>
      </c>
      <c r="B1021" s="57" t="s">
        <v>90</v>
      </c>
      <c r="C1021" s="57">
        <v>2025</v>
      </c>
      <c r="D1021" s="58">
        <f>MATCH(B1021,{"GENNAIO","FEBBRAIO","MARZO","APRILE","MAGGIO","GIUGNO","LUGLIO","AGOSTO","SETTEMBRE","OTTOBRE","NOVEMBRE","DICEMBRE"},0)</f>
        <v>3</v>
      </c>
      <c r="E1021" s="57" t="str">
        <f t="shared" ref="E1021" si="1662">CONCATENATE(,B1021," ",C1021)</f>
        <v>MARZO 2025</v>
      </c>
      <c r="F1021" s="57" t="str">
        <f t="shared" ref="F1021" si="1663">CONCATENATE(D1021," ",E1021)</f>
        <v>3 MARZO 2025</v>
      </c>
      <c r="G1021" s="1309" t="s">
        <v>100</v>
      </c>
      <c r="H1021" s="1309" t="str">
        <f>VLOOKUP(G1021,CATEGORIE!$H$3:$I$104,2,FALSE)</f>
        <v>COSTO SFIZI</v>
      </c>
      <c r="I1021" s="59">
        <v>25.08</v>
      </c>
      <c r="J1021" s="940"/>
      <c r="K1021" s="57" t="s">
        <v>99</v>
      </c>
      <c r="L1021" s="59"/>
    </row>
    <row r="1022" spans="1:12">
      <c r="A1022" s="57" t="s">
        <v>92</v>
      </c>
      <c r="B1022" s="57" t="s">
        <v>90</v>
      </c>
      <c r="C1022" s="57">
        <v>2025</v>
      </c>
      <c r="D1022" s="58">
        <f>MATCH(B1022,{"GENNAIO","FEBBRAIO","MARZO","APRILE","MAGGIO","GIUGNO","LUGLIO","AGOSTO","SETTEMBRE","OTTOBRE","NOVEMBRE","DICEMBRE"},0)</f>
        <v>3</v>
      </c>
      <c r="E1022" s="57" t="str">
        <f t="shared" ref="E1022" si="1664">CONCATENATE(,B1022," ",C1022)</f>
        <v>MARZO 2025</v>
      </c>
      <c r="F1022" s="57" t="str">
        <f t="shared" ref="F1022" si="1665">CONCATENATE(D1022," ",E1022)</f>
        <v>3 MARZO 2025</v>
      </c>
      <c r="G1022" s="1309" t="s">
        <v>93</v>
      </c>
      <c r="H1022" s="1309" t="str">
        <f>VLOOKUP(G1022,CATEGORIE!$H$3:$I$104,2,FALSE)</f>
        <v>COSTO SOPRAVVIVENZA</v>
      </c>
      <c r="I1022" s="59">
        <v>6.5</v>
      </c>
      <c r="J1022" s="940"/>
      <c r="K1022" s="59"/>
      <c r="L1022" s="59"/>
    </row>
    <row r="1023" spans="1:12">
      <c r="A1023" s="57" t="s">
        <v>101</v>
      </c>
      <c r="B1023" s="57" t="s">
        <v>90</v>
      </c>
      <c r="C1023" s="57">
        <v>2025</v>
      </c>
      <c r="D1023" s="58">
        <f>MATCH(B1023,{"GENNAIO","FEBBRAIO","MARZO","APRILE","MAGGIO","GIUGNO","LUGLIO","AGOSTO","SETTEMBRE","OTTOBRE","NOVEMBRE","DICEMBRE"},0)</f>
        <v>3</v>
      </c>
      <c r="E1023" s="57" t="str">
        <f t="shared" ref="E1023" si="1666">CONCATENATE(,B1023," ",C1023)</f>
        <v>MARZO 2025</v>
      </c>
      <c r="F1023" s="57" t="str">
        <f t="shared" ref="F1023" si="1667">CONCATENATE(D1023," ",E1023)</f>
        <v>3 MARZO 2025</v>
      </c>
      <c r="G1023" s="1309" t="s">
        <v>91</v>
      </c>
      <c r="H1023" s="1309" t="str">
        <f>VLOOKUP(G1023,CATEGORIE!$H$3:$I$104,2,FALSE)</f>
        <v>COSTO SOPRAVVIVENZA</v>
      </c>
      <c r="I1023" s="59">
        <v>0.4</v>
      </c>
      <c r="J1023" s="940"/>
      <c r="K1023" s="59"/>
      <c r="L1023" s="59"/>
    </row>
    <row r="1024" spans="1:12">
      <c r="A1024" s="57" t="s">
        <v>101</v>
      </c>
      <c r="B1024" s="57" t="s">
        <v>90</v>
      </c>
      <c r="C1024" s="57">
        <v>2025</v>
      </c>
      <c r="D1024" s="58">
        <f>MATCH(B1024,{"GENNAIO","FEBBRAIO","MARZO","APRILE","MAGGIO","GIUGNO","LUGLIO","AGOSTO","SETTEMBRE","OTTOBRE","NOVEMBRE","DICEMBRE"},0)</f>
        <v>3</v>
      </c>
      <c r="E1024" s="57" t="str">
        <f t="shared" ref="E1024" si="1668">CONCATENATE(,B1024," ",C1024)</f>
        <v>MARZO 2025</v>
      </c>
      <c r="F1024" s="57" t="str">
        <f t="shared" ref="F1024" si="1669">CONCATENATE(D1024," ",E1024)</f>
        <v>3 MARZO 2025</v>
      </c>
      <c r="G1024" s="1309" t="s">
        <v>91</v>
      </c>
      <c r="H1024" s="1309" t="str">
        <f>VLOOKUP(G1024,CATEGORIE!$H$3:$I$104,2,FALSE)</f>
        <v>COSTO SOPRAVVIVENZA</v>
      </c>
      <c r="I1024" s="59">
        <v>0.4</v>
      </c>
      <c r="J1024" s="940"/>
      <c r="K1024" s="59"/>
      <c r="L1024" s="59"/>
    </row>
    <row r="1025" spans="1:12">
      <c r="A1025" s="57" t="s">
        <v>101</v>
      </c>
      <c r="B1025" s="57" t="s">
        <v>90</v>
      </c>
      <c r="C1025" s="57">
        <v>2025</v>
      </c>
      <c r="D1025" s="58">
        <f>MATCH(B1025,{"GENNAIO","FEBBRAIO","MARZO","APRILE","MAGGIO","GIUGNO","LUGLIO","AGOSTO","SETTEMBRE","OTTOBRE","NOVEMBRE","DICEMBRE"},0)</f>
        <v>3</v>
      </c>
      <c r="E1025" s="57" t="str">
        <f t="shared" ref="E1025" si="1670">CONCATENATE(,B1025," ",C1025)</f>
        <v>MARZO 2025</v>
      </c>
      <c r="F1025" s="57" t="str">
        <f t="shared" ref="F1025" si="1671">CONCATENATE(D1025," ",E1025)</f>
        <v>3 MARZO 2025</v>
      </c>
      <c r="G1025" s="1309" t="s">
        <v>91</v>
      </c>
      <c r="H1025" s="1309" t="str">
        <f>VLOOKUP(G1025,CATEGORIE!$H$3:$I$104,2,FALSE)</f>
        <v>COSTO SOPRAVVIVENZA</v>
      </c>
      <c r="I1025" s="59">
        <v>0.4</v>
      </c>
      <c r="J1025" s="940"/>
      <c r="K1025" s="59"/>
      <c r="L1025" s="59"/>
    </row>
    <row r="1026" spans="1:12">
      <c r="A1026" s="57" t="s">
        <v>92</v>
      </c>
      <c r="B1026" s="57" t="s">
        <v>90</v>
      </c>
      <c r="C1026" s="57">
        <v>2025</v>
      </c>
      <c r="D1026" s="58">
        <f>MATCH(B1026,{"GENNAIO","FEBBRAIO","MARZO","APRILE","MAGGIO","GIUGNO","LUGLIO","AGOSTO","SETTEMBRE","OTTOBRE","NOVEMBRE","DICEMBRE"},0)</f>
        <v>3</v>
      </c>
      <c r="E1026" s="57" t="str">
        <f t="shared" ref="E1026" si="1672">CONCATENATE(,B1026," ",C1026)</f>
        <v>MARZO 2025</v>
      </c>
      <c r="F1026" s="57" t="str">
        <f t="shared" ref="F1026" si="1673">CONCATENATE(D1026," ",E1026)</f>
        <v>3 MARZO 2025</v>
      </c>
      <c r="G1026" s="1309" t="s">
        <v>94</v>
      </c>
      <c r="H1026" s="1309" t="str">
        <f>VLOOKUP(G1026,CATEGORIE!$H$3:$I$104,2,FALSE)</f>
        <v>COSTO SVAGHI</v>
      </c>
      <c r="I1026" s="59">
        <v>4.2</v>
      </c>
      <c r="J1026" s="940"/>
      <c r="K1026" s="59"/>
      <c r="L1026" s="59"/>
    </row>
    <row r="1027" spans="1:12">
      <c r="A1027" s="57" t="s">
        <v>375</v>
      </c>
      <c r="B1027" s="57" t="s">
        <v>90</v>
      </c>
      <c r="C1027" s="57">
        <v>2025</v>
      </c>
      <c r="D1027" s="58">
        <f>MATCH(B1027,{"GENNAIO","FEBBRAIO","MARZO","APRILE","MAGGIO","GIUGNO","LUGLIO","AGOSTO","SETTEMBRE","OTTOBRE","NOVEMBRE","DICEMBRE"},0)</f>
        <v>3</v>
      </c>
      <c r="E1027" s="57" t="str">
        <f t="shared" ref="E1027" si="1674">CONCATENATE(,B1027," ",C1027)</f>
        <v>MARZO 2025</v>
      </c>
      <c r="F1027" s="57" t="str">
        <f t="shared" ref="F1027" si="1675">CONCATENATE(D1027," ",E1027)</f>
        <v>3 MARZO 2025</v>
      </c>
      <c r="G1027" s="1309" t="s">
        <v>1246</v>
      </c>
      <c r="H1027" s="1309" t="str">
        <f>VLOOKUP(G1027,CATEGORIE!$H$3:$I$104,2,FALSE)</f>
        <v>COSTO SVAGHI</v>
      </c>
      <c r="I1027" s="59">
        <v>75</v>
      </c>
      <c r="J1027" s="943" t="s">
        <v>376</v>
      </c>
      <c r="K1027" s="59" t="s">
        <v>97</v>
      </c>
      <c r="L1027" s="59" t="s">
        <v>377</v>
      </c>
    </row>
    <row r="1028" spans="1:12" ht="18.600000000000001" customHeight="1">
      <c r="A1028" s="57" t="s">
        <v>341</v>
      </c>
      <c r="B1028" s="57" t="s">
        <v>90</v>
      </c>
      <c r="C1028" s="57">
        <v>2025</v>
      </c>
      <c r="D1028" s="58">
        <f>MATCH(B1028,{"GENNAIO","FEBBRAIO","MARZO","APRILE","MAGGIO","GIUGNO","LUGLIO","AGOSTO","SETTEMBRE","OTTOBRE","NOVEMBRE","DICEMBRE"},0)</f>
        <v>3</v>
      </c>
      <c r="E1028" s="57" t="str">
        <f t="shared" ref="E1028" si="1676">CONCATENATE(,B1028," ",C1028)</f>
        <v>MARZO 2025</v>
      </c>
      <c r="F1028" s="57" t="str">
        <f t="shared" ref="F1028" si="1677">CONCATENATE(D1028," ",E1028)</f>
        <v>3 MARZO 2025</v>
      </c>
      <c r="G1028" s="1309" t="s">
        <v>1250</v>
      </c>
      <c r="H1028" s="1309" t="str">
        <f>VLOOKUP(G1028,CATEGORIE!$H$3:$I$104,2,FALSE)</f>
        <v>COSTO VACANZE</v>
      </c>
      <c r="I1028" s="59">
        <v>60.58</v>
      </c>
      <c r="J1028" s="940"/>
      <c r="K1028" s="59"/>
      <c r="L1028" s="59" t="s">
        <v>342</v>
      </c>
    </row>
    <row r="1029" spans="1:12">
      <c r="A1029" s="57" t="s">
        <v>341</v>
      </c>
      <c r="B1029" s="57" t="s">
        <v>90</v>
      </c>
      <c r="C1029" s="57">
        <v>2025</v>
      </c>
      <c r="D1029" s="58">
        <f>MATCH(B1029,{"GENNAIO","FEBBRAIO","MARZO","APRILE","MAGGIO","GIUGNO","LUGLIO","AGOSTO","SETTEMBRE","OTTOBRE","NOVEMBRE","DICEMBRE"},0)</f>
        <v>3</v>
      </c>
      <c r="E1029" s="57" t="str">
        <f t="shared" ref="E1029" si="1678">CONCATENATE(,B1029," ",C1029)</f>
        <v>MARZO 2025</v>
      </c>
      <c r="F1029" s="57" t="str">
        <f t="shared" ref="F1029" si="1679">CONCATENATE(D1029," ",E1029)</f>
        <v>3 MARZO 2025</v>
      </c>
      <c r="G1029" s="1309" t="s">
        <v>1250</v>
      </c>
      <c r="H1029" s="1309" t="str">
        <f>VLOOKUP(G1029,CATEGORIE!$H$3:$I$104,2,FALSE)</f>
        <v>COSTO VACANZE</v>
      </c>
      <c r="I1029" s="59">
        <v>77.72</v>
      </c>
      <c r="J1029" s="940" t="s">
        <v>138</v>
      </c>
      <c r="K1029" s="59" t="s">
        <v>112</v>
      </c>
      <c r="L1029" s="59" t="s">
        <v>342</v>
      </c>
    </row>
    <row r="1030" spans="1:12">
      <c r="A1030" s="57" t="s">
        <v>364</v>
      </c>
      <c r="B1030" s="57" t="s">
        <v>90</v>
      </c>
      <c r="C1030" s="57">
        <v>2025</v>
      </c>
      <c r="D1030" s="58">
        <f>MATCH(B1030,{"GENNAIO","FEBBRAIO","MARZO","APRILE","MAGGIO","GIUGNO","LUGLIO","AGOSTO","SETTEMBRE","OTTOBRE","NOVEMBRE","DICEMBRE"},0)</f>
        <v>3</v>
      </c>
      <c r="E1030" s="57" t="str">
        <f t="shared" ref="E1030" si="1680">CONCATENATE(,B1030," ",C1030)</f>
        <v>MARZO 2025</v>
      </c>
      <c r="F1030" s="57" t="str">
        <f t="shared" ref="F1030" si="1681">CONCATENATE(D1030," ",E1030)</f>
        <v>3 MARZO 2025</v>
      </c>
      <c r="G1030" s="1309" t="s">
        <v>365</v>
      </c>
      <c r="H1030" s="1309" t="str">
        <f>VLOOKUP(G1030,CATEGORIE!$H$3:$I$104,2,FALSE)</f>
        <v>COSTO SOPRAVVIVENZA</v>
      </c>
      <c r="I1030" s="59">
        <v>17.8</v>
      </c>
      <c r="J1030" s="940" t="s">
        <v>124</v>
      </c>
      <c r="K1030" s="59" t="s">
        <v>112</v>
      </c>
      <c r="L1030" s="59"/>
    </row>
    <row r="1031" spans="1:12" ht="18.600000000000001" customHeight="1">
      <c r="A1031" s="57" t="s">
        <v>95</v>
      </c>
      <c r="B1031" s="57" t="s">
        <v>90</v>
      </c>
      <c r="C1031" s="57">
        <v>2025</v>
      </c>
      <c r="D1031" s="58">
        <f>MATCH(B1031,{"GENNAIO","FEBBRAIO","MARZO","APRILE","MAGGIO","GIUGNO","LUGLIO","AGOSTO","SETTEMBRE","OTTOBRE","NOVEMBRE","DICEMBRE"},0)</f>
        <v>3</v>
      </c>
      <c r="E1031" s="57" t="str">
        <f t="shared" ref="E1031" si="1682">CONCATENATE(,B1031," ",C1031)</f>
        <v>MARZO 2025</v>
      </c>
      <c r="F1031" s="57" t="str">
        <f t="shared" ref="F1031" si="1683">CONCATENATE(D1031," ",E1031)</f>
        <v>3 MARZO 2025</v>
      </c>
      <c r="G1031" s="1309" t="s">
        <v>96</v>
      </c>
      <c r="H1031" s="1309" t="str">
        <f>VLOOKUP(G1031,CATEGORIE!$H$3:$I$104,2,FALSE)</f>
        <v>COSTO SOPRAVVIVENZA</v>
      </c>
      <c r="I1031" s="59">
        <v>28.19</v>
      </c>
      <c r="J1031" s="940"/>
      <c r="K1031" s="59"/>
      <c r="L1031" s="59"/>
    </row>
    <row r="1032" spans="1:12" ht="18.600000000000001" customHeight="1">
      <c r="A1032" s="57" t="s">
        <v>130</v>
      </c>
      <c r="B1032" s="57" t="s">
        <v>90</v>
      </c>
      <c r="C1032" s="57">
        <v>2025</v>
      </c>
      <c r="D1032" s="58">
        <f>MATCH(B1032,{"GENNAIO","FEBBRAIO","MARZO","APRILE","MAGGIO","GIUGNO","LUGLIO","AGOSTO","SETTEMBRE","OTTOBRE","NOVEMBRE","DICEMBRE"},0)</f>
        <v>3</v>
      </c>
      <c r="E1032" s="57" t="str">
        <f t="shared" ref="E1032" si="1684">CONCATENATE(,B1032," ",C1032)</f>
        <v>MARZO 2025</v>
      </c>
      <c r="F1032" s="57" t="str">
        <f t="shared" ref="F1032" si="1685">CONCATENATE(D1032," ",E1032)</f>
        <v>3 MARZO 2025</v>
      </c>
      <c r="G1032" s="1309" t="s">
        <v>94</v>
      </c>
      <c r="H1032" s="1309" t="str">
        <f>VLOOKUP(G1032,CATEGORIE!$H$3:$I$104,2,FALSE)</f>
        <v>COSTO SVAGHI</v>
      </c>
      <c r="I1032" s="59">
        <v>16</v>
      </c>
      <c r="J1032" s="940"/>
      <c r="K1032" s="59"/>
      <c r="L1032" s="59"/>
    </row>
    <row r="1033" spans="1:12">
      <c r="A1033" s="57" t="s">
        <v>378</v>
      </c>
      <c r="B1033" s="57" t="s">
        <v>90</v>
      </c>
      <c r="C1033" s="57">
        <v>2025</v>
      </c>
      <c r="D1033" s="58">
        <f>MATCH(B1033,{"GENNAIO","FEBBRAIO","MARZO","APRILE","MAGGIO","GIUGNO","LUGLIO","AGOSTO","SETTEMBRE","OTTOBRE","NOVEMBRE","DICEMBRE"},0)</f>
        <v>3</v>
      </c>
      <c r="E1033" s="57" t="str">
        <f t="shared" ref="E1033" si="1686">CONCATENATE(,B1033," ",C1033)</f>
        <v>MARZO 2025</v>
      </c>
      <c r="F1033" s="57" t="str">
        <f t="shared" ref="F1033" si="1687">CONCATENATE(D1033," ",E1033)</f>
        <v>3 MARZO 2025</v>
      </c>
      <c r="G1033" s="1309" t="s">
        <v>94</v>
      </c>
      <c r="H1033" s="1309" t="str">
        <f>VLOOKUP(G1033,CATEGORIE!$H$3:$I$104,2,FALSE)</f>
        <v>COSTO SVAGHI</v>
      </c>
      <c r="I1033" s="59">
        <v>79</v>
      </c>
      <c r="J1033" s="940"/>
      <c r="K1033" s="59"/>
      <c r="L1033" s="59"/>
    </row>
    <row r="1034" spans="1:12" ht="16.5" customHeight="1">
      <c r="A1034" s="57" t="s">
        <v>105</v>
      </c>
      <c r="B1034" s="57" t="s">
        <v>90</v>
      </c>
      <c r="C1034" s="57">
        <v>2025</v>
      </c>
      <c r="D1034" s="58">
        <f>MATCH(B1034,{"GENNAIO","FEBBRAIO","MARZO","APRILE","MAGGIO","GIUGNO","LUGLIO","AGOSTO","SETTEMBRE","OTTOBRE","NOVEMBRE","DICEMBRE"},0)</f>
        <v>3</v>
      </c>
      <c r="E1034" s="57" t="str">
        <f t="shared" ref="E1034" si="1688">CONCATENATE(,B1034," ",C1034)</f>
        <v>MARZO 2025</v>
      </c>
      <c r="F1034" s="57" t="str">
        <f t="shared" ref="F1034" si="1689">CONCATENATE(D1034," ",E1034)</f>
        <v>3 MARZO 2025</v>
      </c>
      <c r="G1034" s="1309" t="s">
        <v>96</v>
      </c>
      <c r="H1034" s="1309" t="str">
        <f>VLOOKUP(G1034,CATEGORIE!$H$3:$I$104,2,FALSE)</f>
        <v>COSTO SOPRAVVIVENZA</v>
      </c>
      <c r="I1034" s="59">
        <v>14.04</v>
      </c>
      <c r="J1034" s="940"/>
      <c r="K1034" s="59"/>
      <c r="L1034" s="59"/>
    </row>
    <row r="1035" spans="1:12">
      <c r="A1035" s="57" t="s">
        <v>102</v>
      </c>
      <c r="B1035" s="57" t="s">
        <v>90</v>
      </c>
      <c r="C1035" s="57">
        <v>2025</v>
      </c>
      <c r="D1035" s="58">
        <f>MATCH(B1035,{"GENNAIO","FEBBRAIO","MARZO","APRILE","MAGGIO","GIUGNO","LUGLIO","AGOSTO","SETTEMBRE","OTTOBRE","NOVEMBRE","DICEMBRE"},0)</f>
        <v>3</v>
      </c>
      <c r="E1035" s="57" t="str">
        <f t="shared" ref="E1035" si="1690">CONCATENATE(,B1035," ",C1035)</f>
        <v>MARZO 2025</v>
      </c>
      <c r="F1035" s="57" t="str">
        <f t="shared" ref="F1035" si="1691">CONCATENATE(D1035," ",E1035)</f>
        <v>3 MARZO 2025</v>
      </c>
      <c r="G1035" s="1309" t="s">
        <v>96</v>
      </c>
      <c r="H1035" s="1309" t="str">
        <f>VLOOKUP(G1035,CATEGORIE!$H$3:$I$104,2,FALSE)</f>
        <v>COSTO SOPRAVVIVENZA</v>
      </c>
      <c r="I1035" s="59">
        <v>13.16</v>
      </c>
      <c r="J1035" s="940"/>
      <c r="K1035" s="59"/>
      <c r="L1035" s="59"/>
    </row>
    <row r="1036" spans="1:12">
      <c r="A1036" s="57" t="s">
        <v>92</v>
      </c>
      <c r="B1036" s="57" t="s">
        <v>90</v>
      </c>
      <c r="C1036" s="57">
        <v>2025</v>
      </c>
      <c r="D1036" s="58">
        <f>MATCH(B1036,{"GENNAIO","FEBBRAIO","MARZO","APRILE","MAGGIO","GIUGNO","LUGLIO","AGOSTO","SETTEMBRE","OTTOBRE","NOVEMBRE","DICEMBRE"},0)</f>
        <v>3</v>
      </c>
      <c r="E1036" s="57" t="str">
        <f t="shared" ref="E1036" si="1692">CONCATENATE(,B1036," ",C1036)</f>
        <v>MARZO 2025</v>
      </c>
      <c r="F1036" s="57" t="str">
        <f t="shared" ref="F1036" si="1693">CONCATENATE(D1036," ",E1036)</f>
        <v>3 MARZO 2025</v>
      </c>
      <c r="G1036" s="1309" t="s">
        <v>93</v>
      </c>
      <c r="H1036" s="1309" t="str">
        <f>VLOOKUP(G1036,CATEGORIE!$H$3:$I$104,2,FALSE)</f>
        <v>COSTO SOPRAVVIVENZA</v>
      </c>
      <c r="I1036" s="59">
        <v>6.5</v>
      </c>
      <c r="J1036" s="940"/>
      <c r="K1036" s="59"/>
      <c r="L1036" s="59"/>
    </row>
    <row r="1037" spans="1:12" ht="16.5" customHeight="1">
      <c r="A1037" s="57" t="s">
        <v>99</v>
      </c>
      <c r="B1037" s="57" t="s">
        <v>90</v>
      </c>
      <c r="C1037" s="57">
        <v>2025</v>
      </c>
      <c r="D1037" s="58">
        <f>MATCH(B1037,{"GENNAIO","FEBBRAIO","MARZO","APRILE","MAGGIO","GIUGNO","LUGLIO","AGOSTO","SETTEMBRE","OTTOBRE","NOVEMBRE","DICEMBRE"},0)</f>
        <v>3</v>
      </c>
      <c r="E1037" s="57" t="str">
        <f t="shared" ref="E1037" si="1694">CONCATENATE(,B1037," ",C1037)</f>
        <v>MARZO 2025</v>
      </c>
      <c r="F1037" s="57" t="str">
        <f t="shared" ref="F1037" si="1695">CONCATENATE(D1037," ",E1037)</f>
        <v>3 MARZO 2025</v>
      </c>
      <c r="G1037" s="1309" t="s">
        <v>100</v>
      </c>
      <c r="H1037" s="1309" t="str">
        <f>VLOOKUP(G1037,CATEGORIE!$H$3:$I$104,2,FALSE)</f>
        <v>COSTO SFIZI</v>
      </c>
      <c r="I1037" s="59">
        <v>36.9</v>
      </c>
      <c r="J1037" s="940"/>
      <c r="K1037" s="57" t="s">
        <v>99</v>
      </c>
      <c r="L1037" s="59"/>
    </row>
    <row r="1038" spans="1:12" ht="18.600000000000001" customHeight="1">
      <c r="A1038" s="57" t="s">
        <v>131</v>
      </c>
      <c r="B1038" s="57" t="s">
        <v>90</v>
      </c>
      <c r="C1038" s="57">
        <v>2025</v>
      </c>
      <c r="D1038" s="58">
        <f>MATCH(B1038,{"GENNAIO","FEBBRAIO","MARZO","APRILE","MAGGIO","GIUGNO","LUGLIO","AGOSTO","SETTEMBRE","OTTOBRE","NOVEMBRE","DICEMBRE"},0)</f>
        <v>3</v>
      </c>
      <c r="E1038" s="57" t="str">
        <f t="shared" ref="E1038" si="1696">CONCATENATE(,B1038," ",C1038)</f>
        <v>MARZO 2025</v>
      </c>
      <c r="F1038" s="57" t="str">
        <f t="shared" ref="F1038" si="1697">CONCATENATE(D1038," ",E1038)</f>
        <v>3 MARZO 2025</v>
      </c>
      <c r="G1038" s="1309" t="s">
        <v>132</v>
      </c>
      <c r="H1038" s="1309" t="str">
        <f>VLOOKUP(G1038,CATEGORIE!$H$3:$I$104,2,FALSE)</f>
        <v>COSTO CASA</v>
      </c>
      <c r="I1038" s="59">
        <v>59.6</v>
      </c>
      <c r="J1038" s="940"/>
      <c r="K1038" s="59"/>
      <c r="L1038" s="59"/>
    </row>
    <row r="1039" spans="1:12" ht="18.600000000000001" customHeight="1">
      <c r="A1039" s="57" t="s">
        <v>92</v>
      </c>
      <c r="B1039" s="57" t="s">
        <v>90</v>
      </c>
      <c r="C1039" s="57">
        <v>2025</v>
      </c>
      <c r="D1039" s="58">
        <f>MATCH(B1039,{"GENNAIO","FEBBRAIO","MARZO","APRILE","MAGGIO","GIUGNO","LUGLIO","AGOSTO","SETTEMBRE","OTTOBRE","NOVEMBRE","DICEMBRE"},0)</f>
        <v>3</v>
      </c>
      <c r="E1039" s="57" t="str">
        <f t="shared" ref="E1039" si="1698">CONCATENATE(,B1039," ",C1039)</f>
        <v>MARZO 2025</v>
      </c>
      <c r="F1039" s="57" t="str">
        <f t="shared" ref="F1039" si="1699">CONCATENATE(D1039," ",E1039)</f>
        <v>3 MARZO 2025</v>
      </c>
      <c r="G1039" s="1309" t="s">
        <v>93</v>
      </c>
      <c r="H1039" s="1309" t="str">
        <f>VLOOKUP(G1039,CATEGORIE!$H$3:$I$104,2,FALSE)</f>
        <v>COSTO SOPRAVVIVENZA</v>
      </c>
      <c r="I1039" s="59">
        <v>6.5</v>
      </c>
      <c r="J1039" s="940"/>
      <c r="K1039" s="59"/>
      <c r="L1039" s="59"/>
    </row>
    <row r="1040" spans="1:12" ht="16.5" customHeight="1">
      <c r="A1040" s="57" t="s">
        <v>99</v>
      </c>
      <c r="B1040" s="57" t="s">
        <v>90</v>
      </c>
      <c r="C1040" s="57">
        <v>2025</v>
      </c>
      <c r="D1040" s="58">
        <f>MATCH(B1040,{"GENNAIO","FEBBRAIO","MARZO","APRILE","MAGGIO","GIUGNO","LUGLIO","AGOSTO","SETTEMBRE","OTTOBRE","NOVEMBRE","DICEMBRE"},0)</f>
        <v>3</v>
      </c>
      <c r="E1040" s="57" t="str">
        <f t="shared" ref="E1040" si="1700">CONCATENATE(,B1040," ",C1040)</f>
        <v>MARZO 2025</v>
      </c>
      <c r="F1040" s="57" t="str">
        <f t="shared" ref="F1040" si="1701">CONCATENATE(D1040," ",E1040)</f>
        <v>3 MARZO 2025</v>
      </c>
      <c r="G1040" s="1309" t="s">
        <v>100</v>
      </c>
      <c r="H1040" s="1309" t="str">
        <f>VLOOKUP(G1040,CATEGORIE!$H$3:$I$104,2,FALSE)</f>
        <v>COSTO SFIZI</v>
      </c>
      <c r="I1040" s="59">
        <v>19</v>
      </c>
      <c r="J1040" s="940"/>
      <c r="K1040" s="57" t="s">
        <v>99</v>
      </c>
      <c r="L1040" s="59"/>
    </row>
    <row r="1041" spans="1:12">
      <c r="A1041" s="57" t="s">
        <v>95</v>
      </c>
      <c r="B1041" s="57" t="s">
        <v>90</v>
      </c>
      <c r="C1041" s="57">
        <v>2025</v>
      </c>
      <c r="D1041" s="58">
        <f>MATCH(B1041,{"GENNAIO","FEBBRAIO","MARZO","APRILE","MAGGIO","GIUGNO","LUGLIO","AGOSTO","SETTEMBRE","OTTOBRE","NOVEMBRE","DICEMBRE"},0)</f>
        <v>3</v>
      </c>
      <c r="E1041" s="57" t="str">
        <f t="shared" ref="E1041" si="1702">CONCATENATE(,B1041," ",C1041)</f>
        <v>MARZO 2025</v>
      </c>
      <c r="F1041" s="57" t="str">
        <f t="shared" ref="F1041" si="1703">CONCATENATE(D1041," ",E1041)</f>
        <v>3 MARZO 2025</v>
      </c>
      <c r="G1041" s="1309" t="s">
        <v>96</v>
      </c>
      <c r="H1041" s="1309" t="str">
        <f>VLOOKUP(G1041,CATEGORIE!$H$3:$I$104,2,FALSE)</f>
        <v>COSTO SOPRAVVIVENZA</v>
      </c>
      <c r="I1041" s="59">
        <v>19.649999999999999</v>
      </c>
      <c r="J1041" s="940"/>
      <c r="K1041" s="59"/>
      <c r="L1041" s="59"/>
    </row>
    <row r="1042" spans="1:12">
      <c r="A1042" s="57" t="s">
        <v>135</v>
      </c>
      <c r="B1042" s="57" t="s">
        <v>90</v>
      </c>
      <c r="C1042" s="57">
        <v>2025</v>
      </c>
      <c r="D1042" s="58">
        <f>MATCH(B1042,{"GENNAIO","FEBBRAIO","MARZO","APRILE","MAGGIO","GIUGNO","LUGLIO","AGOSTO","SETTEMBRE","OTTOBRE","NOVEMBRE","DICEMBRE"},0)</f>
        <v>3</v>
      </c>
      <c r="E1042" s="57" t="str">
        <f t="shared" ref="E1042:E1043" si="1704">CONCATENATE(,B1042," ",C1042)</f>
        <v>MARZO 2025</v>
      </c>
      <c r="F1042" s="57" t="str">
        <f t="shared" ref="F1042:F1043" si="1705">CONCATENATE(D1042," ",E1042)</f>
        <v>3 MARZO 2025</v>
      </c>
      <c r="G1042" s="1309" t="s">
        <v>132</v>
      </c>
      <c r="H1042" s="1309" t="str">
        <f>VLOOKUP(G1042,CATEGORIE!$H$3:$I$104,2,FALSE)</f>
        <v>COSTO CASA</v>
      </c>
      <c r="I1042" s="59">
        <v>15.38</v>
      </c>
      <c r="J1042" s="940"/>
      <c r="K1042" s="59"/>
      <c r="L1042" s="59"/>
    </row>
    <row r="1043" spans="1:12">
      <c r="A1043" s="57" t="s">
        <v>99</v>
      </c>
      <c r="B1043" s="57" t="s">
        <v>129</v>
      </c>
      <c r="C1043" s="57">
        <v>2025</v>
      </c>
      <c r="D1043" s="58">
        <f>MATCH(B1043,{"GENNAIO","FEBBRAIO","MARZO","APRILE","MAGGIO","GIUGNO","LUGLIO","AGOSTO","SETTEMBRE","OTTOBRE","NOVEMBRE","DICEMBRE"},0)</f>
        <v>2</v>
      </c>
      <c r="E1043" s="57" t="str">
        <f t="shared" si="1704"/>
        <v>FEBBRAIO 2025</v>
      </c>
      <c r="F1043" s="57" t="str">
        <f t="shared" si="1705"/>
        <v>2 FEBBRAIO 2025</v>
      </c>
      <c r="G1043" s="1309" t="s">
        <v>100</v>
      </c>
      <c r="H1043" s="1309" t="str">
        <f>VLOOKUP(G1043,CATEGORIE!$H$3:$I$104,2,FALSE)</f>
        <v>COSTO SFIZI</v>
      </c>
      <c r="I1043" s="59">
        <v>15.39</v>
      </c>
      <c r="J1043" s="940" t="s">
        <v>126</v>
      </c>
      <c r="K1043" s="57" t="s">
        <v>99</v>
      </c>
      <c r="L1043" s="59" t="s">
        <v>332</v>
      </c>
    </row>
    <row r="1044" spans="1:12">
      <c r="A1044" s="57" t="s">
        <v>101</v>
      </c>
      <c r="B1044" s="57" t="s">
        <v>129</v>
      </c>
      <c r="C1044" s="57">
        <v>2025</v>
      </c>
      <c r="D1044" s="58">
        <f>MATCH(B1044,{"GENNAIO","FEBBRAIO","MARZO","APRILE","MAGGIO","GIUGNO","LUGLIO","AGOSTO","SETTEMBRE","OTTOBRE","NOVEMBRE","DICEMBRE"},0)</f>
        <v>2</v>
      </c>
      <c r="E1044" s="57" t="str">
        <f t="shared" ref="E1044:E1045" si="1706">CONCATENATE(,B1044," ",C1044)</f>
        <v>FEBBRAIO 2025</v>
      </c>
      <c r="F1044" s="57" t="str">
        <f t="shared" ref="F1044:F1045" si="1707">CONCATENATE(D1044," ",E1044)</f>
        <v>2 FEBBRAIO 2025</v>
      </c>
      <c r="G1044" s="1309" t="s">
        <v>91</v>
      </c>
      <c r="H1044" s="1309" t="str">
        <f>VLOOKUP(G1044,CATEGORIE!$H$3:$I$104,2,FALSE)</f>
        <v>COSTO SOPRAVVIVENZA</v>
      </c>
      <c r="I1044" s="59">
        <v>0.4</v>
      </c>
      <c r="J1044" s="940"/>
      <c r="K1044" s="59"/>
      <c r="L1044" s="59"/>
    </row>
    <row r="1045" spans="1:12" ht="16.5" customHeight="1">
      <c r="A1045" s="57" t="s">
        <v>101</v>
      </c>
      <c r="B1045" s="57" t="s">
        <v>129</v>
      </c>
      <c r="C1045" s="57">
        <v>2025</v>
      </c>
      <c r="D1045" s="58">
        <f>MATCH(B1045,{"GENNAIO","FEBBRAIO","MARZO","APRILE","MAGGIO","GIUGNO","LUGLIO","AGOSTO","SETTEMBRE","OTTOBRE","NOVEMBRE","DICEMBRE"},0)</f>
        <v>2</v>
      </c>
      <c r="E1045" s="57" t="str">
        <f t="shared" si="1706"/>
        <v>FEBBRAIO 2025</v>
      </c>
      <c r="F1045" s="57" t="str">
        <f t="shared" si="1707"/>
        <v>2 FEBBRAIO 2025</v>
      </c>
      <c r="G1045" s="1309" t="s">
        <v>91</v>
      </c>
      <c r="H1045" s="1309" t="str">
        <f>VLOOKUP(G1045,CATEGORIE!$H$3:$I$104,2,FALSE)</f>
        <v>COSTO SOPRAVVIVENZA</v>
      </c>
      <c r="I1045" s="59">
        <v>0.4</v>
      </c>
      <c r="J1045" s="940"/>
      <c r="K1045" s="59"/>
      <c r="L1045" s="59"/>
    </row>
    <row r="1046" spans="1:12" ht="18" customHeight="1">
      <c r="A1046" s="57" t="s">
        <v>101</v>
      </c>
      <c r="B1046" s="57" t="s">
        <v>129</v>
      </c>
      <c r="C1046" s="57">
        <v>2025</v>
      </c>
      <c r="D1046" s="58">
        <f>MATCH(B1046,{"GENNAIO","FEBBRAIO","MARZO","APRILE","MAGGIO","GIUGNO","LUGLIO","AGOSTO","SETTEMBRE","OTTOBRE","NOVEMBRE","DICEMBRE"},0)</f>
        <v>2</v>
      </c>
      <c r="E1046" s="57" t="str">
        <f t="shared" ref="E1046" si="1708">CONCATENATE(,B1046," ",C1046)</f>
        <v>FEBBRAIO 2025</v>
      </c>
      <c r="F1046" s="57" t="str">
        <f t="shared" ref="F1046" si="1709">CONCATENATE(D1046," ",E1046)</f>
        <v>2 FEBBRAIO 2025</v>
      </c>
      <c r="G1046" s="1309" t="s">
        <v>91</v>
      </c>
      <c r="H1046" s="1309" t="str">
        <f>VLOOKUP(G1046,CATEGORIE!$H$3:$I$104,2,FALSE)</f>
        <v>COSTO SOPRAVVIVENZA</v>
      </c>
      <c r="I1046" s="59">
        <v>0.4</v>
      </c>
      <c r="J1046" s="940"/>
      <c r="K1046" s="59"/>
      <c r="L1046" s="59"/>
    </row>
    <row r="1047" spans="1:12" ht="18" customHeight="1">
      <c r="A1047" s="57" t="s">
        <v>101</v>
      </c>
      <c r="B1047" s="57" t="s">
        <v>129</v>
      </c>
      <c r="C1047" s="57">
        <v>2025</v>
      </c>
      <c r="D1047" s="58">
        <f>MATCH(B1047,{"GENNAIO","FEBBRAIO","MARZO","APRILE","MAGGIO","GIUGNO","LUGLIO","AGOSTO","SETTEMBRE","OTTOBRE","NOVEMBRE","DICEMBRE"},0)</f>
        <v>2</v>
      </c>
      <c r="E1047" s="57" t="str">
        <f t="shared" ref="E1047" si="1710">CONCATENATE(,B1047," ",C1047)</f>
        <v>FEBBRAIO 2025</v>
      </c>
      <c r="F1047" s="57" t="str">
        <f t="shared" ref="F1047" si="1711">CONCATENATE(D1047," ",E1047)</f>
        <v>2 FEBBRAIO 2025</v>
      </c>
      <c r="G1047" s="1309" t="s">
        <v>91</v>
      </c>
      <c r="H1047" s="1309" t="str">
        <f>VLOOKUP(G1047,CATEGORIE!$H$3:$I$104,2,FALSE)</f>
        <v>COSTO SOPRAVVIVENZA</v>
      </c>
      <c r="I1047" s="59">
        <v>0.4</v>
      </c>
      <c r="J1047" s="940"/>
      <c r="K1047" s="59"/>
      <c r="L1047" s="59"/>
    </row>
    <row r="1048" spans="1:12">
      <c r="A1048" s="57" t="s">
        <v>99</v>
      </c>
      <c r="B1048" s="57" t="s">
        <v>129</v>
      </c>
      <c r="C1048" s="57">
        <v>2025</v>
      </c>
      <c r="D1048" s="58">
        <f>MATCH(B1048,{"GENNAIO","FEBBRAIO","MARZO","APRILE","MAGGIO","GIUGNO","LUGLIO","AGOSTO","SETTEMBRE","OTTOBRE","NOVEMBRE","DICEMBRE"},0)</f>
        <v>2</v>
      </c>
      <c r="E1048" s="57" t="str">
        <f t="shared" ref="E1048" si="1712">CONCATENATE(,B1048," ",C1048)</f>
        <v>FEBBRAIO 2025</v>
      </c>
      <c r="F1048" s="57" t="str">
        <f t="shared" ref="F1048" si="1713">CONCATENATE(D1048," ",E1048)</f>
        <v>2 FEBBRAIO 2025</v>
      </c>
      <c r="G1048" s="1309" t="s">
        <v>96</v>
      </c>
      <c r="H1048" s="1309" t="str">
        <f>VLOOKUP(G1048,CATEGORIE!$H$3:$I$104,2,FALSE)</f>
        <v>COSTO SOPRAVVIVENZA</v>
      </c>
      <c r="I1048" s="59">
        <v>16.899999999999999</v>
      </c>
      <c r="J1048" s="940"/>
      <c r="K1048" s="57" t="s">
        <v>99</v>
      </c>
      <c r="L1048" s="59"/>
    </row>
    <row r="1049" spans="1:12">
      <c r="A1049" s="57" t="s">
        <v>379</v>
      </c>
      <c r="B1049" s="57" t="s">
        <v>129</v>
      </c>
      <c r="C1049" s="57">
        <v>2025</v>
      </c>
      <c r="D1049" s="58">
        <f>MATCH(B1049,{"GENNAIO","FEBBRAIO","MARZO","APRILE","MAGGIO","GIUGNO","LUGLIO","AGOSTO","SETTEMBRE","OTTOBRE","NOVEMBRE","DICEMBRE"},0)</f>
        <v>2</v>
      </c>
      <c r="E1049" s="57" t="str">
        <f t="shared" ref="E1049" si="1714">CONCATENATE(,B1049," ",C1049)</f>
        <v>FEBBRAIO 2025</v>
      </c>
      <c r="F1049" s="57" t="str">
        <f t="shared" ref="F1049" si="1715">CONCATENATE(D1049," ",E1049)</f>
        <v>2 FEBBRAIO 2025</v>
      </c>
      <c r="G1049" s="1309" t="s">
        <v>94</v>
      </c>
      <c r="H1049" s="1309" t="str">
        <f>VLOOKUP(G1049,CATEGORIE!$H$3:$I$104,2,FALSE)</f>
        <v>COSTO SVAGHI</v>
      </c>
      <c r="I1049" s="59">
        <v>25</v>
      </c>
      <c r="J1049" s="943"/>
      <c r="K1049" s="59" t="s">
        <v>97</v>
      </c>
      <c r="L1049" s="59" t="s">
        <v>380</v>
      </c>
    </row>
    <row r="1050" spans="1:12">
      <c r="A1050" s="57" t="s">
        <v>381</v>
      </c>
      <c r="B1050" s="57" t="s">
        <v>129</v>
      </c>
      <c r="C1050" s="57">
        <v>2025</v>
      </c>
      <c r="D1050" s="58">
        <f>MATCH(B1050,{"GENNAIO","FEBBRAIO","MARZO","APRILE","MAGGIO","GIUGNO","LUGLIO","AGOSTO","SETTEMBRE","OTTOBRE","NOVEMBRE","DICEMBRE"},0)</f>
        <v>2</v>
      </c>
      <c r="E1050" s="57" t="str">
        <f t="shared" ref="E1050:E1098" si="1716">CONCATENATE(,B1050," ",C1050)</f>
        <v>FEBBRAIO 2025</v>
      </c>
      <c r="F1050" s="57" t="str">
        <f t="shared" ref="F1050:F1098" si="1717">CONCATENATE(D1050," ",E1050)</f>
        <v>2 FEBBRAIO 2025</v>
      </c>
      <c r="G1050" s="1309" t="s">
        <v>185</v>
      </c>
      <c r="H1050" s="1309" t="str">
        <f>VLOOKUP(G1050,CATEGORIE!$H$3:$I$104,2,FALSE)</f>
        <v>COSTO SFIZI</v>
      </c>
      <c r="I1050" s="59">
        <v>60</v>
      </c>
      <c r="J1050" s="940"/>
      <c r="K1050" s="59" t="s">
        <v>112</v>
      </c>
      <c r="L1050" s="59" t="s">
        <v>382</v>
      </c>
    </row>
    <row r="1051" spans="1:12">
      <c r="A1051" s="57" t="s">
        <v>211</v>
      </c>
      <c r="B1051" s="57" t="s">
        <v>129</v>
      </c>
      <c r="C1051" s="57">
        <v>2025</v>
      </c>
      <c r="D1051" s="58">
        <f>MATCH(B1051,{"GENNAIO","FEBBRAIO","MARZO","APRILE","MAGGIO","GIUGNO","LUGLIO","AGOSTO","SETTEMBRE","OTTOBRE","NOVEMBRE","DICEMBRE"},0)</f>
        <v>2</v>
      </c>
      <c r="E1051" s="57" t="str">
        <f t="shared" si="1716"/>
        <v>FEBBRAIO 2025</v>
      </c>
      <c r="F1051" s="57" t="str">
        <f t="shared" si="1717"/>
        <v>2 FEBBRAIO 2025</v>
      </c>
      <c r="G1051" s="1309" t="s">
        <v>94</v>
      </c>
      <c r="H1051" s="1309" t="str">
        <f>VLOOKUP(G1051,CATEGORIE!$H$3:$I$104,2,FALSE)</f>
        <v>COSTO SVAGHI</v>
      </c>
      <c r="I1051" s="59">
        <v>35.6</v>
      </c>
      <c r="J1051" s="940"/>
      <c r="K1051" s="59"/>
      <c r="L1051" s="59"/>
    </row>
    <row r="1052" spans="1:12">
      <c r="A1052" s="57" t="s">
        <v>92</v>
      </c>
      <c r="B1052" s="57" t="s">
        <v>129</v>
      </c>
      <c r="C1052" s="57">
        <v>2025</v>
      </c>
      <c r="D1052" s="58">
        <f>MATCH(B1052,{"GENNAIO","FEBBRAIO","MARZO","APRILE","MAGGIO","GIUGNO","LUGLIO","AGOSTO","SETTEMBRE","OTTOBRE","NOVEMBRE","DICEMBRE"},0)</f>
        <v>2</v>
      </c>
      <c r="E1052" s="57" t="str">
        <f t="shared" ref="E1052" si="1718">CONCATENATE(,B1052," ",C1052)</f>
        <v>FEBBRAIO 2025</v>
      </c>
      <c r="F1052" s="57" t="str">
        <f t="shared" ref="F1052" si="1719">CONCATENATE(D1052," ",E1052)</f>
        <v>2 FEBBRAIO 2025</v>
      </c>
      <c r="G1052" s="1309" t="s">
        <v>94</v>
      </c>
      <c r="H1052" s="1309" t="str">
        <f>VLOOKUP(G1052,CATEGORIE!$H$3:$I$104,2,FALSE)</f>
        <v>COSTO SVAGHI</v>
      </c>
      <c r="I1052" s="59">
        <v>4.2</v>
      </c>
      <c r="J1052" s="940"/>
      <c r="K1052" s="59"/>
      <c r="L1052" s="59"/>
    </row>
    <row r="1053" spans="1:12">
      <c r="A1053" s="57" t="s">
        <v>92</v>
      </c>
      <c r="B1053" s="57" t="s">
        <v>129</v>
      </c>
      <c r="C1053" s="57">
        <v>2025</v>
      </c>
      <c r="D1053" s="58">
        <f>MATCH(B1053,{"GENNAIO","FEBBRAIO","MARZO","APRILE","MAGGIO","GIUGNO","LUGLIO","AGOSTO","SETTEMBRE","OTTOBRE","NOVEMBRE","DICEMBRE"},0)</f>
        <v>2</v>
      </c>
      <c r="E1053" s="57" t="str">
        <f t="shared" si="1716"/>
        <v>FEBBRAIO 2025</v>
      </c>
      <c r="F1053" s="57" t="str">
        <f t="shared" si="1717"/>
        <v>2 FEBBRAIO 2025</v>
      </c>
      <c r="G1053" s="1309" t="s">
        <v>93</v>
      </c>
      <c r="H1053" s="1309" t="str">
        <f>VLOOKUP(G1053,CATEGORIE!$H$3:$I$104,2,FALSE)</f>
        <v>COSTO SOPRAVVIVENZA</v>
      </c>
      <c r="I1053" s="59">
        <v>6.5</v>
      </c>
      <c r="J1053" s="940"/>
      <c r="K1053" s="59"/>
      <c r="L1053" s="59"/>
    </row>
    <row r="1054" spans="1:12">
      <c r="A1054" s="57" t="s">
        <v>101</v>
      </c>
      <c r="B1054" s="57" t="s">
        <v>129</v>
      </c>
      <c r="C1054" s="57">
        <v>2025</v>
      </c>
      <c r="D1054" s="58">
        <f>MATCH(B1054,{"GENNAIO","FEBBRAIO","MARZO","APRILE","MAGGIO","GIUGNO","LUGLIO","AGOSTO","SETTEMBRE","OTTOBRE","NOVEMBRE","DICEMBRE"},0)</f>
        <v>2</v>
      </c>
      <c r="E1054" s="57" t="str">
        <f t="shared" si="1716"/>
        <v>FEBBRAIO 2025</v>
      </c>
      <c r="F1054" s="57" t="str">
        <f t="shared" si="1717"/>
        <v>2 FEBBRAIO 2025</v>
      </c>
      <c r="G1054" s="1309" t="s">
        <v>91</v>
      </c>
      <c r="H1054" s="1309" t="str">
        <f>VLOOKUP(G1054,CATEGORIE!$H$3:$I$104,2,FALSE)</f>
        <v>COSTO SOPRAVVIVENZA</v>
      </c>
      <c r="I1054" s="59">
        <v>0.4</v>
      </c>
      <c r="J1054" s="940"/>
      <c r="K1054" s="59"/>
      <c r="L1054" s="59"/>
    </row>
    <row r="1055" spans="1:12" ht="16.5" customHeight="1">
      <c r="A1055" s="57" t="s">
        <v>92</v>
      </c>
      <c r="B1055" s="57" t="s">
        <v>129</v>
      </c>
      <c r="C1055" s="57">
        <v>2025</v>
      </c>
      <c r="D1055" s="58">
        <f>MATCH(B1055,{"GENNAIO","FEBBRAIO","MARZO","APRILE","MAGGIO","GIUGNO","LUGLIO","AGOSTO","SETTEMBRE","OTTOBRE","NOVEMBRE","DICEMBRE"},0)</f>
        <v>2</v>
      </c>
      <c r="E1055" s="57" t="str">
        <f t="shared" si="1716"/>
        <v>FEBBRAIO 2025</v>
      </c>
      <c r="F1055" s="57" t="str">
        <f t="shared" si="1717"/>
        <v>2 FEBBRAIO 2025</v>
      </c>
      <c r="G1055" s="1309" t="s">
        <v>94</v>
      </c>
      <c r="H1055" s="1309" t="str">
        <f>VLOOKUP(G1055,CATEGORIE!$H$3:$I$104,2,FALSE)</f>
        <v>COSTO SVAGHI</v>
      </c>
      <c r="I1055" s="59">
        <v>4.2</v>
      </c>
      <c r="J1055" s="940"/>
      <c r="K1055" s="59"/>
      <c r="L1055" s="59"/>
    </row>
    <row r="1056" spans="1:12">
      <c r="A1056" s="57" t="s">
        <v>101</v>
      </c>
      <c r="B1056" s="57" t="s">
        <v>129</v>
      </c>
      <c r="C1056" s="57">
        <v>2025</v>
      </c>
      <c r="D1056" s="58">
        <f>MATCH(B1056,{"GENNAIO","FEBBRAIO","MARZO","APRILE","MAGGIO","GIUGNO","LUGLIO","AGOSTO","SETTEMBRE","OTTOBRE","NOVEMBRE","DICEMBRE"},0)</f>
        <v>2</v>
      </c>
      <c r="E1056" s="57" t="str">
        <f t="shared" si="1716"/>
        <v>FEBBRAIO 2025</v>
      </c>
      <c r="F1056" s="57" t="str">
        <f t="shared" si="1717"/>
        <v>2 FEBBRAIO 2025</v>
      </c>
      <c r="G1056" s="1309" t="s">
        <v>91</v>
      </c>
      <c r="H1056" s="1309" t="str">
        <f>VLOOKUP(G1056,CATEGORIE!$H$3:$I$104,2,FALSE)</f>
        <v>COSTO SOPRAVVIVENZA</v>
      </c>
      <c r="I1056" s="59">
        <v>0.4</v>
      </c>
      <c r="J1056" s="940"/>
      <c r="K1056" s="59"/>
      <c r="L1056" s="59"/>
    </row>
    <row r="1057" spans="1:12" ht="18.600000000000001" customHeight="1">
      <c r="A1057" s="57" t="s">
        <v>101</v>
      </c>
      <c r="B1057" s="57" t="s">
        <v>129</v>
      </c>
      <c r="C1057" s="57">
        <v>2025</v>
      </c>
      <c r="D1057" s="58">
        <f>MATCH(B1057,{"GENNAIO","FEBBRAIO","MARZO","APRILE","MAGGIO","GIUGNO","LUGLIO","AGOSTO","SETTEMBRE","OTTOBRE","NOVEMBRE","DICEMBRE"},0)</f>
        <v>2</v>
      </c>
      <c r="E1057" s="57" t="str">
        <f t="shared" si="1716"/>
        <v>FEBBRAIO 2025</v>
      </c>
      <c r="F1057" s="57" t="str">
        <f t="shared" si="1717"/>
        <v>2 FEBBRAIO 2025</v>
      </c>
      <c r="G1057" s="1309" t="s">
        <v>91</v>
      </c>
      <c r="H1057" s="1309" t="str">
        <f>VLOOKUP(G1057,CATEGORIE!$H$3:$I$104,2,FALSE)</f>
        <v>COSTO SOPRAVVIVENZA</v>
      </c>
      <c r="I1057" s="59">
        <v>0.4</v>
      </c>
      <c r="J1057" s="940"/>
      <c r="K1057" s="59"/>
      <c r="L1057" s="59"/>
    </row>
    <row r="1058" spans="1:12">
      <c r="A1058" s="57" t="s">
        <v>99</v>
      </c>
      <c r="B1058" s="57" t="s">
        <v>129</v>
      </c>
      <c r="C1058" s="57">
        <v>2025</v>
      </c>
      <c r="D1058" s="58">
        <f>MATCH(B1058,{"GENNAIO","FEBBRAIO","MARZO","APRILE","MAGGIO","GIUGNO","LUGLIO","AGOSTO","SETTEMBRE","OTTOBRE","NOVEMBRE","DICEMBRE"},0)</f>
        <v>2</v>
      </c>
      <c r="E1058" s="57" t="str">
        <f t="shared" si="1716"/>
        <v>FEBBRAIO 2025</v>
      </c>
      <c r="F1058" s="57" t="str">
        <f t="shared" si="1717"/>
        <v>2 FEBBRAIO 2025</v>
      </c>
      <c r="G1058" s="1309" t="s">
        <v>100</v>
      </c>
      <c r="H1058" s="1309" t="str">
        <f>VLOOKUP(G1058,CATEGORIE!$H$3:$I$104,2,FALSE)</f>
        <v>COSTO SFIZI</v>
      </c>
      <c r="I1058" s="59">
        <v>30.6</v>
      </c>
      <c r="J1058" s="940" t="s">
        <v>167</v>
      </c>
      <c r="K1058" s="57" t="s">
        <v>99</v>
      </c>
      <c r="L1058" s="59" t="s">
        <v>168</v>
      </c>
    </row>
    <row r="1059" spans="1:12">
      <c r="A1059" s="57" t="s">
        <v>101</v>
      </c>
      <c r="B1059" s="57" t="s">
        <v>129</v>
      </c>
      <c r="C1059" s="57">
        <v>2025</v>
      </c>
      <c r="D1059" s="58">
        <f>MATCH(B1059,{"GENNAIO","FEBBRAIO","MARZO","APRILE","MAGGIO","GIUGNO","LUGLIO","AGOSTO","SETTEMBRE","OTTOBRE","NOVEMBRE","DICEMBRE"},0)</f>
        <v>2</v>
      </c>
      <c r="E1059" s="57" t="str">
        <f t="shared" si="1716"/>
        <v>FEBBRAIO 2025</v>
      </c>
      <c r="F1059" s="57" t="str">
        <f t="shared" si="1717"/>
        <v>2 FEBBRAIO 2025</v>
      </c>
      <c r="G1059" s="1309" t="s">
        <v>91</v>
      </c>
      <c r="H1059" s="1309" t="str">
        <f>VLOOKUP(G1059,CATEGORIE!$H$3:$I$104,2,FALSE)</f>
        <v>COSTO SOPRAVVIVENZA</v>
      </c>
      <c r="I1059" s="59">
        <v>0.4</v>
      </c>
      <c r="J1059" s="940"/>
      <c r="K1059" s="59"/>
      <c r="L1059" s="59"/>
    </row>
    <row r="1060" spans="1:12">
      <c r="A1060" s="57" t="s">
        <v>357</v>
      </c>
      <c r="B1060" s="57" t="s">
        <v>129</v>
      </c>
      <c r="C1060" s="57">
        <v>2025</v>
      </c>
      <c r="D1060" s="58">
        <f>MATCH(B1060,{"GENNAIO","FEBBRAIO","MARZO","APRILE","MAGGIO","GIUGNO","LUGLIO","AGOSTO","SETTEMBRE","OTTOBRE","NOVEMBRE","DICEMBRE"},0)</f>
        <v>2</v>
      </c>
      <c r="E1060" s="57" t="str">
        <f t="shared" si="1716"/>
        <v>FEBBRAIO 2025</v>
      </c>
      <c r="F1060" s="57" t="str">
        <f t="shared" si="1717"/>
        <v>2 FEBBRAIO 2025</v>
      </c>
      <c r="G1060" s="1309" t="s">
        <v>96</v>
      </c>
      <c r="H1060" s="1309" t="str">
        <f>VLOOKUP(G1060,CATEGORIE!$H$3:$I$104,2,FALSE)</f>
        <v>COSTO SOPRAVVIVENZA</v>
      </c>
      <c r="I1060" s="59">
        <v>4.25</v>
      </c>
      <c r="J1060" s="940"/>
      <c r="K1060" s="59"/>
      <c r="L1060" s="59"/>
    </row>
    <row r="1061" spans="1:12" ht="18.600000000000001" customHeight="1">
      <c r="A1061" s="57" t="s">
        <v>101</v>
      </c>
      <c r="B1061" s="57" t="s">
        <v>129</v>
      </c>
      <c r="C1061" s="57">
        <v>2025</v>
      </c>
      <c r="D1061" s="58">
        <f>MATCH(B1061,{"GENNAIO","FEBBRAIO","MARZO","APRILE","MAGGIO","GIUGNO","LUGLIO","AGOSTO","SETTEMBRE","OTTOBRE","NOVEMBRE","DICEMBRE"},0)</f>
        <v>2</v>
      </c>
      <c r="E1061" s="57" t="str">
        <f t="shared" si="1716"/>
        <v>FEBBRAIO 2025</v>
      </c>
      <c r="F1061" s="57" t="str">
        <f t="shared" si="1717"/>
        <v>2 FEBBRAIO 2025</v>
      </c>
      <c r="G1061" s="1309" t="s">
        <v>91</v>
      </c>
      <c r="H1061" s="1309" t="str">
        <f>VLOOKUP(G1061,CATEGORIE!$H$3:$I$104,2,FALSE)</f>
        <v>COSTO SOPRAVVIVENZA</v>
      </c>
      <c r="I1061" s="59">
        <v>0.4</v>
      </c>
      <c r="J1061" s="940"/>
      <c r="K1061" s="59"/>
      <c r="L1061" s="59"/>
    </row>
    <row r="1062" spans="1:12">
      <c r="A1062" s="57" t="s">
        <v>101</v>
      </c>
      <c r="B1062" s="57" t="s">
        <v>129</v>
      </c>
      <c r="C1062" s="57">
        <v>2025</v>
      </c>
      <c r="D1062" s="58">
        <f>MATCH(B1062,{"GENNAIO","FEBBRAIO","MARZO","APRILE","MAGGIO","GIUGNO","LUGLIO","AGOSTO","SETTEMBRE","OTTOBRE","NOVEMBRE","DICEMBRE"},0)</f>
        <v>2</v>
      </c>
      <c r="E1062" s="57" t="str">
        <f t="shared" si="1716"/>
        <v>FEBBRAIO 2025</v>
      </c>
      <c r="F1062" s="57" t="str">
        <f t="shared" si="1717"/>
        <v>2 FEBBRAIO 2025</v>
      </c>
      <c r="G1062" s="1309" t="s">
        <v>91</v>
      </c>
      <c r="H1062" s="1309" t="str">
        <f>VLOOKUP(G1062,CATEGORIE!$H$3:$I$104,2,FALSE)</f>
        <v>COSTO SOPRAVVIVENZA</v>
      </c>
      <c r="I1062" s="59">
        <v>0.4</v>
      </c>
      <c r="J1062" s="940"/>
      <c r="K1062" s="59"/>
      <c r="L1062" s="59"/>
    </row>
    <row r="1063" spans="1:12">
      <c r="A1063" s="57" t="s">
        <v>101</v>
      </c>
      <c r="B1063" s="57" t="s">
        <v>129</v>
      </c>
      <c r="C1063" s="57">
        <v>2025</v>
      </c>
      <c r="D1063" s="58">
        <f>MATCH(B1063,{"GENNAIO","FEBBRAIO","MARZO","APRILE","MAGGIO","GIUGNO","LUGLIO","AGOSTO","SETTEMBRE","OTTOBRE","NOVEMBRE","DICEMBRE"},0)</f>
        <v>2</v>
      </c>
      <c r="E1063" s="57" t="str">
        <f t="shared" si="1716"/>
        <v>FEBBRAIO 2025</v>
      </c>
      <c r="F1063" s="57" t="str">
        <f t="shared" si="1717"/>
        <v>2 FEBBRAIO 2025</v>
      </c>
      <c r="G1063" s="1309" t="s">
        <v>91</v>
      </c>
      <c r="H1063" s="1309" t="str">
        <f>VLOOKUP(G1063,CATEGORIE!$H$3:$I$104,2,FALSE)</f>
        <v>COSTO SOPRAVVIVENZA</v>
      </c>
      <c r="I1063" s="59">
        <v>0.4</v>
      </c>
      <c r="J1063" s="940"/>
      <c r="K1063" s="59"/>
      <c r="L1063" s="59"/>
    </row>
    <row r="1064" spans="1:12" ht="18.600000000000001" customHeight="1">
      <c r="A1064" s="57" t="s">
        <v>95</v>
      </c>
      <c r="B1064" s="57" t="s">
        <v>129</v>
      </c>
      <c r="C1064" s="57">
        <v>2025</v>
      </c>
      <c r="D1064" s="58">
        <f>MATCH(B1064,{"GENNAIO","FEBBRAIO","MARZO","APRILE","MAGGIO","GIUGNO","LUGLIO","AGOSTO","SETTEMBRE","OTTOBRE","NOVEMBRE","DICEMBRE"},0)</f>
        <v>2</v>
      </c>
      <c r="E1064" s="57" t="str">
        <f t="shared" si="1716"/>
        <v>FEBBRAIO 2025</v>
      </c>
      <c r="F1064" s="57" t="str">
        <f t="shared" si="1717"/>
        <v>2 FEBBRAIO 2025</v>
      </c>
      <c r="G1064" s="1309" t="s">
        <v>96</v>
      </c>
      <c r="H1064" s="1309" t="str">
        <f>VLOOKUP(G1064,CATEGORIE!$H$3:$I$104,2,FALSE)</f>
        <v>COSTO SOPRAVVIVENZA</v>
      </c>
      <c r="I1064" s="59">
        <v>16.52</v>
      </c>
      <c r="J1064" s="940"/>
      <c r="K1064" s="59"/>
      <c r="L1064" s="59"/>
    </row>
    <row r="1065" spans="1:12" ht="18.600000000000001" customHeight="1">
      <c r="A1065" s="57" t="s">
        <v>383</v>
      </c>
      <c r="B1065" s="57" t="s">
        <v>129</v>
      </c>
      <c r="C1065" s="57">
        <v>2025</v>
      </c>
      <c r="D1065" s="58">
        <f>MATCH(B1065,{"GENNAIO","FEBBRAIO","MARZO","APRILE","MAGGIO","GIUGNO","LUGLIO","AGOSTO","SETTEMBRE","OTTOBRE","NOVEMBRE","DICEMBRE"},0)</f>
        <v>2</v>
      </c>
      <c r="E1065" s="57" t="str">
        <f t="shared" si="1716"/>
        <v>FEBBRAIO 2025</v>
      </c>
      <c r="F1065" s="57" t="str">
        <f t="shared" si="1717"/>
        <v>2 FEBBRAIO 2025</v>
      </c>
      <c r="G1065" s="1309" t="s">
        <v>94</v>
      </c>
      <c r="H1065" s="1309" t="str">
        <f>VLOOKUP(G1065,CATEGORIE!$H$3:$I$104,2,FALSE)</f>
        <v>COSTO SVAGHI</v>
      </c>
      <c r="I1065" s="59">
        <v>74</v>
      </c>
      <c r="J1065" s="940"/>
      <c r="K1065" s="59"/>
      <c r="L1065" s="59"/>
    </row>
    <row r="1066" spans="1:12">
      <c r="A1066" s="57" t="s">
        <v>384</v>
      </c>
      <c r="B1066" s="57" t="s">
        <v>129</v>
      </c>
      <c r="C1066" s="57">
        <v>2025</v>
      </c>
      <c r="D1066" s="58">
        <f>MATCH(B1066,{"GENNAIO","FEBBRAIO","MARZO","APRILE","MAGGIO","GIUGNO","LUGLIO","AGOSTO","SETTEMBRE","OTTOBRE","NOVEMBRE","DICEMBRE"},0)</f>
        <v>2</v>
      </c>
      <c r="E1066" s="57" t="str">
        <f t="shared" si="1716"/>
        <v>FEBBRAIO 2025</v>
      </c>
      <c r="F1066" s="57" t="str">
        <f t="shared" si="1717"/>
        <v>2 FEBBRAIO 2025</v>
      </c>
      <c r="G1066" s="1309" t="s">
        <v>94</v>
      </c>
      <c r="H1066" s="1309" t="str">
        <f>VLOOKUP(G1066,CATEGORIE!$H$3:$I$104,2,FALSE)</f>
        <v>COSTO SVAGHI</v>
      </c>
      <c r="I1066" s="59">
        <v>28</v>
      </c>
      <c r="J1066" s="940"/>
      <c r="K1066" s="59"/>
      <c r="L1066" s="59"/>
    </row>
    <row r="1067" spans="1:12">
      <c r="A1067" s="57" t="s">
        <v>135</v>
      </c>
      <c r="B1067" s="57" t="s">
        <v>129</v>
      </c>
      <c r="C1067" s="57">
        <v>2025</v>
      </c>
      <c r="D1067" s="58">
        <f>MATCH(B1067,{"GENNAIO","FEBBRAIO","MARZO","APRILE","MAGGIO","GIUGNO","LUGLIO","AGOSTO","SETTEMBRE","OTTOBRE","NOVEMBRE","DICEMBRE"},0)</f>
        <v>2</v>
      </c>
      <c r="E1067" s="57" t="str">
        <f t="shared" si="1716"/>
        <v>FEBBRAIO 2025</v>
      </c>
      <c r="F1067" s="57" t="str">
        <f t="shared" si="1717"/>
        <v>2 FEBBRAIO 2025</v>
      </c>
      <c r="G1067" s="1309" t="s">
        <v>132</v>
      </c>
      <c r="H1067" s="1309" t="str">
        <f>VLOOKUP(G1067,CATEGORIE!$H$3:$I$104,2,FALSE)</f>
        <v>COSTO CASA</v>
      </c>
      <c r="I1067" s="59">
        <v>14.07</v>
      </c>
      <c r="J1067" s="940"/>
      <c r="K1067" s="59"/>
      <c r="L1067" s="59"/>
    </row>
    <row r="1068" spans="1:12" ht="18.95" customHeight="1">
      <c r="A1068" s="57" t="s">
        <v>105</v>
      </c>
      <c r="B1068" s="57" t="s">
        <v>129</v>
      </c>
      <c r="C1068" s="57">
        <v>2025</v>
      </c>
      <c r="D1068" s="58">
        <f>MATCH(B1068,{"GENNAIO","FEBBRAIO","MARZO","APRILE","MAGGIO","GIUGNO","LUGLIO","AGOSTO","SETTEMBRE","OTTOBRE","NOVEMBRE","DICEMBRE"},0)</f>
        <v>2</v>
      </c>
      <c r="E1068" s="57" t="str">
        <f t="shared" si="1716"/>
        <v>FEBBRAIO 2025</v>
      </c>
      <c r="F1068" s="57" t="str">
        <f t="shared" si="1717"/>
        <v>2 FEBBRAIO 2025</v>
      </c>
      <c r="G1068" s="1309" t="s">
        <v>96</v>
      </c>
      <c r="H1068" s="1309" t="str">
        <f>VLOOKUP(G1068,CATEGORIE!$H$3:$I$104,2,FALSE)</f>
        <v>COSTO SOPRAVVIVENZA</v>
      </c>
      <c r="I1068" s="59">
        <v>20.5</v>
      </c>
      <c r="J1068" s="940"/>
      <c r="K1068" s="59"/>
      <c r="L1068" s="59"/>
    </row>
    <row r="1069" spans="1:12" ht="16.5" customHeight="1">
      <c r="A1069" s="57" t="s">
        <v>92</v>
      </c>
      <c r="B1069" s="57" t="s">
        <v>129</v>
      </c>
      <c r="C1069" s="57">
        <v>2025</v>
      </c>
      <c r="D1069" s="58">
        <f>MATCH(B1069,{"GENNAIO","FEBBRAIO","MARZO","APRILE","MAGGIO","GIUGNO","LUGLIO","AGOSTO","SETTEMBRE","OTTOBRE","NOVEMBRE","DICEMBRE"},0)</f>
        <v>2</v>
      </c>
      <c r="E1069" s="57" t="str">
        <f t="shared" si="1716"/>
        <v>FEBBRAIO 2025</v>
      </c>
      <c r="F1069" s="57" t="str">
        <f t="shared" si="1717"/>
        <v>2 FEBBRAIO 2025</v>
      </c>
      <c r="G1069" s="1309" t="s">
        <v>93</v>
      </c>
      <c r="H1069" s="1309" t="str">
        <f>VLOOKUP(G1069,CATEGORIE!$H$3:$I$104,2,FALSE)</f>
        <v>COSTO SOPRAVVIVENZA</v>
      </c>
      <c r="I1069" s="59">
        <v>6.5</v>
      </c>
      <c r="J1069" s="940"/>
      <c r="K1069" s="59"/>
      <c r="L1069" s="59"/>
    </row>
    <row r="1070" spans="1:12" ht="18" customHeight="1">
      <c r="A1070" s="57" t="s">
        <v>131</v>
      </c>
      <c r="B1070" s="57" t="s">
        <v>129</v>
      </c>
      <c r="C1070" s="57">
        <v>2025</v>
      </c>
      <c r="D1070" s="58">
        <f>MATCH(B1070,{"GENNAIO","FEBBRAIO","MARZO","APRILE","MAGGIO","GIUGNO","LUGLIO","AGOSTO","SETTEMBRE","OTTOBRE","NOVEMBRE","DICEMBRE"},0)</f>
        <v>2</v>
      </c>
      <c r="E1070" s="57" t="str">
        <f t="shared" si="1716"/>
        <v>FEBBRAIO 2025</v>
      </c>
      <c r="F1070" s="57" t="str">
        <f t="shared" si="1717"/>
        <v>2 FEBBRAIO 2025</v>
      </c>
      <c r="G1070" s="1309" t="s">
        <v>132</v>
      </c>
      <c r="H1070" s="1309" t="str">
        <f>VLOOKUP(G1070,CATEGORIE!$H$3:$I$104,2,FALSE)</f>
        <v>COSTO CASA</v>
      </c>
      <c r="I1070" s="59">
        <v>40.75</v>
      </c>
      <c r="J1070" s="940"/>
      <c r="K1070" s="59"/>
      <c r="L1070" s="59"/>
    </row>
    <row r="1071" spans="1:12" ht="18.600000000000001" customHeight="1">
      <c r="A1071" s="57" t="s">
        <v>115</v>
      </c>
      <c r="B1071" s="57" t="s">
        <v>129</v>
      </c>
      <c r="C1071" s="57">
        <v>2025</v>
      </c>
      <c r="D1071" s="58">
        <f>MATCH(B1071,{"GENNAIO","FEBBRAIO","MARZO","APRILE","MAGGIO","GIUGNO","LUGLIO","AGOSTO","SETTEMBRE","OTTOBRE","NOVEMBRE","DICEMBRE"},0)</f>
        <v>2</v>
      </c>
      <c r="E1071" s="57" t="str">
        <f t="shared" si="1716"/>
        <v>FEBBRAIO 2025</v>
      </c>
      <c r="F1071" s="57" t="str">
        <f t="shared" si="1717"/>
        <v>2 FEBBRAIO 2025</v>
      </c>
      <c r="G1071" s="1309" t="s">
        <v>116</v>
      </c>
      <c r="H1071" s="1309" t="str">
        <f>VLOOKUP(G1071,CATEGORIE!$H$3:$I$104,2,FALSE)</f>
        <v>TASSE</v>
      </c>
      <c r="I1071" s="59">
        <v>20.45</v>
      </c>
      <c r="J1071" s="940"/>
      <c r="K1071" s="59"/>
      <c r="L1071" s="59"/>
    </row>
    <row r="1072" spans="1:12" ht="18.600000000000001" customHeight="1">
      <c r="A1072" s="57" t="s">
        <v>99</v>
      </c>
      <c r="B1072" s="57" t="s">
        <v>129</v>
      </c>
      <c r="C1072" s="57">
        <v>2025</v>
      </c>
      <c r="D1072" s="58">
        <f>MATCH(B1072,{"GENNAIO","FEBBRAIO","MARZO","APRILE","MAGGIO","GIUGNO","LUGLIO","AGOSTO","SETTEMBRE","OTTOBRE","NOVEMBRE","DICEMBRE"},0)</f>
        <v>2</v>
      </c>
      <c r="E1072" s="57" t="str">
        <f t="shared" si="1716"/>
        <v>FEBBRAIO 2025</v>
      </c>
      <c r="F1072" s="57" t="str">
        <f t="shared" si="1717"/>
        <v>2 FEBBRAIO 2025</v>
      </c>
      <c r="G1072" s="1309" t="s">
        <v>385</v>
      </c>
      <c r="H1072" s="1309" t="str">
        <f>VLOOKUP(G1072,CATEGORIE!$H$3:$I$104,2,FALSE)</f>
        <v>COSTO SFIZI</v>
      </c>
      <c r="I1072" s="59">
        <v>44.42</v>
      </c>
      <c r="J1072" s="940"/>
      <c r="K1072" s="57" t="s">
        <v>99</v>
      </c>
      <c r="L1072" s="59"/>
    </row>
    <row r="1073" spans="1:12">
      <c r="A1073" s="57" t="s">
        <v>364</v>
      </c>
      <c r="B1073" s="57" t="s">
        <v>129</v>
      </c>
      <c r="C1073" s="57">
        <v>2025</v>
      </c>
      <c r="D1073" s="58">
        <f>MATCH(B1073,{"GENNAIO","FEBBRAIO","MARZO","APRILE","MAGGIO","GIUGNO","LUGLIO","AGOSTO","SETTEMBRE","OTTOBRE","NOVEMBRE","DICEMBRE"},0)</f>
        <v>2</v>
      </c>
      <c r="E1073" s="57" t="str">
        <f t="shared" si="1716"/>
        <v>FEBBRAIO 2025</v>
      </c>
      <c r="F1073" s="57" t="str">
        <f t="shared" si="1717"/>
        <v>2 FEBBRAIO 2025</v>
      </c>
      <c r="G1073" s="1309" t="s">
        <v>365</v>
      </c>
      <c r="H1073" s="1309" t="str">
        <f>VLOOKUP(G1073,CATEGORIE!$H$3:$I$104,2,FALSE)</f>
        <v>COSTO SOPRAVVIVENZA</v>
      </c>
      <c r="I1073" s="59">
        <v>17.79</v>
      </c>
      <c r="J1073" s="940" t="s">
        <v>138</v>
      </c>
      <c r="K1073" s="59" t="s">
        <v>112</v>
      </c>
      <c r="L1073" s="59"/>
    </row>
    <row r="1074" spans="1:12">
      <c r="A1074" s="57" t="s">
        <v>95</v>
      </c>
      <c r="B1074" s="57" t="s">
        <v>129</v>
      </c>
      <c r="C1074" s="57">
        <v>2025</v>
      </c>
      <c r="D1074" s="58">
        <f>MATCH(B1074,{"GENNAIO","FEBBRAIO","MARZO","APRILE","MAGGIO","GIUGNO","LUGLIO","AGOSTO","SETTEMBRE","OTTOBRE","NOVEMBRE","DICEMBRE"},0)</f>
        <v>2</v>
      </c>
      <c r="E1074" s="57" t="str">
        <f t="shared" si="1716"/>
        <v>FEBBRAIO 2025</v>
      </c>
      <c r="F1074" s="57" t="str">
        <f t="shared" si="1717"/>
        <v>2 FEBBRAIO 2025</v>
      </c>
      <c r="G1074" s="1309" t="s">
        <v>96</v>
      </c>
      <c r="H1074" s="1309" t="str">
        <f>VLOOKUP(G1074,CATEGORIE!$H$3:$I$104,2,FALSE)</f>
        <v>COSTO SOPRAVVIVENZA</v>
      </c>
      <c r="I1074" s="59">
        <v>20.46</v>
      </c>
      <c r="J1074" s="940"/>
      <c r="K1074" s="59"/>
      <c r="L1074" s="59"/>
    </row>
    <row r="1075" spans="1:12">
      <c r="A1075" s="57" t="s">
        <v>102</v>
      </c>
      <c r="B1075" s="57" t="s">
        <v>129</v>
      </c>
      <c r="C1075" s="57">
        <v>2025</v>
      </c>
      <c r="D1075" s="58">
        <f>MATCH(B1075,{"GENNAIO","FEBBRAIO","MARZO","APRILE","MAGGIO","GIUGNO","LUGLIO","AGOSTO","SETTEMBRE","OTTOBRE","NOVEMBRE","DICEMBRE"},0)</f>
        <v>2</v>
      </c>
      <c r="E1075" s="57" t="str">
        <f t="shared" si="1716"/>
        <v>FEBBRAIO 2025</v>
      </c>
      <c r="F1075" s="57" t="str">
        <f t="shared" si="1717"/>
        <v>2 FEBBRAIO 2025</v>
      </c>
      <c r="G1075" s="1309" t="s">
        <v>96</v>
      </c>
      <c r="H1075" s="1309" t="str">
        <f>VLOOKUP(G1075,CATEGORIE!$H$3:$I$104,2,FALSE)</f>
        <v>COSTO SOPRAVVIVENZA</v>
      </c>
      <c r="I1075" s="59">
        <v>22.31</v>
      </c>
      <c r="J1075" s="940"/>
      <c r="K1075" s="59"/>
      <c r="L1075" s="59"/>
    </row>
    <row r="1076" spans="1:12">
      <c r="A1076" s="57" t="s">
        <v>211</v>
      </c>
      <c r="B1076" s="57" t="s">
        <v>129</v>
      </c>
      <c r="C1076" s="57">
        <v>2025</v>
      </c>
      <c r="D1076" s="58">
        <f>MATCH(B1076,{"GENNAIO","FEBBRAIO","MARZO","APRILE","MAGGIO","GIUGNO","LUGLIO","AGOSTO","SETTEMBRE","OTTOBRE","NOVEMBRE","DICEMBRE"},0)</f>
        <v>2</v>
      </c>
      <c r="E1076" s="57" t="str">
        <f t="shared" si="1716"/>
        <v>FEBBRAIO 2025</v>
      </c>
      <c r="F1076" s="57" t="str">
        <f t="shared" si="1717"/>
        <v>2 FEBBRAIO 2025</v>
      </c>
      <c r="G1076" s="1309" t="s">
        <v>94</v>
      </c>
      <c r="H1076" s="1309" t="str">
        <f>VLOOKUP(G1076,CATEGORIE!$H$3:$I$104,2,FALSE)</f>
        <v>COSTO SVAGHI</v>
      </c>
      <c r="I1076" s="59">
        <v>30.8</v>
      </c>
      <c r="J1076" s="940"/>
      <c r="K1076" s="59"/>
      <c r="L1076" s="59"/>
    </row>
    <row r="1077" spans="1:12">
      <c r="A1077" s="57" t="s">
        <v>92</v>
      </c>
      <c r="B1077" s="57" t="s">
        <v>129</v>
      </c>
      <c r="C1077" s="57">
        <v>2025</v>
      </c>
      <c r="D1077" s="58">
        <f>MATCH(B1077,{"GENNAIO","FEBBRAIO","MARZO","APRILE","MAGGIO","GIUGNO","LUGLIO","AGOSTO","SETTEMBRE","OTTOBRE","NOVEMBRE","DICEMBRE"},0)</f>
        <v>2</v>
      </c>
      <c r="E1077" s="57" t="str">
        <f t="shared" si="1716"/>
        <v>FEBBRAIO 2025</v>
      </c>
      <c r="F1077" s="57" t="str">
        <f t="shared" si="1717"/>
        <v>2 FEBBRAIO 2025</v>
      </c>
      <c r="G1077" s="1309" t="s">
        <v>94</v>
      </c>
      <c r="H1077" s="1309" t="str">
        <f>VLOOKUP(G1077,CATEGORIE!$H$3:$I$104,2,FALSE)</f>
        <v>COSTO SVAGHI</v>
      </c>
      <c r="I1077" s="59">
        <v>15.4</v>
      </c>
      <c r="J1077" s="940"/>
      <c r="K1077" s="59"/>
      <c r="L1077" s="59"/>
    </row>
    <row r="1078" spans="1:12" ht="16.5" customHeight="1">
      <c r="A1078" s="57" t="s">
        <v>92</v>
      </c>
      <c r="B1078" s="57" t="s">
        <v>129</v>
      </c>
      <c r="C1078" s="57">
        <v>2025</v>
      </c>
      <c r="D1078" s="58">
        <f>MATCH(B1078,{"GENNAIO","FEBBRAIO","MARZO","APRILE","MAGGIO","GIUGNO","LUGLIO","AGOSTO","SETTEMBRE","OTTOBRE","NOVEMBRE","DICEMBRE"},0)</f>
        <v>2</v>
      </c>
      <c r="E1078" s="57" t="str">
        <f t="shared" si="1716"/>
        <v>FEBBRAIO 2025</v>
      </c>
      <c r="F1078" s="57" t="str">
        <f t="shared" si="1717"/>
        <v>2 FEBBRAIO 2025</v>
      </c>
      <c r="G1078" s="1309" t="s">
        <v>93</v>
      </c>
      <c r="H1078" s="1309" t="str">
        <f>VLOOKUP(G1078,CATEGORIE!$H$3:$I$104,2,FALSE)</f>
        <v>COSTO SOPRAVVIVENZA</v>
      </c>
      <c r="I1078" s="59">
        <v>6.5</v>
      </c>
      <c r="J1078" s="940"/>
      <c r="K1078" s="59"/>
      <c r="L1078" s="59"/>
    </row>
    <row r="1079" spans="1:12" ht="16.5" customHeight="1">
      <c r="A1079" s="57" t="s">
        <v>101</v>
      </c>
      <c r="B1079" s="57" t="s">
        <v>129</v>
      </c>
      <c r="C1079" s="57">
        <v>2025</v>
      </c>
      <c r="D1079" s="58">
        <f>MATCH(B1079,{"GENNAIO","FEBBRAIO","MARZO","APRILE","MAGGIO","GIUGNO","LUGLIO","AGOSTO","SETTEMBRE","OTTOBRE","NOVEMBRE","DICEMBRE"},0)</f>
        <v>2</v>
      </c>
      <c r="E1079" s="57" t="str">
        <f t="shared" si="1716"/>
        <v>FEBBRAIO 2025</v>
      </c>
      <c r="F1079" s="57" t="str">
        <f t="shared" si="1717"/>
        <v>2 FEBBRAIO 2025</v>
      </c>
      <c r="G1079" s="1309" t="s">
        <v>91</v>
      </c>
      <c r="H1079" s="1309" t="str">
        <f>VLOOKUP(G1079,CATEGORIE!$H$3:$I$104,2,FALSE)</f>
        <v>COSTO SOPRAVVIVENZA</v>
      </c>
      <c r="I1079" s="59">
        <v>0.7</v>
      </c>
      <c r="J1079" s="940"/>
      <c r="K1079" s="59"/>
      <c r="L1079" s="59"/>
    </row>
    <row r="1080" spans="1:12">
      <c r="A1080" s="57" t="s">
        <v>92</v>
      </c>
      <c r="B1080" s="57" t="s">
        <v>129</v>
      </c>
      <c r="C1080" s="57">
        <v>2025</v>
      </c>
      <c r="D1080" s="58">
        <f>MATCH(B1080,{"GENNAIO","FEBBRAIO","MARZO","APRILE","MAGGIO","GIUGNO","LUGLIO","AGOSTO","SETTEMBRE","OTTOBRE","NOVEMBRE","DICEMBRE"},0)</f>
        <v>2</v>
      </c>
      <c r="E1080" s="57" t="str">
        <f t="shared" si="1716"/>
        <v>FEBBRAIO 2025</v>
      </c>
      <c r="F1080" s="57" t="str">
        <f t="shared" si="1717"/>
        <v>2 FEBBRAIO 2025</v>
      </c>
      <c r="G1080" s="1309" t="s">
        <v>94</v>
      </c>
      <c r="H1080" s="1309" t="str">
        <f>VLOOKUP(G1080,CATEGORIE!$H$3:$I$104,2,FALSE)</f>
        <v>COSTO SVAGHI</v>
      </c>
      <c r="I1080" s="59">
        <v>4.2</v>
      </c>
      <c r="J1080" s="940"/>
      <c r="K1080" s="59"/>
      <c r="L1080" s="59"/>
    </row>
    <row r="1081" spans="1:12" ht="16.5" customHeight="1">
      <c r="A1081" s="57" t="s">
        <v>143</v>
      </c>
      <c r="B1081" s="57" t="s">
        <v>129</v>
      </c>
      <c r="C1081" s="57">
        <v>2025</v>
      </c>
      <c r="D1081" s="58">
        <f>MATCH(B1081,{"GENNAIO","FEBBRAIO","MARZO","APRILE","MAGGIO","GIUGNO","LUGLIO","AGOSTO","SETTEMBRE","OTTOBRE","NOVEMBRE","DICEMBRE"},0)</f>
        <v>2</v>
      </c>
      <c r="E1081" s="57" t="str">
        <f t="shared" si="1716"/>
        <v>FEBBRAIO 2025</v>
      </c>
      <c r="F1081" s="57" t="str">
        <f t="shared" si="1717"/>
        <v>2 FEBBRAIO 2025</v>
      </c>
      <c r="G1081" s="1309" t="s">
        <v>96</v>
      </c>
      <c r="H1081" s="1309" t="str">
        <f>VLOOKUP(G1081,CATEGORIE!$H$3:$I$104,2,FALSE)</f>
        <v>COSTO SOPRAVVIVENZA</v>
      </c>
      <c r="I1081" s="59">
        <v>20</v>
      </c>
      <c r="J1081" s="940"/>
      <c r="K1081" s="59" t="s">
        <v>112</v>
      </c>
      <c r="L1081" s="59" t="s">
        <v>144</v>
      </c>
    </row>
    <row r="1082" spans="1:12" ht="16.5" customHeight="1">
      <c r="A1082" s="57" t="s">
        <v>160</v>
      </c>
      <c r="B1082" s="57" t="s">
        <v>129</v>
      </c>
      <c r="C1082" s="57">
        <v>2025</v>
      </c>
      <c r="D1082" s="58">
        <f>MATCH(B1082,{"GENNAIO","FEBBRAIO","MARZO","APRILE","MAGGIO","GIUGNO","LUGLIO","AGOSTO","SETTEMBRE","OTTOBRE","NOVEMBRE","DICEMBRE"},0)</f>
        <v>2</v>
      </c>
      <c r="E1082" s="57" t="str">
        <f t="shared" si="1716"/>
        <v>FEBBRAIO 2025</v>
      </c>
      <c r="F1082" s="57" t="str">
        <f t="shared" si="1717"/>
        <v>2 FEBBRAIO 2025</v>
      </c>
      <c r="G1082" s="1309" t="s">
        <v>111</v>
      </c>
      <c r="H1082" s="1309" t="str">
        <f>VLOOKUP(G1082,CATEGORIE!$H$3:$I$104,2,FALSE)</f>
        <v>COSTO MOBILITA'</v>
      </c>
      <c r="I1082" s="59">
        <v>1.7</v>
      </c>
      <c r="J1082" s="940"/>
      <c r="K1082" s="59"/>
      <c r="L1082" s="59"/>
    </row>
    <row r="1083" spans="1:12" ht="18.600000000000001" customHeight="1">
      <c r="A1083" s="57" t="s">
        <v>131</v>
      </c>
      <c r="B1083" s="57" t="s">
        <v>129</v>
      </c>
      <c r="C1083" s="57">
        <v>2025</v>
      </c>
      <c r="D1083" s="58">
        <f>MATCH(B1083,{"GENNAIO","FEBBRAIO","MARZO","APRILE","MAGGIO","GIUGNO","LUGLIO","AGOSTO","SETTEMBRE","OTTOBRE","NOVEMBRE","DICEMBRE"},0)</f>
        <v>2</v>
      </c>
      <c r="E1083" s="57" t="str">
        <f t="shared" si="1716"/>
        <v>FEBBRAIO 2025</v>
      </c>
      <c r="F1083" s="57" t="str">
        <f t="shared" si="1717"/>
        <v>2 FEBBRAIO 2025</v>
      </c>
      <c r="G1083" s="1309" t="s">
        <v>132</v>
      </c>
      <c r="H1083" s="1309" t="str">
        <f>VLOOKUP(G1083,CATEGORIE!$H$3:$I$104,2,FALSE)</f>
        <v>COSTO CASA</v>
      </c>
      <c r="I1083" s="59">
        <v>60.45</v>
      </c>
      <c r="J1083" s="940"/>
      <c r="K1083" s="59"/>
      <c r="L1083" s="59"/>
    </row>
    <row r="1084" spans="1:12">
      <c r="A1084" s="57" t="s">
        <v>99</v>
      </c>
      <c r="B1084" s="57" t="s">
        <v>129</v>
      </c>
      <c r="C1084" s="57">
        <v>2025</v>
      </c>
      <c r="D1084" s="58">
        <f>MATCH(B1084,{"GENNAIO","FEBBRAIO","MARZO","APRILE","MAGGIO","GIUGNO","LUGLIO","AGOSTO","SETTEMBRE","OTTOBRE","NOVEMBRE","DICEMBRE"},0)</f>
        <v>2</v>
      </c>
      <c r="E1084" s="57" t="str">
        <f t="shared" si="1716"/>
        <v>FEBBRAIO 2025</v>
      </c>
      <c r="F1084" s="57" t="str">
        <f t="shared" si="1717"/>
        <v>2 FEBBRAIO 2025</v>
      </c>
      <c r="G1084" s="1309" t="s">
        <v>100</v>
      </c>
      <c r="H1084" s="1309" t="str">
        <f>VLOOKUP(G1084,CATEGORIE!$H$3:$I$104,2,FALSE)</f>
        <v>COSTO SFIZI</v>
      </c>
      <c r="I1084" s="59">
        <v>8.99</v>
      </c>
      <c r="J1084" s="940"/>
      <c r="K1084" s="57" t="s">
        <v>99</v>
      </c>
      <c r="L1084" s="59"/>
    </row>
    <row r="1085" spans="1:12">
      <c r="A1085" s="57" t="s">
        <v>99</v>
      </c>
      <c r="B1085" s="57" t="s">
        <v>129</v>
      </c>
      <c r="C1085" s="57">
        <v>2025</v>
      </c>
      <c r="D1085" s="58">
        <f>MATCH(B1085,{"GENNAIO","FEBBRAIO","MARZO","APRILE","MAGGIO","GIUGNO","LUGLIO","AGOSTO","SETTEMBRE","OTTOBRE","NOVEMBRE","DICEMBRE"},0)</f>
        <v>2</v>
      </c>
      <c r="E1085" s="57" t="str">
        <f t="shared" si="1716"/>
        <v>FEBBRAIO 2025</v>
      </c>
      <c r="F1085" s="57" t="str">
        <f t="shared" si="1717"/>
        <v>2 FEBBRAIO 2025</v>
      </c>
      <c r="G1085" s="1309" t="s">
        <v>185</v>
      </c>
      <c r="H1085" s="1309" t="str">
        <f>VLOOKUP(G1085,CATEGORIE!$H$3:$I$104,2,FALSE)</f>
        <v>COSTO SFIZI</v>
      </c>
      <c r="I1085" s="59">
        <v>15</v>
      </c>
      <c r="J1085" s="940" t="s">
        <v>151</v>
      </c>
      <c r="K1085" s="57" t="s">
        <v>99</v>
      </c>
      <c r="L1085" s="59" t="s">
        <v>386</v>
      </c>
    </row>
    <row r="1086" spans="1:12" ht="16.5" customHeight="1">
      <c r="A1086" s="57" t="s">
        <v>95</v>
      </c>
      <c r="B1086" s="57" t="s">
        <v>129</v>
      </c>
      <c r="C1086" s="57">
        <v>2025</v>
      </c>
      <c r="D1086" s="58">
        <f>MATCH(B1086,{"GENNAIO","FEBBRAIO","MARZO","APRILE","MAGGIO","GIUGNO","LUGLIO","AGOSTO","SETTEMBRE","OTTOBRE","NOVEMBRE","DICEMBRE"},0)</f>
        <v>2</v>
      </c>
      <c r="E1086" s="57" t="str">
        <f t="shared" si="1716"/>
        <v>FEBBRAIO 2025</v>
      </c>
      <c r="F1086" s="57" t="str">
        <f t="shared" si="1717"/>
        <v>2 FEBBRAIO 2025</v>
      </c>
      <c r="G1086" s="1309" t="s">
        <v>96</v>
      </c>
      <c r="H1086" s="1309" t="str">
        <f>VLOOKUP(G1086,CATEGORIE!$H$3:$I$104,2,FALSE)</f>
        <v>COSTO SOPRAVVIVENZA</v>
      </c>
      <c r="I1086" s="59">
        <v>18.079999999999998</v>
      </c>
      <c r="J1086" s="940"/>
      <c r="K1086" s="59"/>
      <c r="L1086" s="59"/>
    </row>
    <row r="1087" spans="1:12" ht="16.5" customHeight="1">
      <c r="A1087" s="57" t="s">
        <v>92</v>
      </c>
      <c r="B1087" s="57" t="s">
        <v>129</v>
      </c>
      <c r="C1087" s="57">
        <v>2025</v>
      </c>
      <c r="D1087" s="58">
        <f>MATCH(B1087,{"GENNAIO","FEBBRAIO","MARZO","APRILE","MAGGIO","GIUGNO","LUGLIO","AGOSTO","SETTEMBRE","OTTOBRE","NOVEMBRE","DICEMBRE"},0)</f>
        <v>2</v>
      </c>
      <c r="E1087" s="57" t="str">
        <f t="shared" si="1716"/>
        <v>FEBBRAIO 2025</v>
      </c>
      <c r="F1087" s="57" t="str">
        <f t="shared" si="1717"/>
        <v>2 FEBBRAIO 2025</v>
      </c>
      <c r="G1087" s="1309" t="s">
        <v>94</v>
      </c>
      <c r="H1087" s="1309" t="str">
        <f>VLOOKUP(G1087,CATEGORIE!$H$3:$I$104,2,FALSE)</f>
        <v>COSTO SVAGHI</v>
      </c>
      <c r="I1087" s="59">
        <v>17.8</v>
      </c>
      <c r="J1087" s="940"/>
      <c r="K1087" s="59"/>
      <c r="L1087" s="59"/>
    </row>
    <row r="1088" spans="1:12">
      <c r="A1088" s="57" t="s">
        <v>92</v>
      </c>
      <c r="B1088" s="57" t="s">
        <v>129</v>
      </c>
      <c r="C1088" s="57">
        <v>2025</v>
      </c>
      <c r="D1088" s="58">
        <f>MATCH(B1088,{"GENNAIO","FEBBRAIO","MARZO","APRILE","MAGGIO","GIUGNO","LUGLIO","AGOSTO","SETTEMBRE","OTTOBRE","NOVEMBRE","DICEMBRE"},0)</f>
        <v>2</v>
      </c>
      <c r="E1088" s="57" t="str">
        <f t="shared" si="1716"/>
        <v>FEBBRAIO 2025</v>
      </c>
      <c r="F1088" s="57" t="str">
        <f t="shared" si="1717"/>
        <v>2 FEBBRAIO 2025</v>
      </c>
      <c r="G1088" s="1309" t="s">
        <v>93</v>
      </c>
      <c r="H1088" s="1309" t="str">
        <f>VLOOKUP(G1088,CATEGORIE!$H$3:$I$104,2,FALSE)</f>
        <v>COSTO SOPRAVVIVENZA</v>
      </c>
      <c r="I1088" s="59">
        <v>6.5</v>
      </c>
      <c r="J1088" s="940"/>
      <c r="K1088" s="59"/>
      <c r="L1088" s="59"/>
    </row>
    <row r="1089" spans="1:12">
      <c r="A1089" s="57" t="s">
        <v>387</v>
      </c>
      <c r="B1089" s="57" t="s">
        <v>129</v>
      </c>
      <c r="C1089" s="57">
        <v>2025</v>
      </c>
      <c r="D1089" s="58">
        <f>MATCH(B1089,{"GENNAIO","FEBBRAIO","MARZO","APRILE","MAGGIO","GIUGNO","LUGLIO","AGOSTO","SETTEMBRE","OTTOBRE","NOVEMBRE","DICEMBRE"},0)</f>
        <v>2</v>
      </c>
      <c r="E1089" s="57" t="str">
        <f t="shared" si="1716"/>
        <v>FEBBRAIO 2025</v>
      </c>
      <c r="F1089" s="57" t="str">
        <f t="shared" si="1717"/>
        <v>2 FEBBRAIO 2025</v>
      </c>
      <c r="G1089" s="1309" t="s">
        <v>94</v>
      </c>
      <c r="H1089" s="1309" t="str">
        <f>VLOOKUP(G1089,CATEGORIE!$H$3:$I$104,2,FALSE)</f>
        <v>COSTO SVAGHI</v>
      </c>
      <c r="I1089" s="59">
        <v>25</v>
      </c>
      <c r="J1089" s="940"/>
      <c r="K1089" s="59"/>
      <c r="L1089" s="59"/>
    </row>
    <row r="1090" spans="1:12" ht="16.5" customHeight="1">
      <c r="A1090" s="57" t="s">
        <v>388</v>
      </c>
      <c r="B1090" s="57" t="s">
        <v>129</v>
      </c>
      <c r="C1090" s="57">
        <v>2025</v>
      </c>
      <c r="D1090" s="58">
        <f>MATCH(B1090,{"GENNAIO","FEBBRAIO","MARZO","APRILE","MAGGIO","GIUGNO","LUGLIO","AGOSTO","SETTEMBRE","OTTOBRE","NOVEMBRE","DICEMBRE"},0)</f>
        <v>2</v>
      </c>
      <c r="E1090" s="57" t="str">
        <f t="shared" si="1716"/>
        <v>FEBBRAIO 2025</v>
      </c>
      <c r="F1090" s="57" t="str">
        <f t="shared" si="1717"/>
        <v>2 FEBBRAIO 2025</v>
      </c>
      <c r="G1090" s="1309" t="s">
        <v>94</v>
      </c>
      <c r="H1090" s="1309" t="str">
        <f>VLOOKUP(G1090,CATEGORIE!$H$3:$I$104,2,FALSE)</f>
        <v>COSTO SVAGHI</v>
      </c>
      <c r="I1090" s="59">
        <v>85.2</v>
      </c>
      <c r="J1090" s="940"/>
      <c r="K1090" s="59"/>
      <c r="L1090" s="59"/>
    </row>
    <row r="1091" spans="1:12">
      <c r="A1091" s="57" t="s">
        <v>131</v>
      </c>
      <c r="B1091" s="57" t="s">
        <v>129</v>
      </c>
      <c r="C1091" s="57">
        <v>2025</v>
      </c>
      <c r="D1091" s="58">
        <f>MATCH(B1091,{"GENNAIO","FEBBRAIO","MARZO","APRILE","MAGGIO","GIUGNO","LUGLIO","AGOSTO","SETTEMBRE","OTTOBRE","NOVEMBRE","DICEMBRE"},0)</f>
        <v>2</v>
      </c>
      <c r="E1091" s="57" t="str">
        <f t="shared" si="1716"/>
        <v>FEBBRAIO 2025</v>
      </c>
      <c r="F1091" s="57" t="str">
        <f t="shared" si="1717"/>
        <v>2 FEBBRAIO 2025</v>
      </c>
      <c r="G1091" s="1309" t="s">
        <v>132</v>
      </c>
      <c r="H1091" s="1309" t="str">
        <f>VLOOKUP(G1091,CATEGORIE!$H$3:$I$104,2,FALSE)</f>
        <v>COSTO CASA</v>
      </c>
      <c r="I1091" s="59">
        <v>37.35</v>
      </c>
      <c r="J1091" s="940"/>
      <c r="K1091" s="59"/>
      <c r="L1091" s="59"/>
    </row>
    <row r="1092" spans="1:12">
      <c r="A1092" s="57" t="s">
        <v>131</v>
      </c>
      <c r="B1092" s="57" t="s">
        <v>129</v>
      </c>
      <c r="C1092" s="57">
        <v>2025</v>
      </c>
      <c r="D1092" s="58">
        <f>MATCH(B1092,{"GENNAIO","FEBBRAIO","MARZO","APRILE","MAGGIO","GIUGNO","LUGLIO","AGOSTO","SETTEMBRE","OTTOBRE","NOVEMBRE","DICEMBRE"},0)</f>
        <v>2</v>
      </c>
      <c r="E1092" s="57" t="str">
        <f t="shared" si="1716"/>
        <v>FEBBRAIO 2025</v>
      </c>
      <c r="F1092" s="57" t="str">
        <f t="shared" si="1717"/>
        <v>2 FEBBRAIO 2025</v>
      </c>
      <c r="G1092" s="1309" t="s">
        <v>132</v>
      </c>
      <c r="H1092" s="1309" t="str">
        <f>VLOOKUP(G1092,CATEGORIE!$H$3:$I$104,2,FALSE)</f>
        <v>COSTO CASA</v>
      </c>
      <c r="I1092" s="59">
        <v>24.9</v>
      </c>
      <c r="J1092" s="940"/>
      <c r="K1092" s="59"/>
      <c r="L1092" s="59"/>
    </row>
    <row r="1093" spans="1:12" ht="16.5" customHeight="1">
      <c r="A1093" s="57" t="s">
        <v>99</v>
      </c>
      <c r="B1093" s="57" t="s">
        <v>129</v>
      </c>
      <c r="C1093" s="57">
        <v>2025</v>
      </c>
      <c r="D1093" s="58">
        <f>MATCH(B1093,{"GENNAIO","FEBBRAIO","MARZO","APRILE","MAGGIO","GIUGNO","LUGLIO","AGOSTO","SETTEMBRE","OTTOBRE","NOVEMBRE","DICEMBRE"},0)</f>
        <v>2</v>
      </c>
      <c r="E1093" s="57" t="str">
        <f t="shared" si="1716"/>
        <v>FEBBRAIO 2025</v>
      </c>
      <c r="F1093" s="57" t="str">
        <f t="shared" si="1717"/>
        <v>2 FEBBRAIO 2025</v>
      </c>
      <c r="G1093" s="1309" t="s">
        <v>100</v>
      </c>
      <c r="H1093" s="1309" t="str">
        <f>VLOOKUP(G1093,CATEGORIE!$H$3:$I$104,2,FALSE)</f>
        <v>COSTO SFIZI</v>
      </c>
      <c r="I1093" s="59">
        <v>11.99</v>
      </c>
      <c r="J1093" s="940"/>
      <c r="K1093" s="57" t="s">
        <v>99</v>
      </c>
      <c r="L1093" s="59"/>
    </row>
    <row r="1094" spans="1:12" ht="16.5" customHeight="1">
      <c r="A1094" s="57" t="s">
        <v>101</v>
      </c>
      <c r="B1094" s="57" t="s">
        <v>129</v>
      </c>
      <c r="C1094" s="57">
        <v>2025</v>
      </c>
      <c r="D1094" s="58">
        <f>MATCH(B1094,{"GENNAIO","FEBBRAIO","MARZO","APRILE","MAGGIO","GIUGNO","LUGLIO","AGOSTO","SETTEMBRE","OTTOBRE","NOVEMBRE","DICEMBRE"},0)</f>
        <v>2</v>
      </c>
      <c r="E1094" s="57" t="str">
        <f t="shared" si="1716"/>
        <v>FEBBRAIO 2025</v>
      </c>
      <c r="F1094" s="57" t="str">
        <f t="shared" si="1717"/>
        <v>2 FEBBRAIO 2025</v>
      </c>
      <c r="G1094" s="1309" t="s">
        <v>91</v>
      </c>
      <c r="H1094" s="1309" t="str">
        <f>VLOOKUP(G1094,CATEGORIE!$H$3:$I$104,2,FALSE)</f>
        <v>COSTO SOPRAVVIVENZA</v>
      </c>
      <c r="I1094" s="59">
        <v>0.4</v>
      </c>
      <c r="J1094" s="940"/>
      <c r="K1094" s="59"/>
      <c r="L1094" s="59"/>
    </row>
    <row r="1095" spans="1:12">
      <c r="A1095" s="57" t="s">
        <v>92</v>
      </c>
      <c r="B1095" s="57" t="s">
        <v>129</v>
      </c>
      <c r="C1095" s="57">
        <v>2025</v>
      </c>
      <c r="D1095" s="58">
        <f>MATCH(B1095,{"GENNAIO","FEBBRAIO","MARZO","APRILE","MAGGIO","GIUGNO","LUGLIO","AGOSTO","SETTEMBRE","OTTOBRE","NOVEMBRE","DICEMBRE"},0)</f>
        <v>2</v>
      </c>
      <c r="E1095" s="57" t="str">
        <f t="shared" si="1716"/>
        <v>FEBBRAIO 2025</v>
      </c>
      <c r="F1095" s="57" t="str">
        <f t="shared" si="1717"/>
        <v>2 FEBBRAIO 2025</v>
      </c>
      <c r="G1095" s="1309" t="s">
        <v>93</v>
      </c>
      <c r="H1095" s="1309" t="str">
        <f>VLOOKUP(G1095,CATEGORIE!$H$3:$I$104,2,FALSE)</f>
        <v>COSTO SOPRAVVIVENZA</v>
      </c>
      <c r="I1095" s="59">
        <v>6.5</v>
      </c>
      <c r="J1095" s="940"/>
      <c r="K1095" s="59"/>
      <c r="L1095" s="59"/>
    </row>
    <row r="1096" spans="1:12">
      <c r="A1096" s="57" t="s">
        <v>99</v>
      </c>
      <c r="B1096" s="57" t="s">
        <v>129</v>
      </c>
      <c r="C1096" s="57">
        <v>2025</v>
      </c>
      <c r="D1096" s="58">
        <f>MATCH(B1096,{"GENNAIO","FEBBRAIO","MARZO","APRILE","MAGGIO","GIUGNO","LUGLIO","AGOSTO","SETTEMBRE","OTTOBRE","NOVEMBRE","DICEMBRE"},0)</f>
        <v>2</v>
      </c>
      <c r="E1096" s="57" t="str">
        <f t="shared" si="1716"/>
        <v>FEBBRAIO 2025</v>
      </c>
      <c r="F1096" s="57" t="str">
        <f t="shared" si="1717"/>
        <v>2 FEBBRAIO 2025</v>
      </c>
      <c r="G1096" s="1309" t="s">
        <v>100</v>
      </c>
      <c r="H1096" s="1309" t="str">
        <f>VLOOKUP(G1096,CATEGORIE!$H$3:$I$104,2,FALSE)</f>
        <v>COSTO SFIZI</v>
      </c>
      <c r="I1096" s="59">
        <v>15.39</v>
      </c>
      <c r="J1096" s="940" t="s">
        <v>145</v>
      </c>
      <c r="K1096" s="57" t="s">
        <v>99</v>
      </c>
      <c r="L1096" s="59" t="s">
        <v>332</v>
      </c>
    </row>
    <row r="1097" spans="1:12">
      <c r="A1097" s="57" t="s">
        <v>99</v>
      </c>
      <c r="B1097" s="57" t="s">
        <v>129</v>
      </c>
      <c r="C1097" s="57">
        <v>2025</v>
      </c>
      <c r="D1097" s="58">
        <f>MATCH(B1097,{"GENNAIO","FEBBRAIO","MARZO","APRILE","MAGGIO","GIUGNO","LUGLIO","AGOSTO","SETTEMBRE","OTTOBRE","NOVEMBRE","DICEMBRE"},0)</f>
        <v>2</v>
      </c>
      <c r="E1097" s="57" t="str">
        <f t="shared" si="1716"/>
        <v>FEBBRAIO 2025</v>
      </c>
      <c r="F1097" s="57" t="str">
        <f t="shared" si="1717"/>
        <v>2 FEBBRAIO 2025</v>
      </c>
      <c r="G1097" s="1309" t="s">
        <v>108</v>
      </c>
      <c r="H1097" s="1309" t="str">
        <f>VLOOKUP(G1097,CATEGORIE!$H$3:$I$104,2,FALSE)</f>
        <v>COSTO SFIZI</v>
      </c>
      <c r="I1097" s="59">
        <v>45.33</v>
      </c>
      <c r="J1097" s="940"/>
      <c r="K1097" s="57" t="s">
        <v>99</v>
      </c>
      <c r="L1097" s="59"/>
    </row>
    <row r="1098" spans="1:12">
      <c r="A1098" s="57" t="s">
        <v>307</v>
      </c>
      <c r="B1098" s="57" t="s">
        <v>129</v>
      </c>
      <c r="C1098" s="57">
        <v>2025</v>
      </c>
      <c r="D1098" s="58">
        <f>MATCH(B1098,{"GENNAIO","FEBBRAIO","MARZO","APRILE","MAGGIO","GIUGNO","LUGLIO","AGOSTO","SETTEMBRE","OTTOBRE","NOVEMBRE","DICEMBRE"},0)</f>
        <v>2</v>
      </c>
      <c r="E1098" s="57" t="str">
        <f t="shared" si="1716"/>
        <v>FEBBRAIO 2025</v>
      </c>
      <c r="F1098" s="57" t="str">
        <f t="shared" si="1717"/>
        <v>2 FEBBRAIO 2025</v>
      </c>
      <c r="G1098" s="1309" t="s">
        <v>132</v>
      </c>
      <c r="H1098" s="1309" t="str">
        <f>VLOOKUP(G1098,CATEGORIE!$H$3:$I$104,2,FALSE)</f>
        <v>COSTO CASA</v>
      </c>
      <c r="I1098" s="59">
        <v>220</v>
      </c>
      <c r="J1098" s="943"/>
      <c r="K1098" s="59" t="s">
        <v>97</v>
      </c>
      <c r="L1098" s="59" t="s">
        <v>389</v>
      </c>
    </row>
    <row r="1099" spans="1:12">
      <c r="A1099" s="57" t="s">
        <v>101</v>
      </c>
      <c r="B1099" s="57" t="s">
        <v>154</v>
      </c>
      <c r="C1099" s="57">
        <v>2025</v>
      </c>
      <c r="D1099" s="58">
        <f>MATCH(B1099,{"GENNAIO","FEBBRAIO","MARZO","APRILE","MAGGIO","GIUGNO","LUGLIO","AGOSTO","SETTEMBRE","OTTOBRE","NOVEMBRE","DICEMBRE"},0)</f>
        <v>1</v>
      </c>
      <c r="E1099" s="57" t="str">
        <f t="shared" ref="E1099:E1144" si="1720">CONCATENATE(,B1099," ",C1099)</f>
        <v>GENNAIO 2025</v>
      </c>
      <c r="F1099" s="57" t="str">
        <f t="shared" ref="F1099:F1144" si="1721">CONCATENATE(D1099," ",E1099)</f>
        <v>1 GENNAIO 2025</v>
      </c>
      <c r="G1099" s="1309" t="s">
        <v>91</v>
      </c>
      <c r="H1099" s="1309" t="str">
        <f>VLOOKUP(G1099,CATEGORIE!$H$3:$I$104,2,FALSE)</f>
        <v>COSTO SOPRAVVIVENZA</v>
      </c>
      <c r="I1099" s="59">
        <v>0.4</v>
      </c>
      <c r="J1099" s="940"/>
      <c r="K1099" s="59"/>
      <c r="L1099" s="59"/>
    </row>
    <row r="1100" spans="1:12">
      <c r="A1100" s="57" t="s">
        <v>101</v>
      </c>
      <c r="B1100" s="57" t="s">
        <v>154</v>
      </c>
      <c r="C1100" s="57">
        <v>2025</v>
      </c>
      <c r="D1100" s="58">
        <f>MATCH(B1100,{"GENNAIO","FEBBRAIO","MARZO","APRILE","MAGGIO","GIUGNO","LUGLIO","AGOSTO","SETTEMBRE","OTTOBRE","NOVEMBRE","DICEMBRE"},0)</f>
        <v>1</v>
      </c>
      <c r="E1100" s="57" t="str">
        <f t="shared" si="1720"/>
        <v>GENNAIO 2025</v>
      </c>
      <c r="F1100" s="57" t="str">
        <f t="shared" si="1721"/>
        <v>1 GENNAIO 2025</v>
      </c>
      <c r="G1100" s="1309" t="s">
        <v>91</v>
      </c>
      <c r="H1100" s="1309" t="str">
        <f>VLOOKUP(G1100,CATEGORIE!$H$3:$I$104,2,FALSE)</f>
        <v>COSTO SOPRAVVIVENZA</v>
      </c>
      <c r="I1100" s="59">
        <v>0.4</v>
      </c>
      <c r="J1100" s="940"/>
      <c r="K1100" s="59"/>
      <c r="L1100" s="59"/>
    </row>
    <row r="1101" spans="1:12" ht="16.5" customHeight="1">
      <c r="A1101" s="57" t="s">
        <v>92</v>
      </c>
      <c r="B1101" s="57" t="s">
        <v>154</v>
      </c>
      <c r="C1101" s="57">
        <v>2025</v>
      </c>
      <c r="D1101" s="58">
        <f>MATCH(B1101,{"GENNAIO","FEBBRAIO","MARZO","APRILE","MAGGIO","GIUGNO","LUGLIO","AGOSTO","SETTEMBRE","OTTOBRE","NOVEMBRE","DICEMBRE"},0)</f>
        <v>1</v>
      </c>
      <c r="E1101" s="57" t="str">
        <f t="shared" si="1720"/>
        <v>GENNAIO 2025</v>
      </c>
      <c r="F1101" s="57" t="str">
        <f t="shared" si="1721"/>
        <v>1 GENNAIO 2025</v>
      </c>
      <c r="G1101" s="1309" t="s">
        <v>93</v>
      </c>
      <c r="H1101" s="1309" t="str">
        <f>VLOOKUP(G1101,CATEGORIE!$H$3:$I$104,2,FALSE)</f>
        <v>COSTO SOPRAVVIVENZA</v>
      </c>
      <c r="I1101" s="59">
        <v>6.5</v>
      </c>
      <c r="J1101" s="940"/>
      <c r="K1101" s="59"/>
      <c r="L1101" s="59"/>
    </row>
    <row r="1102" spans="1:12">
      <c r="A1102" s="57" t="s">
        <v>106</v>
      </c>
      <c r="B1102" s="57" t="s">
        <v>154</v>
      </c>
      <c r="C1102" s="57">
        <v>2025</v>
      </c>
      <c r="D1102" s="58">
        <f>MATCH(B1102,{"GENNAIO","FEBBRAIO","MARZO","APRILE","MAGGIO","GIUGNO","LUGLIO","AGOSTO","SETTEMBRE","OTTOBRE","NOVEMBRE","DICEMBRE"},0)</f>
        <v>1</v>
      </c>
      <c r="E1102" s="57" t="str">
        <f t="shared" si="1720"/>
        <v>GENNAIO 2025</v>
      </c>
      <c r="F1102" s="57" t="str">
        <f t="shared" si="1721"/>
        <v>1 GENNAIO 2025</v>
      </c>
      <c r="G1102" s="1309" t="s">
        <v>107</v>
      </c>
      <c r="H1102" s="1309" t="str">
        <f>VLOOKUP(G1102,CATEGORIE!$H$3:$I$104,2,FALSE)</f>
        <v>COSTO SOPRAVVIVENZA</v>
      </c>
      <c r="I1102" s="59">
        <v>33</v>
      </c>
      <c r="J1102" s="940"/>
      <c r="K1102" s="59"/>
      <c r="L1102" s="59"/>
    </row>
    <row r="1103" spans="1:12">
      <c r="A1103" s="57" t="s">
        <v>92</v>
      </c>
      <c r="B1103" s="57" t="s">
        <v>154</v>
      </c>
      <c r="C1103" s="57">
        <v>2025</v>
      </c>
      <c r="D1103" s="58">
        <f>MATCH(B1103,{"GENNAIO","FEBBRAIO","MARZO","APRILE","MAGGIO","GIUGNO","LUGLIO","AGOSTO","SETTEMBRE","OTTOBRE","NOVEMBRE","DICEMBRE"},0)</f>
        <v>1</v>
      </c>
      <c r="E1103" s="57" t="str">
        <f t="shared" si="1720"/>
        <v>GENNAIO 2025</v>
      </c>
      <c r="F1103" s="57" t="str">
        <f t="shared" si="1721"/>
        <v>1 GENNAIO 2025</v>
      </c>
      <c r="G1103" s="1309" t="s">
        <v>93</v>
      </c>
      <c r="H1103" s="1309" t="str">
        <f>VLOOKUP(G1103,CATEGORIE!$H$3:$I$104,2,FALSE)</f>
        <v>COSTO SOPRAVVIVENZA</v>
      </c>
      <c r="I1103" s="59">
        <v>6.5</v>
      </c>
      <c r="J1103" s="940"/>
      <c r="K1103" s="59"/>
      <c r="L1103" s="59"/>
    </row>
    <row r="1104" spans="1:12" ht="16.5" customHeight="1">
      <c r="A1104" s="57" t="s">
        <v>99</v>
      </c>
      <c r="B1104" s="57" t="s">
        <v>154</v>
      </c>
      <c r="C1104" s="57">
        <v>2025</v>
      </c>
      <c r="D1104" s="58">
        <f>MATCH(B1104,{"GENNAIO","FEBBRAIO","MARZO","APRILE","MAGGIO","GIUGNO","LUGLIO","AGOSTO","SETTEMBRE","OTTOBRE","NOVEMBRE","DICEMBRE"},0)</f>
        <v>1</v>
      </c>
      <c r="E1104" s="57" t="str">
        <f t="shared" si="1720"/>
        <v>GENNAIO 2025</v>
      </c>
      <c r="F1104" s="57" t="str">
        <f t="shared" si="1721"/>
        <v>1 GENNAIO 2025</v>
      </c>
      <c r="G1104" s="1309" t="s">
        <v>100</v>
      </c>
      <c r="H1104" s="1309" t="str">
        <f>VLOOKUP(G1104,CATEGORIE!$H$3:$I$104,2,FALSE)</f>
        <v>COSTO SFIZI</v>
      </c>
      <c r="I1104" s="59">
        <v>16.71</v>
      </c>
      <c r="J1104" s="940"/>
      <c r="K1104" s="57" t="s">
        <v>99</v>
      </c>
      <c r="L1104" s="59"/>
    </row>
    <row r="1105" spans="1:12">
      <c r="A1105" s="57" t="s">
        <v>101</v>
      </c>
      <c r="B1105" s="57" t="s">
        <v>154</v>
      </c>
      <c r="C1105" s="57">
        <v>2025</v>
      </c>
      <c r="D1105" s="58">
        <f>MATCH(B1105,{"GENNAIO","FEBBRAIO","MARZO","APRILE","MAGGIO","GIUGNO","LUGLIO","AGOSTO","SETTEMBRE","OTTOBRE","NOVEMBRE","DICEMBRE"},0)</f>
        <v>1</v>
      </c>
      <c r="E1105" s="57" t="str">
        <f t="shared" si="1720"/>
        <v>GENNAIO 2025</v>
      </c>
      <c r="F1105" s="57" t="str">
        <f t="shared" si="1721"/>
        <v>1 GENNAIO 2025</v>
      </c>
      <c r="G1105" s="1309" t="s">
        <v>91</v>
      </c>
      <c r="H1105" s="1309" t="str">
        <f>VLOOKUP(G1105,CATEGORIE!$H$3:$I$104,2,FALSE)</f>
        <v>COSTO SOPRAVVIVENZA</v>
      </c>
      <c r="I1105" s="59">
        <v>0.4</v>
      </c>
      <c r="J1105" s="940"/>
      <c r="K1105" s="59"/>
      <c r="L1105" s="59"/>
    </row>
    <row r="1106" spans="1:12">
      <c r="A1106" s="57" t="s">
        <v>101</v>
      </c>
      <c r="B1106" s="57" t="s">
        <v>154</v>
      </c>
      <c r="C1106" s="57">
        <v>2025</v>
      </c>
      <c r="D1106" s="58">
        <f>MATCH(B1106,{"GENNAIO","FEBBRAIO","MARZO","APRILE","MAGGIO","GIUGNO","LUGLIO","AGOSTO","SETTEMBRE","OTTOBRE","NOVEMBRE","DICEMBRE"},0)</f>
        <v>1</v>
      </c>
      <c r="E1106" s="57" t="str">
        <f t="shared" si="1720"/>
        <v>GENNAIO 2025</v>
      </c>
      <c r="F1106" s="57" t="str">
        <f t="shared" si="1721"/>
        <v>1 GENNAIO 2025</v>
      </c>
      <c r="G1106" s="1309" t="s">
        <v>91</v>
      </c>
      <c r="H1106" s="1309" t="str">
        <f>VLOOKUP(G1106,CATEGORIE!$H$3:$I$104,2,FALSE)</f>
        <v>COSTO SOPRAVVIVENZA</v>
      </c>
      <c r="I1106" s="59">
        <v>0.4</v>
      </c>
      <c r="J1106" s="940"/>
      <c r="K1106" s="59"/>
      <c r="L1106" s="59"/>
    </row>
    <row r="1107" spans="1:12">
      <c r="A1107" s="57" t="s">
        <v>99</v>
      </c>
      <c r="B1107" s="57" t="s">
        <v>154</v>
      </c>
      <c r="C1107" s="57">
        <v>2025</v>
      </c>
      <c r="D1107" s="58">
        <f>MATCH(B1107,{"GENNAIO","FEBBRAIO","MARZO","APRILE","MAGGIO","GIUGNO","LUGLIO","AGOSTO","SETTEMBRE","OTTOBRE","NOVEMBRE","DICEMBRE"},0)</f>
        <v>1</v>
      </c>
      <c r="E1107" s="57" t="str">
        <f t="shared" si="1720"/>
        <v>GENNAIO 2025</v>
      </c>
      <c r="F1107" s="57" t="str">
        <f t="shared" si="1721"/>
        <v>1 GENNAIO 2025</v>
      </c>
      <c r="G1107" s="1309" t="s">
        <v>100</v>
      </c>
      <c r="H1107" s="1309" t="str">
        <f>VLOOKUP(G1107,CATEGORIE!$H$3:$I$104,2,FALSE)</f>
        <v>COSTO SFIZI</v>
      </c>
      <c r="I1107" s="59">
        <v>30.6</v>
      </c>
      <c r="J1107" s="940" t="s">
        <v>197</v>
      </c>
      <c r="K1107" s="57" t="s">
        <v>99</v>
      </c>
      <c r="L1107" s="59" t="s">
        <v>168</v>
      </c>
    </row>
    <row r="1108" spans="1:12">
      <c r="A1108" s="57" t="s">
        <v>101</v>
      </c>
      <c r="B1108" s="57" t="s">
        <v>154</v>
      </c>
      <c r="C1108" s="57">
        <v>2025</v>
      </c>
      <c r="D1108" s="58">
        <f>MATCH(B1108,{"GENNAIO","FEBBRAIO","MARZO","APRILE","MAGGIO","GIUGNO","LUGLIO","AGOSTO","SETTEMBRE","OTTOBRE","NOVEMBRE","DICEMBRE"},0)</f>
        <v>1</v>
      </c>
      <c r="E1108" s="57" t="str">
        <f t="shared" si="1720"/>
        <v>GENNAIO 2025</v>
      </c>
      <c r="F1108" s="57" t="str">
        <f t="shared" si="1721"/>
        <v>1 GENNAIO 2025</v>
      </c>
      <c r="G1108" s="1309" t="s">
        <v>91</v>
      </c>
      <c r="H1108" s="1309" t="str">
        <f>VLOOKUP(G1108,CATEGORIE!$H$3:$I$104,2,FALSE)</f>
        <v>COSTO SOPRAVVIVENZA</v>
      </c>
      <c r="I1108" s="59">
        <v>0.4</v>
      </c>
      <c r="J1108" s="940"/>
      <c r="K1108" s="59"/>
      <c r="L1108" s="59"/>
    </row>
    <row r="1109" spans="1:12" ht="16.5" customHeight="1">
      <c r="A1109" s="57" t="s">
        <v>390</v>
      </c>
      <c r="B1109" s="57" t="s">
        <v>154</v>
      </c>
      <c r="C1109" s="57">
        <v>2025</v>
      </c>
      <c r="D1109" s="58">
        <f>MATCH(B1109,{"GENNAIO","FEBBRAIO","MARZO","APRILE","MAGGIO","GIUGNO","LUGLIO","AGOSTO","SETTEMBRE","OTTOBRE","NOVEMBRE","DICEMBRE"},0)</f>
        <v>1</v>
      </c>
      <c r="E1109" s="57" t="str">
        <f t="shared" si="1720"/>
        <v>GENNAIO 2025</v>
      </c>
      <c r="F1109" s="57" t="str">
        <f t="shared" si="1721"/>
        <v>1 GENNAIO 2025</v>
      </c>
      <c r="G1109" s="1309" t="s">
        <v>94</v>
      </c>
      <c r="H1109" s="1309" t="str">
        <f>VLOOKUP(G1109,CATEGORIE!$H$3:$I$104,2,FALSE)</f>
        <v>COSTO SVAGHI</v>
      </c>
      <c r="I1109" s="59">
        <v>64.400000000000006</v>
      </c>
      <c r="J1109" s="940"/>
      <c r="K1109" s="59"/>
      <c r="L1109" s="59"/>
    </row>
    <row r="1110" spans="1:12" ht="16.5" customHeight="1">
      <c r="A1110" s="57" t="s">
        <v>92</v>
      </c>
      <c r="B1110" s="57" t="s">
        <v>154</v>
      </c>
      <c r="C1110" s="57">
        <v>2025</v>
      </c>
      <c r="D1110" s="58">
        <f>MATCH(B1110,{"GENNAIO","FEBBRAIO","MARZO","APRILE","MAGGIO","GIUGNO","LUGLIO","AGOSTO","SETTEMBRE","OTTOBRE","NOVEMBRE","DICEMBRE"},0)</f>
        <v>1</v>
      </c>
      <c r="E1110" s="57" t="str">
        <f t="shared" si="1720"/>
        <v>GENNAIO 2025</v>
      </c>
      <c r="F1110" s="57" t="str">
        <f t="shared" si="1721"/>
        <v>1 GENNAIO 2025</v>
      </c>
      <c r="G1110" s="1309" t="s">
        <v>93</v>
      </c>
      <c r="H1110" s="1309" t="str">
        <f>VLOOKUP(G1110,CATEGORIE!$H$3:$I$104,2,FALSE)</f>
        <v>COSTO SOPRAVVIVENZA</v>
      </c>
      <c r="I1110" s="59">
        <v>8.8000000000000007</v>
      </c>
      <c r="J1110" s="940"/>
      <c r="K1110" s="59"/>
      <c r="L1110" s="59"/>
    </row>
    <row r="1111" spans="1:12" ht="18.600000000000001" customHeight="1">
      <c r="A1111" s="57" t="s">
        <v>92</v>
      </c>
      <c r="B1111" s="57" t="s">
        <v>154</v>
      </c>
      <c r="C1111" s="57">
        <v>2025</v>
      </c>
      <c r="D1111" s="58">
        <f>MATCH(B1111,{"GENNAIO","FEBBRAIO","MARZO","APRILE","MAGGIO","GIUGNO","LUGLIO","AGOSTO","SETTEMBRE","OTTOBRE","NOVEMBRE","DICEMBRE"},0)</f>
        <v>1</v>
      </c>
      <c r="E1111" s="57" t="str">
        <f t="shared" si="1720"/>
        <v>GENNAIO 2025</v>
      </c>
      <c r="F1111" s="57" t="str">
        <f t="shared" si="1721"/>
        <v>1 GENNAIO 2025</v>
      </c>
      <c r="G1111" s="1309" t="s">
        <v>93</v>
      </c>
      <c r="H1111" s="1309" t="str">
        <f>VLOOKUP(G1111,CATEGORIE!$H$3:$I$104,2,FALSE)</f>
        <v>COSTO SOPRAVVIVENZA</v>
      </c>
      <c r="I1111" s="59">
        <v>6.5</v>
      </c>
      <c r="J1111" s="940"/>
      <c r="K1111" s="59"/>
      <c r="L1111" s="59"/>
    </row>
    <row r="1112" spans="1:12" ht="16.5" customHeight="1">
      <c r="A1112" s="57" t="s">
        <v>391</v>
      </c>
      <c r="B1112" s="57" t="s">
        <v>154</v>
      </c>
      <c r="C1112" s="57">
        <v>2025</v>
      </c>
      <c r="D1112" s="58">
        <f>MATCH(B1112,{"GENNAIO","FEBBRAIO","MARZO","APRILE","MAGGIO","GIUGNO","LUGLIO","AGOSTO","SETTEMBRE","OTTOBRE","NOVEMBRE","DICEMBRE"},0)</f>
        <v>1</v>
      </c>
      <c r="E1112" s="57" t="str">
        <f t="shared" si="1720"/>
        <v>GENNAIO 2025</v>
      </c>
      <c r="F1112" s="57" t="str">
        <f t="shared" si="1721"/>
        <v>1 GENNAIO 2025</v>
      </c>
      <c r="G1112" s="1309" t="s">
        <v>185</v>
      </c>
      <c r="H1112" s="1309" t="str">
        <f>VLOOKUP(G1112,CATEGORIE!$H$3:$I$104,2,FALSE)</f>
        <v>COSTO SFIZI</v>
      </c>
      <c r="I1112" s="59">
        <v>29.95</v>
      </c>
      <c r="J1112" s="940"/>
      <c r="K1112" s="59"/>
      <c r="L1112" s="59" t="s">
        <v>392</v>
      </c>
    </row>
    <row r="1113" spans="1:12" ht="16.5" customHeight="1">
      <c r="A1113" s="57" t="s">
        <v>99</v>
      </c>
      <c r="B1113" s="57" t="s">
        <v>154</v>
      </c>
      <c r="C1113" s="57">
        <v>2025</v>
      </c>
      <c r="D1113" s="58">
        <f>MATCH(B1113,{"GENNAIO","FEBBRAIO","MARZO","APRILE","MAGGIO","GIUGNO","LUGLIO","AGOSTO","SETTEMBRE","OTTOBRE","NOVEMBRE","DICEMBRE"},0)</f>
        <v>1</v>
      </c>
      <c r="E1113" s="57" t="str">
        <f t="shared" si="1720"/>
        <v>GENNAIO 2025</v>
      </c>
      <c r="F1113" s="57" t="str">
        <f t="shared" si="1721"/>
        <v>1 GENNAIO 2025</v>
      </c>
      <c r="G1113" s="1309" t="s">
        <v>100</v>
      </c>
      <c r="H1113" s="1309" t="str">
        <f>VLOOKUP(G1113,CATEGORIE!$H$3:$I$104,2,FALSE)</f>
        <v>COSTO SFIZI</v>
      </c>
      <c r="I1113" s="59">
        <v>45.87</v>
      </c>
      <c r="J1113" s="940"/>
      <c r="K1113" s="57" t="s">
        <v>99</v>
      </c>
      <c r="L1113" s="59"/>
    </row>
    <row r="1114" spans="1:12" ht="18.600000000000001" customHeight="1">
      <c r="A1114" s="57" t="s">
        <v>393</v>
      </c>
      <c r="B1114" s="57" t="s">
        <v>154</v>
      </c>
      <c r="C1114" s="57">
        <v>2025</v>
      </c>
      <c r="D1114" s="58">
        <f>MATCH(B1114,{"GENNAIO","FEBBRAIO","MARZO","APRILE","MAGGIO","GIUGNO","LUGLIO","AGOSTO","SETTEMBRE","OTTOBRE","NOVEMBRE","DICEMBRE"},0)</f>
        <v>1</v>
      </c>
      <c r="E1114" s="57" t="str">
        <f t="shared" si="1720"/>
        <v>GENNAIO 2025</v>
      </c>
      <c r="F1114" s="57" t="str">
        <f t="shared" si="1721"/>
        <v>1 GENNAIO 2025</v>
      </c>
      <c r="G1114" s="1309" t="s">
        <v>96</v>
      </c>
      <c r="H1114" s="1309" t="str">
        <f>VLOOKUP(G1114,CATEGORIE!$H$3:$I$104,2,FALSE)</f>
        <v>COSTO SOPRAVVIVENZA</v>
      </c>
      <c r="I1114" s="59">
        <v>4.33</v>
      </c>
      <c r="J1114" s="940"/>
      <c r="K1114" s="59"/>
      <c r="L1114" s="59"/>
    </row>
    <row r="1115" spans="1:12">
      <c r="A1115" s="57" t="s">
        <v>130</v>
      </c>
      <c r="B1115" s="57" t="s">
        <v>154</v>
      </c>
      <c r="C1115" s="57">
        <v>2025</v>
      </c>
      <c r="D1115" s="58">
        <f>MATCH(B1115,{"GENNAIO","FEBBRAIO","MARZO","APRILE","MAGGIO","GIUGNO","LUGLIO","AGOSTO","SETTEMBRE","OTTOBRE","NOVEMBRE","DICEMBRE"},0)</f>
        <v>1</v>
      </c>
      <c r="E1115" s="57" t="str">
        <f t="shared" si="1720"/>
        <v>GENNAIO 2025</v>
      </c>
      <c r="F1115" s="57" t="str">
        <f t="shared" si="1721"/>
        <v>1 GENNAIO 2025</v>
      </c>
      <c r="G1115" s="1309" t="s">
        <v>94</v>
      </c>
      <c r="H1115" s="1309" t="str">
        <f>VLOOKUP(G1115,CATEGORIE!$H$3:$I$104,2,FALSE)</f>
        <v>COSTO SVAGHI</v>
      </c>
      <c r="I1115" s="59">
        <v>11.5</v>
      </c>
      <c r="J1115" s="940"/>
      <c r="K1115" s="59"/>
      <c r="L1115" s="59"/>
    </row>
    <row r="1116" spans="1:12" ht="18.600000000000001" customHeight="1">
      <c r="A1116" s="57" t="s">
        <v>394</v>
      </c>
      <c r="B1116" s="57" t="s">
        <v>154</v>
      </c>
      <c r="C1116" s="57">
        <v>2025</v>
      </c>
      <c r="D1116" s="58">
        <f>MATCH(B1116,{"GENNAIO","FEBBRAIO","MARZO","APRILE","MAGGIO","GIUGNO","LUGLIO","AGOSTO","SETTEMBRE","OTTOBRE","NOVEMBRE","DICEMBRE"},0)</f>
        <v>1</v>
      </c>
      <c r="E1116" s="57" t="str">
        <f t="shared" si="1720"/>
        <v>GENNAIO 2025</v>
      </c>
      <c r="F1116" s="57" t="str">
        <f t="shared" si="1721"/>
        <v>1 GENNAIO 2025</v>
      </c>
      <c r="G1116" s="1309" t="s">
        <v>94</v>
      </c>
      <c r="H1116" s="1309" t="str">
        <f>VLOOKUP(G1116,CATEGORIE!$H$3:$I$104,2,FALSE)</f>
        <v>COSTO SVAGHI</v>
      </c>
      <c r="I1116" s="59">
        <v>21</v>
      </c>
      <c r="J1116" s="940"/>
      <c r="K1116" s="59"/>
      <c r="L1116" s="59"/>
    </row>
    <row r="1117" spans="1:12" ht="18.600000000000001" customHeight="1">
      <c r="A1117" s="57" t="s">
        <v>135</v>
      </c>
      <c r="B1117" s="57" t="s">
        <v>154</v>
      </c>
      <c r="C1117" s="57">
        <v>2025</v>
      </c>
      <c r="D1117" s="58">
        <f>MATCH(B1117,{"GENNAIO","FEBBRAIO","MARZO","APRILE","MAGGIO","GIUGNO","LUGLIO","AGOSTO","SETTEMBRE","OTTOBRE","NOVEMBRE","DICEMBRE"},0)</f>
        <v>1</v>
      </c>
      <c r="E1117" s="57" t="str">
        <f t="shared" si="1720"/>
        <v>GENNAIO 2025</v>
      </c>
      <c r="F1117" s="57" t="str">
        <f t="shared" si="1721"/>
        <v>1 GENNAIO 2025</v>
      </c>
      <c r="G1117" s="1309" t="s">
        <v>132</v>
      </c>
      <c r="H1117" s="1309" t="str">
        <f>VLOOKUP(G1117,CATEGORIE!$H$3:$I$104,2,FALSE)</f>
        <v>COSTO CASA</v>
      </c>
      <c r="I1117" s="59">
        <v>26.19</v>
      </c>
      <c r="J1117" s="940"/>
      <c r="K1117" s="59"/>
      <c r="L1117" s="59"/>
    </row>
    <row r="1118" spans="1:12">
      <c r="A1118" s="57" t="s">
        <v>170</v>
      </c>
      <c r="B1118" s="57" t="s">
        <v>154</v>
      </c>
      <c r="C1118" s="57">
        <v>2025</v>
      </c>
      <c r="D1118" s="58">
        <f>MATCH(B1118,{"GENNAIO","FEBBRAIO","MARZO","APRILE","MAGGIO","GIUGNO","LUGLIO","AGOSTO","SETTEMBRE","OTTOBRE","NOVEMBRE","DICEMBRE"},0)</f>
        <v>1</v>
      </c>
      <c r="E1118" s="57" t="str">
        <f t="shared" si="1720"/>
        <v>GENNAIO 2025</v>
      </c>
      <c r="F1118" s="57" t="str">
        <f t="shared" si="1721"/>
        <v>1 GENNAIO 2025</v>
      </c>
      <c r="G1118" s="1309" t="s">
        <v>185</v>
      </c>
      <c r="H1118" s="1309" t="str">
        <f>VLOOKUP(G1118,CATEGORIE!$H$3:$I$104,2,FALSE)</f>
        <v>COSTO SFIZI</v>
      </c>
      <c r="I1118" s="59">
        <v>20.7</v>
      </c>
      <c r="J1118" s="940"/>
      <c r="K1118" s="59"/>
      <c r="L1118" s="59"/>
    </row>
    <row r="1119" spans="1:12" ht="18.600000000000001" customHeight="1">
      <c r="A1119" s="57" t="s">
        <v>105</v>
      </c>
      <c r="B1119" s="57" t="s">
        <v>154</v>
      </c>
      <c r="C1119" s="57">
        <v>2025</v>
      </c>
      <c r="D1119" s="58">
        <f>MATCH(B1119,{"GENNAIO","FEBBRAIO","MARZO","APRILE","MAGGIO","GIUGNO","LUGLIO","AGOSTO","SETTEMBRE","OTTOBRE","NOVEMBRE","DICEMBRE"},0)</f>
        <v>1</v>
      </c>
      <c r="E1119" s="57" t="str">
        <f t="shared" si="1720"/>
        <v>GENNAIO 2025</v>
      </c>
      <c r="F1119" s="57" t="str">
        <f t="shared" si="1721"/>
        <v>1 GENNAIO 2025</v>
      </c>
      <c r="G1119" s="1309" t="s">
        <v>96</v>
      </c>
      <c r="H1119" s="1309" t="str">
        <f>VLOOKUP(G1119,CATEGORIE!$H$3:$I$104,2,FALSE)</f>
        <v>COSTO SOPRAVVIVENZA</v>
      </c>
      <c r="I1119" s="59">
        <v>7.73</v>
      </c>
      <c r="J1119" s="940"/>
      <c r="K1119" s="59"/>
      <c r="L1119" s="59"/>
    </row>
    <row r="1120" spans="1:12">
      <c r="A1120" s="57" t="s">
        <v>102</v>
      </c>
      <c r="B1120" s="57" t="s">
        <v>154</v>
      </c>
      <c r="C1120" s="57">
        <v>2025</v>
      </c>
      <c r="D1120" s="58">
        <f>MATCH(B1120,{"GENNAIO","FEBBRAIO","MARZO","APRILE","MAGGIO","GIUGNO","LUGLIO","AGOSTO","SETTEMBRE","OTTOBRE","NOVEMBRE","DICEMBRE"},0)</f>
        <v>1</v>
      </c>
      <c r="E1120" s="57" t="str">
        <f t="shared" si="1720"/>
        <v>GENNAIO 2025</v>
      </c>
      <c r="F1120" s="57" t="str">
        <f t="shared" si="1721"/>
        <v>1 GENNAIO 2025</v>
      </c>
      <c r="G1120" s="1309" t="s">
        <v>96</v>
      </c>
      <c r="H1120" s="1309" t="str">
        <f>VLOOKUP(G1120,CATEGORIE!$H$3:$I$104,2,FALSE)</f>
        <v>COSTO SOPRAVVIVENZA</v>
      </c>
      <c r="I1120" s="59">
        <v>41.98</v>
      </c>
      <c r="J1120" s="940"/>
      <c r="K1120" s="59"/>
      <c r="L1120" s="59"/>
    </row>
    <row r="1121" spans="1:12" ht="18.600000000000001" customHeight="1">
      <c r="A1121" s="57" t="s">
        <v>170</v>
      </c>
      <c r="B1121" s="57" t="s">
        <v>154</v>
      </c>
      <c r="C1121" s="57">
        <v>2025</v>
      </c>
      <c r="D1121" s="58">
        <f>MATCH(B1121,{"GENNAIO","FEBBRAIO","MARZO","APRILE","MAGGIO","GIUGNO","LUGLIO","AGOSTO","SETTEMBRE","OTTOBRE","NOVEMBRE","DICEMBRE"},0)</f>
        <v>1</v>
      </c>
      <c r="E1121" s="57" t="str">
        <f t="shared" si="1720"/>
        <v>GENNAIO 2025</v>
      </c>
      <c r="F1121" s="57" t="str">
        <f t="shared" si="1721"/>
        <v>1 GENNAIO 2025</v>
      </c>
      <c r="G1121" s="1309" t="s">
        <v>185</v>
      </c>
      <c r="H1121" s="1309" t="str">
        <f>VLOOKUP(G1121,CATEGORIE!$H$3:$I$104,2,FALSE)</f>
        <v>COSTO SFIZI</v>
      </c>
      <c r="I1121" s="59">
        <v>17.899999999999999</v>
      </c>
      <c r="J1121" s="940"/>
      <c r="K1121" s="59"/>
      <c r="L1121" s="59"/>
    </row>
    <row r="1122" spans="1:12" ht="18.600000000000001" customHeight="1">
      <c r="A1122" s="57" t="s">
        <v>395</v>
      </c>
      <c r="B1122" s="57" t="s">
        <v>154</v>
      </c>
      <c r="C1122" s="57">
        <v>2025</v>
      </c>
      <c r="D1122" s="58">
        <f>MATCH(B1122,{"GENNAIO","FEBBRAIO","MARZO","APRILE","MAGGIO","GIUGNO","LUGLIO","AGOSTO","SETTEMBRE","OTTOBRE","NOVEMBRE","DICEMBRE"},0)</f>
        <v>1</v>
      </c>
      <c r="E1122" s="57" t="str">
        <f t="shared" si="1720"/>
        <v>GENNAIO 2025</v>
      </c>
      <c r="F1122" s="57" t="str">
        <f t="shared" si="1721"/>
        <v>1 GENNAIO 2025</v>
      </c>
      <c r="G1122" s="1309" t="s">
        <v>132</v>
      </c>
      <c r="H1122" s="1309" t="str">
        <f>VLOOKUP(G1122,CATEGORIE!$H$3:$I$104,2,FALSE)</f>
        <v>COSTO CASA</v>
      </c>
      <c r="I1122" s="59">
        <v>6.4</v>
      </c>
      <c r="J1122" s="940"/>
      <c r="K1122" s="59"/>
      <c r="L1122" s="59"/>
    </row>
    <row r="1123" spans="1:12" ht="16.5" customHeight="1">
      <c r="A1123" s="57" t="s">
        <v>131</v>
      </c>
      <c r="B1123" s="57" t="s">
        <v>154</v>
      </c>
      <c r="C1123" s="57">
        <v>2025</v>
      </c>
      <c r="D1123" s="58">
        <f>MATCH(B1123,{"GENNAIO","FEBBRAIO","MARZO","APRILE","MAGGIO","GIUGNO","LUGLIO","AGOSTO","SETTEMBRE","OTTOBRE","NOVEMBRE","DICEMBRE"},0)</f>
        <v>1</v>
      </c>
      <c r="E1123" s="57" t="str">
        <f t="shared" si="1720"/>
        <v>GENNAIO 2025</v>
      </c>
      <c r="F1123" s="57" t="str">
        <f t="shared" si="1721"/>
        <v>1 GENNAIO 2025</v>
      </c>
      <c r="G1123" s="1309" t="s">
        <v>132</v>
      </c>
      <c r="H1123" s="1309" t="str">
        <f>VLOOKUP(G1123,CATEGORIE!$H$3:$I$104,2,FALSE)</f>
        <v>COSTO CASA</v>
      </c>
      <c r="I1123" s="59">
        <v>53.55</v>
      </c>
      <c r="J1123" s="940"/>
      <c r="K1123" s="59"/>
      <c r="L1123" s="59"/>
    </row>
    <row r="1124" spans="1:12">
      <c r="A1124" s="57" t="s">
        <v>135</v>
      </c>
      <c r="B1124" s="57" t="s">
        <v>154</v>
      </c>
      <c r="C1124" s="57">
        <v>2025</v>
      </c>
      <c r="D1124" s="58">
        <f>MATCH(B1124,{"GENNAIO","FEBBRAIO","MARZO","APRILE","MAGGIO","GIUGNO","LUGLIO","AGOSTO","SETTEMBRE","OTTOBRE","NOVEMBRE","DICEMBRE"},0)</f>
        <v>1</v>
      </c>
      <c r="E1124" s="57" t="str">
        <f t="shared" si="1720"/>
        <v>GENNAIO 2025</v>
      </c>
      <c r="F1124" s="57" t="str">
        <f t="shared" si="1721"/>
        <v>1 GENNAIO 2025</v>
      </c>
      <c r="G1124" s="1309" t="s">
        <v>132</v>
      </c>
      <c r="H1124" s="1309" t="str">
        <f>VLOOKUP(G1124,CATEGORIE!$H$3:$I$104,2,FALSE)</f>
        <v>COSTO CASA</v>
      </c>
      <c r="I1124" s="59">
        <v>7.4</v>
      </c>
      <c r="J1124" s="940"/>
      <c r="K1124" s="59"/>
      <c r="L1124" s="59"/>
    </row>
    <row r="1125" spans="1:12" ht="16.5" customHeight="1">
      <c r="A1125" s="57" t="s">
        <v>395</v>
      </c>
      <c r="B1125" s="57" t="s">
        <v>154</v>
      </c>
      <c r="C1125" s="57">
        <v>2025</v>
      </c>
      <c r="D1125" s="58">
        <f>MATCH(B1125,{"GENNAIO","FEBBRAIO","MARZO","APRILE","MAGGIO","GIUGNO","LUGLIO","AGOSTO","SETTEMBRE","OTTOBRE","NOVEMBRE","DICEMBRE"},0)</f>
        <v>1</v>
      </c>
      <c r="E1125" s="57" t="str">
        <f t="shared" si="1720"/>
        <v>GENNAIO 2025</v>
      </c>
      <c r="F1125" s="57" t="str">
        <f t="shared" si="1721"/>
        <v>1 GENNAIO 2025</v>
      </c>
      <c r="G1125" s="1309" t="s">
        <v>132</v>
      </c>
      <c r="H1125" s="1309" t="str">
        <f>VLOOKUP(G1125,CATEGORIE!$H$3:$I$104,2,FALSE)</f>
        <v>COSTO CASA</v>
      </c>
      <c r="I1125" s="59">
        <v>7</v>
      </c>
      <c r="J1125" s="940"/>
      <c r="K1125" s="59"/>
      <c r="L1125" s="59"/>
    </row>
    <row r="1126" spans="1:12" ht="16.5" customHeight="1">
      <c r="A1126" s="57" t="s">
        <v>99</v>
      </c>
      <c r="B1126" s="57" t="s">
        <v>154</v>
      </c>
      <c r="C1126" s="57">
        <v>2025</v>
      </c>
      <c r="D1126" s="58">
        <f>MATCH(B1126,{"GENNAIO","FEBBRAIO","MARZO","APRILE","MAGGIO","GIUGNO","LUGLIO","AGOSTO","SETTEMBRE","OTTOBRE","NOVEMBRE","DICEMBRE"},0)</f>
        <v>1</v>
      </c>
      <c r="E1126" s="57" t="str">
        <f t="shared" si="1720"/>
        <v>GENNAIO 2025</v>
      </c>
      <c r="F1126" s="57" t="str">
        <f t="shared" si="1721"/>
        <v>1 GENNAIO 2025</v>
      </c>
      <c r="G1126" s="1309" t="s">
        <v>100</v>
      </c>
      <c r="H1126" s="1309" t="str">
        <f>VLOOKUP(G1126,CATEGORIE!$H$3:$I$104,2,FALSE)</f>
        <v>COSTO SFIZI</v>
      </c>
      <c r="I1126" s="59">
        <v>11.98</v>
      </c>
      <c r="J1126" s="940"/>
      <c r="K1126" s="57" t="s">
        <v>99</v>
      </c>
      <c r="L1126" s="59"/>
    </row>
    <row r="1127" spans="1:12" ht="16.5" customHeight="1">
      <c r="A1127" s="57" t="s">
        <v>131</v>
      </c>
      <c r="B1127" s="57" t="s">
        <v>154</v>
      </c>
      <c r="C1127" s="57">
        <v>2025</v>
      </c>
      <c r="D1127" s="58">
        <f>MATCH(B1127,{"GENNAIO","FEBBRAIO","MARZO","APRILE","MAGGIO","GIUGNO","LUGLIO","AGOSTO","SETTEMBRE","OTTOBRE","NOVEMBRE","DICEMBRE"},0)</f>
        <v>1</v>
      </c>
      <c r="E1127" s="57" t="str">
        <f t="shared" si="1720"/>
        <v>GENNAIO 2025</v>
      </c>
      <c r="F1127" s="57" t="str">
        <f t="shared" si="1721"/>
        <v>1 GENNAIO 2025</v>
      </c>
      <c r="G1127" s="1309" t="s">
        <v>132</v>
      </c>
      <c r="H1127" s="1309" t="str">
        <f>VLOOKUP(G1127,CATEGORIE!$H$3:$I$104,2,FALSE)</f>
        <v>COSTO CASA</v>
      </c>
      <c r="I1127" s="59">
        <v>71.400000000000006</v>
      </c>
      <c r="J1127" s="940"/>
      <c r="K1127" s="59"/>
      <c r="L1127" s="59"/>
    </row>
    <row r="1128" spans="1:12">
      <c r="A1128" s="57" t="s">
        <v>99</v>
      </c>
      <c r="B1128" s="57" t="s">
        <v>154</v>
      </c>
      <c r="C1128" s="57">
        <v>2025</v>
      </c>
      <c r="D1128" s="58">
        <f>MATCH(B1128,{"GENNAIO","FEBBRAIO","MARZO","APRILE","MAGGIO","GIUGNO","LUGLIO","AGOSTO","SETTEMBRE","OTTOBRE","NOVEMBRE","DICEMBRE"},0)</f>
        <v>1</v>
      </c>
      <c r="E1128" s="57" t="str">
        <f t="shared" si="1720"/>
        <v>GENNAIO 2025</v>
      </c>
      <c r="F1128" s="57" t="str">
        <f t="shared" si="1721"/>
        <v>1 GENNAIO 2025</v>
      </c>
      <c r="G1128" s="1309" t="s">
        <v>100</v>
      </c>
      <c r="H1128" s="1309" t="str">
        <f>VLOOKUP(G1128,CATEGORIE!$H$3:$I$104,2,FALSE)</f>
        <v>COSTO SFIZI</v>
      </c>
      <c r="I1128" s="59">
        <v>63.6</v>
      </c>
      <c r="J1128" s="940"/>
      <c r="K1128" s="57" t="s">
        <v>99</v>
      </c>
      <c r="L1128" s="59"/>
    </row>
    <row r="1129" spans="1:12">
      <c r="A1129" s="57" t="s">
        <v>99</v>
      </c>
      <c r="B1129" s="57" t="s">
        <v>154</v>
      </c>
      <c r="C1129" s="57">
        <v>2025</v>
      </c>
      <c r="D1129" s="58">
        <f>MATCH(B1129,{"GENNAIO","FEBBRAIO","MARZO","APRILE","MAGGIO","GIUGNO","LUGLIO","AGOSTO","SETTEMBRE","OTTOBRE","NOVEMBRE","DICEMBRE"},0)</f>
        <v>1</v>
      </c>
      <c r="E1129" s="57" t="str">
        <f t="shared" si="1720"/>
        <v>GENNAIO 2025</v>
      </c>
      <c r="F1129" s="57" t="str">
        <f t="shared" si="1721"/>
        <v>1 GENNAIO 2025</v>
      </c>
      <c r="G1129" s="1309" t="s">
        <v>185</v>
      </c>
      <c r="H1129" s="1309" t="str">
        <f>VLOOKUP(G1129,CATEGORIE!$H$3:$I$104,2,FALSE)</f>
        <v>COSTO SFIZI</v>
      </c>
      <c r="I1129" s="59">
        <v>15</v>
      </c>
      <c r="J1129" s="940" t="s">
        <v>167</v>
      </c>
      <c r="K1129" s="57" t="s">
        <v>99</v>
      </c>
      <c r="L1129" s="59" t="s">
        <v>386</v>
      </c>
    </row>
    <row r="1130" spans="1:12">
      <c r="A1130" s="57" t="s">
        <v>396</v>
      </c>
      <c r="B1130" s="57" t="s">
        <v>173</v>
      </c>
      <c r="C1130" s="57">
        <v>2024</v>
      </c>
      <c r="D1130" s="58">
        <f>MATCH(B1130,{"GENNAIO","FEBBRAIO","MARZO","APRILE","MAGGIO","GIUGNO","LUGLIO","AGOSTO","SETTEMBRE","OTTOBRE","NOVEMBRE","DICEMBRE"},0)</f>
        <v>12</v>
      </c>
      <c r="E1130" s="57" t="str">
        <f t="shared" si="1720"/>
        <v>DICEMBRE 2024</v>
      </c>
      <c r="F1130" s="57" t="str">
        <f t="shared" si="1721"/>
        <v>12 DICEMBRE 2024</v>
      </c>
      <c r="G1130" s="1309" t="s">
        <v>94</v>
      </c>
      <c r="H1130" s="1309" t="str">
        <f>VLOOKUP(G1130,CATEGORIE!$H$3:$I$104,2,FALSE)</f>
        <v>COSTO SVAGHI</v>
      </c>
      <c r="I1130" s="59">
        <v>14.4</v>
      </c>
      <c r="J1130" s="940"/>
      <c r="K1130" s="59"/>
      <c r="L1130" s="59"/>
    </row>
    <row r="1131" spans="1:12">
      <c r="A1131" s="57" t="s">
        <v>135</v>
      </c>
      <c r="B1131" s="57" t="s">
        <v>173</v>
      </c>
      <c r="C1131" s="57">
        <v>2024</v>
      </c>
      <c r="D1131" s="58">
        <f>MATCH(B1131,{"GENNAIO","FEBBRAIO","MARZO","APRILE","MAGGIO","GIUGNO","LUGLIO","AGOSTO","SETTEMBRE","OTTOBRE","NOVEMBRE","DICEMBRE"},0)</f>
        <v>12</v>
      </c>
      <c r="E1131" s="57" t="str">
        <f t="shared" si="1720"/>
        <v>DICEMBRE 2024</v>
      </c>
      <c r="F1131" s="57" t="str">
        <f t="shared" si="1721"/>
        <v>12 DICEMBRE 2024</v>
      </c>
      <c r="G1131" s="1309" t="s">
        <v>132</v>
      </c>
      <c r="H1131" s="1309" t="str">
        <f>VLOOKUP(G1131,CATEGORIE!$H$3:$I$104,2,FALSE)</f>
        <v>COSTO CASA</v>
      </c>
      <c r="I1131" s="59">
        <v>4.9000000000000004</v>
      </c>
      <c r="J1131" s="940"/>
      <c r="K1131" s="59"/>
      <c r="L1131" s="59"/>
    </row>
    <row r="1132" spans="1:12" ht="18.600000000000001" customHeight="1">
      <c r="A1132" s="57" t="s">
        <v>397</v>
      </c>
      <c r="B1132" s="57" t="s">
        <v>173</v>
      </c>
      <c r="C1132" s="57">
        <v>2024</v>
      </c>
      <c r="D1132" s="58">
        <f>MATCH(B1132,{"GENNAIO","FEBBRAIO","MARZO","APRILE","MAGGIO","GIUGNO","LUGLIO","AGOSTO","SETTEMBRE","OTTOBRE","NOVEMBRE","DICEMBRE"},0)</f>
        <v>12</v>
      </c>
      <c r="E1132" s="57" t="str">
        <f t="shared" si="1720"/>
        <v>DICEMBRE 2024</v>
      </c>
      <c r="F1132" s="57" t="str">
        <f t="shared" si="1721"/>
        <v>12 DICEMBRE 2024</v>
      </c>
      <c r="G1132" s="1309" t="s">
        <v>111</v>
      </c>
      <c r="H1132" s="1309" t="str">
        <f>VLOOKUP(G1132,CATEGORIE!$H$3:$I$104,2,FALSE)</f>
        <v>COSTO MOBILITA'</v>
      </c>
      <c r="I1132" s="59">
        <v>1.3</v>
      </c>
      <c r="J1132" s="940"/>
      <c r="K1132" s="59"/>
      <c r="L1132" s="59"/>
    </row>
    <row r="1133" spans="1:12">
      <c r="A1133" s="57" t="s">
        <v>92</v>
      </c>
      <c r="B1133" s="57" t="s">
        <v>173</v>
      </c>
      <c r="C1133" s="57">
        <v>2024</v>
      </c>
      <c r="D1133" s="58">
        <f>MATCH(B1133,{"GENNAIO","FEBBRAIO","MARZO","APRILE","MAGGIO","GIUGNO","LUGLIO","AGOSTO","SETTEMBRE","OTTOBRE","NOVEMBRE","DICEMBRE"},0)</f>
        <v>12</v>
      </c>
      <c r="E1133" s="57" t="str">
        <f t="shared" si="1720"/>
        <v>DICEMBRE 2024</v>
      </c>
      <c r="F1133" s="57" t="str">
        <f t="shared" si="1721"/>
        <v>12 DICEMBRE 2024</v>
      </c>
      <c r="G1133" s="1309" t="s">
        <v>93</v>
      </c>
      <c r="H1133" s="1309" t="str">
        <f>VLOOKUP(G1133,CATEGORIE!$H$3:$I$104,2,FALSE)</f>
        <v>COSTO SOPRAVVIVENZA</v>
      </c>
      <c r="I1133" s="59">
        <v>6.5</v>
      </c>
      <c r="J1133" s="940"/>
      <c r="K1133" s="59"/>
      <c r="L1133" s="59"/>
    </row>
    <row r="1134" spans="1:12" ht="18.600000000000001" customHeight="1">
      <c r="A1134" s="57" t="s">
        <v>92</v>
      </c>
      <c r="B1134" s="57" t="s">
        <v>173</v>
      </c>
      <c r="C1134" s="57">
        <v>2024</v>
      </c>
      <c r="D1134" s="58">
        <f>MATCH(B1134,{"GENNAIO","FEBBRAIO","MARZO","APRILE","MAGGIO","GIUGNO","LUGLIO","AGOSTO","SETTEMBRE","OTTOBRE","NOVEMBRE","DICEMBRE"},0)</f>
        <v>12</v>
      </c>
      <c r="E1134" s="57" t="str">
        <f t="shared" si="1720"/>
        <v>DICEMBRE 2024</v>
      </c>
      <c r="F1134" s="57" t="str">
        <f t="shared" si="1721"/>
        <v>12 DICEMBRE 2024</v>
      </c>
      <c r="G1134" s="1309" t="s">
        <v>93</v>
      </c>
      <c r="H1134" s="1309" t="str">
        <f>VLOOKUP(G1134,CATEGORIE!$H$3:$I$104,2,FALSE)</f>
        <v>COSTO SOPRAVVIVENZA</v>
      </c>
      <c r="I1134" s="59">
        <v>6.5</v>
      </c>
      <c r="J1134" s="940"/>
      <c r="K1134" s="59"/>
      <c r="L1134" s="59"/>
    </row>
    <row r="1135" spans="1:12" ht="18.600000000000001" customHeight="1">
      <c r="A1135" s="57" t="s">
        <v>357</v>
      </c>
      <c r="B1135" s="57" t="s">
        <v>173</v>
      </c>
      <c r="C1135" s="57">
        <v>2024</v>
      </c>
      <c r="D1135" s="58">
        <f>MATCH(B1135,{"GENNAIO","FEBBRAIO","MARZO","APRILE","MAGGIO","GIUGNO","LUGLIO","AGOSTO","SETTEMBRE","OTTOBRE","NOVEMBRE","DICEMBRE"},0)</f>
        <v>12</v>
      </c>
      <c r="E1135" s="57" t="str">
        <f t="shared" si="1720"/>
        <v>DICEMBRE 2024</v>
      </c>
      <c r="F1135" s="57" t="str">
        <f t="shared" si="1721"/>
        <v>12 DICEMBRE 2024</v>
      </c>
      <c r="G1135" s="1309" t="s">
        <v>96</v>
      </c>
      <c r="H1135" s="1309" t="str">
        <f>VLOOKUP(G1135,CATEGORIE!$H$3:$I$104,2,FALSE)</f>
        <v>COSTO SOPRAVVIVENZA</v>
      </c>
      <c r="I1135" s="59">
        <v>9.99</v>
      </c>
      <c r="J1135" s="940"/>
      <c r="K1135" s="59"/>
      <c r="L1135" s="59"/>
    </row>
    <row r="1136" spans="1:12" ht="16.5" customHeight="1">
      <c r="A1136" s="57" t="s">
        <v>398</v>
      </c>
      <c r="B1136" s="57" t="s">
        <v>173</v>
      </c>
      <c r="C1136" s="57">
        <v>2024</v>
      </c>
      <c r="D1136" s="58">
        <f>MATCH(B1136,{"GENNAIO","FEBBRAIO","MARZO","APRILE","MAGGIO","GIUGNO","LUGLIO","AGOSTO","SETTEMBRE","OTTOBRE","NOVEMBRE","DICEMBRE"},0)</f>
        <v>12</v>
      </c>
      <c r="E1136" s="57" t="str">
        <f t="shared" si="1720"/>
        <v>DICEMBRE 2024</v>
      </c>
      <c r="F1136" s="57" t="str">
        <f t="shared" si="1721"/>
        <v>12 DICEMBRE 2024</v>
      </c>
      <c r="G1136" s="1309" t="s">
        <v>94</v>
      </c>
      <c r="H1136" s="1309" t="str">
        <f>VLOOKUP(G1136,CATEGORIE!$H$3:$I$104,2,FALSE)</f>
        <v>COSTO SVAGHI</v>
      </c>
      <c r="I1136" s="59">
        <v>18</v>
      </c>
      <c r="J1136" s="940"/>
      <c r="K1136" s="59"/>
      <c r="L1136" s="59" t="s">
        <v>399</v>
      </c>
    </row>
    <row r="1137" spans="1:12" ht="16.5" customHeight="1">
      <c r="A1137" s="57" t="s">
        <v>357</v>
      </c>
      <c r="B1137" s="57" t="s">
        <v>173</v>
      </c>
      <c r="C1137" s="57">
        <v>2024</v>
      </c>
      <c r="D1137" s="58">
        <f>MATCH(B1137,{"GENNAIO","FEBBRAIO","MARZO","APRILE","MAGGIO","GIUGNO","LUGLIO","AGOSTO","SETTEMBRE","OTTOBRE","NOVEMBRE","DICEMBRE"},0)</f>
        <v>12</v>
      </c>
      <c r="E1137" s="57" t="str">
        <f t="shared" si="1720"/>
        <v>DICEMBRE 2024</v>
      </c>
      <c r="F1137" s="57" t="str">
        <f t="shared" si="1721"/>
        <v>12 DICEMBRE 2024</v>
      </c>
      <c r="G1137" s="1309" t="s">
        <v>96</v>
      </c>
      <c r="H1137" s="1309" t="str">
        <f>VLOOKUP(G1137,CATEGORIE!$H$3:$I$104,2,FALSE)</f>
        <v>COSTO SOPRAVVIVENZA</v>
      </c>
      <c r="I1137" s="59">
        <v>83.13</v>
      </c>
      <c r="J1137" s="940"/>
      <c r="K1137" s="59"/>
      <c r="L1137" s="59" t="s">
        <v>399</v>
      </c>
    </row>
    <row r="1138" spans="1:12" ht="16.5" customHeight="1">
      <c r="A1138" s="57" t="s">
        <v>105</v>
      </c>
      <c r="B1138" s="57" t="s">
        <v>173</v>
      </c>
      <c r="C1138" s="57">
        <v>2024</v>
      </c>
      <c r="D1138" s="58">
        <f>MATCH(B1138,{"GENNAIO","FEBBRAIO","MARZO","APRILE","MAGGIO","GIUGNO","LUGLIO","AGOSTO","SETTEMBRE","OTTOBRE","NOVEMBRE","DICEMBRE"},0)</f>
        <v>12</v>
      </c>
      <c r="E1138" s="57" t="str">
        <f t="shared" si="1720"/>
        <v>DICEMBRE 2024</v>
      </c>
      <c r="F1138" s="57" t="str">
        <f t="shared" si="1721"/>
        <v>12 DICEMBRE 2024</v>
      </c>
      <c r="G1138" s="1309" t="s">
        <v>96</v>
      </c>
      <c r="H1138" s="1309" t="str">
        <f>VLOOKUP(G1138,CATEGORIE!$H$3:$I$104,2,FALSE)</f>
        <v>COSTO SOPRAVVIVENZA</v>
      </c>
      <c r="I1138" s="59">
        <v>18.39</v>
      </c>
      <c r="J1138" s="940"/>
      <c r="K1138" s="59"/>
      <c r="L1138" s="59"/>
    </row>
    <row r="1139" spans="1:12" ht="16.5" customHeight="1">
      <c r="A1139" s="57" t="s">
        <v>143</v>
      </c>
      <c r="B1139" s="57" t="s">
        <v>173</v>
      </c>
      <c r="C1139" s="57">
        <v>2024</v>
      </c>
      <c r="D1139" s="58">
        <f>MATCH(B1139,{"GENNAIO","FEBBRAIO","MARZO","APRILE","MAGGIO","GIUGNO","LUGLIO","AGOSTO","SETTEMBRE","OTTOBRE","NOVEMBRE","DICEMBRE"},0)</f>
        <v>12</v>
      </c>
      <c r="E1139" s="57" t="str">
        <f t="shared" si="1720"/>
        <v>DICEMBRE 2024</v>
      </c>
      <c r="F1139" s="57" t="str">
        <f t="shared" si="1721"/>
        <v>12 DICEMBRE 2024</v>
      </c>
      <c r="G1139" s="1309" t="s">
        <v>96</v>
      </c>
      <c r="H1139" s="1309" t="str">
        <f>VLOOKUP(G1139,CATEGORIE!$H$3:$I$104,2,FALSE)</f>
        <v>COSTO SOPRAVVIVENZA</v>
      </c>
      <c r="I1139" s="59">
        <v>20</v>
      </c>
      <c r="J1139" s="940"/>
      <c r="K1139" s="59" t="s">
        <v>112</v>
      </c>
      <c r="L1139" s="59"/>
    </row>
    <row r="1140" spans="1:12">
      <c r="A1140" s="57" t="s">
        <v>101</v>
      </c>
      <c r="B1140" s="57" t="s">
        <v>173</v>
      </c>
      <c r="C1140" s="57">
        <v>2024</v>
      </c>
      <c r="D1140" s="58">
        <f>MATCH(B1140,{"GENNAIO","FEBBRAIO","MARZO","APRILE","MAGGIO","GIUGNO","LUGLIO","AGOSTO","SETTEMBRE","OTTOBRE","NOVEMBRE","DICEMBRE"},0)</f>
        <v>12</v>
      </c>
      <c r="E1140" s="57" t="str">
        <f t="shared" si="1720"/>
        <v>DICEMBRE 2024</v>
      </c>
      <c r="F1140" s="57" t="str">
        <f t="shared" si="1721"/>
        <v>12 DICEMBRE 2024</v>
      </c>
      <c r="G1140" s="1309" t="s">
        <v>91</v>
      </c>
      <c r="H1140" s="1309" t="str">
        <f>VLOOKUP(G1140,CATEGORIE!$H$3:$I$104,2,FALSE)</f>
        <v>COSTO SOPRAVVIVENZA</v>
      </c>
      <c r="I1140" s="59">
        <v>0.4</v>
      </c>
      <c r="J1140" s="940"/>
      <c r="K1140" s="59"/>
      <c r="L1140" s="59"/>
    </row>
    <row r="1141" spans="1:12">
      <c r="A1141" s="57" t="s">
        <v>101</v>
      </c>
      <c r="B1141" s="57" t="s">
        <v>173</v>
      </c>
      <c r="C1141" s="57">
        <v>2024</v>
      </c>
      <c r="D1141" s="58">
        <f>MATCH(B1141,{"GENNAIO","FEBBRAIO","MARZO","APRILE","MAGGIO","GIUGNO","LUGLIO","AGOSTO","SETTEMBRE","OTTOBRE","NOVEMBRE","DICEMBRE"},0)</f>
        <v>12</v>
      </c>
      <c r="E1141" s="57" t="str">
        <f t="shared" si="1720"/>
        <v>DICEMBRE 2024</v>
      </c>
      <c r="F1141" s="57" t="str">
        <f t="shared" si="1721"/>
        <v>12 DICEMBRE 2024</v>
      </c>
      <c r="G1141" s="1309" t="s">
        <v>91</v>
      </c>
      <c r="H1141" s="1309" t="str">
        <f>VLOOKUP(G1141,CATEGORIE!$H$3:$I$104,2,FALSE)</f>
        <v>COSTO SOPRAVVIVENZA</v>
      </c>
      <c r="I1141" s="59">
        <v>0.4</v>
      </c>
      <c r="J1141" s="940"/>
      <c r="K1141" s="59"/>
      <c r="L1141" s="59"/>
    </row>
    <row r="1142" spans="1:12" ht="16.5" customHeight="1">
      <c r="A1142" s="57" t="s">
        <v>99</v>
      </c>
      <c r="B1142" s="57" t="s">
        <v>173</v>
      </c>
      <c r="C1142" s="57">
        <v>2024</v>
      </c>
      <c r="D1142" s="58">
        <f>MATCH(B1142,{"GENNAIO","FEBBRAIO","MARZO","APRILE","MAGGIO","GIUGNO","LUGLIO","AGOSTO","SETTEMBRE","OTTOBRE","NOVEMBRE","DICEMBRE"},0)</f>
        <v>12</v>
      </c>
      <c r="E1142" s="57" t="str">
        <f t="shared" si="1720"/>
        <v>DICEMBRE 2024</v>
      </c>
      <c r="F1142" s="57" t="str">
        <f t="shared" si="1721"/>
        <v>12 DICEMBRE 2024</v>
      </c>
      <c r="G1142" s="1309" t="s">
        <v>185</v>
      </c>
      <c r="H1142" s="1309" t="str">
        <f>VLOOKUP(G1142,CATEGORIE!$H$3:$I$104,2,FALSE)</f>
        <v>COSTO SFIZI</v>
      </c>
      <c r="I1142" s="59">
        <v>55.99</v>
      </c>
      <c r="J1142" s="940"/>
      <c r="K1142" s="57" t="s">
        <v>99</v>
      </c>
      <c r="L1142" s="59" t="s">
        <v>400</v>
      </c>
    </row>
    <row r="1143" spans="1:12" ht="18.600000000000001" customHeight="1">
      <c r="A1143" s="57" t="s">
        <v>92</v>
      </c>
      <c r="B1143" s="57" t="s">
        <v>173</v>
      </c>
      <c r="C1143" s="57">
        <v>2024</v>
      </c>
      <c r="D1143" s="58">
        <f>MATCH(B1143,{"GENNAIO","FEBBRAIO","MARZO","APRILE","MAGGIO","GIUGNO","LUGLIO","AGOSTO","SETTEMBRE","OTTOBRE","NOVEMBRE","DICEMBRE"},0)</f>
        <v>12</v>
      </c>
      <c r="E1143" s="57" t="str">
        <f t="shared" si="1720"/>
        <v>DICEMBRE 2024</v>
      </c>
      <c r="F1143" s="57" t="str">
        <f t="shared" si="1721"/>
        <v>12 DICEMBRE 2024</v>
      </c>
      <c r="G1143" s="1309" t="s">
        <v>94</v>
      </c>
      <c r="H1143" s="1309" t="str">
        <f>VLOOKUP(G1143,CATEGORIE!$H$3:$I$104,2,FALSE)</f>
        <v>COSTO SVAGHI</v>
      </c>
      <c r="I1143" s="59">
        <v>30.4</v>
      </c>
      <c r="J1143" s="940"/>
      <c r="K1143" s="59"/>
      <c r="L1143" s="59"/>
    </row>
    <row r="1144" spans="1:12">
      <c r="A1144" s="57" t="s">
        <v>92</v>
      </c>
      <c r="B1144" s="57" t="s">
        <v>173</v>
      </c>
      <c r="C1144" s="57">
        <v>2024</v>
      </c>
      <c r="D1144" s="58">
        <f>MATCH(B1144,{"GENNAIO","FEBBRAIO","MARZO","APRILE","MAGGIO","GIUGNO","LUGLIO","AGOSTO","SETTEMBRE","OTTOBRE","NOVEMBRE","DICEMBRE"},0)</f>
        <v>12</v>
      </c>
      <c r="E1144" s="57" t="str">
        <f t="shared" si="1720"/>
        <v>DICEMBRE 2024</v>
      </c>
      <c r="F1144" s="57" t="str">
        <f t="shared" si="1721"/>
        <v>12 DICEMBRE 2024</v>
      </c>
      <c r="G1144" s="1309" t="s">
        <v>93</v>
      </c>
      <c r="H1144" s="1309" t="str">
        <f>VLOOKUP(G1144,CATEGORIE!$H$3:$I$104,2,FALSE)</f>
        <v>COSTO SOPRAVVIVENZA</v>
      </c>
      <c r="I1144" s="59">
        <v>6.5</v>
      </c>
      <c r="J1144" s="940"/>
      <c r="K1144" s="59"/>
      <c r="L1144" s="59"/>
    </row>
    <row r="1145" spans="1:12" ht="16.5" customHeight="1">
      <c r="A1145" s="57" t="s">
        <v>101</v>
      </c>
      <c r="B1145" s="57" t="s">
        <v>173</v>
      </c>
      <c r="C1145" s="57">
        <v>2024</v>
      </c>
      <c r="D1145" s="58">
        <f>MATCH(B1145,{"GENNAIO","FEBBRAIO","MARZO","APRILE","MAGGIO","GIUGNO","LUGLIO","AGOSTO","SETTEMBRE","OTTOBRE","NOVEMBRE","DICEMBRE"},0)</f>
        <v>12</v>
      </c>
      <c r="E1145" s="57" t="str">
        <f t="shared" ref="E1145:E1208" si="1722">CONCATENATE(,B1145," ",C1145)</f>
        <v>DICEMBRE 2024</v>
      </c>
      <c r="F1145" s="57" t="str">
        <f t="shared" ref="F1145:F1208" si="1723">CONCATENATE(D1145," ",E1145)</f>
        <v>12 DICEMBRE 2024</v>
      </c>
      <c r="G1145" s="1309" t="s">
        <v>91</v>
      </c>
      <c r="H1145" s="1309" t="str">
        <f>VLOOKUP(G1145,CATEGORIE!$H$3:$I$104,2,FALSE)</f>
        <v>COSTO SOPRAVVIVENZA</v>
      </c>
      <c r="I1145" s="59">
        <v>0.4</v>
      </c>
      <c r="J1145" s="940"/>
      <c r="K1145" s="59"/>
      <c r="L1145" s="59"/>
    </row>
    <row r="1146" spans="1:12" ht="16.5" customHeight="1">
      <c r="A1146" s="57" t="s">
        <v>401</v>
      </c>
      <c r="B1146" s="57" t="s">
        <v>173</v>
      </c>
      <c r="C1146" s="57">
        <v>2024</v>
      </c>
      <c r="D1146" s="58">
        <f>MATCH(B1146,{"GENNAIO","FEBBRAIO","MARZO","APRILE","MAGGIO","GIUGNO","LUGLIO","AGOSTO","SETTEMBRE","OTTOBRE","NOVEMBRE","DICEMBRE"},0)</f>
        <v>12</v>
      </c>
      <c r="E1146" s="57" t="str">
        <f t="shared" si="1722"/>
        <v>DICEMBRE 2024</v>
      </c>
      <c r="F1146" s="57" t="str">
        <f t="shared" si="1723"/>
        <v>12 DICEMBRE 2024</v>
      </c>
      <c r="G1146" s="1309" t="s">
        <v>96</v>
      </c>
      <c r="H1146" s="1309" t="str">
        <f>VLOOKUP(G1146,CATEGORIE!$H$3:$I$104,2,FALSE)</f>
        <v>COSTO SOPRAVVIVENZA</v>
      </c>
      <c r="I1146" s="59">
        <v>39.5</v>
      </c>
      <c r="J1146" s="940"/>
      <c r="K1146" s="59"/>
      <c r="L1146" s="59" t="s">
        <v>399</v>
      </c>
    </row>
    <row r="1147" spans="1:12">
      <c r="A1147" s="57" t="s">
        <v>224</v>
      </c>
      <c r="B1147" s="57" t="s">
        <v>173</v>
      </c>
      <c r="C1147" s="57">
        <v>2024</v>
      </c>
      <c r="D1147" s="58">
        <f>MATCH(B1147,{"GENNAIO","FEBBRAIO","MARZO","APRILE","MAGGIO","GIUGNO","LUGLIO","AGOSTO","SETTEMBRE","OTTOBRE","NOVEMBRE","DICEMBRE"},0)</f>
        <v>12</v>
      </c>
      <c r="E1147" s="57" t="str">
        <f t="shared" si="1722"/>
        <v>DICEMBRE 2024</v>
      </c>
      <c r="F1147" s="57" t="str">
        <f t="shared" si="1723"/>
        <v>12 DICEMBRE 2024</v>
      </c>
      <c r="G1147" s="1309" t="s">
        <v>402</v>
      </c>
      <c r="H1147" s="1309" t="str">
        <f>VLOOKUP(G1147,CATEGORIE!$H$3:$I$104,2,FALSE)</f>
        <v>COSTO SFIZI</v>
      </c>
      <c r="I1147" s="59">
        <v>25.9</v>
      </c>
      <c r="J1147" s="940"/>
      <c r="K1147" s="59"/>
      <c r="L1147" s="59" t="s">
        <v>400</v>
      </c>
    </row>
    <row r="1148" spans="1:12">
      <c r="A1148" s="57" t="s">
        <v>251</v>
      </c>
      <c r="B1148" s="57" t="s">
        <v>173</v>
      </c>
      <c r="C1148" s="57">
        <v>2024</v>
      </c>
      <c r="D1148" s="58">
        <f>MATCH(B1148,{"GENNAIO","FEBBRAIO","MARZO","APRILE","MAGGIO","GIUGNO","LUGLIO","AGOSTO","SETTEMBRE","OTTOBRE","NOVEMBRE","DICEMBRE"},0)</f>
        <v>12</v>
      </c>
      <c r="E1148" s="57" t="str">
        <f t="shared" si="1722"/>
        <v>DICEMBRE 2024</v>
      </c>
      <c r="F1148" s="57" t="str">
        <f t="shared" si="1723"/>
        <v>12 DICEMBRE 2024</v>
      </c>
      <c r="G1148" s="1309" t="s">
        <v>185</v>
      </c>
      <c r="H1148" s="1309" t="str">
        <f>VLOOKUP(G1148,CATEGORIE!$H$3:$I$104,2,FALSE)</f>
        <v>COSTO SFIZI</v>
      </c>
      <c r="I1148" s="59">
        <v>30.18</v>
      </c>
      <c r="J1148" s="940"/>
      <c r="K1148" s="59"/>
      <c r="L1148" s="59" t="s">
        <v>400</v>
      </c>
    </row>
    <row r="1149" spans="1:12">
      <c r="A1149" s="57" t="s">
        <v>187</v>
      </c>
      <c r="B1149" s="57" t="s">
        <v>173</v>
      </c>
      <c r="C1149" s="57">
        <v>2024</v>
      </c>
      <c r="D1149" s="58">
        <f>MATCH(B1149,{"GENNAIO","FEBBRAIO","MARZO","APRILE","MAGGIO","GIUGNO","LUGLIO","AGOSTO","SETTEMBRE","OTTOBRE","NOVEMBRE","DICEMBRE"},0)</f>
        <v>12</v>
      </c>
      <c r="E1149" s="57" t="str">
        <f t="shared" si="1722"/>
        <v>DICEMBRE 2024</v>
      </c>
      <c r="F1149" s="57" t="str">
        <f t="shared" si="1723"/>
        <v>12 DICEMBRE 2024</v>
      </c>
      <c r="G1149" s="1309" t="s">
        <v>188</v>
      </c>
      <c r="H1149" s="1309" t="str">
        <f>VLOOKUP(G1149,CATEGORIE!$H$3:$I$104,2,FALSE)</f>
        <v>COSTO VACANZE</v>
      </c>
      <c r="I1149" s="59">
        <v>154.76</v>
      </c>
      <c r="J1149" s="940"/>
      <c r="K1149" s="59"/>
      <c r="L1149" s="59" t="s">
        <v>403</v>
      </c>
    </row>
    <row r="1150" spans="1:12" ht="16.5" customHeight="1">
      <c r="A1150" s="57" t="s">
        <v>404</v>
      </c>
      <c r="B1150" s="57" t="s">
        <v>173</v>
      </c>
      <c r="C1150" s="57">
        <v>2024</v>
      </c>
      <c r="D1150" s="58">
        <f>MATCH(B1150,{"GENNAIO","FEBBRAIO","MARZO","APRILE","MAGGIO","GIUGNO","LUGLIO","AGOSTO","SETTEMBRE","OTTOBRE","NOVEMBRE","DICEMBRE"},0)</f>
        <v>12</v>
      </c>
      <c r="E1150" s="57" t="str">
        <f t="shared" si="1722"/>
        <v>DICEMBRE 2024</v>
      </c>
      <c r="F1150" s="57" t="str">
        <f t="shared" si="1723"/>
        <v>12 DICEMBRE 2024</v>
      </c>
      <c r="G1150" s="1309" t="s">
        <v>94</v>
      </c>
      <c r="H1150" s="1309" t="str">
        <f>VLOOKUP(G1150,CATEGORIE!$H$3:$I$104,2,FALSE)</f>
        <v>COSTO SVAGHI</v>
      </c>
      <c r="I1150" s="59">
        <v>30.8</v>
      </c>
      <c r="J1150" s="940"/>
      <c r="K1150" s="59"/>
      <c r="L1150" s="59" t="s">
        <v>403</v>
      </c>
    </row>
    <row r="1151" spans="1:12">
      <c r="A1151" s="57" t="s">
        <v>92</v>
      </c>
      <c r="B1151" s="57" t="s">
        <v>173</v>
      </c>
      <c r="C1151" s="57">
        <v>2024</v>
      </c>
      <c r="D1151" s="58">
        <f>MATCH(B1151,{"GENNAIO","FEBBRAIO","MARZO","APRILE","MAGGIO","GIUGNO","LUGLIO","AGOSTO","SETTEMBRE","OTTOBRE","NOVEMBRE","DICEMBRE"},0)</f>
        <v>12</v>
      </c>
      <c r="E1151" s="57" t="str">
        <f t="shared" si="1722"/>
        <v>DICEMBRE 2024</v>
      </c>
      <c r="F1151" s="57" t="str">
        <f t="shared" si="1723"/>
        <v>12 DICEMBRE 2024</v>
      </c>
      <c r="G1151" s="1309" t="s">
        <v>94</v>
      </c>
      <c r="H1151" s="1309" t="str">
        <f>VLOOKUP(G1151,CATEGORIE!$H$3:$I$104,2,FALSE)</f>
        <v>COSTO SVAGHI</v>
      </c>
      <c r="I1151" s="59">
        <v>40</v>
      </c>
      <c r="J1151" s="940"/>
      <c r="K1151" s="59"/>
      <c r="L1151" s="59"/>
    </row>
    <row r="1152" spans="1:12">
      <c r="A1152" s="57" t="s">
        <v>92</v>
      </c>
      <c r="B1152" s="57" t="s">
        <v>173</v>
      </c>
      <c r="C1152" s="57">
        <v>2024</v>
      </c>
      <c r="D1152" s="58">
        <f>MATCH(B1152,{"GENNAIO","FEBBRAIO","MARZO","APRILE","MAGGIO","GIUGNO","LUGLIO","AGOSTO","SETTEMBRE","OTTOBRE","NOVEMBRE","DICEMBRE"},0)</f>
        <v>12</v>
      </c>
      <c r="E1152" s="57" t="str">
        <f t="shared" si="1722"/>
        <v>DICEMBRE 2024</v>
      </c>
      <c r="F1152" s="57" t="str">
        <f t="shared" si="1723"/>
        <v>12 DICEMBRE 2024</v>
      </c>
      <c r="G1152" s="1309" t="s">
        <v>93</v>
      </c>
      <c r="H1152" s="1309" t="str">
        <f>VLOOKUP(G1152,CATEGORIE!$H$3:$I$104,2,FALSE)</f>
        <v>COSTO SOPRAVVIVENZA</v>
      </c>
      <c r="I1152" s="59">
        <v>6.5</v>
      </c>
      <c r="J1152" s="940"/>
      <c r="K1152" s="59"/>
      <c r="L1152" s="59"/>
    </row>
    <row r="1153" spans="1:12" ht="16.5" customHeight="1">
      <c r="A1153" s="57" t="s">
        <v>101</v>
      </c>
      <c r="B1153" s="57" t="s">
        <v>173</v>
      </c>
      <c r="C1153" s="57">
        <v>2024</v>
      </c>
      <c r="D1153" s="58">
        <f>MATCH(B1153,{"GENNAIO","FEBBRAIO","MARZO","APRILE","MAGGIO","GIUGNO","LUGLIO","AGOSTO","SETTEMBRE","OTTOBRE","NOVEMBRE","DICEMBRE"},0)</f>
        <v>12</v>
      </c>
      <c r="E1153" s="57" t="str">
        <f t="shared" si="1722"/>
        <v>DICEMBRE 2024</v>
      </c>
      <c r="F1153" s="57" t="str">
        <f t="shared" si="1723"/>
        <v>12 DICEMBRE 2024</v>
      </c>
      <c r="G1153" s="1309" t="s">
        <v>91</v>
      </c>
      <c r="H1153" s="1309" t="str">
        <f>VLOOKUP(G1153,CATEGORIE!$H$3:$I$104,2,FALSE)</f>
        <v>COSTO SOPRAVVIVENZA</v>
      </c>
      <c r="I1153" s="59">
        <v>0.4</v>
      </c>
      <c r="J1153" s="940"/>
      <c r="K1153" s="59"/>
      <c r="L1153" s="59"/>
    </row>
    <row r="1154" spans="1:12" ht="16.5" customHeight="1">
      <c r="A1154" s="57" t="s">
        <v>92</v>
      </c>
      <c r="B1154" s="57" t="s">
        <v>173</v>
      </c>
      <c r="C1154" s="57">
        <v>2024</v>
      </c>
      <c r="D1154" s="58">
        <f>MATCH(B1154,{"GENNAIO","FEBBRAIO","MARZO","APRILE","MAGGIO","GIUGNO","LUGLIO","AGOSTO","SETTEMBRE","OTTOBRE","NOVEMBRE","DICEMBRE"},0)</f>
        <v>12</v>
      </c>
      <c r="E1154" s="57" t="str">
        <f t="shared" si="1722"/>
        <v>DICEMBRE 2024</v>
      </c>
      <c r="F1154" s="57" t="str">
        <f t="shared" si="1723"/>
        <v>12 DICEMBRE 2024</v>
      </c>
      <c r="G1154" s="1309" t="s">
        <v>93</v>
      </c>
      <c r="H1154" s="1309" t="str">
        <f>VLOOKUP(G1154,CATEGORIE!$H$3:$I$104,2,FALSE)</f>
        <v>COSTO SOPRAVVIVENZA</v>
      </c>
      <c r="I1154" s="59">
        <v>6.5</v>
      </c>
      <c r="J1154" s="940"/>
      <c r="K1154" s="59"/>
      <c r="L1154" s="59"/>
    </row>
    <row r="1155" spans="1:12" ht="16.5" customHeight="1">
      <c r="A1155" s="57" t="s">
        <v>92</v>
      </c>
      <c r="B1155" s="57" t="s">
        <v>173</v>
      </c>
      <c r="C1155" s="57">
        <v>2024</v>
      </c>
      <c r="D1155" s="58">
        <f>MATCH(B1155,{"GENNAIO","FEBBRAIO","MARZO","APRILE","MAGGIO","GIUGNO","LUGLIO","AGOSTO","SETTEMBRE","OTTOBRE","NOVEMBRE","DICEMBRE"},0)</f>
        <v>12</v>
      </c>
      <c r="E1155" s="57" t="str">
        <f t="shared" si="1722"/>
        <v>DICEMBRE 2024</v>
      </c>
      <c r="F1155" s="57" t="str">
        <f t="shared" si="1723"/>
        <v>12 DICEMBRE 2024</v>
      </c>
      <c r="G1155" s="1309" t="s">
        <v>93</v>
      </c>
      <c r="H1155" s="1309" t="str">
        <f>VLOOKUP(G1155,CATEGORIE!$H$3:$I$104,2,FALSE)</f>
        <v>COSTO SOPRAVVIVENZA</v>
      </c>
      <c r="I1155" s="59">
        <v>6.5</v>
      </c>
      <c r="J1155" s="940"/>
      <c r="K1155" s="59"/>
      <c r="L1155" s="59"/>
    </row>
    <row r="1156" spans="1:12" ht="18.600000000000001" customHeight="1">
      <c r="A1156" s="57" t="s">
        <v>99</v>
      </c>
      <c r="B1156" s="57" t="s">
        <v>173</v>
      </c>
      <c r="C1156" s="57">
        <v>2024</v>
      </c>
      <c r="D1156" s="58">
        <f>MATCH(B1156,{"GENNAIO","FEBBRAIO","MARZO","APRILE","MAGGIO","GIUGNO","LUGLIO","AGOSTO","SETTEMBRE","OTTOBRE","NOVEMBRE","DICEMBRE"},0)</f>
        <v>12</v>
      </c>
      <c r="E1156" s="57" t="str">
        <f t="shared" si="1722"/>
        <v>DICEMBRE 2024</v>
      </c>
      <c r="F1156" s="57" t="str">
        <f t="shared" si="1723"/>
        <v>12 DICEMBRE 2024</v>
      </c>
      <c r="G1156" s="1309" t="s">
        <v>100</v>
      </c>
      <c r="H1156" s="1309" t="str">
        <f>VLOOKUP(G1156,CATEGORIE!$H$3:$I$104,2,FALSE)</f>
        <v>COSTO SFIZI</v>
      </c>
      <c r="I1156" s="59">
        <v>14.99</v>
      </c>
      <c r="J1156" s="940"/>
      <c r="K1156" s="57" t="s">
        <v>99</v>
      </c>
      <c r="L1156" s="59"/>
    </row>
    <row r="1157" spans="1:12" ht="18.600000000000001" customHeight="1">
      <c r="A1157" s="57" t="s">
        <v>99</v>
      </c>
      <c r="B1157" s="57" t="s">
        <v>173</v>
      </c>
      <c r="C1157" s="57">
        <v>2024</v>
      </c>
      <c r="D1157" s="58">
        <f>MATCH(B1157,{"GENNAIO","FEBBRAIO","MARZO","APRILE","MAGGIO","GIUGNO","LUGLIO","AGOSTO","SETTEMBRE","OTTOBRE","NOVEMBRE","DICEMBRE"},0)</f>
        <v>12</v>
      </c>
      <c r="E1157" s="57" t="str">
        <f t="shared" si="1722"/>
        <v>DICEMBRE 2024</v>
      </c>
      <c r="F1157" s="57" t="str">
        <f t="shared" si="1723"/>
        <v>12 DICEMBRE 2024</v>
      </c>
      <c r="G1157" s="1309" t="s">
        <v>100</v>
      </c>
      <c r="H1157" s="1309" t="str">
        <f>VLOOKUP(G1157,CATEGORIE!$H$3:$I$104,2,FALSE)</f>
        <v>COSTO SFIZI</v>
      </c>
      <c r="I1157" s="59">
        <v>11.69</v>
      </c>
      <c r="J1157" s="940"/>
      <c r="K1157" s="57" t="s">
        <v>99</v>
      </c>
      <c r="L1157" s="59"/>
    </row>
    <row r="1158" spans="1:12" ht="18.600000000000001" customHeight="1">
      <c r="A1158" s="57" t="s">
        <v>405</v>
      </c>
      <c r="B1158" s="57" t="s">
        <v>173</v>
      </c>
      <c r="C1158" s="57">
        <v>2024</v>
      </c>
      <c r="D1158" s="58">
        <f>MATCH(B1158,{"GENNAIO","FEBBRAIO","MARZO","APRILE","MAGGIO","GIUGNO","LUGLIO","AGOSTO","SETTEMBRE","OTTOBRE","NOVEMBRE","DICEMBRE"},0)</f>
        <v>12</v>
      </c>
      <c r="E1158" s="57" t="str">
        <f t="shared" si="1722"/>
        <v>DICEMBRE 2024</v>
      </c>
      <c r="F1158" s="57" t="str">
        <f t="shared" si="1723"/>
        <v>12 DICEMBRE 2024</v>
      </c>
      <c r="G1158" s="1309" t="s">
        <v>94</v>
      </c>
      <c r="H1158" s="1309" t="str">
        <f>VLOOKUP(G1158,CATEGORIE!$H$3:$I$104,2,FALSE)</f>
        <v>COSTO SVAGHI</v>
      </c>
      <c r="I1158" s="59">
        <v>54</v>
      </c>
      <c r="J1158" s="940"/>
      <c r="K1158" s="59"/>
      <c r="L1158" s="59"/>
    </row>
    <row r="1159" spans="1:12" ht="16.5" customHeight="1">
      <c r="A1159" s="57" t="s">
        <v>95</v>
      </c>
      <c r="B1159" s="57" t="s">
        <v>173</v>
      </c>
      <c r="C1159" s="57">
        <v>2024</v>
      </c>
      <c r="D1159" s="58">
        <f>MATCH(B1159,{"GENNAIO","FEBBRAIO","MARZO","APRILE","MAGGIO","GIUGNO","LUGLIO","AGOSTO","SETTEMBRE","OTTOBRE","NOVEMBRE","DICEMBRE"},0)</f>
        <v>12</v>
      </c>
      <c r="E1159" s="57" t="str">
        <f t="shared" si="1722"/>
        <v>DICEMBRE 2024</v>
      </c>
      <c r="F1159" s="57" t="str">
        <f t="shared" si="1723"/>
        <v>12 DICEMBRE 2024</v>
      </c>
      <c r="G1159" s="1309" t="s">
        <v>96</v>
      </c>
      <c r="H1159" s="1309" t="str">
        <f>VLOOKUP(G1159,CATEGORIE!$H$3:$I$104,2,FALSE)</f>
        <v>COSTO SOPRAVVIVENZA</v>
      </c>
      <c r="I1159" s="59">
        <v>16.3</v>
      </c>
      <c r="J1159" s="940"/>
      <c r="K1159" s="59"/>
      <c r="L1159" s="59"/>
    </row>
    <row r="1160" spans="1:12" ht="16.5" customHeight="1">
      <c r="A1160" s="57" t="s">
        <v>357</v>
      </c>
      <c r="B1160" s="57" t="s">
        <v>173</v>
      </c>
      <c r="C1160" s="57">
        <v>2024</v>
      </c>
      <c r="D1160" s="58">
        <f>MATCH(B1160,{"GENNAIO","FEBBRAIO","MARZO","APRILE","MAGGIO","GIUGNO","LUGLIO","AGOSTO","SETTEMBRE","OTTOBRE","NOVEMBRE","DICEMBRE"},0)</f>
        <v>12</v>
      </c>
      <c r="E1160" s="57" t="str">
        <f t="shared" si="1722"/>
        <v>DICEMBRE 2024</v>
      </c>
      <c r="F1160" s="57" t="str">
        <f t="shared" si="1723"/>
        <v>12 DICEMBRE 2024</v>
      </c>
      <c r="G1160" s="1309" t="s">
        <v>96</v>
      </c>
      <c r="H1160" s="1309" t="str">
        <f>VLOOKUP(G1160,CATEGORIE!$H$3:$I$104,2,FALSE)</f>
        <v>COSTO SOPRAVVIVENZA</v>
      </c>
      <c r="I1160" s="59">
        <v>13.38</v>
      </c>
      <c r="J1160" s="940"/>
      <c r="K1160" s="59"/>
      <c r="L1160" s="59"/>
    </row>
    <row r="1161" spans="1:12" ht="16.5" customHeight="1">
      <c r="A1161" s="57" t="s">
        <v>135</v>
      </c>
      <c r="B1161" s="57" t="s">
        <v>173</v>
      </c>
      <c r="C1161" s="57">
        <v>2024</v>
      </c>
      <c r="D1161" s="58">
        <f>MATCH(B1161,{"GENNAIO","FEBBRAIO","MARZO","APRILE","MAGGIO","GIUGNO","LUGLIO","AGOSTO","SETTEMBRE","OTTOBRE","NOVEMBRE","DICEMBRE"},0)</f>
        <v>12</v>
      </c>
      <c r="E1161" s="57" t="str">
        <f t="shared" si="1722"/>
        <v>DICEMBRE 2024</v>
      </c>
      <c r="F1161" s="57" t="str">
        <f t="shared" si="1723"/>
        <v>12 DICEMBRE 2024</v>
      </c>
      <c r="G1161" s="1309" t="s">
        <v>132</v>
      </c>
      <c r="H1161" s="1309" t="str">
        <f>VLOOKUP(G1161,CATEGORIE!$H$3:$I$104,2,FALSE)</f>
        <v>COSTO CASA</v>
      </c>
      <c r="I1161" s="59">
        <v>32.369999999999997</v>
      </c>
      <c r="J1161" s="940"/>
      <c r="K1161" s="59"/>
      <c r="L1161" s="59"/>
    </row>
    <row r="1162" spans="1:12">
      <c r="A1162" s="57" t="s">
        <v>99</v>
      </c>
      <c r="B1162" s="57" t="s">
        <v>173</v>
      </c>
      <c r="C1162" s="57">
        <v>2024</v>
      </c>
      <c r="D1162" s="58">
        <f>MATCH(B1162,{"GENNAIO","FEBBRAIO","MARZO","APRILE","MAGGIO","GIUGNO","LUGLIO","AGOSTO","SETTEMBRE","OTTOBRE","NOVEMBRE","DICEMBRE"},0)</f>
        <v>12</v>
      </c>
      <c r="E1162" s="57" t="str">
        <f t="shared" si="1722"/>
        <v>DICEMBRE 2024</v>
      </c>
      <c r="F1162" s="57" t="str">
        <f t="shared" si="1723"/>
        <v>12 DICEMBRE 2024</v>
      </c>
      <c r="G1162" s="1309" t="s">
        <v>100</v>
      </c>
      <c r="H1162" s="1309" t="str">
        <f>VLOOKUP(G1162,CATEGORIE!$H$3:$I$104,2,FALSE)</f>
        <v>COSTO SFIZI</v>
      </c>
      <c r="I1162" s="59">
        <v>6.39</v>
      </c>
      <c r="J1162" s="940"/>
      <c r="K1162" s="57" t="s">
        <v>99</v>
      </c>
      <c r="L1162" s="59"/>
    </row>
    <row r="1163" spans="1:12">
      <c r="A1163" s="57" t="s">
        <v>406</v>
      </c>
      <c r="B1163" s="57" t="s">
        <v>173</v>
      </c>
      <c r="C1163" s="57">
        <v>2024</v>
      </c>
      <c r="D1163" s="58">
        <f>MATCH(B1163,{"GENNAIO","FEBBRAIO","MARZO","APRILE","MAGGIO","GIUGNO","LUGLIO","AGOSTO","SETTEMBRE","OTTOBRE","NOVEMBRE","DICEMBRE"},0)</f>
        <v>12</v>
      </c>
      <c r="E1163" s="57" t="str">
        <f t="shared" si="1722"/>
        <v>DICEMBRE 2024</v>
      </c>
      <c r="F1163" s="57" t="str">
        <f t="shared" si="1723"/>
        <v>12 DICEMBRE 2024</v>
      </c>
      <c r="G1163" s="1309" t="s">
        <v>185</v>
      </c>
      <c r="H1163" s="1309" t="str">
        <f>VLOOKUP(G1163,CATEGORIE!$H$3:$I$104,2,FALSE)</f>
        <v>COSTO SFIZI</v>
      </c>
      <c r="I1163" s="59">
        <v>40</v>
      </c>
      <c r="J1163" s="940"/>
      <c r="K1163" s="59" t="s">
        <v>112</v>
      </c>
      <c r="L1163" s="59" t="s">
        <v>407</v>
      </c>
    </row>
    <row r="1164" spans="1:12" ht="16.5" customHeight="1">
      <c r="A1164" s="57" t="s">
        <v>99</v>
      </c>
      <c r="B1164" s="57" t="s">
        <v>173</v>
      </c>
      <c r="C1164" s="57">
        <v>2024</v>
      </c>
      <c r="D1164" s="58">
        <f>MATCH(B1164,{"GENNAIO","FEBBRAIO","MARZO","APRILE","MAGGIO","GIUGNO","LUGLIO","AGOSTO","SETTEMBRE","OTTOBRE","NOVEMBRE","DICEMBRE"},0)</f>
        <v>12</v>
      </c>
      <c r="E1164" s="57" t="str">
        <f t="shared" si="1722"/>
        <v>DICEMBRE 2024</v>
      </c>
      <c r="F1164" s="57" t="str">
        <f t="shared" si="1723"/>
        <v>12 DICEMBRE 2024</v>
      </c>
      <c r="G1164" s="1309" t="s">
        <v>100</v>
      </c>
      <c r="H1164" s="1309" t="str">
        <f>VLOOKUP(G1164,CATEGORIE!$H$3:$I$104,2,FALSE)</f>
        <v>COSTO SFIZI</v>
      </c>
      <c r="I1164" s="59">
        <v>30.6</v>
      </c>
      <c r="J1164" s="940" t="s">
        <v>126</v>
      </c>
      <c r="K1164" s="57" t="s">
        <v>99</v>
      </c>
      <c r="L1164" s="59" t="s">
        <v>168</v>
      </c>
    </row>
    <row r="1165" spans="1:12">
      <c r="A1165" s="57" t="s">
        <v>229</v>
      </c>
      <c r="B1165" s="57" t="s">
        <v>173</v>
      </c>
      <c r="C1165" s="57">
        <v>2024</v>
      </c>
      <c r="D1165" s="58">
        <f>MATCH(B1165,{"GENNAIO","FEBBRAIO","MARZO","APRILE","MAGGIO","GIUGNO","LUGLIO","AGOSTO","SETTEMBRE","OTTOBRE","NOVEMBRE","DICEMBRE"},0)</f>
        <v>12</v>
      </c>
      <c r="E1165" s="57" t="str">
        <f t="shared" si="1722"/>
        <v>DICEMBRE 2024</v>
      </c>
      <c r="F1165" s="57" t="str">
        <f t="shared" si="1723"/>
        <v>12 DICEMBRE 2024</v>
      </c>
      <c r="G1165" s="1309" t="s">
        <v>163</v>
      </c>
      <c r="H1165" s="1309" t="str">
        <f>VLOOKUP(G1165,CATEGORIE!$H$3:$I$104,2,FALSE)</f>
        <v>COSTO SVAGHI</v>
      </c>
      <c r="I1165" s="59">
        <v>52.08</v>
      </c>
      <c r="J1165" s="940" t="s">
        <v>215</v>
      </c>
      <c r="K1165" s="59" t="s">
        <v>112</v>
      </c>
      <c r="L1165" s="59" t="s">
        <v>408</v>
      </c>
    </row>
    <row r="1166" spans="1:12">
      <c r="A1166" s="57" t="s">
        <v>99</v>
      </c>
      <c r="B1166" s="57" t="s">
        <v>173</v>
      </c>
      <c r="C1166" s="57">
        <v>2024</v>
      </c>
      <c r="D1166" s="58">
        <f>MATCH(B1166,{"GENNAIO","FEBBRAIO","MARZO","APRILE","MAGGIO","GIUGNO","LUGLIO","AGOSTO","SETTEMBRE","OTTOBRE","NOVEMBRE","DICEMBRE"},0)</f>
        <v>12</v>
      </c>
      <c r="E1166" s="57" t="str">
        <f t="shared" si="1722"/>
        <v>DICEMBRE 2024</v>
      </c>
      <c r="F1166" s="57" t="str">
        <f t="shared" si="1723"/>
        <v>12 DICEMBRE 2024</v>
      </c>
      <c r="G1166" s="1309" t="s">
        <v>100</v>
      </c>
      <c r="H1166" s="1309" t="str">
        <f>VLOOKUP(G1166,CATEGORIE!$H$3:$I$104,2,FALSE)</f>
        <v>COSTO SFIZI</v>
      </c>
      <c r="I1166" s="59">
        <v>16.63</v>
      </c>
      <c r="J1166" s="940" t="s">
        <v>215</v>
      </c>
      <c r="K1166" s="57" t="s">
        <v>99</v>
      </c>
      <c r="L1166" s="59"/>
    </row>
    <row r="1167" spans="1:12" ht="16.5" customHeight="1">
      <c r="A1167" s="57" t="s">
        <v>99</v>
      </c>
      <c r="B1167" s="57" t="s">
        <v>173</v>
      </c>
      <c r="C1167" s="57">
        <v>2024</v>
      </c>
      <c r="D1167" s="58">
        <f>MATCH(B1167,{"GENNAIO","FEBBRAIO","MARZO","APRILE","MAGGIO","GIUGNO","LUGLIO","AGOSTO","SETTEMBRE","OTTOBRE","NOVEMBRE","DICEMBRE"},0)</f>
        <v>12</v>
      </c>
      <c r="E1167" s="57" t="str">
        <f t="shared" si="1722"/>
        <v>DICEMBRE 2024</v>
      </c>
      <c r="F1167" s="57" t="str">
        <f t="shared" si="1723"/>
        <v>12 DICEMBRE 2024</v>
      </c>
      <c r="G1167" s="1309" t="s">
        <v>185</v>
      </c>
      <c r="H1167" s="1309" t="str">
        <f>VLOOKUP(G1167,CATEGORIE!$H$3:$I$104,2,FALSE)</f>
        <v>COSTO SFIZI</v>
      </c>
      <c r="I1167" s="59">
        <v>15</v>
      </c>
      <c r="J1167" s="940" t="s">
        <v>197</v>
      </c>
      <c r="K1167" s="57" t="s">
        <v>99</v>
      </c>
      <c r="L1167" s="59" t="s">
        <v>386</v>
      </c>
    </row>
    <row r="1168" spans="1:12" ht="16.5" customHeight="1">
      <c r="A1168" s="57" t="s">
        <v>340</v>
      </c>
      <c r="B1168" s="57" t="s">
        <v>173</v>
      </c>
      <c r="C1168" s="57">
        <v>2024</v>
      </c>
      <c r="D1168" s="58">
        <f>MATCH(B1168,{"GENNAIO","FEBBRAIO","MARZO","APRILE","MAGGIO","GIUGNO","LUGLIO","AGOSTO","SETTEMBRE","OTTOBRE","NOVEMBRE","DICEMBRE"},0)</f>
        <v>12</v>
      </c>
      <c r="E1168" s="57" t="str">
        <f t="shared" si="1722"/>
        <v>DICEMBRE 2024</v>
      </c>
      <c r="F1168" s="57" t="str">
        <f t="shared" si="1723"/>
        <v>12 DICEMBRE 2024</v>
      </c>
      <c r="G1168" s="1309" t="s">
        <v>100</v>
      </c>
      <c r="H1168" s="1309" t="str">
        <f>VLOOKUP(G1168,CATEGORIE!$H$3:$I$104,2,FALSE)</f>
        <v>COSTO SFIZI</v>
      </c>
      <c r="I1168" s="59">
        <v>36.32</v>
      </c>
      <c r="J1168" s="940" t="s">
        <v>215</v>
      </c>
      <c r="K1168" s="59" t="s">
        <v>112</v>
      </c>
      <c r="L1168" s="59"/>
    </row>
    <row r="1169" spans="1:12" ht="16.5" customHeight="1">
      <c r="A1169" s="57" t="s">
        <v>106</v>
      </c>
      <c r="B1169" s="57" t="s">
        <v>200</v>
      </c>
      <c r="C1169" s="57">
        <v>2024</v>
      </c>
      <c r="D1169" s="58">
        <f>MATCH(B1169,{"GENNAIO","FEBBRAIO","MARZO","APRILE","MAGGIO","GIUGNO","LUGLIO","AGOSTO","SETTEMBRE","OTTOBRE","NOVEMBRE","DICEMBRE"},0)</f>
        <v>11</v>
      </c>
      <c r="E1169" s="57" t="str">
        <f t="shared" si="1722"/>
        <v>NOVEMBRE 2024</v>
      </c>
      <c r="F1169" s="57" t="str">
        <f t="shared" si="1723"/>
        <v>11 NOVEMBRE 2024</v>
      </c>
      <c r="G1169" s="1309" t="s">
        <v>107</v>
      </c>
      <c r="H1169" s="1309" t="str">
        <f>VLOOKUP(G1169,CATEGORIE!$H$3:$I$104,2,FALSE)</f>
        <v>COSTO SOPRAVVIVENZA</v>
      </c>
      <c r="I1169" s="59">
        <v>33</v>
      </c>
      <c r="J1169" s="940"/>
      <c r="K1169" s="59"/>
      <c r="L1169" s="59"/>
    </row>
    <row r="1170" spans="1:12" ht="16.5" customHeight="1">
      <c r="A1170" s="57" t="s">
        <v>160</v>
      </c>
      <c r="B1170" s="57" t="s">
        <v>200</v>
      </c>
      <c r="C1170" s="57">
        <v>2024</v>
      </c>
      <c r="D1170" s="58">
        <f>MATCH(B1170,{"GENNAIO","FEBBRAIO","MARZO","APRILE","MAGGIO","GIUGNO","LUGLIO","AGOSTO","SETTEMBRE","OTTOBRE","NOVEMBRE","DICEMBRE"},0)</f>
        <v>11</v>
      </c>
      <c r="E1170" s="57" t="str">
        <f t="shared" si="1722"/>
        <v>NOVEMBRE 2024</v>
      </c>
      <c r="F1170" s="57" t="str">
        <f t="shared" si="1723"/>
        <v>11 NOVEMBRE 2024</v>
      </c>
      <c r="G1170" s="1309" t="s">
        <v>111</v>
      </c>
      <c r="H1170" s="1309" t="str">
        <f>VLOOKUP(G1170,CATEGORIE!$H$3:$I$104,2,FALSE)</f>
        <v>COSTO MOBILITA'</v>
      </c>
      <c r="I1170" s="59">
        <v>11.5</v>
      </c>
      <c r="J1170" s="940"/>
      <c r="K1170" s="59"/>
      <c r="L1170" s="59"/>
    </row>
    <row r="1171" spans="1:12" ht="16.5" customHeight="1">
      <c r="A1171" s="57" t="s">
        <v>99</v>
      </c>
      <c r="B1171" s="57" t="s">
        <v>200</v>
      </c>
      <c r="C1171" s="57">
        <v>2024</v>
      </c>
      <c r="D1171" s="58">
        <f>MATCH(B1171,{"GENNAIO","FEBBRAIO","MARZO","APRILE","MAGGIO","GIUGNO","LUGLIO","AGOSTO","SETTEMBRE","OTTOBRE","NOVEMBRE","DICEMBRE"},0)</f>
        <v>11</v>
      </c>
      <c r="E1171" s="57" t="str">
        <f t="shared" si="1722"/>
        <v>NOVEMBRE 2024</v>
      </c>
      <c r="F1171" s="57" t="str">
        <f t="shared" si="1723"/>
        <v>11 NOVEMBRE 2024</v>
      </c>
      <c r="G1171" s="1309" t="s">
        <v>100</v>
      </c>
      <c r="H1171" s="1309" t="str">
        <f>VLOOKUP(G1171,CATEGORIE!$H$3:$I$104,2,FALSE)</f>
        <v>COSTO SFIZI</v>
      </c>
      <c r="I1171" s="59">
        <v>30.6</v>
      </c>
      <c r="J1171" s="940" t="s">
        <v>145</v>
      </c>
      <c r="K1171" s="57" t="s">
        <v>99</v>
      </c>
      <c r="L1171" s="59" t="s">
        <v>168</v>
      </c>
    </row>
    <row r="1172" spans="1:12" ht="16.5" customHeight="1">
      <c r="A1172" s="57" t="s">
        <v>409</v>
      </c>
      <c r="B1172" s="57" t="s">
        <v>200</v>
      </c>
      <c r="C1172" s="57">
        <v>2024</v>
      </c>
      <c r="D1172" s="58">
        <f>MATCH(B1172,{"GENNAIO","FEBBRAIO","MARZO","APRILE","MAGGIO","GIUGNO","LUGLIO","AGOSTO","SETTEMBRE","OTTOBRE","NOVEMBRE","DICEMBRE"},0)</f>
        <v>11</v>
      </c>
      <c r="E1172" s="57" t="str">
        <f t="shared" si="1722"/>
        <v>NOVEMBRE 2024</v>
      </c>
      <c r="F1172" s="57" t="str">
        <f t="shared" si="1723"/>
        <v>11 NOVEMBRE 2024</v>
      </c>
      <c r="G1172" s="1309" t="s">
        <v>94</v>
      </c>
      <c r="H1172" s="1309" t="str">
        <f>VLOOKUP(G1172,CATEGORIE!$H$3:$I$104,2,FALSE)</f>
        <v>COSTO SVAGHI</v>
      </c>
      <c r="I1172" s="59">
        <v>75</v>
      </c>
      <c r="J1172" s="940"/>
      <c r="K1172" s="59"/>
      <c r="L1172" s="59"/>
    </row>
    <row r="1173" spans="1:12" ht="16.5" customHeight="1">
      <c r="A1173" s="57" t="s">
        <v>99</v>
      </c>
      <c r="B1173" s="57" t="s">
        <v>200</v>
      </c>
      <c r="C1173" s="57">
        <v>2024</v>
      </c>
      <c r="D1173" s="58">
        <f>MATCH(B1173,{"GENNAIO","FEBBRAIO","MARZO","APRILE","MAGGIO","GIUGNO","LUGLIO","AGOSTO","SETTEMBRE","OTTOBRE","NOVEMBRE","DICEMBRE"},0)</f>
        <v>11</v>
      </c>
      <c r="E1173" s="57" t="str">
        <f t="shared" si="1722"/>
        <v>NOVEMBRE 2024</v>
      </c>
      <c r="F1173" s="57" t="str">
        <f t="shared" si="1723"/>
        <v>11 NOVEMBRE 2024</v>
      </c>
      <c r="G1173" s="1309" t="s">
        <v>108</v>
      </c>
      <c r="H1173" s="1309" t="str">
        <f>VLOOKUP(G1173,CATEGORIE!$H$3:$I$104,2,FALSE)</f>
        <v>COSTO SFIZI</v>
      </c>
      <c r="I1173" s="59">
        <v>47.08</v>
      </c>
      <c r="J1173" s="940"/>
      <c r="K1173" s="57" t="s">
        <v>99</v>
      </c>
      <c r="L1173" s="59"/>
    </row>
    <row r="1174" spans="1:12" ht="16.5" customHeight="1">
      <c r="A1174" s="57" t="s">
        <v>130</v>
      </c>
      <c r="B1174" s="57" t="s">
        <v>200</v>
      </c>
      <c r="C1174" s="57">
        <v>2024</v>
      </c>
      <c r="D1174" s="58">
        <f>MATCH(B1174,{"GENNAIO","FEBBRAIO","MARZO","APRILE","MAGGIO","GIUGNO","LUGLIO","AGOSTO","SETTEMBRE","OTTOBRE","NOVEMBRE","DICEMBRE"},0)</f>
        <v>11</v>
      </c>
      <c r="E1174" s="57" t="str">
        <f t="shared" si="1722"/>
        <v>NOVEMBRE 2024</v>
      </c>
      <c r="F1174" s="57" t="str">
        <f t="shared" si="1723"/>
        <v>11 NOVEMBRE 2024</v>
      </c>
      <c r="G1174" s="1309" t="s">
        <v>94</v>
      </c>
      <c r="H1174" s="1309" t="str">
        <f>VLOOKUP(G1174,CATEGORIE!$H$3:$I$104,2,FALSE)</f>
        <v>COSTO SVAGHI</v>
      </c>
      <c r="I1174" s="59">
        <v>11.5</v>
      </c>
      <c r="J1174" s="940"/>
      <c r="K1174" s="59"/>
      <c r="L1174" s="59"/>
    </row>
    <row r="1175" spans="1:12" ht="16.5" customHeight="1">
      <c r="A1175" s="57" t="s">
        <v>410</v>
      </c>
      <c r="B1175" s="57" t="s">
        <v>200</v>
      </c>
      <c r="C1175" s="57">
        <v>2024</v>
      </c>
      <c r="D1175" s="58">
        <f>MATCH(B1175,{"GENNAIO","FEBBRAIO","MARZO","APRILE","MAGGIO","GIUGNO","LUGLIO","AGOSTO","SETTEMBRE","OTTOBRE","NOVEMBRE","DICEMBRE"},0)</f>
        <v>11</v>
      </c>
      <c r="E1175" s="57" t="str">
        <f t="shared" si="1722"/>
        <v>NOVEMBRE 2024</v>
      </c>
      <c r="F1175" s="57" t="str">
        <f t="shared" si="1723"/>
        <v>11 NOVEMBRE 2024</v>
      </c>
      <c r="G1175" s="1309" t="s">
        <v>185</v>
      </c>
      <c r="H1175" s="1309" t="str">
        <f>VLOOKUP(G1175,CATEGORIE!$H$3:$I$104,2,FALSE)</f>
        <v>COSTO SFIZI</v>
      </c>
      <c r="I1175" s="59">
        <v>60</v>
      </c>
      <c r="J1175" s="940"/>
      <c r="K1175" s="59" t="s">
        <v>112</v>
      </c>
      <c r="L1175" s="59" t="s">
        <v>411</v>
      </c>
    </row>
    <row r="1176" spans="1:12">
      <c r="A1176" s="57" t="s">
        <v>101</v>
      </c>
      <c r="B1176" s="57" t="s">
        <v>200</v>
      </c>
      <c r="C1176" s="57">
        <v>2024</v>
      </c>
      <c r="D1176" s="58">
        <f>MATCH(B1176,{"GENNAIO","FEBBRAIO","MARZO","APRILE","MAGGIO","GIUGNO","LUGLIO","AGOSTO","SETTEMBRE","OTTOBRE","NOVEMBRE","DICEMBRE"},0)</f>
        <v>11</v>
      </c>
      <c r="E1176" s="57" t="str">
        <f t="shared" si="1722"/>
        <v>NOVEMBRE 2024</v>
      </c>
      <c r="F1176" s="57" t="str">
        <f t="shared" si="1723"/>
        <v>11 NOVEMBRE 2024</v>
      </c>
      <c r="G1176" s="1309" t="s">
        <v>91</v>
      </c>
      <c r="H1176" s="1309" t="str">
        <f>VLOOKUP(G1176,CATEGORIE!$H$3:$I$104,2,FALSE)</f>
        <v>COSTO SOPRAVVIVENZA</v>
      </c>
      <c r="I1176" s="59">
        <v>0.35</v>
      </c>
      <c r="J1176" s="940"/>
      <c r="K1176" s="59"/>
      <c r="L1176" s="59"/>
    </row>
    <row r="1177" spans="1:12" ht="16.5" customHeight="1">
      <c r="A1177" s="57" t="s">
        <v>412</v>
      </c>
      <c r="B1177" s="57" t="s">
        <v>200</v>
      </c>
      <c r="C1177" s="57">
        <v>2024</v>
      </c>
      <c r="D1177" s="58">
        <f>MATCH(B1177,{"GENNAIO","FEBBRAIO","MARZO","APRILE","MAGGIO","GIUGNO","LUGLIO","AGOSTO","SETTEMBRE","OTTOBRE","NOVEMBRE","DICEMBRE"},0)</f>
        <v>11</v>
      </c>
      <c r="E1177" s="57" t="str">
        <f t="shared" si="1722"/>
        <v>NOVEMBRE 2024</v>
      </c>
      <c r="F1177" s="57" t="str">
        <f t="shared" si="1723"/>
        <v>11 NOVEMBRE 2024</v>
      </c>
      <c r="G1177" s="1309" t="s">
        <v>111</v>
      </c>
      <c r="H1177" s="1309" t="str">
        <f>VLOOKUP(G1177,CATEGORIE!$H$3:$I$104,2,FALSE)</f>
        <v>COSTO MOBILITA'</v>
      </c>
      <c r="I1177" s="59">
        <v>72</v>
      </c>
      <c r="J1177" s="940"/>
      <c r="K1177" s="59"/>
      <c r="L1177" s="59" t="s">
        <v>413</v>
      </c>
    </row>
    <row r="1178" spans="1:12">
      <c r="A1178" s="57" t="s">
        <v>414</v>
      </c>
      <c r="B1178" s="57" t="s">
        <v>200</v>
      </c>
      <c r="C1178" s="57">
        <v>2024</v>
      </c>
      <c r="D1178" s="58">
        <f>MATCH(B1178,{"GENNAIO","FEBBRAIO","MARZO","APRILE","MAGGIO","GIUGNO","LUGLIO","AGOSTO","SETTEMBRE","OTTOBRE","NOVEMBRE","DICEMBRE"},0)</f>
        <v>11</v>
      </c>
      <c r="E1178" s="57" t="str">
        <f t="shared" si="1722"/>
        <v>NOVEMBRE 2024</v>
      </c>
      <c r="F1178" s="57" t="str">
        <f t="shared" si="1723"/>
        <v>11 NOVEMBRE 2024</v>
      </c>
      <c r="G1178" s="1309" t="s">
        <v>185</v>
      </c>
      <c r="H1178" s="1309" t="str">
        <f>VLOOKUP(G1178,CATEGORIE!$H$3:$I$104,2,FALSE)</f>
        <v>COSTO SFIZI</v>
      </c>
      <c r="I1178" s="59">
        <v>28.6</v>
      </c>
      <c r="J1178" s="940"/>
      <c r="K1178" s="59"/>
      <c r="L1178" s="59"/>
    </row>
    <row r="1179" spans="1:12">
      <c r="A1179" s="57" t="s">
        <v>229</v>
      </c>
      <c r="B1179" s="57" t="s">
        <v>200</v>
      </c>
      <c r="C1179" s="57">
        <v>2024</v>
      </c>
      <c r="D1179" s="58">
        <f>MATCH(B1179,{"GENNAIO","FEBBRAIO","MARZO","APRILE","MAGGIO","GIUGNO","LUGLIO","AGOSTO","SETTEMBRE","OTTOBRE","NOVEMBRE","DICEMBRE"},0)</f>
        <v>11</v>
      </c>
      <c r="E1179" s="57" t="str">
        <f t="shared" si="1722"/>
        <v>NOVEMBRE 2024</v>
      </c>
      <c r="F1179" s="57" t="str">
        <f t="shared" si="1723"/>
        <v>11 NOVEMBRE 2024</v>
      </c>
      <c r="G1179" s="1309" t="s">
        <v>163</v>
      </c>
      <c r="H1179" s="1309" t="str">
        <f>VLOOKUP(G1179,CATEGORIE!$H$3:$I$104,2,FALSE)</f>
        <v>COSTO SVAGHI</v>
      </c>
      <c r="I1179" s="59">
        <v>232.39</v>
      </c>
      <c r="J1179" s="940"/>
      <c r="K1179" s="59"/>
      <c r="L1179" s="59" t="s">
        <v>415</v>
      </c>
    </row>
    <row r="1180" spans="1:12" ht="16.5" customHeight="1">
      <c r="A1180" s="57" t="s">
        <v>412</v>
      </c>
      <c r="B1180" s="57" t="s">
        <v>200</v>
      </c>
      <c r="C1180" s="57">
        <v>2024</v>
      </c>
      <c r="D1180" s="58">
        <f>MATCH(B1180,{"GENNAIO","FEBBRAIO","MARZO","APRILE","MAGGIO","GIUGNO","LUGLIO","AGOSTO","SETTEMBRE","OTTOBRE","NOVEMBRE","DICEMBRE"},0)</f>
        <v>11</v>
      </c>
      <c r="E1180" s="57" t="str">
        <f t="shared" si="1722"/>
        <v>NOVEMBRE 2024</v>
      </c>
      <c r="F1180" s="57" t="str">
        <f t="shared" si="1723"/>
        <v>11 NOVEMBRE 2024</v>
      </c>
      <c r="G1180" s="1309" t="s">
        <v>111</v>
      </c>
      <c r="H1180" s="1309" t="str">
        <f>VLOOKUP(G1180,CATEGORIE!$H$3:$I$104,2,FALSE)</f>
        <v>COSTO MOBILITA'</v>
      </c>
      <c r="I1180" s="59">
        <v>72</v>
      </c>
      <c r="J1180" s="940"/>
      <c r="K1180" s="59"/>
      <c r="L1180" s="59" t="s">
        <v>413</v>
      </c>
    </row>
    <row r="1181" spans="1:12" ht="18.600000000000001" customHeight="1">
      <c r="A1181" s="57" t="s">
        <v>416</v>
      </c>
      <c r="B1181" s="57" t="s">
        <v>200</v>
      </c>
      <c r="C1181" s="57">
        <v>2024</v>
      </c>
      <c r="D1181" s="58">
        <f>MATCH(B1181,{"GENNAIO","FEBBRAIO","MARZO","APRILE","MAGGIO","GIUGNO","LUGLIO","AGOSTO","SETTEMBRE","OTTOBRE","NOVEMBRE","DICEMBRE"},0)</f>
        <v>11</v>
      </c>
      <c r="E1181" s="57" t="str">
        <f t="shared" si="1722"/>
        <v>NOVEMBRE 2024</v>
      </c>
      <c r="F1181" s="57" t="str">
        <f t="shared" si="1723"/>
        <v>11 NOVEMBRE 2024</v>
      </c>
      <c r="G1181" s="1309" t="s">
        <v>94</v>
      </c>
      <c r="H1181" s="1309" t="str">
        <f>VLOOKUP(G1181,CATEGORIE!$H$3:$I$104,2,FALSE)</f>
        <v>COSTO SVAGHI</v>
      </c>
      <c r="I1181" s="59">
        <v>11.2</v>
      </c>
      <c r="J1181" s="940"/>
      <c r="K1181" s="59"/>
      <c r="L1181" s="59"/>
    </row>
    <row r="1182" spans="1:12" ht="18.600000000000001" customHeight="1">
      <c r="A1182" s="57" t="s">
        <v>92</v>
      </c>
      <c r="B1182" s="57" t="s">
        <v>200</v>
      </c>
      <c r="C1182" s="57">
        <v>2024</v>
      </c>
      <c r="D1182" s="58">
        <f>MATCH(B1182,{"GENNAIO","FEBBRAIO","MARZO","APRILE","MAGGIO","GIUGNO","LUGLIO","AGOSTO","SETTEMBRE","OTTOBRE","NOVEMBRE","DICEMBRE"},0)</f>
        <v>11</v>
      </c>
      <c r="E1182" s="57" t="str">
        <f t="shared" si="1722"/>
        <v>NOVEMBRE 2024</v>
      </c>
      <c r="F1182" s="57" t="str">
        <f t="shared" si="1723"/>
        <v>11 NOVEMBRE 2024</v>
      </c>
      <c r="G1182" s="1309" t="s">
        <v>93</v>
      </c>
      <c r="H1182" s="1309" t="str">
        <f>VLOOKUP(G1182,CATEGORIE!$H$3:$I$104,2,FALSE)</f>
        <v>COSTO SOPRAVVIVENZA</v>
      </c>
      <c r="I1182" s="59">
        <v>6.5</v>
      </c>
      <c r="J1182" s="940"/>
      <c r="K1182" s="59"/>
      <c r="L1182" s="59"/>
    </row>
    <row r="1183" spans="1:12">
      <c r="A1183" s="57" t="s">
        <v>99</v>
      </c>
      <c r="B1183" s="57" t="s">
        <v>200</v>
      </c>
      <c r="C1183" s="57">
        <v>2024</v>
      </c>
      <c r="D1183" s="58">
        <f>MATCH(B1183,{"GENNAIO","FEBBRAIO","MARZO","APRILE","MAGGIO","GIUGNO","LUGLIO","AGOSTO","SETTEMBRE","OTTOBRE","NOVEMBRE","DICEMBRE"},0)</f>
        <v>11</v>
      </c>
      <c r="E1183" s="57" t="str">
        <f t="shared" si="1722"/>
        <v>NOVEMBRE 2024</v>
      </c>
      <c r="F1183" s="57" t="str">
        <f t="shared" si="1723"/>
        <v>11 NOVEMBRE 2024</v>
      </c>
      <c r="G1183" s="1309" t="s">
        <v>108</v>
      </c>
      <c r="H1183" s="1309" t="str">
        <f>VLOOKUP(G1183,CATEGORIE!$H$3:$I$104,2,FALSE)</f>
        <v>COSTO SFIZI</v>
      </c>
      <c r="I1183" s="59">
        <v>67.959999999999994</v>
      </c>
      <c r="J1183" s="940"/>
      <c r="K1183" s="57" t="s">
        <v>99</v>
      </c>
      <c r="L1183" s="59"/>
    </row>
    <row r="1184" spans="1:12">
      <c r="A1184" s="57" t="s">
        <v>135</v>
      </c>
      <c r="B1184" s="57" t="s">
        <v>200</v>
      </c>
      <c r="C1184" s="57">
        <v>2024</v>
      </c>
      <c r="D1184" s="58">
        <f>MATCH(B1184,{"GENNAIO","FEBBRAIO","MARZO","APRILE","MAGGIO","GIUGNO","LUGLIO","AGOSTO","SETTEMBRE","OTTOBRE","NOVEMBRE","DICEMBRE"},0)</f>
        <v>11</v>
      </c>
      <c r="E1184" s="57" t="str">
        <f t="shared" si="1722"/>
        <v>NOVEMBRE 2024</v>
      </c>
      <c r="F1184" s="57" t="str">
        <f t="shared" si="1723"/>
        <v>11 NOVEMBRE 2024</v>
      </c>
      <c r="G1184" s="1309" t="s">
        <v>132</v>
      </c>
      <c r="H1184" s="1309" t="str">
        <f>VLOOKUP(G1184,CATEGORIE!$H$3:$I$104,2,FALSE)</f>
        <v>COSTO CASA</v>
      </c>
      <c r="I1184" s="59">
        <v>8.15</v>
      </c>
      <c r="J1184" s="940"/>
      <c r="K1184" s="59"/>
      <c r="L1184" s="59"/>
    </row>
    <row r="1185" spans="1:12" ht="16.5" customHeight="1">
      <c r="A1185" s="57" t="s">
        <v>105</v>
      </c>
      <c r="B1185" s="57" t="s">
        <v>200</v>
      </c>
      <c r="C1185" s="57">
        <v>2024</v>
      </c>
      <c r="D1185" s="58">
        <f>MATCH(B1185,{"GENNAIO","FEBBRAIO","MARZO","APRILE","MAGGIO","GIUGNO","LUGLIO","AGOSTO","SETTEMBRE","OTTOBRE","NOVEMBRE","DICEMBRE"},0)</f>
        <v>11</v>
      </c>
      <c r="E1185" s="57" t="str">
        <f t="shared" si="1722"/>
        <v>NOVEMBRE 2024</v>
      </c>
      <c r="F1185" s="57" t="str">
        <f t="shared" si="1723"/>
        <v>11 NOVEMBRE 2024</v>
      </c>
      <c r="G1185" s="1309" t="s">
        <v>96</v>
      </c>
      <c r="H1185" s="1309" t="str">
        <f>VLOOKUP(G1185,CATEGORIE!$H$3:$I$104,2,FALSE)</f>
        <v>COSTO SOPRAVVIVENZA</v>
      </c>
      <c r="I1185" s="59">
        <v>8.25</v>
      </c>
      <c r="J1185" s="940"/>
      <c r="K1185" s="59"/>
      <c r="L1185" s="59"/>
    </row>
    <row r="1186" spans="1:12" ht="16.5" customHeight="1">
      <c r="A1186" s="57" t="s">
        <v>120</v>
      </c>
      <c r="B1186" s="57" t="s">
        <v>200</v>
      </c>
      <c r="C1186" s="57">
        <v>2024</v>
      </c>
      <c r="D1186" s="58">
        <f>MATCH(B1186,{"GENNAIO","FEBBRAIO","MARZO","APRILE","MAGGIO","GIUGNO","LUGLIO","AGOSTO","SETTEMBRE","OTTOBRE","NOVEMBRE","DICEMBRE"},0)</f>
        <v>11</v>
      </c>
      <c r="E1186" s="57" t="str">
        <f t="shared" si="1722"/>
        <v>NOVEMBRE 2024</v>
      </c>
      <c r="F1186" s="57" t="str">
        <f t="shared" si="1723"/>
        <v>11 NOVEMBRE 2024</v>
      </c>
      <c r="G1186" s="1309" t="s">
        <v>121</v>
      </c>
      <c r="H1186" s="1309" t="str">
        <f>VLOOKUP(G1186,CATEGORIE!$H$3:$I$104,2,FALSE)</f>
        <v>COSTO MOBILITA'</v>
      </c>
      <c r="I1186" s="59">
        <v>11</v>
      </c>
      <c r="J1186" s="940"/>
      <c r="K1186" s="59"/>
      <c r="L1186" s="59"/>
    </row>
    <row r="1187" spans="1:12" ht="16.5" customHeight="1">
      <c r="A1187" s="57" t="s">
        <v>210</v>
      </c>
      <c r="B1187" s="57" t="s">
        <v>200</v>
      </c>
      <c r="C1187" s="57">
        <v>2024</v>
      </c>
      <c r="D1187" s="58">
        <f>MATCH(B1187,{"GENNAIO","FEBBRAIO","MARZO","APRILE","MAGGIO","GIUGNO","LUGLIO","AGOSTO","SETTEMBRE","OTTOBRE","NOVEMBRE","DICEMBRE"},0)</f>
        <v>11</v>
      </c>
      <c r="E1187" s="57" t="str">
        <f t="shared" si="1722"/>
        <v>NOVEMBRE 2024</v>
      </c>
      <c r="F1187" s="57" t="str">
        <f t="shared" si="1723"/>
        <v>11 NOVEMBRE 2024</v>
      </c>
      <c r="G1187" s="1309" t="s">
        <v>107</v>
      </c>
      <c r="H1187" s="1309" t="str">
        <f>VLOOKUP(G1187,CATEGORIE!$H$3:$I$104,2,FALSE)</f>
        <v>COSTO SOPRAVVIVENZA</v>
      </c>
      <c r="I1187" s="59">
        <v>50</v>
      </c>
      <c r="J1187" s="940"/>
      <c r="K1187" s="59"/>
      <c r="L1187" s="59"/>
    </row>
    <row r="1188" spans="1:12" ht="16.5" customHeight="1">
      <c r="A1188" s="57" t="s">
        <v>417</v>
      </c>
      <c r="B1188" s="61" t="s">
        <v>200</v>
      </c>
      <c r="C1188" s="61">
        <v>2024</v>
      </c>
      <c r="D1188" s="58">
        <f>MATCH(B1188,{"GENNAIO","FEBBRAIO","MARZO","APRILE","MAGGIO","GIUGNO","LUGLIO","AGOSTO","SETTEMBRE","OTTOBRE","NOVEMBRE","DICEMBRE"},0)</f>
        <v>11</v>
      </c>
      <c r="E1188" s="57" t="str">
        <f t="shared" si="1722"/>
        <v>NOVEMBRE 2024</v>
      </c>
      <c r="F1188" s="57" t="str">
        <f t="shared" si="1723"/>
        <v>11 NOVEMBRE 2024</v>
      </c>
      <c r="G1188" s="1309" t="s">
        <v>418</v>
      </c>
      <c r="H1188" s="1309" t="str">
        <f>VLOOKUP(G1188,CATEGORIE!$H$3:$I$104,2,FALSE)</f>
        <v>COSTO SOPRAVVIVENZA</v>
      </c>
      <c r="I1188" s="60">
        <v>11.5</v>
      </c>
      <c r="J1188" s="940"/>
      <c r="K1188" s="59"/>
      <c r="L1188" s="59"/>
    </row>
    <row r="1189" spans="1:12" ht="16.5" customHeight="1">
      <c r="A1189" s="57" t="s">
        <v>101</v>
      </c>
      <c r="B1189" s="57" t="s">
        <v>200</v>
      </c>
      <c r="C1189" s="57">
        <v>2024</v>
      </c>
      <c r="D1189" s="58">
        <f>MATCH(B1189,{"GENNAIO","FEBBRAIO","MARZO","APRILE","MAGGIO","GIUGNO","LUGLIO","AGOSTO","SETTEMBRE","OTTOBRE","NOVEMBRE","DICEMBRE"},0)</f>
        <v>11</v>
      </c>
      <c r="E1189" s="57" t="str">
        <f t="shared" si="1722"/>
        <v>NOVEMBRE 2024</v>
      </c>
      <c r="F1189" s="57" t="str">
        <f t="shared" si="1723"/>
        <v>11 NOVEMBRE 2024</v>
      </c>
      <c r="G1189" s="1309" t="s">
        <v>91</v>
      </c>
      <c r="H1189" s="1309" t="str">
        <f>VLOOKUP(G1189,CATEGORIE!$H$3:$I$104,2,FALSE)</f>
        <v>COSTO SOPRAVVIVENZA</v>
      </c>
      <c r="I1189" s="59">
        <v>0.4</v>
      </c>
      <c r="J1189" s="940"/>
      <c r="K1189" s="59"/>
      <c r="L1189" s="59"/>
    </row>
    <row r="1190" spans="1:12" ht="16.5" customHeight="1">
      <c r="A1190" s="57" t="s">
        <v>101</v>
      </c>
      <c r="B1190" s="57" t="s">
        <v>200</v>
      </c>
      <c r="C1190" s="57">
        <v>2024</v>
      </c>
      <c r="D1190" s="58">
        <f>MATCH(B1190,{"GENNAIO","FEBBRAIO","MARZO","APRILE","MAGGIO","GIUGNO","LUGLIO","AGOSTO","SETTEMBRE","OTTOBRE","NOVEMBRE","DICEMBRE"},0)</f>
        <v>11</v>
      </c>
      <c r="E1190" s="57" t="str">
        <f t="shared" si="1722"/>
        <v>NOVEMBRE 2024</v>
      </c>
      <c r="F1190" s="57" t="str">
        <f t="shared" si="1723"/>
        <v>11 NOVEMBRE 2024</v>
      </c>
      <c r="G1190" s="1309" t="s">
        <v>91</v>
      </c>
      <c r="H1190" s="1309" t="str">
        <f>VLOOKUP(G1190,CATEGORIE!$H$3:$I$104,2,FALSE)</f>
        <v>COSTO SOPRAVVIVENZA</v>
      </c>
      <c r="I1190" s="59">
        <v>0.4</v>
      </c>
      <c r="J1190" s="940"/>
      <c r="K1190" s="59"/>
      <c r="L1190" s="59"/>
    </row>
    <row r="1191" spans="1:12" ht="16.5" customHeight="1">
      <c r="A1191" s="57" t="s">
        <v>101</v>
      </c>
      <c r="B1191" s="57" t="s">
        <v>200</v>
      </c>
      <c r="C1191" s="57">
        <v>2024</v>
      </c>
      <c r="D1191" s="58">
        <f>MATCH(B1191,{"GENNAIO","FEBBRAIO","MARZO","APRILE","MAGGIO","GIUGNO","LUGLIO","AGOSTO","SETTEMBRE","OTTOBRE","NOVEMBRE","DICEMBRE"},0)</f>
        <v>11</v>
      </c>
      <c r="E1191" s="57" t="str">
        <f t="shared" si="1722"/>
        <v>NOVEMBRE 2024</v>
      </c>
      <c r="F1191" s="57" t="str">
        <f t="shared" si="1723"/>
        <v>11 NOVEMBRE 2024</v>
      </c>
      <c r="G1191" s="1309" t="s">
        <v>91</v>
      </c>
      <c r="H1191" s="1309" t="str">
        <f>VLOOKUP(G1191,CATEGORIE!$H$3:$I$104,2,FALSE)</f>
        <v>COSTO SOPRAVVIVENZA</v>
      </c>
      <c r="I1191" s="59">
        <v>0.4</v>
      </c>
      <c r="J1191" s="940"/>
      <c r="K1191" s="59"/>
      <c r="L1191" s="59"/>
    </row>
    <row r="1192" spans="1:12" ht="16.5" customHeight="1">
      <c r="A1192" s="57" t="s">
        <v>101</v>
      </c>
      <c r="B1192" s="57" t="s">
        <v>200</v>
      </c>
      <c r="C1192" s="57">
        <v>2024</v>
      </c>
      <c r="D1192" s="58">
        <f>MATCH(B1192,{"GENNAIO","FEBBRAIO","MARZO","APRILE","MAGGIO","GIUGNO","LUGLIO","AGOSTO","SETTEMBRE","OTTOBRE","NOVEMBRE","DICEMBRE"},0)</f>
        <v>11</v>
      </c>
      <c r="E1192" s="57" t="str">
        <f t="shared" si="1722"/>
        <v>NOVEMBRE 2024</v>
      </c>
      <c r="F1192" s="57" t="str">
        <f t="shared" si="1723"/>
        <v>11 NOVEMBRE 2024</v>
      </c>
      <c r="G1192" s="1309" t="s">
        <v>91</v>
      </c>
      <c r="H1192" s="1309" t="str">
        <f>VLOOKUP(G1192,CATEGORIE!$H$3:$I$104,2,FALSE)</f>
        <v>COSTO SOPRAVVIVENZA</v>
      </c>
      <c r="I1192" s="59">
        <v>0.4</v>
      </c>
      <c r="J1192" s="940"/>
      <c r="K1192" s="59"/>
      <c r="L1192" s="59"/>
    </row>
    <row r="1193" spans="1:12" ht="18.600000000000001" customHeight="1">
      <c r="A1193" s="57" t="s">
        <v>99</v>
      </c>
      <c r="B1193" s="57" t="s">
        <v>200</v>
      </c>
      <c r="C1193" s="57">
        <v>2024</v>
      </c>
      <c r="D1193" s="58">
        <f>MATCH(B1193,{"GENNAIO","FEBBRAIO","MARZO","APRILE","MAGGIO","GIUGNO","LUGLIO","AGOSTO","SETTEMBRE","OTTOBRE","NOVEMBRE","DICEMBRE"},0)</f>
        <v>11</v>
      </c>
      <c r="E1193" s="57" t="str">
        <f t="shared" si="1722"/>
        <v>NOVEMBRE 2024</v>
      </c>
      <c r="F1193" s="57" t="str">
        <f t="shared" si="1723"/>
        <v>11 NOVEMBRE 2024</v>
      </c>
      <c r="G1193" s="1309" t="s">
        <v>108</v>
      </c>
      <c r="H1193" s="1309" t="str">
        <f>VLOOKUP(G1193,CATEGORIE!$H$3:$I$104,2,FALSE)</f>
        <v>COSTO SFIZI</v>
      </c>
      <c r="I1193" s="59">
        <v>34.99</v>
      </c>
      <c r="J1193" s="940"/>
      <c r="K1193" s="57" t="s">
        <v>99</v>
      </c>
      <c r="L1193" s="59"/>
    </row>
    <row r="1194" spans="1:12" ht="18.600000000000001" customHeight="1">
      <c r="A1194" s="57" t="s">
        <v>99</v>
      </c>
      <c r="B1194" s="57" t="s">
        <v>200</v>
      </c>
      <c r="C1194" s="57">
        <v>2024</v>
      </c>
      <c r="D1194" s="58">
        <f>MATCH(B1194,{"GENNAIO","FEBBRAIO","MARZO","APRILE","MAGGIO","GIUGNO","LUGLIO","AGOSTO","SETTEMBRE","OTTOBRE","NOVEMBRE","DICEMBRE"},0)</f>
        <v>11</v>
      </c>
      <c r="E1194" s="57" t="str">
        <f t="shared" si="1722"/>
        <v>NOVEMBRE 2024</v>
      </c>
      <c r="F1194" s="57" t="str">
        <f t="shared" si="1723"/>
        <v>11 NOVEMBRE 2024</v>
      </c>
      <c r="G1194" s="1309" t="s">
        <v>108</v>
      </c>
      <c r="H1194" s="1309" t="str">
        <f>VLOOKUP(G1194,CATEGORIE!$H$3:$I$104,2,FALSE)</f>
        <v>COSTO SFIZI</v>
      </c>
      <c r="I1194" s="59">
        <v>50.84</v>
      </c>
      <c r="J1194" s="940"/>
      <c r="K1194" s="57" t="s">
        <v>99</v>
      </c>
      <c r="L1194" s="59"/>
    </row>
    <row r="1195" spans="1:12">
      <c r="A1195" s="57" t="s">
        <v>99</v>
      </c>
      <c r="B1195" s="57" t="s">
        <v>200</v>
      </c>
      <c r="C1195" s="57">
        <v>2024</v>
      </c>
      <c r="D1195" s="58">
        <f>MATCH(B1195,{"GENNAIO","FEBBRAIO","MARZO","APRILE","MAGGIO","GIUGNO","LUGLIO","AGOSTO","SETTEMBRE","OTTOBRE","NOVEMBRE","DICEMBRE"},0)</f>
        <v>11</v>
      </c>
      <c r="E1195" s="57" t="str">
        <f t="shared" si="1722"/>
        <v>NOVEMBRE 2024</v>
      </c>
      <c r="F1195" s="57" t="str">
        <f t="shared" si="1723"/>
        <v>11 NOVEMBRE 2024</v>
      </c>
      <c r="G1195" s="1309" t="s">
        <v>108</v>
      </c>
      <c r="H1195" s="1309" t="str">
        <f>VLOOKUP(G1195,CATEGORIE!$H$3:$I$104,2,FALSE)</f>
        <v>COSTO SFIZI</v>
      </c>
      <c r="I1195" s="59">
        <v>55.49</v>
      </c>
      <c r="J1195" s="940"/>
      <c r="K1195" s="57" t="s">
        <v>99</v>
      </c>
      <c r="L1195" s="59"/>
    </row>
    <row r="1196" spans="1:12" ht="16.5" customHeight="1">
      <c r="A1196" s="57" t="s">
        <v>102</v>
      </c>
      <c r="B1196" s="57" t="s">
        <v>200</v>
      </c>
      <c r="C1196" s="57">
        <v>2024</v>
      </c>
      <c r="D1196" s="58">
        <f>MATCH(B1196,{"GENNAIO","FEBBRAIO","MARZO","APRILE","MAGGIO","GIUGNO","LUGLIO","AGOSTO","SETTEMBRE","OTTOBRE","NOVEMBRE","DICEMBRE"},0)</f>
        <v>11</v>
      </c>
      <c r="E1196" s="57" t="str">
        <f t="shared" si="1722"/>
        <v>NOVEMBRE 2024</v>
      </c>
      <c r="F1196" s="57" t="str">
        <f t="shared" si="1723"/>
        <v>11 NOVEMBRE 2024</v>
      </c>
      <c r="G1196" s="1309" t="s">
        <v>96</v>
      </c>
      <c r="H1196" s="1309" t="str">
        <f>VLOOKUP(G1196,CATEGORIE!$H$3:$I$104,2,FALSE)</f>
        <v>COSTO SOPRAVVIVENZA</v>
      </c>
      <c r="I1196" s="59">
        <v>8.24</v>
      </c>
      <c r="J1196" s="940"/>
      <c r="K1196" s="59"/>
      <c r="L1196" s="59"/>
    </row>
    <row r="1197" spans="1:12" ht="16.5" customHeight="1">
      <c r="A1197" s="57" t="s">
        <v>95</v>
      </c>
      <c r="B1197" s="57" t="s">
        <v>200</v>
      </c>
      <c r="C1197" s="57">
        <v>2024</v>
      </c>
      <c r="D1197" s="58">
        <f>MATCH(B1197,{"GENNAIO","FEBBRAIO","MARZO","APRILE","MAGGIO","GIUGNO","LUGLIO","AGOSTO","SETTEMBRE","OTTOBRE","NOVEMBRE","DICEMBRE"},0)</f>
        <v>11</v>
      </c>
      <c r="E1197" s="57" t="str">
        <f t="shared" si="1722"/>
        <v>NOVEMBRE 2024</v>
      </c>
      <c r="F1197" s="57" t="str">
        <f t="shared" si="1723"/>
        <v>11 NOVEMBRE 2024</v>
      </c>
      <c r="G1197" s="1309" t="s">
        <v>96</v>
      </c>
      <c r="H1197" s="1309" t="str">
        <f>VLOOKUP(G1197,CATEGORIE!$H$3:$I$104,2,FALSE)</f>
        <v>COSTO SOPRAVVIVENZA</v>
      </c>
      <c r="I1197" s="59">
        <v>25.69</v>
      </c>
      <c r="J1197" s="940"/>
      <c r="K1197" s="59"/>
      <c r="L1197" s="59"/>
    </row>
    <row r="1198" spans="1:12" ht="16.5" customHeight="1">
      <c r="A1198" s="57" t="s">
        <v>419</v>
      </c>
      <c r="B1198" s="57" t="s">
        <v>200</v>
      </c>
      <c r="C1198" s="57">
        <v>2024</v>
      </c>
      <c r="D1198" s="58">
        <f>MATCH(B1198,{"GENNAIO","FEBBRAIO","MARZO","APRILE","MAGGIO","GIUGNO","LUGLIO","AGOSTO","SETTEMBRE","OTTOBRE","NOVEMBRE","DICEMBRE"},0)</f>
        <v>11</v>
      </c>
      <c r="E1198" s="57" t="str">
        <f t="shared" si="1722"/>
        <v>NOVEMBRE 2024</v>
      </c>
      <c r="F1198" s="57" t="str">
        <f t="shared" si="1723"/>
        <v>11 NOVEMBRE 2024</v>
      </c>
      <c r="G1198" s="1309" t="s">
        <v>94</v>
      </c>
      <c r="H1198" s="1309" t="str">
        <f>VLOOKUP(G1198,CATEGORIE!$H$3:$I$104,2,FALSE)</f>
        <v>COSTO SVAGHI</v>
      </c>
      <c r="I1198" s="59">
        <v>55</v>
      </c>
      <c r="J1198" s="940"/>
      <c r="K1198" s="59"/>
      <c r="L1198" s="59" t="s">
        <v>420</v>
      </c>
    </row>
    <row r="1199" spans="1:12">
      <c r="A1199" s="57" t="s">
        <v>160</v>
      </c>
      <c r="B1199" s="57" t="s">
        <v>200</v>
      </c>
      <c r="C1199" s="57">
        <v>2024</v>
      </c>
      <c r="D1199" s="58">
        <f>MATCH(B1199,{"GENNAIO","FEBBRAIO","MARZO","APRILE","MAGGIO","GIUGNO","LUGLIO","AGOSTO","SETTEMBRE","OTTOBRE","NOVEMBRE","DICEMBRE"},0)</f>
        <v>11</v>
      </c>
      <c r="E1199" s="57" t="str">
        <f t="shared" si="1722"/>
        <v>NOVEMBRE 2024</v>
      </c>
      <c r="F1199" s="57" t="str">
        <f t="shared" si="1723"/>
        <v>11 NOVEMBRE 2024</v>
      </c>
      <c r="G1199" s="1309" t="s">
        <v>111</v>
      </c>
      <c r="H1199" s="1309" t="str">
        <f>VLOOKUP(G1199,CATEGORIE!$H$3:$I$104,2,FALSE)</f>
        <v>COSTO MOBILITA'</v>
      </c>
      <c r="I1199" s="59">
        <v>1.7</v>
      </c>
      <c r="J1199" s="940"/>
      <c r="K1199" s="59"/>
      <c r="L1199" s="59"/>
    </row>
    <row r="1200" spans="1:12">
      <c r="A1200" s="57" t="s">
        <v>166</v>
      </c>
      <c r="B1200" s="57" t="s">
        <v>200</v>
      </c>
      <c r="C1200" s="57">
        <v>2024</v>
      </c>
      <c r="D1200" s="58">
        <f>MATCH(B1200,{"GENNAIO","FEBBRAIO","MARZO","APRILE","MAGGIO","GIUGNO","LUGLIO","AGOSTO","SETTEMBRE","OTTOBRE","NOVEMBRE","DICEMBRE"},0)</f>
        <v>11</v>
      </c>
      <c r="E1200" s="57" t="str">
        <f t="shared" si="1722"/>
        <v>NOVEMBRE 2024</v>
      </c>
      <c r="F1200" s="57" t="str">
        <f t="shared" si="1723"/>
        <v>11 NOVEMBRE 2024</v>
      </c>
      <c r="G1200" s="1309" t="s">
        <v>94</v>
      </c>
      <c r="H1200" s="1309" t="str">
        <f>VLOOKUP(G1200,CATEGORIE!$H$3:$I$104,2,FALSE)</f>
        <v>COSTO SVAGHI</v>
      </c>
      <c r="I1200" s="59">
        <v>5.3</v>
      </c>
      <c r="J1200" s="940"/>
      <c r="K1200" s="59"/>
      <c r="L1200" s="59"/>
    </row>
    <row r="1201" spans="1:12">
      <c r="A1201" s="57" t="s">
        <v>166</v>
      </c>
      <c r="B1201" s="57" t="s">
        <v>200</v>
      </c>
      <c r="C1201" s="57">
        <v>2024</v>
      </c>
      <c r="D1201" s="58">
        <f>MATCH(B1201,{"GENNAIO","FEBBRAIO","MARZO","APRILE","MAGGIO","GIUGNO","LUGLIO","AGOSTO","SETTEMBRE","OTTOBRE","NOVEMBRE","DICEMBRE"},0)</f>
        <v>11</v>
      </c>
      <c r="E1201" s="57" t="str">
        <f t="shared" si="1722"/>
        <v>NOVEMBRE 2024</v>
      </c>
      <c r="F1201" s="57" t="str">
        <f t="shared" si="1723"/>
        <v>11 NOVEMBRE 2024</v>
      </c>
      <c r="G1201" s="1309" t="s">
        <v>94</v>
      </c>
      <c r="H1201" s="1309" t="str">
        <f>VLOOKUP(G1201,CATEGORIE!$H$3:$I$104,2,FALSE)</f>
        <v>COSTO SVAGHI</v>
      </c>
      <c r="I1201" s="59">
        <v>20.3</v>
      </c>
      <c r="J1201" s="940"/>
      <c r="K1201" s="59"/>
      <c r="L1201" s="59"/>
    </row>
    <row r="1202" spans="1:12" ht="16.5" customHeight="1">
      <c r="A1202" s="57" t="s">
        <v>92</v>
      </c>
      <c r="B1202" s="57" t="s">
        <v>200</v>
      </c>
      <c r="C1202" s="57">
        <v>2024</v>
      </c>
      <c r="D1202" s="58">
        <f>MATCH(B1202,{"GENNAIO","FEBBRAIO","MARZO","APRILE","MAGGIO","GIUGNO","LUGLIO","AGOSTO","SETTEMBRE","OTTOBRE","NOVEMBRE","DICEMBRE"},0)</f>
        <v>11</v>
      </c>
      <c r="E1202" s="57" t="str">
        <f t="shared" si="1722"/>
        <v>NOVEMBRE 2024</v>
      </c>
      <c r="F1202" s="57" t="str">
        <f t="shared" si="1723"/>
        <v>11 NOVEMBRE 2024</v>
      </c>
      <c r="G1202" s="1309" t="s">
        <v>93</v>
      </c>
      <c r="H1202" s="1309" t="str">
        <f>VLOOKUP(G1202,CATEGORIE!$H$3:$I$104,2,FALSE)</f>
        <v>COSTO SOPRAVVIVENZA</v>
      </c>
      <c r="I1202" s="59">
        <v>6.5</v>
      </c>
      <c r="J1202" s="940"/>
      <c r="K1202" s="59"/>
      <c r="L1202" s="59"/>
    </row>
    <row r="1203" spans="1:12" ht="16.5" customHeight="1">
      <c r="A1203" s="57" t="s">
        <v>229</v>
      </c>
      <c r="B1203" s="57" t="s">
        <v>200</v>
      </c>
      <c r="C1203" s="57">
        <v>2024</v>
      </c>
      <c r="D1203" s="58">
        <f>MATCH(B1203,{"GENNAIO","FEBBRAIO","MARZO","APRILE","MAGGIO","GIUGNO","LUGLIO","AGOSTO","SETTEMBRE","OTTOBRE","NOVEMBRE","DICEMBRE"},0)</f>
        <v>11</v>
      </c>
      <c r="E1203" s="57" t="str">
        <f t="shared" si="1722"/>
        <v>NOVEMBRE 2024</v>
      </c>
      <c r="F1203" s="57" t="str">
        <f t="shared" si="1723"/>
        <v>11 NOVEMBRE 2024</v>
      </c>
      <c r="G1203" s="1309" t="s">
        <v>163</v>
      </c>
      <c r="H1203" s="1309" t="str">
        <f>VLOOKUP(G1203,CATEGORIE!$H$3:$I$104,2,FALSE)</f>
        <v>COSTO SVAGHI</v>
      </c>
      <c r="I1203" s="59">
        <v>63.99</v>
      </c>
      <c r="J1203" s="940"/>
      <c r="K1203" s="59"/>
      <c r="L1203" s="59" t="s">
        <v>421</v>
      </c>
    </row>
    <row r="1204" spans="1:12" ht="16.5" customHeight="1">
      <c r="A1204" s="57" t="s">
        <v>229</v>
      </c>
      <c r="B1204" s="57" t="s">
        <v>200</v>
      </c>
      <c r="C1204" s="57">
        <v>2024</v>
      </c>
      <c r="D1204" s="58">
        <f>MATCH(B1204,{"GENNAIO","FEBBRAIO","MARZO","APRILE","MAGGIO","GIUGNO","LUGLIO","AGOSTO","SETTEMBRE","OTTOBRE","NOVEMBRE","DICEMBRE"},0)</f>
        <v>11</v>
      </c>
      <c r="E1204" s="57" t="str">
        <f t="shared" si="1722"/>
        <v>NOVEMBRE 2024</v>
      </c>
      <c r="F1204" s="57" t="str">
        <f t="shared" si="1723"/>
        <v>11 NOVEMBRE 2024</v>
      </c>
      <c r="G1204" s="1309" t="s">
        <v>163</v>
      </c>
      <c r="H1204" s="1309" t="str">
        <f>VLOOKUP(G1204,CATEGORIE!$H$3:$I$104,2,FALSE)</f>
        <v>COSTO SVAGHI</v>
      </c>
      <c r="I1204" s="59">
        <v>136.94999999999999</v>
      </c>
      <c r="J1204" s="940"/>
      <c r="K1204" s="59"/>
      <c r="L1204" s="59" t="s">
        <v>422</v>
      </c>
    </row>
    <row r="1205" spans="1:12" ht="16.5" customHeight="1">
      <c r="A1205" s="57" t="s">
        <v>101</v>
      </c>
      <c r="B1205" s="57" t="s">
        <v>200</v>
      </c>
      <c r="C1205" s="57">
        <v>2024</v>
      </c>
      <c r="D1205" s="58">
        <f>MATCH(B1205,{"GENNAIO","FEBBRAIO","MARZO","APRILE","MAGGIO","GIUGNO","LUGLIO","AGOSTO","SETTEMBRE","OTTOBRE","NOVEMBRE","DICEMBRE"},0)</f>
        <v>11</v>
      </c>
      <c r="E1205" s="57" t="str">
        <f t="shared" si="1722"/>
        <v>NOVEMBRE 2024</v>
      </c>
      <c r="F1205" s="57" t="str">
        <f t="shared" si="1723"/>
        <v>11 NOVEMBRE 2024</v>
      </c>
      <c r="G1205" s="1309" t="s">
        <v>91</v>
      </c>
      <c r="H1205" s="1309" t="str">
        <f>VLOOKUP(G1205,CATEGORIE!$H$3:$I$104,2,FALSE)</f>
        <v>COSTO SOPRAVVIVENZA</v>
      </c>
      <c r="I1205" s="59">
        <v>0.4</v>
      </c>
      <c r="J1205" s="940"/>
      <c r="K1205" s="59"/>
      <c r="L1205" s="59"/>
    </row>
    <row r="1206" spans="1:12" ht="18" customHeight="1">
      <c r="A1206" s="57" t="s">
        <v>101</v>
      </c>
      <c r="B1206" s="57" t="s">
        <v>200</v>
      </c>
      <c r="C1206" s="57">
        <v>2024</v>
      </c>
      <c r="D1206" s="58">
        <f>MATCH(B1206,{"GENNAIO","FEBBRAIO","MARZO","APRILE","MAGGIO","GIUGNO","LUGLIO","AGOSTO","SETTEMBRE","OTTOBRE","NOVEMBRE","DICEMBRE"},0)</f>
        <v>11</v>
      </c>
      <c r="E1206" s="57" t="str">
        <f t="shared" si="1722"/>
        <v>NOVEMBRE 2024</v>
      </c>
      <c r="F1206" s="57" t="str">
        <f t="shared" si="1723"/>
        <v>11 NOVEMBRE 2024</v>
      </c>
      <c r="G1206" s="1309" t="s">
        <v>91</v>
      </c>
      <c r="H1206" s="1309" t="str">
        <f>VLOOKUP(G1206,CATEGORIE!$H$3:$I$104,2,FALSE)</f>
        <v>COSTO SOPRAVVIVENZA</v>
      </c>
      <c r="I1206" s="59">
        <v>0.4</v>
      </c>
      <c r="J1206" s="940"/>
      <c r="K1206" s="59"/>
      <c r="L1206" s="59"/>
    </row>
    <row r="1207" spans="1:12">
      <c r="A1207" s="57" t="s">
        <v>101</v>
      </c>
      <c r="B1207" s="57" t="s">
        <v>200</v>
      </c>
      <c r="C1207" s="57">
        <v>2024</v>
      </c>
      <c r="D1207" s="58">
        <f>MATCH(B1207,{"GENNAIO","FEBBRAIO","MARZO","APRILE","MAGGIO","GIUGNO","LUGLIO","AGOSTO","SETTEMBRE","OTTOBRE","NOVEMBRE","DICEMBRE"},0)</f>
        <v>11</v>
      </c>
      <c r="E1207" s="57" t="str">
        <f t="shared" si="1722"/>
        <v>NOVEMBRE 2024</v>
      </c>
      <c r="F1207" s="57" t="str">
        <f t="shared" si="1723"/>
        <v>11 NOVEMBRE 2024</v>
      </c>
      <c r="G1207" s="1309" t="s">
        <v>91</v>
      </c>
      <c r="H1207" s="1309" t="str">
        <f>VLOOKUP(G1207,CATEGORIE!$H$3:$I$104,2,FALSE)</f>
        <v>COSTO SOPRAVVIVENZA</v>
      </c>
      <c r="I1207" s="59">
        <v>0.4</v>
      </c>
      <c r="J1207" s="940"/>
      <c r="K1207" s="59"/>
      <c r="L1207" s="59"/>
    </row>
    <row r="1208" spans="1:12" ht="16.5" customHeight="1">
      <c r="A1208" s="57" t="s">
        <v>101</v>
      </c>
      <c r="B1208" s="57" t="s">
        <v>200</v>
      </c>
      <c r="C1208" s="57">
        <v>2024</v>
      </c>
      <c r="D1208" s="58">
        <f>MATCH(B1208,{"GENNAIO","FEBBRAIO","MARZO","APRILE","MAGGIO","GIUGNO","LUGLIO","AGOSTO","SETTEMBRE","OTTOBRE","NOVEMBRE","DICEMBRE"},0)</f>
        <v>11</v>
      </c>
      <c r="E1208" s="57" t="str">
        <f t="shared" si="1722"/>
        <v>NOVEMBRE 2024</v>
      </c>
      <c r="F1208" s="57" t="str">
        <f t="shared" si="1723"/>
        <v>11 NOVEMBRE 2024</v>
      </c>
      <c r="G1208" s="1309" t="s">
        <v>91</v>
      </c>
      <c r="H1208" s="1309" t="str">
        <f>VLOOKUP(G1208,CATEGORIE!$H$3:$I$104,2,FALSE)</f>
        <v>COSTO SOPRAVVIVENZA</v>
      </c>
      <c r="I1208" s="59">
        <v>0.4</v>
      </c>
      <c r="J1208" s="940"/>
      <c r="K1208" s="59"/>
      <c r="L1208" s="59"/>
    </row>
    <row r="1209" spans="1:12" ht="16.5" customHeight="1">
      <c r="A1209" s="57" t="s">
        <v>229</v>
      </c>
      <c r="B1209" s="57" t="s">
        <v>200</v>
      </c>
      <c r="C1209" s="57">
        <v>2024</v>
      </c>
      <c r="D1209" s="58">
        <f>MATCH(B1209,{"GENNAIO","FEBBRAIO","MARZO","APRILE","MAGGIO","GIUGNO","LUGLIO","AGOSTO","SETTEMBRE","OTTOBRE","NOVEMBRE","DICEMBRE"},0)</f>
        <v>11</v>
      </c>
      <c r="E1209" s="57" t="str">
        <f t="shared" ref="E1209:E1272" si="1724">CONCATENATE(,B1209," ",C1209)</f>
        <v>NOVEMBRE 2024</v>
      </c>
      <c r="F1209" s="57" t="str">
        <f t="shared" ref="F1209:F1272" si="1725">CONCATENATE(D1209," ",E1209)</f>
        <v>11 NOVEMBRE 2024</v>
      </c>
      <c r="G1209" s="1309" t="s">
        <v>163</v>
      </c>
      <c r="H1209" s="1309" t="str">
        <f>VLOOKUP(G1209,CATEGORIE!$H$3:$I$104,2,FALSE)</f>
        <v>COSTO SVAGHI</v>
      </c>
      <c r="I1209" s="59">
        <v>52.09</v>
      </c>
      <c r="J1209" s="940" t="s">
        <v>124</v>
      </c>
      <c r="K1209" s="59" t="s">
        <v>112</v>
      </c>
      <c r="L1209" s="59" t="s">
        <v>408</v>
      </c>
    </row>
    <row r="1210" spans="1:12">
      <c r="A1210" s="57" t="s">
        <v>99</v>
      </c>
      <c r="B1210" s="57" t="s">
        <v>200</v>
      </c>
      <c r="C1210" s="57">
        <v>2024</v>
      </c>
      <c r="D1210" s="58">
        <f>MATCH(B1210,{"GENNAIO","FEBBRAIO","MARZO","APRILE","MAGGIO","GIUGNO","LUGLIO","AGOSTO","SETTEMBRE","OTTOBRE","NOVEMBRE","DICEMBRE"},0)</f>
        <v>11</v>
      </c>
      <c r="E1210" s="57" t="str">
        <f t="shared" si="1724"/>
        <v>NOVEMBRE 2024</v>
      </c>
      <c r="F1210" s="57" t="str">
        <f t="shared" si="1725"/>
        <v>11 NOVEMBRE 2024</v>
      </c>
      <c r="G1210" s="1309" t="s">
        <v>100</v>
      </c>
      <c r="H1210" s="1309" t="str">
        <f>VLOOKUP(G1210,CATEGORIE!$H$3:$I$104,2,FALSE)</f>
        <v>COSTO SFIZI</v>
      </c>
      <c r="I1210" s="59">
        <v>16.63</v>
      </c>
      <c r="J1210" s="940" t="s">
        <v>124</v>
      </c>
      <c r="K1210" s="57" t="s">
        <v>99</v>
      </c>
      <c r="L1210" s="59"/>
    </row>
    <row r="1211" spans="1:12" ht="18.600000000000001" customHeight="1">
      <c r="A1211" s="57" t="s">
        <v>99</v>
      </c>
      <c r="B1211" s="57" t="s">
        <v>200</v>
      </c>
      <c r="C1211" s="57">
        <v>2024</v>
      </c>
      <c r="D1211" s="58">
        <f>MATCH(B1211,{"GENNAIO","FEBBRAIO","MARZO","APRILE","MAGGIO","GIUGNO","LUGLIO","AGOSTO","SETTEMBRE","OTTOBRE","NOVEMBRE","DICEMBRE"},0)</f>
        <v>11</v>
      </c>
      <c r="E1211" s="57" t="str">
        <f t="shared" si="1724"/>
        <v>NOVEMBRE 2024</v>
      </c>
      <c r="F1211" s="57" t="str">
        <f t="shared" si="1725"/>
        <v>11 NOVEMBRE 2024</v>
      </c>
      <c r="G1211" s="1309" t="s">
        <v>100</v>
      </c>
      <c r="H1211" s="1309" t="str">
        <f>VLOOKUP(G1211,CATEGORIE!$H$3:$I$104,2,FALSE)</f>
        <v>COSTO SFIZI</v>
      </c>
      <c r="I1211" s="59">
        <v>13.99</v>
      </c>
      <c r="J1211" s="940" t="s">
        <v>151</v>
      </c>
      <c r="K1211" s="57" t="s">
        <v>99</v>
      </c>
      <c r="L1211" s="59" t="s">
        <v>423</v>
      </c>
    </row>
    <row r="1212" spans="1:12" ht="16.5" customHeight="1">
      <c r="A1212" s="57" t="s">
        <v>99</v>
      </c>
      <c r="B1212" s="57" t="s">
        <v>200</v>
      </c>
      <c r="C1212" s="57">
        <v>2024</v>
      </c>
      <c r="D1212" s="58">
        <f>MATCH(B1212,{"GENNAIO","FEBBRAIO","MARZO","APRILE","MAGGIO","GIUGNO","LUGLIO","AGOSTO","SETTEMBRE","OTTOBRE","NOVEMBRE","DICEMBRE"},0)</f>
        <v>11</v>
      </c>
      <c r="E1212" s="57" t="str">
        <f t="shared" si="1724"/>
        <v>NOVEMBRE 2024</v>
      </c>
      <c r="F1212" s="57" t="str">
        <f t="shared" si="1725"/>
        <v>11 NOVEMBRE 2024</v>
      </c>
      <c r="G1212" s="1309" t="s">
        <v>185</v>
      </c>
      <c r="H1212" s="1309" t="str">
        <f>VLOOKUP(G1212,CATEGORIE!$H$3:$I$104,2,FALSE)</f>
        <v>COSTO SFIZI</v>
      </c>
      <c r="I1212" s="59">
        <v>15</v>
      </c>
      <c r="J1212" s="940" t="s">
        <v>126</v>
      </c>
      <c r="K1212" s="57" t="s">
        <v>99</v>
      </c>
      <c r="L1212" s="59" t="s">
        <v>386</v>
      </c>
    </row>
    <row r="1213" spans="1:12">
      <c r="A1213" s="57" t="s">
        <v>340</v>
      </c>
      <c r="B1213" s="57" t="s">
        <v>200</v>
      </c>
      <c r="C1213" s="57">
        <v>2024</v>
      </c>
      <c r="D1213" s="58">
        <f>MATCH(B1213,{"GENNAIO","FEBBRAIO","MARZO","APRILE","MAGGIO","GIUGNO","LUGLIO","AGOSTO","SETTEMBRE","OTTOBRE","NOVEMBRE","DICEMBRE"},0)</f>
        <v>11</v>
      </c>
      <c r="E1213" s="57" t="str">
        <f t="shared" si="1724"/>
        <v>NOVEMBRE 2024</v>
      </c>
      <c r="F1213" s="57" t="str">
        <f t="shared" si="1725"/>
        <v>11 NOVEMBRE 2024</v>
      </c>
      <c r="G1213" s="1309" t="s">
        <v>108</v>
      </c>
      <c r="H1213" s="1309" t="str">
        <f>VLOOKUP(G1213,CATEGORIE!$H$3:$I$104,2,FALSE)</f>
        <v>COSTO SFIZI</v>
      </c>
      <c r="I1213" s="59">
        <v>36.32</v>
      </c>
      <c r="J1213" s="940" t="s">
        <v>124</v>
      </c>
      <c r="K1213" s="59" t="s">
        <v>112</v>
      </c>
      <c r="L1213" s="59"/>
    </row>
    <row r="1214" spans="1:12">
      <c r="A1214" s="57" t="s">
        <v>95</v>
      </c>
      <c r="B1214" s="57" t="s">
        <v>200</v>
      </c>
      <c r="C1214" s="57">
        <v>2024</v>
      </c>
      <c r="D1214" s="58">
        <f>MATCH(B1214,{"GENNAIO","FEBBRAIO","MARZO","APRILE","MAGGIO","GIUGNO","LUGLIO","AGOSTO","SETTEMBRE","OTTOBRE","NOVEMBRE","DICEMBRE"},0)</f>
        <v>11</v>
      </c>
      <c r="E1214" s="57" t="str">
        <f t="shared" si="1724"/>
        <v>NOVEMBRE 2024</v>
      </c>
      <c r="F1214" s="57" t="str">
        <f t="shared" si="1725"/>
        <v>11 NOVEMBRE 2024</v>
      </c>
      <c r="G1214" s="1309" t="s">
        <v>96</v>
      </c>
      <c r="H1214" s="1309" t="str">
        <f>VLOOKUP(G1214,CATEGORIE!$H$3:$I$104,2,FALSE)</f>
        <v>COSTO SOPRAVVIVENZA</v>
      </c>
      <c r="I1214" s="59">
        <v>20.239999999999998</v>
      </c>
      <c r="J1214" s="940"/>
      <c r="K1214" s="59"/>
      <c r="L1214" s="59"/>
    </row>
    <row r="1215" spans="1:12">
      <c r="A1215" s="57" t="s">
        <v>101</v>
      </c>
      <c r="B1215" s="57" t="s">
        <v>200</v>
      </c>
      <c r="C1215" s="57">
        <v>2024</v>
      </c>
      <c r="D1215" s="58">
        <f>MATCH(B1215,{"GENNAIO","FEBBRAIO","MARZO","APRILE","MAGGIO","GIUGNO","LUGLIO","AGOSTO","SETTEMBRE","OTTOBRE","NOVEMBRE","DICEMBRE"},0)</f>
        <v>11</v>
      </c>
      <c r="E1215" s="57" t="str">
        <f t="shared" si="1724"/>
        <v>NOVEMBRE 2024</v>
      </c>
      <c r="F1215" s="57" t="str">
        <f t="shared" si="1725"/>
        <v>11 NOVEMBRE 2024</v>
      </c>
      <c r="G1215" s="1309" t="s">
        <v>91</v>
      </c>
      <c r="H1215" s="1309" t="str">
        <f>VLOOKUP(G1215,CATEGORIE!$H$3:$I$104,2,FALSE)</f>
        <v>COSTO SOPRAVVIVENZA</v>
      </c>
      <c r="I1215" s="59">
        <v>0.4</v>
      </c>
      <c r="J1215" s="940"/>
      <c r="K1215" s="59"/>
      <c r="L1215" s="59"/>
    </row>
    <row r="1216" spans="1:12" ht="16.5" customHeight="1">
      <c r="A1216" s="57" t="s">
        <v>424</v>
      </c>
      <c r="B1216" s="57" t="s">
        <v>217</v>
      </c>
      <c r="C1216" s="57">
        <v>2024</v>
      </c>
      <c r="D1216" s="58">
        <f>MATCH(B1216,{"GENNAIO","FEBBRAIO","MARZO","APRILE","MAGGIO","GIUGNO","LUGLIO","AGOSTO","SETTEMBRE","OTTOBRE","NOVEMBRE","DICEMBRE"},0)</f>
        <v>10</v>
      </c>
      <c r="E1216" s="57" t="str">
        <f t="shared" si="1724"/>
        <v>OTTOBRE 2024</v>
      </c>
      <c r="F1216" s="57" t="str">
        <f t="shared" si="1725"/>
        <v>10 OTTOBRE 2024</v>
      </c>
      <c r="G1216" s="1309" t="s">
        <v>94</v>
      </c>
      <c r="H1216" s="1309" t="str">
        <f>VLOOKUP(G1216,CATEGORIE!$H$3:$I$104,2,FALSE)</f>
        <v>COSTO SVAGHI</v>
      </c>
      <c r="I1216" s="59">
        <v>43.6</v>
      </c>
      <c r="J1216" s="940"/>
      <c r="K1216" s="59"/>
      <c r="L1216" s="59"/>
    </row>
    <row r="1217" spans="1:12">
      <c r="A1217" s="57" t="s">
        <v>425</v>
      </c>
      <c r="B1217" s="57" t="s">
        <v>217</v>
      </c>
      <c r="C1217" s="57">
        <v>2024</v>
      </c>
      <c r="D1217" s="58">
        <f>MATCH(B1217,{"GENNAIO","FEBBRAIO","MARZO","APRILE","MAGGIO","GIUGNO","LUGLIO","AGOSTO","SETTEMBRE","OTTOBRE","NOVEMBRE","DICEMBRE"},0)</f>
        <v>10</v>
      </c>
      <c r="E1217" s="57" t="str">
        <f t="shared" si="1724"/>
        <v>OTTOBRE 2024</v>
      </c>
      <c r="F1217" s="57" t="str">
        <f t="shared" si="1725"/>
        <v>10 OTTOBRE 2024</v>
      </c>
      <c r="G1217" s="1309" t="s">
        <v>94</v>
      </c>
      <c r="H1217" s="1309" t="str">
        <f>VLOOKUP(G1217,CATEGORIE!$H$3:$I$104,2,FALSE)</f>
        <v>COSTO SVAGHI</v>
      </c>
      <c r="I1217" s="59">
        <v>12.5</v>
      </c>
      <c r="J1217" s="940"/>
      <c r="K1217" s="59"/>
      <c r="L1217" s="59"/>
    </row>
    <row r="1218" spans="1:12" ht="18.600000000000001" customHeight="1">
      <c r="A1218" s="57" t="s">
        <v>426</v>
      </c>
      <c r="B1218" s="57" t="s">
        <v>217</v>
      </c>
      <c r="C1218" s="57">
        <v>2024</v>
      </c>
      <c r="D1218" s="58">
        <f>MATCH(B1218,{"GENNAIO","FEBBRAIO","MARZO","APRILE","MAGGIO","GIUGNO","LUGLIO","AGOSTO","SETTEMBRE","OTTOBRE","NOVEMBRE","DICEMBRE"},0)</f>
        <v>10</v>
      </c>
      <c r="E1218" s="57" t="str">
        <f t="shared" si="1724"/>
        <v>OTTOBRE 2024</v>
      </c>
      <c r="F1218" s="57" t="str">
        <f t="shared" si="1725"/>
        <v>10 OTTOBRE 2024</v>
      </c>
      <c r="G1218" s="1309" t="s">
        <v>94</v>
      </c>
      <c r="H1218" s="1309" t="str">
        <f>VLOOKUP(G1218,CATEGORIE!$H$3:$I$104,2,FALSE)</f>
        <v>COSTO SVAGHI</v>
      </c>
      <c r="I1218" s="59">
        <v>47.3</v>
      </c>
      <c r="J1218" s="940"/>
      <c r="K1218" s="59"/>
      <c r="L1218" s="59"/>
    </row>
    <row r="1219" spans="1:12" ht="18.600000000000001" customHeight="1">
      <c r="A1219" s="57" t="s">
        <v>101</v>
      </c>
      <c r="B1219" s="57" t="s">
        <v>217</v>
      </c>
      <c r="C1219" s="57">
        <v>2024</v>
      </c>
      <c r="D1219" s="58">
        <f>MATCH(B1219,{"GENNAIO","FEBBRAIO","MARZO","APRILE","MAGGIO","GIUGNO","LUGLIO","AGOSTO","SETTEMBRE","OTTOBRE","NOVEMBRE","DICEMBRE"},0)</f>
        <v>10</v>
      </c>
      <c r="E1219" s="57" t="str">
        <f t="shared" si="1724"/>
        <v>OTTOBRE 2024</v>
      </c>
      <c r="F1219" s="57" t="str">
        <f t="shared" si="1725"/>
        <v>10 OTTOBRE 2024</v>
      </c>
      <c r="G1219" s="1309" t="s">
        <v>91</v>
      </c>
      <c r="H1219" s="1309" t="str">
        <f>VLOOKUP(G1219,CATEGORIE!$H$3:$I$104,2,FALSE)</f>
        <v>COSTO SOPRAVVIVENZA</v>
      </c>
      <c r="I1219" s="59">
        <v>0.4</v>
      </c>
      <c r="J1219" s="940"/>
      <c r="K1219" s="59"/>
      <c r="L1219" s="59"/>
    </row>
    <row r="1220" spans="1:12" ht="18.600000000000001" customHeight="1">
      <c r="A1220" s="57" t="s">
        <v>92</v>
      </c>
      <c r="B1220" s="57" t="s">
        <v>217</v>
      </c>
      <c r="C1220" s="57">
        <v>2024</v>
      </c>
      <c r="D1220" s="58">
        <f>MATCH(B1220,{"GENNAIO","FEBBRAIO","MARZO","APRILE","MAGGIO","GIUGNO","LUGLIO","AGOSTO","SETTEMBRE","OTTOBRE","NOVEMBRE","DICEMBRE"},0)</f>
        <v>10</v>
      </c>
      <c r="E1220" s="57" t="str">
        <f t="shared" si="1724"/>
        <v>OTTOBRE 2024</v>
      </c>
      <c r="F1220" s="57" t="str">
        <f t="shared" si="1725"/>
        <v>10 OTTOBRE 2024</v>
      </c>
      <c r="G1220" s="1309" t="s">
        <v>93</v>
      </c>
      <c r="H1220" s="1309" t="str">
        <f>VLOOKUP(G1220,CATEGORIE!$H$3:$I$104,2,FALSE)</f>
        <v>COSTO SOPRAVVIVENZA</v>
      </c>
      <c r="I1220" s="59">
        <v>6.5</v>
      </c>
      <c r="J1220" s="940"/>
      <c r="K1220" s="59"/>
      <c r="L1220" s="59"/>
    </row>
    <row r="1221" spans="1:12" ht="18.600000000000001" customHeight="1">
      <c r="A1221" s="57" t="s">
        <v>102</v>
      </c>
      <c r="B1221" s="57" t="s">
        <v>217</v>
      </c>
      <c r="C1221" s="57">
        <v>2024</v>
      </c>
      <c r="D1221" s="58">
        <f>MATCH(B1221,{"GENNAIO","FEBBRAIO","MARZO","APRILE","MAGGIO","GIUGNO","LUGLIO","AGOSTO","SETTEMBRE","OTTOBRE","NOVEMBRE","DICEMBRE"},0)</f>
        <v>10</v>
      </c>
      <c r="E1221" s="57" t="str">
        <f t="shared" si="1724"/>
        <v>OTTOBRE 2024</v>
      </c>
      <c r="F1221" s="57" t="str">
        <f t="shared" si="1725"/>
        <v>10 OTTOBRE 2024</v>
      </c>
      <c r="G1221" s="1309" t="s">
        <v>96</v>
      </c>
      <c r="H1221" s="1309" t="str">
        <f>VLOOKUP(G1221,CATEGORIE!$H$3:$I$104,2,FALSE)</f>
        <v>COSTO SOPRAVVIVENZA</v>
      </c>
      <c r="I1221" s="59">
        <v>5.95</v>
      </c>
      <c r="J1221" s="940"/>
      <c r="K1221" s="59"/>
      <c r="L1221" s="59"/>
    </row>
    <row r="1222" spans="1:12">
      <c r="A1222" s="57" t="s">
        <v>95</v>
      </c>
      <c r="B1222" s="57" t="s">
        <v>217</v>
      </c>
      <c r="C1222" s="57">
        <v>2024</v>
      </c>
      <c r="D1222" s="58">
        <f>MATCH(B1222,{"GENNAIO","FEBBRAIO","MARZO","APRILE","MAGGIO","GIUGNO","LUGLIO","AGOSTO","SETTEMBRE","OTTOBRE","NOVEMBRE","DICEMBRE"},0)</f>
        <v>10</v>
      </c>
      <c r="E1222" s="57" t="str">
        <f t="shared" si="1724"/>
        <v>OTTOBRE 2024</v>
      </c>
      <c r="F1222" s="57" t="str">
        <f t="shared" si="1725"/>
        <v>10 OTTOBRE 2024</v>
      </c>
      <c r="G1222" s="1309" t="s">
        <v>96</v>
      </c>
      <c r="H1222" s="1309" t="str">
        <f>VLOOKUP(G1222,CATEGORIE!$H$3:$I$104,2,FALSE)</f>
        <v>COSTO SOPRAVVIVENZA</v>
      </c>
      <c r="I1222" s="59">
        <v>11.93</v>
      </c>
      <c r="J1222" s="940"/>
      <c r="K1222" s="59"/>
      <c r="L1222" s="59"/>
    </row>
    <row r="1223" spans="1:12">
      <c r="A1223" s="57" t="s">
        <v>135</v>
      </c>
      <c r="B1223" s="57" t="s">
        <v>217</v>
      </c>
      <c r="C1223" s="57">
        <v>2024</v>
      </c>
      <c r="D1223" s="58">
        <f>MATCH(B1223,{"GENNAIO","FEBBRAIO","MARZO","APRILE","MAGGIO","GIUGNO","LUGLIO","AGOSTO","SETTEMBRE","OTTOBRE","NOVEMBRE","DICEMBRE"},0)</f>
        <v>10</v>
      </c>
      <c r="E1223" s="57" t="str">
        <f t="shared" si="1724"/>
        <v>OTTOBRE 2024</v>
      </c>
      <c r="F1223" s="57" t="str">
        <f t="shared" si="1725"/>
        <v>10 OTTOBRE 2024</v>
      </c>
      <c r="G1223" s="1309" t="s">
        <v>132</v>
      </c>
      <c r="H1223" s="1309" t="str">
        <f>VLOOKUP(G1223,CATEGORIE!$H$3:$I$104,2,FALSE)</f>
        <v>COSTO CASA</v>
      </c>
      <c r="I1223" s="59">
        <v>4.9000000000000004</v>
      </c>
      <c r="J1223" s="940"/>
      <c r="K1223" s="59"/>
      <c r="L1223" s="59"/>
    </row>
    <row r="1224" spans="1:12">
      <c r="A1224" s="57" t="s">
        <v>105</v>
      </c>
      <c r="B1224" s="57" t="s">
        <v>217</v>
      </c>
      <c r="C1224" s="57">
        <v>2024</v>
      </c>
      <c r="D1224" s="58">
        <f>MATCH(B1224,{"GENNAIO","FEBBRAIO","MARZO","APRILE","MAGGIO","GIUGNO","LUGLIO","AGOSTO","SETTEMBRE","OTTOBRE","NOVEMBRE","DICEMBRE"},0)</f>
        <v>10</v>
      </c>
      <c r="E1224" s="57" t="str">
        <f t="shared" si="1724"/>
        <v>OTTOBRE 2024</v>
      </c>
      <c r="F1224" s="57" t="str">
        <f t="shared" si="1725"/>
        <v>10 OTTOBRE 2024</v>
      </c>
      <c r="G1224" s="1309" t="s">
        <v>96</v>
      </c>
      <c r="H1224" s="1309" t="str">
        <f>VLOOKUP(G1224,CATEGORIE!$H$3:$I$104,2,FALSE)</f>
        <v>COSTO SOPRAVVIVENZA</v>
      </c>
      <c r="I1224" s="59">
        <v>21.82</v>
      </c>
      <c r="J1224" s="940"/>
      <c r="K1224" s="59"/>
      <c r="L1224" s="59"/>
    </row>
    <row r="1225" spans="1:12">
      <c r="A1225" s="57" t="s">
        <v>92</v>
      </c>
      <c r="B1225" s="57" t="s">
        <v>217</v>
      </c>
      <c r="C1225" s="57">
        <v>2024</v>
      </c>
      <c r="D1225" s="58">
        <f>MATCH(B1225,{"GENNAIO","FEBBRAIO","MARZO","APRILE","MAGGIO","GIUGNO","LUGLIO","AGOSTO","SETTEMBRE","OTTOBRE","NOVEMBRE","DICEMBRE"},0)</f>
        <v>10</v>
      </c>
      <c r="E1225" s="57" t="str">
        <f t="shared" si="1724"/>
        <v>OTTOBRE 2024</v>
      </c>
      <c r="F1225" s="57" t="str">
        <f t="shared" si="1725"/>
        <v>10 OTTOBRE 2024</v>
      </c>
      <c r="G1225" s="1309" t="s">
        <v>93</v>
      </c>
      <c r="H1225" s="1309" t="str">
        <f>VLOOKUP(G1225,CATEGORIE!$H$3:$I$104,2,FALSE)</f>
        <v>COSTO SOPRAVVIVENZA</v>
      </c>
      <c r="I1225" s="59">
        <v>6.5</v>
      </c>
      <c r="J1225" s="940"/>
      <c r="K1225" s="59"/>
      <c r="L1225" s="59"/>
    </row>
    <row r="1226" spans="1:12" ht="18" customHeight="1">
      <c r="A1226" s="57" t="s">
        <v>133</v>
      </c>
      <c r="B1226" s="57" t="s">
        <v>217</v>
      </c>
      <c r="C1226" s="57">
        <v>2024</v>
      </c>
      <c r="D1226" s="58">
        <f>MATCH(B1226,{"GENNAIO","FEBBRAIO","MARZO","APRILE","MAGGIO","GIUGNO","LUGLIO","AGOSTO","SETTEMBRE","OTTOBRE","NOVEMBRE","DICEMBRE"},0)</f>
        <v>10</v>
      </c>
      <c r="E1226" s="57" t="str">
        <f t="shared" si="1724"/>
        <v>OTTOBRE 2024</v>
      </c>
      <c r="F1226" s="57" t="str">
        <f t="shared" si="1725"/>
        <v>10 OTTOBRE 2024</v>
      </c>
      <c r="G1226" s="1309" t="s">
        <v>108</v>
      </c>
      <c r="H1226" s="1309" t="str">
        <f>VLOOKUP(G1226,CATEGORIE!$H$3:$I$104,2,FALSE)</f>
        <v>COSTO SFIZI</v>
      </c>
      <c r="I1226" s="59">
        <v>89</v>
      </c>
      <c r="J1226" s="940"/>
      <c r="K1226" s="59"/>
      <c r="L1226" s="59"/>
    </row>
    <row r="1227" spans="1:12">
      <c r="A1227" s="57" t="s">
        <v>92</v>
      </c>
      <c r="B1227" s="57" t="s">
        <v>217</v>
      </c>
      <c r="C1227" s="57">
        <v>2024</v>
      </c>
      <c r="D1227" s="58">
        <f>MATCH(B1227,{"GENNAIO","FEBBRAIO","MARZO","APRILE","MAGGIO","GIUGNO","LUGLIO","AGOSTO","SETTEMBRE","OTTOBRE","NOVEMBRE","DICEMBRE"},0)</f>
        <v>10</v>
      </c>
      <c r="E1227" s="57" t="str">
        <f t="shared" si="1724"/>
        <v>OTTOBRE 2024</v>
      </c>
      <c r="F1227" s="57" t="str">
        <f t="shared" si="1725"/>
        <v>10 OTTOBRE 2024</v>
      </c>
      <c r="G1227" s="1309" t="s">
        <v>94</v>
      </c>
      <c r="H1227" s="1309" t="str">
        <f>VLOOKUP(G1227,CATEGORIE!$H$3:$I$104,2,FALSE)</f>
        <v>COSTO SVAGHI</v>
      </c>
      <c r="I1227" s="59">
        <v>2.8</v>
      </c>
      <c r="J1227" s="940"/>
      <c r="K1227" s="59"/>
      <c r="L1227" s="59"/>
    </row>
    <row r="1228" spans="1:12">
      <c r="A1228" s="57" t="s">
        <v>99</v>
      </c>
      <c r="B1228" s="57" t="s">
        <v>217</v>
      </c>
      <c r="C1228" s="57">
        <v>2024</v>
      </c>
      <c r="D1228" s="58">
        <f>MATCH(B1228,{"GENNAIO","FEBBRAIO","MARZO","APRILE","MAGGIO","GIUGNO","LUGLIO","AGOSTO","SETTEMBRE","OTTOBRE","NOVEMBRE","DICEMBRE"},0)</f>
        <v>10</v>
      </c>
      <c r="E1228" s="57" t="str">
        <f t="shared" si="1724"/>
        <v>OTTOBRE 2024</v>
      </c>
      <c r="F1228" s="57" t="str">
        <f t="shared" si="1725"/>
        <v>10 OTTOBRE 2024</v>
      </c>
      <c r="G1228" s="1309" t="s">
        <v>100</v>
      </c>
      <c r="H1228" s="1309" t="str">
        <f>VLOOKUP(G1228,CATEGORIE!$H$3:$I$104,2,FALSE)</f>
        <v>COSTO SFIZI</v>
      </c>
      <c r="I1228" s="59">
        <v>3.58</v>
      </c>
      <c r="J1228" s="940"/>
      <c r="K1228" s="57" t="s">
        <v>99</v>
      </c>
      <c r="L1228" s="59"/>
    </row>
    <row r="1229" spans="1:12" ht="18.600000000000001" customHeight="1">
      <c r="A1229" s="57" t="s">
        <v>229</v>
      </c>
      <c r="B1229" s="57" t="s">
        <v>217</v>
      </c>
      <c r="C1229" s="57">
        <v>2024</v>
      </c>
      <c r="D1229" s="58">
        <f>MATCH(B1229,{"GENNAIO","FEBBRAIO","MARZO","APRILE","MAGGIO","GIUGNO","LUGLIO","AGOSTO","SETTEMBRE","OTTOBRE","NOVEMBRE","DICEMBRE"},0)</f>
        <v>10</v>
      </c>
      <c r="E1229" s="57" t="str">
        <f t="shared" si="1724"/>
        <v>OTTOBRE 2024</v>
      </c>
      <c r="F1229" s="57" t="str">
        <f t="shared" si="1725"/>
        <v>10 OTTOBRE 2024</v>
      </c>
      <c r="G1229" s="1309" t="s">
        <v>163</v>
      </c>
      <c r="H1229" s="1309" t="str">
        <f>VLOOKUP(G1229,CATEGORIE!$H$3:$I$104,2,FALSE)</f>
        <v>COSTO SVAGHI</v>
      </c>
      <c r="I1229" s="59">
        <v>52.09</v>
      </c>
      <c r="J1229" s="940" t="s">
        <v>138</v>
      </c>
      <c r="K1229" s="59" t="s">
        <v>112</v>
      </c>
      <c r="L1229" s="59" t="s">
        <v>408</v>
      </c>
    </row>
    <row r="1230" spans="1:12">
      <c r="A1230" s="57" t="s">
        <v>92</v>
      </c>
      <c r="B1230" s="57" t="s">
        <v>217</v>
      </c>
      <c r="C1230" s="57">
        <v>2024</v>
      </c>
      <c r="D1230" s="58">
        <f>MATCH(B1230,{"GENNAIO","FEBBRAIO","MARZO","APRILE","MAGGIO","GIUGNO","LUGLIO","AGOSTO","SETTEMBRE","OTTOBRE","NOVEMBRE","DICEMBRE"},0)</f>
        <v>10</v>
      </c>
      <c r="E1230" s="57" t="str">
        <f t="shared" si="1724"/>
        <v>OTTOBRE 2024</v>
      </c>
      <c r="F1230" s="57" t="str">
        <f t="shared" si="1725"/>
        <v>10 OTTOBRE 2024</v>
      </c>
      <c r="G1230" s="1309" t="s">
        <v>93</v>
      </c>
      <c r="H1230" s="1309" t="str">
        <f>VLOOKUP(G1230,CATEGORIE!$H$3:$I$104,2,FALSE)</f>
        <v>COSTO SOPRAVVIVENZA</v>
      </c>
      <c r="I1230" s="59">
        <v>6.5</v>
      </c>
      <c r="J1230" s="940"/>
      <c r="K1230" s="59"/>
      <c r="L1230" s="59"/>
    </row>
    <row r="1231" spans="1:12">
      <c r="A1231" s="57" t="s">
        <v>99</v>
      </c>
      <c r="B1231" s="57" t="s">
        <v>217</v>
      </c>
      <c r="C1231" s="57">
        <v>2024</v>
      </c>
      <c r="D1231" s="58">
        <f>MATCH(B1231,{"GENNAIO","FEBBRAIO","MARZO","APRILE","MAGGIO","GIUGNO","LUGLIO","AGOSTO","SETTEMBRE","OTTOBRE","NOVEMBRE","DICEMBRE"},0)</f>
        <v>10</v>
      </c>
      <c r="E1231" s="57" t="str">
        <f t="shared" si="1724"/>
        <v>OTTOBRE 2024</v>
      </c>
      <c r="F1231" s="57" t="str">
        <f t="shared" si="1725"/>
        <v>10 OTTOBRE 2024</v>
      </c>
      <c r="G1231" s="1309" t="s">
        <v>100</v>
      </c>
      <c r="H1231" s="1309" t="str">
        <f>VLOOKUP(G1231,CATEGORIE!$H$3:$I$104,2,FALSE)</f>
        <v>COSTO SFIZI</v>
      </c>
      <c r="I1231" s="59">
        <v>16.64</v>
      </c>
      <c r="J1231" s="940" t="s">
        <v>138</v>
      </c>
      <c r="K1231" s="57" t="s">
        <v>99</v>
      </c>
      <c r="L1231" s="59"/>
    </row>
    <row r="1232" spans="1:12">
      <c r="A1232" s="57" t="s">
        <v>95</v>
      </c>
      <c r="B1232" s="57" t="s">
        <v>217</v>
      </c>
      <c r="C1232" s="57">
        <v>2024</v>
      </c>
      <c r="D1232" s="58">
        <f>MATCH(B1232,{"GENNAIO","FEBBRAIO","MARZO","APRILE","MAGGIO","GIUGNO","LUGLIO","AGOSTO","SETTEMBRE","OTTOBRE","NOVEMBRE","DICEMBRE"},0)</f>
        <v>10</v>
      </c>
      <c r="E1232" s="57" t="str">
        <f t="shared" si="1724"/>
        <v>OTTOBRE 2024</v>
      </c>
      <c r="F1232" s="57" t="str">
        <f t="shared" si="1725"/>
        <v>10 OTTOBRE 2024</v>
      </c>
      <c r="G1232" s="1309" t="s">
        <v>96</v>
      </c>
      <c r="H1232" s="1309" t="str">
        <f>VLOOKUP(G1232,CATEGORIE!$H$3:$I$104,2,FALSE)</f>
        <v>COSTO SOPRAVVIVENZA</v>
      </c>
      <c r="I1232" s="59">
        <v>12.35</v>
      </c>
      <c r="J1232" s="940"/>
      <c r="K1232" s="59"/>
      <c r="L1232" s="59"/>
    </row>
    <row r="1233" spans="1:12" ht="18.600000000000001" customHeight="1">
      <c r="A1233" s="57" t="s">
        <v>427</v>
      </c>
      <c r="B1233" s="57" t="s">
        <v>217</v>
      </c>
      <c r="C1233" s="57">
        <v>2024</v>
      </c>
      <c r="D1233" s="58">
        <f>MATCH(B1233,{"GENNAIO","FEBBRAIO","MARZO","APRILE","MAGGIO","GIUGNO","LUGLIO","AGOSTO","SETTEMBRE","OTTOBRE","NOVEMBRE","DICEMBRE"},0)</f>
        <v>10</v>
      </c>
      <c r="E1233" s="57" t="str">
        <f t="shared" si="1724"/>
        <v>OTTOBRE 2024</v>
      </c>
      <c r="F1233" s="57" t="str">
        <f t="shared" si="1725"/>
        <v>10 OTTOBRE 2024</v>
      </c>
      <c r="G1233" s="1309" t="s">
        <v>94</v>
      </c>
      <c r="H1233" s="1309" t="str">
        <f>VLOOKUP(G1233,CATEGORIE!$H$3:$I$104,2,FALSE)</f>
        <v>COSTO SVAGHI</v>
      </c>
      <c r="I1233" s="59">
        <v>26.8</v>
      </c>
      <c r="J1233" s="940"/>
      <c r="K1233" s="59"/>
      <c r="L1233" s="59"/>
    </row>
    <row r="1234" spans="1:12">
      <c r="A1234" s="57" t="s">
        <v>347</v>
      </c>
      <c r="B1234" s="57" t="s">
        <v>217</v>
      </c>
      <c r="C1234" s="57">
        <v>2024</v>
      </c>
      <c r="D1234" s="58">
        <f>MATCH(B1234,{"GENNAIO","FEBBRAIO","MARZO","APRILE","MAGGIO","GIUGNO","LUGLIO","AGOSTO","SETTEMBRE","OTTOBRE","NOVEMBRE","DICEMBRE"},0)</f>
        <v>10</v>
      </c>
      <c r="E1234" s="57" t="str">
        <f t="shared" si="1724"/>
        <v>OTTOBRE 2024</v>
      </c>
      <c r="F1234" s="57" t="str">
        <f t="shared" si="1725"/>
        <v>10 OTTOBRE 2024</v>
      </c>
      <c r="G1234" s="1309" t="s">
        <v>108</v>
      </c>
      <c r="H1234" s="1309" t="str">
        <f>VLOOKUP(G1234,CATEGORIE!$H$3:$I$104,2,FALSE)</f>
        <v>COSTO SFIZI</v>
      </c>
      <c r="I1234" s="59">
        <v>103.99</v>
      </c>
      <c r="J1234" s="940"/>
      <c r="K1234" s="59" t="s">
        <v>112</v>
      </c>
      <c r="L1234" s="59"/>
    </row>
    <row r="1235" spans="1:12" ht="18" customHeight="1">
      <c r="A1235" s="57" t="s">
        <v>428</v>
      </c>
      <c r="B1235" s="57" t="s">
        <v>217</v>
      </c>
      <c r="C1235" s="57">
        <v>2024</v>
      </c>
      <c r="D1235" s="58">
        <f>MATCH(B1235,{"GENNAIO","FEBBRAIO","MARZO","APRILE","MAGGIO","GIUGNO","LUGLIO","AGOSTO","SETTEMBRE","OTTOBRE","NOVEMBRE","DICEMBRE"},0)</f>
        <v>10</v>
      </c>
      <c r="E1235" s="57" t="str">
        <f t="shared" si="1724"/>
        <v>OTTOBRE 2024</v>
      </c>
      <c r="F1235" s="57" t="str">
        <f t="shared" si="1725"/>
        <v>10 OTTOBRE 2024</v>
      </c>
      <c r="G1235" s="1309" t="s">
        <v>100</v>
      </c>
      <c r="H1235" s="1309" t="str">
        <f>VLOOKUP(G1235,CATEGORIE!$H$3:$I$104,2,FALSE)</f>
        <v>COSTO SFIZI</v>
      </c>
      <c r="I1235" s="59">
        <v>16.16</v>
      </c>
      <c r="J1235" s="940"/>
      <c r="K1235" s="59" t="s">
        <v>112</v>
      </c>
      <c r="L1235" s="59"/>
    </row>
    <row r="1236" spans="1:12" ht="16.5" customHeight="1">
      <c r="A1236" s="57" t="s">
        <v>357</v>
      </c>
      <c r="B1236" s="57" t="s">
        <v>217</v>
      </c>
      <c r="C1236" s="57">
        <v>2024</v>
      </c>
      <c r="D1236" s="58">
        <f>MATCH(B1236,{"GENNAIO","FEBBRAIO","MARZO","APRILE","MAGGIO","GIUGNO","LUGLIO","AGOSTO","SETTEMBRE","OTTOBRE","NOVEMBRE","DICEMBRE"},0)</f>
        <v>10</v>
      </c>
      <c r="E1236" s="57" t="str">
        <f t="shared" si="1724"/>
        <v>OTTOBRE 2024</v>
      </c>
      <c r="F1236" s="57" t="str">
        <f t="shared" si="1725"/>
        <v>10 OTTOBRE 2024</v>
      </c>
      <c r="G1236" s="1309" t="s">
        <v>96</v>
      </c>
      <c r="H1236" s="1309" t="str">
        <f>VLOOKUP(G1236,CATEGORIE!$H$3:$I$104,2,FALSE)</f>
        <v>COSTO SOPRAVVIVENZA</v>
      </c>
      <c r="I1236" s="59">
        <v>11.3</v>
      </c>
      <c r="J1236" s="940"/>
      <c r="K1236" s="59"/>
      <c r="L1236" s="59"/>
    </row>
    <row r="1237" spans="1:12" ht="16.5" customHeight="1">
      <c r="A1237" s="57" t="s">
        <v>92</v>
      </c>
      <c r="B1237" s="57" t="s">
        <v>217</v>
      </c>
      <c r="C1237" s="57">
        <v>2024</v>
      </c>
      <c r="D1237" s="58">
        <f>MATCH(B1237,{"GENNAIO","FEBBRAIO","MARZO","APRILE","MAGGIO","GIUGNO","LUGLIO","AGOSTO","SETTEMBRE","OTTOBRE","NOVEMBRE","DICEMBRE"},0)</f>
        <v>10</v>
      </c>
      <c r="E1237" s="57" t="str">
        <f t="shared" si="1724"/>
        <v>OTTOBRE 2024</v>
      </c>
      <c r="F1237" s="57" t="str">
        <f t="shared" si="1725"/>
        <v>10 OTTOBRE 2024</v>
      </c>
      <c r="G1237" s="1309" t="s">
        <v>93</v>
      </c>
      <c r="H1237" s="1309" t="str">
        <f>VLOOKUP(G1237,CATEGORIE!$H$3:$I$104,2,FALSE)</f>
        <v>COSTO SOPRAVVIVENZA</v>
      </c>
      <c r="I1237" s="59">
        <v>6.5</v>
      </c>
      <c r="J1237" s="940"/>
      <c r="K1237" s="59"/>
      <c r="L1237" s="59"/>
    </row>
    <row r="1238" spans="1:12">
      <c r="A1238" s="57" t="s">
        <v>375</v>
      </c>
      <c r="B1238" s="57" t="s">
        <v>217</v>
      </c>
      <c r="C1238" s="57">
        <v>2024</v>
      </c>
      <c r="D1238" s="58">
        <f>MATCH(B1238,{"GENNAIO","FEBBRAIO","MARZO","APRILE","MAGGIO","GIUGNO","LUGLIO","AGOSTO","SETTEMBRE","OTTOBRE","NOVEMBRE","DICEMBRE"},0)</f>
        <v>10</v>
      </c>
      <c r="E1238" s="57" t="str">
        <f t="shared" si="1724"/>
        <v>OTTOBRE 2024</v>
      </c>
      <c r="F1238" s="57" t="str">
        <f t="shared" si="1725"/>
        <v>10 OTTOBRE 2024</v>
      </c>
      <c r="G1238" s="1309" t="s">
        <v>1246</v>
      </c>
      <c r="H1238" s="1309" t="str">
        <f>VLOOKUP(G1238,CATEGORIE!$H$3:$I$104,2,FALSE)</f>
        <v>COSTO SVAGHI</v>
      </c>
      <c r="I1238" s="59">
        <v>75</v>
      </c>
      <c r="J1238" s="943" t="s">
        <v>429</v>
      </c>
      <c r="K1238" s="59" t="s">
        <v>97</v>
      </c>
      <c r="L1238" s="59" t="s">
        <v>430</v>
      </c>
    </row>
    <row r="1239" spans="1:12">
      <c r="A1239" s="57" t="s">
        <v>99</v>
      </c>
      <c r="B1239" s="57" t="s">
        <v>217</v>
      </c>
      <c r="C1239" s="57">
        <v>2024</v>
      </c>
      <c r="D1239" s="58">
        <f>MATCH(B1239,{"GENNAIO","FEBBRAIO","MARZO","APRILE","MAGGIO","GIUGNO","LUGLIO","AGOSTO","SETTEMBRE","OTTOBRE","NOVEMBRE","DICEMBRE"},0)</f>
        <v>10</v>
      </c>
      <c r="E1239" s="57" t="str">
        <f t="shared" si="1724"/>
        <v>OTTOBRE 2024</v>
      </c>
      <c r="F1239" s="57" t="str">
        <f t="shared" si="1725"/>
        <v>10 OTTOBRE 2024</v>
      </c>
      <c r="G1239" s="1309" t="s">
        <v>100</v>
      </c>
      <c r="H1239" s="1309" t="str">
        <f>VLOOKUP(G1239,CATEGORIE!$H$3:$I$104,2,FALSE)</f>
        <v>COSTO SFIZI</v>
      </c>
      <c r="I1239" s="59">
        <v>14</v>
      </c>
      <c r="J1239" s="940" t="s">
        <v>167</v>
      </c>
      <c r="K1239" s="57" t="s">
        <v>99</v>
      </c>
      <c r="L1239" s="59" t="s">
        <v>423</v>
      </c>
    </row>
    <row r="1240" spans="1:12" ht="16.5" customHeight="1">
      <c r="A1240" s="57" t="s">
        <v>99</v>
      </c>
      <c r="B1240" s="57" t="s">
        <v>217</v>
      </c>
      <c r="C1240" s="57">
        <v>2024</v>
      </c>
      <c r="D1240" s="58">
        <f>MATCH(B1240,{"GENNAIO","FEBBRAIO","MARZO","APRILE","MAGGIO","GIUGNO","LUGLIO","AGOSTO","SETTEMBRE","OTTOBRE","NOVEMBRE","DICEMBRE"},0)</f>
        <v>10</v>
      </c>
      <c r="E1240" s="57" t="str">
        <f t="shared" si="1724"/>
        <v>OTTOBRE 2024</v>
      </c>
      <c r="F1240" s="57" t="str">
        <f t="shared" si="1725"/>
        <v>10 OTTOBRE 2024</v>
      </c>
      <c r="G1240" s="1309" t="s">
        <v>100</v>
      </c>
      <c r="H1240" s="1309" t="str">
        <f>VLOOKUP(G1240,CATEGORIE!$H$3:$I$104,2,FALSE)</f>
        <v>COSTO SFIZI</v>
      </c>
      <c r="I1240" s="59">
        <v>44.19</v>
      </c>
      <c r="J1240" s="940"/>
      <c r="K1240" s="57" t="s">
        <v>99</v>
      </c>
      <c r="L1240" s="59"/>
    </row>
    <row r="1241" spans="1:12" ht="16.5" customHeight="1">
      <c r="A1241" s="57" t="s">
        <v>131</v>
      </c>
      <c r="B1241" s="57" t="s">
        <v>217</v>
      </c>
      <c r="C1241" s="57">
        <v>2024</v>
      </c>
      <c r="D1241" s="58">
        <f>MATCH(B1241,{"GENNAIO","FEBBRAIO","MARZO","APRILE","MAGGIO","GIUGNO","LUGLIO","AGOSTO","SETTEMBRE","OTTOBRE","NOVEMBRE","DICEMBRE"},0)</f>
        <v>10</v>
      </c>
      <c r="E1241" s="57" t="str">
        <f t="shared" si="1724"/>
        <v>OTTOBRE 2024</v>
      </c>
      <c r="F1241" s="57" t="str">
        <f t="shared" si="1725"/>
        <v>10 OTTOBRE 2024</v>
      </c>
      <c r="G1241" s="1309" t="s">
        <v>132</v>
      </c>
      <c r="H1241" s="1309" t="str">
        <f>VLOOKUP(G1241,CATEGORIE!$H$3:$I$104,2,FALSE)</f>
        <v>COSTO CASA</v>
      </c>
      <c r="I1241" s="59">
        <v>5.95</v>
      </c>
      <c r="J1241" s="940"/>
      <c r="K1241" s="59"/>
      <c r="L1241" s="59"/>
    </row>
    <row r="1242" spans="1:12">
      <c r="A1242" s="57" t="s">
        <v>131</v>
      </c>
      <c r="B1242" s="57" t="s">
        <v>217</v>
      </c>
      <c r="C1242" s="57">
        <v>2024</v>
      </c>
      <c r="D1242" s="58">
        <f>MATCH(B1242,{"GENNAIO","FEBBRAIO","MARZO","APRILE","MAGGIO","GIUGNO","LUGLIO","AGOSTO","SETTEMBRE","OTTOBRE","NOVEMBRE","DICEMBRE"},0)</f>
        <v>10</v>
      </c>
      <c r="E1242" s="57" t="str">
        <f t="shared" si="1724"/>
        <v>OTTOBRE 2024</v>
      </c>
      <c r="F1242" s="57" t="str">
        <f t="shared" si="1725"/>
        <v>10 OTTOBRE 2024</v>
      </c>
      <c r="G1242" s="1309" t="s">
        <v>132</v>
      </c>
      <c r="H1242" s="1309" t="str">
        <f>VLOOKUP(G1242,CATEGORIE!$H$3:$I$104,2,FALSE)</f>
        <v>COSTO CASA</v>
      </c>
      <c r="I1242" s="59">
        <v>52.75</v>
      </c>
      <c r="J1242" s="940"/>
      <c r="K1242" s="59"/>
      <c r="L1242" s="59"/>
    </row>
    <row r="1243" spans="1:12" ht="16.5" customHeight="1">
      <c r="A1243" s="57" t="s">
        <v>160</v>
      </c>
      <c r="B1243" s="57" t="s">
        <v>217</v>
      </c>
      <c r="C1243" s="57">
        <v>2024</v>
      </c>
      <c r="D1243" s="58">
        <f>MATCH(B1243,{"GENNAIO","FEBBRAIO","MARZO","APRILE","MAGGIO","GIUGNO","LUGLIO","AGOSTO","SETTEMBRE","OTTOBRE","NOVEMBRE","DICEMBRE"},0)</f>
        <v>10</v>
      </c>
      <c r="E1243" s="57" t="str">
        <f t="shared" si="1724"/>
        <v>OTTOBRE 2024</v>
      </c>
      <c r="F1243" s="57" t="str">
        <f t="shared" si="1725"/>
        <v>10 OTTOBRE 2024</v>
      </c>
      <c r="G1243" s="1309" t="s">
        <v>111</v>
      </c>
      <c r="H1243" s="1309" t="str">
        <f>VLOOKUP(G1243,CATEGORIE!$H$3:$I$104,2,FALSE)</f>
        <v>COSTO MOBILITA'</v>
      </c>
      <c r="I1243" s="59">
        <v>3.3</v>
      </c>
      <c r="J1243" s="940"/>
      <c r="K1243" s="59"/>
      <c r="L1243" s="59"/>
    </row>
    <row r="1244" spans="1:12" ht="16.5" customHeight="1">
      <c r="A1244" s="57" t="s">
        <v>99</v>
      </c>
      <c r="B1244" s="57" t="s">
        <v>217</v>
      </c>
      <c r="C1244" s="57">
        <v>2024</v>
      </c>
      <c r="D1244" s="58">
        <f>MATCH(B1244,{"GENNAIO","FEBBRAIO","MARZO","APRILE","MAGGIO","GIUGNO","LUGLIO","AGOSTO","SETTEMBRE","OTTOBRE","NOVEMBRE","DICEMBRE"},0)</f>
        <v>10</v>
      </c>
      <c r="E1244" s="57" t="str">
        <f t="shared" si="1724"/>
        <v>OTTOBRE 2024</v>
      </c>
      <c r="F1244" s="57" t="str">
        <f t="shared" si="1725"/>
        <v>10 OTTOBRE 2024</v>
      </c>
      <c r="G1244" s="1309" t="s">
        <v>100</v>
      </c>
      <c r="H1244" s="1309" t="str">
        <f>VLOOKUP(G1244,CATEGORIE!$H$3:$I$104,2,FALSE)</f>
        <v>COSTO SFIZI</v>
      </c>
      <c r="I1244" s="59">
        <v>29.99</v>
      </c>
      <c r="J1244" s="940"/>
      <c r="K1244" s="57" t="s">
        <v>99</v>
      </c>
      <c r="L1244" s="59"/>
    </row>
    <row r="1245" spans="1:12">
      <c r="A1245" s="57" t="s">
        <v>92</v>
      </c>
      <c r="B1245" s="57" t="s">
        <v>217</v>
      </c>
      <c r="C1245" s="57">
        <v>2024</v>
      </c>
      <c r="D1245" s="58">
        <f>MATCH(B1245,{"GENNAIO","FEBBRAIO","MARZO","APRILE","MAGGIO","GIUGNO","LUGLIO","AGOSTO","SETTEMBRE","OTTOBRE","NOVEMBRE","DICEMBRE"},0)</f>
        <v>10</v>
      </c>
      <c r="E1245" s="57" t="str">
        <f t="shared" si="1724"/>
        <v>OTTOBRE 2024</v>
      </c>
      <c r="F1245" s="57" t="str">
        <f t="shared" si="1725"/>
        <v>10 OTTOBRE 2024</v>
      </c>
      <c r="G1245" s="1309" t="s">
        <v>93</v>
      </c>
      <c r="H1245" s="1309" t="str">
        <f>VLOOKUP(G1245,CATEGORIE!$H$3:$I$104,2,FALSE)</f>
        <v>COSTO SOPRAVVIVENZA</v>
      </c>
      <c r="I1245" s="59">
        <v>6.5</v>
      </c>
      <c r="J1245" s="940"/>
      <c r="K1245" s="59"/>
      <c r="L1245" s="59"/>
    </row>
    <row r="1246" spans="1:12" ht="18.600000000000001" customHeight="1">
      <c r="A1246" s="57" t="s">
        <v>160</v>
      </c>
      <c r="B1246" s="57" t="s">
        <v>217</v>
      </c>
      <c r="C1246" s="57">
        <v>2024</v>
      </c>
      <c r="D1246" s="58">
        <f>MATCH(B1246,{"GENNAIO","FEBBRAIO","MARZO","APRILE","MAGGIO","GIUGNO","LUGLIO","AGOSTO","SETTEMBRE","OTTOBRE","NOVEMBRE","DICEMBRE"},0)</f>
        <v>10</v>
      </c>
      <c r="E1246" s="57" t="str">
        <f t="shared" si="1724"/>
        <v>OTTOBRE 2024</v>
      </c>
      <c r="F1246" s="57" t="str">
        <f t="shared" si="1725"/>
        <v>10 OTTOBRE 2024</v>
      </c>
      <c r="G1246" s="1309" t="s">
        <v>111</v>
      </c>
      <c r="H1246" s="1309" t="str">
        <f>VLOOKUP(G1246,CATEGORIE!$H$3:$I$104,2,FALSE)</f>
        <v>COSTO MOBILITA'</v>
      </c>
      <c r="I1246" s="59">
        <v>1.7</v>
      </c>
      <c r="J1246" s="940"/>
      <c r="K1246" s="59"/>
      <c r="L1246" s="59"/>
    </row>
    <row r="1247" spans="1:12" ht="16.5" customHeight="1">
      <c r="A1247" s="57" t="s">
        <v>99</v>
      </c>
      <c r="B1247" s="57" t="s">
        <v>217</v>
      </c>
      <c r="C1247" s="57">
        <v>2024</v>
      </c>
      <c r="D1247" s="58">
        <f>MATCH(B1247,{"GENNAIO","FEBBRAIO","MARZO","APRILE","MAGGIO","GIUGNO","LUGLIO","AGOSTO","SETTEMBRE","OTTOBRE","NOVEMBRE","DICEMBRE"},0)</f>
        <v>10</v>
      </c>
      <c r="E1247" s="57" t="str">
        <f t="shared" si="1724"/>
        <v>OTTOBRE 2024</v>
      </c>
      <c r="F1247" s="57" t="str">
        <f t="shared" si="1725"/>
        <v>10 OTTOBRE 2024</v>
      </c>
      <c r="G1247" s="1309" t="s">
        <v>185</v>
      </c>
      <c r="H1247" s="1309" t="str">
        <f>VLOOKUP(G1247,CATEGORIE!$H$3:$I$104,2,FALSE)</f>
        <v>COSTO SFIZI</v>
      </c>
      <c r="I1247" s="59">
        <v>15</v>
      </c>
      <c r="J1247" s="940" t="s">
        <v>145</v>
      </c>
      <c r="K1247" s="57" t="s">
        <v>99</v>
      </c>
      <c r="L1247" s="59" t="s">
        <v>386</v>
      </c>
    </row>
    <row r="1248" spans="1:12" ht="16.5" customHeight="1">
      <c r="A1248" s="57" t="s">
        <v>106</v>
      </c>
      <c r="B1248" s="57" t="s">
        <v>217</v>
      </c>
      <c r="C1248" s="57">
        <v>2024</v>
      </c>
      <c r="D1248" s="58">
        <f>MATCH(B1248,{"GENNAIO","FEBBRAIO","MARZO","APRILE","MAGGIO","GIUGNO","LUGLIO","AGOSTO","SETTEMBRE","OTTOBRE","NOVEMBRE","DICEMBRE"},0)</f>
        <v>10</v>
      </c>
      <c r="E1248" s="57" t="str">
        <f t="shared" si="1724"/>
        <v>OTTOBRE 2024</v>
      </c>
      <c r="F1248" s="57" t="str">
        <f t="shared" si="1725"/>
        <v>10 OTTOBRE 2024</v>
      </c>
      <c r="G1248" s="1309" t="s">
        <v>107</v>
      </c>
      <c r="H1248" s="1309" t="str">
        <f>VLOOKUP(G1248,CATEGORIE!$H$3:$I$104,2,FALSE)</f>
        <v>COSTO SOPRAVVIVENZA</v>
      </c>
      <c r="I1248" s="59">
        <v>33</v>
      </c>
      <c r="J1248" s="940"/>
      <c r="K1248" s="59"/>
      <c r="L1248" s="59"/>
    </row>
    <row r="1249" spans="1:12" ht="16.5" customHeight="1">
      <c r="A1249" s="57" t="s">
        <v>95</v>
      </c>
      <c r="B1249" s="57" t="s">
        <v>217</v>
      </c>
      <c r="C1249" s="57">
        <v>2024</v>
      </c>
      <c r="D1249" s="58">
        <f>MATCH(B1249,{"GENNAIO","FEBBRAIO","MARZO","APRILE","MAGGIO","GIUGNO","LUGLIO","AGOSTO","SETTEMBRE","OTTOBRE","NOVEMBRE","DICEMBRE"},0)</f>
        <v>10</v>
      </c>
      <c r="E1249" s="57" t="str">
        <f t="shared" si="1724"/>
        <v>OTTOBRE 2024</v>
      </c>
      <c r="F1249" s="57" t="str">
        <f t="shared" si="1725"/>
        <v>10 OTTOBRE 2024</v>
      </c>
      <c r="G1249" s="1309" t="s">
        <v>96</v>
      </c>
      <c r="H1249" s="1309" t="str">
        <f>VLOOKUP(G1249,CATEGORIE!$H$3:$I$104,2,FALSE)</f>
        <v>COSTO SOPRAVVIVENZA</v>
      </c>
      <c r="I1249" s="59">
        <v>14.22</v>
      </c>
      <c r="J1249" s="940"/>
      <c r="K1249" s="59"/>
      <c r="L1249" s="59"/>
    </row>
    <row r="1250" spans="1:12">
      <c r="A1250" s="57" t="s">
        <v>101</v>
      </c>
      <c r="B1250" s="57" t="s">
        <v>217</v>
      </c>
      <c r="C1250" s="57">
        <v>2024</v>
      </c>
      <c r="D1250" s="58">
        <f>MATCH(B1250,{"GENNAIO","FEBBRAIO","MARZO","APRILE","MAGGIO","GIUGNO","LUGLIO","AGOSTO","SETTEMBRE","OTTOBRE","NOVEMBRE","DICEMBRE"},0)</f>
        <v>10</v>
      </c>
      <c r="E1250" s="57" t="str">
        <f t="shared" si="1724"/>
        <v>OTTOBRE 2024</v>
      </c>
      <c r="F1250" s="57" t="str">
        <f t="shared" si="1725"/>
        <v>10 OTTOBRE 2024</v>
      </c>
      <c r="G1250" s="1309" t="s">
        <v>91</v>
      </c>
      <c r="H1250" s="1309" t="str">
        <f>VLOOKUP(G1250,CATEGORIE!$H$3:$I$104,2,FALSE)</f>
        <v>COSTO SOPRAVVIVENZA</v>
      </c>
      <c r="I1250" s="59">
        <v>0.4</v>
      </c>
      <c r="J1250" s="940"/>
      <c r="K1250" s="59"/>
      <c r="L1250" s="59"/>
    </row>
    <row r="1251" spans="1:12">
      <c r="A1251" s="57" t="s">
        <v>101</v>
      </c>
      <c r="B1251" s="57" t="s">
        <v>217</v>
      </c>
      <c r="C1251" s="57">
        <v>2024</v>
      </c>
      <c r="D1251" s="58">
        <f>MATCH(B1251,{"GENNAIO","FEBBRAIO","MARZO","APRILE","MAGGIO","GIUGNO","LUGLIO","AGOSTO","SETTEMBRE","OTTOBRE","NOVEMBRE","DICEMBRE"},0)</f>
        <v>10</v>
      </c>
      <c r="E1251" s="57" t="str">
        <f t="shared" si="1724"/>
        <v>OTTOBRE 2024</v>
      </c>
      <c r="F1251" s="57" t="str">
        <f t="shared" si="1725"/>
        <v>10 OTTOBRE 2024</v>
      </c>
      <c r="G1251" s="1309" t="s">
        <v>91</v>
      </c>
      <c r="H1251" s="1309" t="str">
        <f>VLOOKUP(G1251,CATEGORIE!$H$3:$I$104,2,FALSE)</f>
        <v>COSTO SOPRAVVIVENZA</v>
      </c>
      <c r="I1251" s="59">
        <v>0.4</v>
      </c>
      <c r="J1251" s="940"/>
      <c r="K1251" s="59"/>
      <c r="L1251" s="59"/>
    </row>
    <row r="1252" spans="1:12">
      <c r="A1252" s="57" t="s">
        <v>101</v>
      </c>
      <c r="B1252" s="57" t="s">
        <v>217</v>
      </c>
      <c r="C1252" s="57">
        <v>2024</v>
      </c>
      <c r="D1252" s="58">
        <f>MATCH(B1252,{"GENNAIO","FEBBRAIO","MARZO","APRILE","MAGGIO","GIUGNO","LUGLIO","AGOSTO","SETTEMBRE","OTTOBRE","NOVEMBRE","DICEMBRE"},0)</f>
        <v>10</v>
      </c>
      <c r="E1252" s="57" t="str">
        <f t="shared" si="1724"/>
        <v>OTTOBRE 2024</v>
      </c>
      <c r="F1252" s="57" t="str">
        <f t="shared" si="1725"/>
        <v>10 OTTOBRE 2024</v>
      </c>
      <c r="G1252" s="1309" t="s">
        <v>91</v>
      </c>
      <c r="H1252" s="1309" t="str">
        <f>VLOOKUP(G1252,CATEGORIE!$H$3:$I$104,2,FALSE)</f>
        <v>COSTO SOPRAVVIVENZA</v>
      </c>
      <c r="I1252" s="59">
        <v>0.4</v>
      </c>
      <c r="J1252" s="940"/>
      <c r="K1252" s="59"/>
      <c r="L1252" s="59"/>
    </row>
    <row r="1253" spans="1:12">
      <c r="A1253" s="57" t="s">
        <v>340</v>
      </c>
      <c r="B1253" s="57" t="s">
        <v>217</v>
      </c>
      <c r="C1253" s="57">
        <v>2024</v>
      </c>
      <c r="D1253" s="58">
        <f>MATCH(B1253,{"GENNAIO","FEBBRAIO","MARZO","APRILE","MAGGIO","GIUGNO","LUGLIO","AGOSTO","SETTEMBRE","OTTOBRE","NOVEMBRE","DICEMBRE"},0)</f>
        <v>10</v>
      </c>
      <c r="E1253" s="57" t="str">
        <f t="shared" si="1724"/>
        <v>OTTOBRE 2024</v>
      </c>
      <c r="F1253" s="57" t="str">
        <f t="shared" si="1725"/>
        <v>10 OTTOBRE 2024</v>
      </c>
      <c r="G1253" s="1309" t="s">
        <v>100</v>
      </c>
      <c r="H1253" s="1309" t="str">
        <f>VLOOKUP(G1253,CATEGORIE!$H$3:$I$104,2,FALSE)</f>
        <v>COSTO SFIZI</v>
      </c>
      <c r="I1253" s="59">
        <v>36.32</v>
      </c>
      <c r="J1253" s="940" t="s">
        <v>138</v>
      </c>
      <c r="K1253" s="59" t="s">
        <v>112</v>
      </c>
      <c r="L1253" s="59"/>
    </row>
    <row r="1254" spans="1:12">
      <c r="A1254" s="57" t="s">
        <v>120</v>
      </c>
      <c r="B1254" s="57" t="s">
        <v>217</v>
      </c>
      <c r="C1254" s="57">
        <v>2024</v>
      </c>
      <c r="D1254" s="58">
        <f>MATCH(B1254,{"GENNAIO","FEBBRAIO","MARZO","APRILE","MAGGIO","GIUGNO","LUGLIO","AGOSTO","SETTEMBRE","OTTOBRE","NOVEMBRE","DICEMBRE"},0)</f>
        <v>10</v>
      </c>
      <c r="E1254" s="57" t="str">
        <f t="shared" si="1724"/>
        <v>OTTOBRE 2024</v>
      </c>
      <c r="F1254" s="57" t="str">
        <f t="shared" si="1725"/>
        <v>10 OTTOBRE 2024</v>
      </c>
      <c r="G1254" s="1309" t="s">
        <v>121</v>
      </c>
      <c r="H1254" s="1309" t="str">
        <f>VLOOKUP(G1254,CATEGORIE!$H$3:$I$104,2,FALSE)</f>
        <v>COSTO MOBILITA'</v>
      </c>
      <c r="I1254" s="59">
        <v>11</v>
      </c>
      <c r="J1254" s="940"/>
      <c r="K1254" s="59"/>
      <c r="L1254" s="59"/>
    </row>
    <row r="1255" spans="1:12" ht="16.5" customHeight="1">
      <c r="A1255" s="57" t="s">
        <v>105</v>
      </c>
      <c r="B1255" s="57" t="s">
        <v>217</v>
      </c>
      <c r="C1255" s="57">
        <v>2024</v>
      </c>
      <c r="D1255" s="58">
        <f>MATCH(B1255,{"GENNAIO","FEBBRAIO","MARZO","APRILE","MAGGIO","GIUGNO","LUGLIO","AGOSTO","SETTEMBRE","OTTOBRE","NOVEMBRE","DICEMBRE"},0)</f>
        <v>10</v>
      </c>
      <c r="E1255" s="57" t="str">
        <f t="shared" si="1724"/>
        <v>OTTOBRE 2024</v>
      </c>
      <c r="F1255" s="57" t="str">
        <f t="shared" si="1725"/>
        <v>10 OTTOBRE 2024</v>
      </c>
      <c r="G1255" s="1309" t="s">
        <v>96</v>
      </c>
      <c r="H1255" s="1309" t="str">
        <f>VLOOKUP(G1255,CATEGORIE!$H$3:$I$104,2,FALSE)</f>
        <v>COSTO SOPRAVVIVENZA</v>
      </c>
      <c r="I1255" s="59">
        <v>11.93</v>
      </c>
      <c r="J1255" s="940"/>
      <c r="K1255" s="59"/>
      <c r="L1255" s="59"/>
    </row>
    <row r="1256" spans="1:12" ht="16.5" customHeight="1">
      <c r="A1256" s="57" t="s">
        <v>92</v>
      </c>
      <c r="B1256" s="57" t="s">
        <v>217</v>
      </c>
      <c r="C1256" s="57">
        <v>2024</v>
      </c>
      <c r="D1256" s="58">
        <f>MATCH(B1256,{"GENNAIO","FEBBRAIO","MARZO","APRILE","MAGGIO","GIUGNO","LUGLIO","AGOSTO","SETTEMBRE","OTTOBRE","NOVEMBRE","DICEMBRE"},0)</f>
        <v>10</v>
      </c>
      <c r="E1256" s="57" t="str">
        <f t="shared" si="1724"/>
        <v>OTTOBRE 2024</v>
      </c>
      <c r="F1256" s="57" t="str">
        <f t="shared" si="1725"/>
        <v>10 OTTOBRE 2024</v>
      </c>
      <c r="G1256" s="1309" t="s">
        <v>94</v>
      </c>
      <c r="H1256" s="1309" t="str">
        <f>VLOOKUP(G1256,CATEGORIE!$H$3:$I$104,2,FALSE)</f>
        <v>COSTO SVAGHI</v>
      </c>
      <c r="I1256" s="59">
        <v>11.6</v>
      </c>
      <c r="J1256" s="940"/>
      <c r="K1256" s="59"/>
      <c r="L1256" s="59"/>
    </row>
    <row r="1257" spans="1:12" ht="18.600000000000001" customHeight="1">
      <c r="A1257" s="57" t="s">
        <v>92</v>
      </c>
      <c r="B1257" s="57" t="s">
        <v>217</v>
      </c>
      <c r="C1257" s="57">
        <v>2024</v>
      </c>
      <c r="D1257" s="58">
        <f>MATCH(B1257,{"GENNAIO","FEBBRAIO","MARZO","APRILE","MAGGIO","GIUGNO","LUGLIO","AGOSTO","SETTEMBRE","OTTOBRE","NOVEMBRE","DICEMBRE"},0)</f>
        <v>10</v>
      </c>
      <c r="E1257" s="57" t="str">
        <f t="shared" si="1724"/>
        <v>OTTOBRE 2024</v>
      </c>
      <c r="F1257" s="57" t="str">
        <f t="shared" si="1725"/>
        <v>10 OTTOBRE 2024</v>
      </c>
      <c r="G1257" s="1309" t="s">
        <v>93</v>
      </c>
      <c r="H1257" s="1309" t="str">
        <f>VLOOKUP(G1257,CATEGORIE!$H$3:$I$104,2,FALSE)</f>
        <v>COSTO SOPRAVVIVENZA</v>
      </c>
      <c r="I1257" s="59">
        <v>6.5</v>
      </c>
      <c r="J1257" s="940"/>
      <c r="K1257" s="59"/>
      <c r="L1257" s="59"/>
    </row>
    <row r="1258" spans="1:12" ht="18.600000000000001" customHeight="1">
      <c r="A1258" s="57" t="s">
        <v>101</v>
      </c>
      <c r="B1258" s="57" t="s">
        <v>240</v>
      </c>
      <c r="C1258" s="57">
        <v>2024</v>
      </c>
      <c r="D1258" s="58">
        <f>MATCH(B1258,{"GENNAIO","FEBBRAIO","MARZO","APRILE","MAGGIO","GIUGNO","LUGLIO","AGOSTO","SETTEMBRE","OTTOBRE","NOVEMBRE","DICEMBRE"},0)</f>
        <v>9</v>
      </c>
      <c r="E1258" s="57" t="str">
        <f t="shared" si="1724"/>
        <v>SETTEMBRE 2024</v>
      </c>
      <c r="F1258" s="57" t="str">
        <f t="shared" si="1725"/>
        <v>9 SETTEMBRE 2024</v>
      </c>
      <c r="G1258" s="1309" t="s">
        <v>91</v>
      </c>
      <c r="H1258" s="1309" t="str">
        <f>VLOOKUP(G1258,CATEGORIE!$H$3:$I$104,2,FALSE)</f>
        <v>COSTO SOPRAVVIVENZA</v>
      </c>
      <c r="I1258" s="59">
        <v>0.7</v>
      </c>
      <c r="J1258" s="940"/>
      <c r="K1258" s="59"/>
      <c r="L1258" s="59"/>
    </row>
    <row r="1259" spans="1:12" ht="18.600000000000001" customHeight="1">
      <c r="A1259" s="57" t="s">
        <v>101</v>
      </c>
      <c r="B1259" s="57" t="s">
        <v>240</v>
      </c>
      <c r="C1259" s="57">
        <v>2024</v>
      </c>
      <c r="D1259" s="58">
        <f>MATCH(B1259,{"GENNAIO","FEBBRAIO","MARZO","APRILE","MAGGIO","GIUGNO","LUGLIO","AGOSTO","SETTEMBRE","OTTOBRE","NOVEMBRE","DICEMBRE"},0)</f>
        <v>9</v>
      </c>
      <c r="E1259" s="57" t="str">
        <f t="shared" si="1724"/>
        <v>SETTEMBRE 2024</v>
      </c>
      <c r="F1259" s="57" t="str">
        <f t="shared" si="1725"/>
        <v>9 SETTEMBRE 2024</v>
      </c>
      <c r="G1259" s="1309" t="s">
        <v>91</v>
      </c>
      <c r="H1259" s="1309" t="str">
        <f>VLOOKUP(G1259,CATEGORIE!$H$3:$I$104,2,FALSE)</f>
        <v>COSTO SOPRAVVIVENZA</v>
      </c>
      <c r="I1259" s="59">
        <v>0.7</v>
      </c>
      <c r="J1259" s="940"/>
      <c r="K1259" s="59"/>
      <c r="L1259" s="59"/>
    </row>
    <row r="1260" spans="1:12" ht="16.5" customHeight="1">
      <c r="A1260" s="57" t="s">
        <v>102</v>
      </c>
      <c r="B1260" s="57" t="s">
        <v>240</v>
      </c>
      <c r="C1260" s="57">
        <v>2024</v>
      </c>
      <c r="D1260" s="58">
        <f>MATCH(B1260,{"GENNAIO","FEBBRAIO","MARZO","APRILE","MAGGIO","GIUGNO","LUGLIO","AGOSTO","SETTEMBRE","OTTOBRE","NOVEMBRE","DICEMBRE"},0)</f>
        <v>9</v>
      </c>
      <c r="E1260" s="57" t="str">
        <f t="shared" si="1724"/>
        <v>SETTEMBRE 2024</v>
      </c>
      <c r="F1260" s="57" t="str">
        <f t="shared" si="1725"/>
        <v>9 SETTEMBRE 2024</v>
      </c>
      <c r="G1260" s="1309" t="s">
        <v>96</v>
      </c>
      <c r="H1260" s="1309" t="str">
        <f>VLOOKUP(G1260,CATEGORIE!$H$3:$I$104,2,FALSE)</f>
        <v>COSTO SOPRAVVIVENZA</v>
      </c>
      <c r="I1260" s="59">
        <v>6.11</v>
      </c>
      <c r="J1260" s="940"/>
      <c r="K1260" s="59"/>
      <c r="L1260" s="59"/>
    </row>
    <row r="1261" spans="1:12" ht="16.5" customHeight="1">
      <c r="A1261" s="57" t="s">
        <v>135</v>
      </c>
      <c r="B1261" s="57" t="s">
        <v>240</v>
      </c>
      <c r="C1261" s="57">
        <v>2024</v>
      </c>
      <c r="D1261" s="58">
        <f>MATCH(B1261,{"GENNAIO","FEBBRAIO","MARZO","APRILE","MAGGIO","GIUGNO","LUGLIO","AGOSTO","SETTEMBRE","OTTOBRE","NOVEMBRE","DICEMBRE"},0)</f>
        <v>9</v>
      </c>
      <c r="E1261" s="57" t="str">
        <f t="shared" si="1724"/>
        <v>SETTEMBRE 2024</v>
      </c>
      <c r="F1261" s="57" t="str">
        <f t="shared" si="1725"/>
        <v>9 SETTEMBRE 2024</v>
      </c>
      <c r="G1261" s="1309" t="s">
        <v>132</v>
      </c>
      <c r="H1261" s="1309" t="str">
        <f>VLOOKUP(G1261,CATEGORIE!$H$3:$I$104,2,FALSE)</f>
        <v>COSTO CASA</v>
      </c>
      <c r="I1261" s="59">
        <v>8.7899999999999991</v>
      </c>
      <c r="J1261" s="940"/>
      <c r="K1261" s="59"/>
      <c r="L1261" s="59"/>
    </row>
    <row r="1262" spans="1:12" ht="16.5" customHeight="1">
      <c r="A1262" s="57" t="s">
        <v>431</v>
      </c>
      <c r="B1262" s="57" t="s">
        <v>240</v>
      </c>
      <c r="C1262" s="57">
        <v>2024</v>
      </c>
      <c r="D1262" s="58">
        <f>MATCH(B1262,{"GENNAIO","FEBBRAIO","MARZO","APRILE","MAGGIO","GIUGNO","LUGLIO","AGOSTO","SETTEMBRE","OTTOBRE","NOVEMBRE","DICEMBRE"},0)</f>
        <v>9</v>
      </c>
      <c r="E1262" s="57" t="str">
        <f t="shared" si="1724"/>
        <v>SETTEMBRE 2024</v>
      </c>
      <c r="F1262" s="57" t="str">
        <f t="shared" si="1725"/>
        <v>9 SETTEMBRE 2024</v>
      </c>
      <c r="G1262" s="1309" t="s">
        <v>116</v>
      </c>
      <c r="H1262" s="1309" t="str">
        <f>VLOOKUP(G1262,CATEGORIE!$H$3:$I$104,2,FALSE)</f>
        <v>TASSE</v>
      </c>
      <c r="I1262" s="59">
        <v>19.850000000000001</v>
      </c>
      <c r="J1262" s="940"/>
      <c r="K1262" s="59"/>
      <c r="L1262" s="59"/>
    </row>
    <row r="1263" spans="1:12" ht="18.600000000000001" customHeight="1">
      <c r="A1263" s="57" t="s">
        <v>101</v>
      </c>
      <c r="B1263" s="57" t="s">
        <v>240</v>
      </c>
      <c r="C1263" s="57">
        <v>2024</v>
      </c>
      <c r="D1263" s="58">
        <f>MATCH(B1263,{"GENNAIO","FEBBRAIO","MARZO","APRILE","MAGGIO","GIUGNO","LUGLIO","AGOSTO","SETTEMBRE","OTTOBRE","NOVEMBRE","DICEMBRE"},0)</f>
        <v>9</v>
      </c>
      <c r="E1263" s="57" t="str">
        <f t="shared" si="1724"/>
        <v>SETTEMBRE 2024</v>
      </c>
      <c r="F1263" s="57" t="str">
        <f t="shared" si="1725"/>
        <v>9 SETTEMBRE 2024</v>
      </c>
      <c r="G1263" s="1309" t="s">
        <v>91</v>
      </c>
      <c r="H1263" s="1309" t="str">
        <f>VLOOKUP(G1263,CATEGORIE!$H$3:$I$104,2,FALSE)</f>
        <v>COSTO SOPRAVVIVENZA</v>
      </c>
      <c r="I1263" s="59">
        <v>0.4</v>
      </c>
      <c r="J1263" s="940"/>
      <c r="K1263" s="59"/>
      <c r="L1263" s="59"/>
    </row>
    <row r="1264" spans="1:12">
      <c r="A1264" s="57" t="s">
        <v>101</v>
      </c>
      <c r="B1264" s="57" t="s">
        <v>240</v>
      </c>
      <c r="C1264" s="57">
        <v>2024</v>
      </c>
      <c r="D1264" s="58">
        <f>MATCH(B1264,{"GENNAIO","FEBBRAIO","MARZO","APRILE","MAGGIO","GIUGNO","LUGLIO","AGOSTO","SETTEMBRE","OTTOBRE","NOVEMBRE","DICEMBRE"},0)</f>
        <v>9</v>
      </c>
      <c r="E1264" s="57" t="str">
        <f t="shared" si="1724"/>
        <v>SETTEMBRE 2024</v>
      </c>
      <c r="F1264" s="57" t="str">
        <f t="shared" si="1725"/>
        <v>9 SETTEMBRE 2024</v>
      </c>
      <c r="G1264" s="1309" t="s">
        <v>91</v>
      </c>
      <c r="H1264" s="1309" t="str">
        <f>VLOOKUP(G1264,CATEGORIE!$H$3:$I$104,2,FALSE)</f>
        <v>COSTO SOPRAVVIVENZA</v>
      </c>
      <c r="I1264" s="59">
        <v>0.4</v>
      </c>
      <c r="J1264" s="940"/>
      <c r="K1264" s="59"/>
      <c r="L1264" s="59"/>
    </row>
    <row r="1265" spans="1:12">
      <c r="A1265" s="57" t="s">
        <v>101</v>
      </c>
      <c r="B1265" s="57" t="s">
        <v>240</v>
      </c>
      <c r="C1265" s="57">
        <v>2024</v>
      </c>
      <c r="D1265" s="58">
        <f>MATCH(B1265,{"GENNAIO","FEBBRAIO","MARZO","APRILE","MAGGIO","GIUGNO","LUGLIO","AGOSTO","SETTEMBRE","OTTOBRE","NOVEMBRE","DICEMBRE"},0)</f>
        <v>9</v>
      </c>
      <c r="E1265" s="57" t="str">
        <f t="shared" si="1724"/>
        <v>SETTEMBRE 2024</v>
      </c>
      <c r="F1265" s="57" t="str">
        <f t="shared" si="1725"/>
        <v>9 SETTEMBRE 2024</v>
      </c>
      <c r="G1265" s="1309" t="s">
        <v>91</v>
      </c>
      <c r="H1265" s="1309" t="str">
        <f>VLOOKUP(G1265,CATEGORIE!$H$3:$I$104,2,FALSE)</f>
        <v>COSTO SOPRAVVIVENZA</v>
      </c>
      <c r="I1265" s="59">
        <v>0.4</v>
      </c>
      <c r="J1265" s="940"/>
      <c r="K1265" s="59"/>
      <c r="L1265" s="59"/>
    </row>
    <row r="1266" spans="1:12">
      <c r="A1266" s="57" t="s">
        <v>357</v>
      </c>
      <c r="B1266" s="57" t="s">
        <v>240</v>
      </c>
      <c r="C1266" s="57">
        <v>2024</v>
      </c>
      <c r="D1266" s="58">
        <f>MATCH(B1266,{"GENNAIO","FEBBRAIO","MARZO","APRILE","MAGGIO","GIUGNO","LUGLIO","AGOSTO","SETTEMBRE","OTTOBRE","NOVEMBRE","DICEMBRE"},0)</f>
        <v>9</v>
      </c>
      <c r="E1266" s="57" t="str">
        <f t="shared" si="1724"/>
        <v>SETTEMBRE 2024</v>
      </c>
      <c r="F1266" s="57" t="str">
        <f t="shared" si="1725"/>
        <v>9 SETTEMBRE 2024</v>
      </c>
      <c r="G1266" s="1309" t="s">
        <v>96</v>
      </c>
      <c r="H1266" s="1309" t="str">
        <f>VLOOKUP(G1266,CATEGORIE!$H$3:$I$104,2,FALSE)</f>
        <v>COSTO SOPRAVVIVENZA</v>
      </c>
      <c r="I1266" s="59">
        <v>8.83</v>
      </c>
      <c r="J1266" s="940"/>
      <c r="K1266" s="59"/>
      <c r="L1266" s="59"/>
    </row>
    <row r="1267" spans="1:12" ht="18" customHeight="1">
      <c r="A1267" s="57" t="s">
        <v>92</v>
      </c>
      <c r="B1267" s="57" t="s">
        <v>240</v>
      </c>
      <c r="C1267" s="57">
        <v>2024</v>
      </c>
      <c r="D1267" s="58">
        <f>MATCH(B1267,{"GENNAIO","FEBBRAIO","MARZO","APRILE","MAGGIO","GIUGNO","LUGLIO","AGOSTO","SETTEMBRE","OTTOBRE","NOVEMBRE","DICEMBRE"},0)</f>
        <v>9</v>
      </c>
      <c r="E1267" s="57" t="str">
        <f t="shared" si="1724"/>
        <v>SETTEMBRE 2024</v>
      </c>
      <c r="F1267" s="57" t="str">
        <f t="shared" si="1725"/>
        <v>9 SETTEMBRE 2024</v>
      </c>
      <c r="G1267" s="1309" t="s">
        <v>93</v>
      </c>
      <c r="H1267" s="1309" t="str">
        <f>VLOOKUP(G1267,CATEGORIE!$H$3:$I$104,2,FALSE)</f>
        <v>COSTO SOPRAVVIVENZA</v>
      </c>
      <c r="I1267" s="59">
        <v>6.5</v>
      </c>
      <c r="J1267" s="940"/>
      <c r="K1267" s="59"/>
      <c r="L1267" s="59"/>
    </row>
    <row r="1268" spans="1:12">
      <c r="A1268" s="57" t="s">
        <v>131</v>
      </c>
      <c r="B1268" s="57" t="s">
        <v>240</v>
      </c>
      <c r="C1268" s="57">
        <v>2024</v>
      </c>
      <c r="D1268" s="58">
        <f>MATCH(B1268,{"GENNAIO","FEBBRAIO","MARZO","APRILE","MAGGIO","GIUGNO","LUGLIO","AGOSTO","SETTEMBRE","OTTOBRE","NOVEMBRE","DICEMBRE"},0)</f>
        <v>9</v>
      </c>
      <c r="E1268" s="57" t="str">
        <f t="shared" si="1724"/>
        <v>SETTEMBRE 2024</v>
      </c>
      <c r="F1268" s="57" t="str">
        <f t="shared" si="1725"/>
        <v>9 SETTEMBRE 2024</v>
      </c>
      <c r="G1268" s="1309" t="s">
        <v>132</v>
      </c>
      <c r="H1268" s="1309" t="str">
        <f>VLOOKUP(G1268,CATEGORIE!$H$3:$I$104,2,FALSE)</f>
        <v>COSTO CASA</v>
      </c>
      <c r="I1268" s="59">
        <v>41.7</v>
      </c>
      <c r="J1268" s="940"/>
      <c r="K1268" s="59"/>
      <c r="L1268" s="59"/>
    </row>
    <row r="1269" spans="1:12" ht="16.5" customHeight="1">
      <c r="A1269" s="57" t="s">
        <v>92</v>
      </c>
      <c r="B1269" s="57" t="s">
        <v>240</v>
      </c>
      <c r="C1269" s="57">
        <v>2024</v>
      </c>
      <c r="D1269" s="58">
        <f>MATCH(B1269,{"GENNAIO","FEBBRAIO","MARZO","APRILE","MAGGIO","GIUGNO","LUGLIO","AGOSTO","SETTEMBRE","OTTOBRE","NOVEMBRE","DICEMBRE"},0)</f>
        <v>9</v>
      </c>
      <c r="E1269" s="57" t="str">
        <f t="shared" si="1724"/>
        <v>SETTEMBRE 2024</v>
      </c>
      <c r="F1269" s="57" t="str">
        <f t="shared" si="1725"/>
        <v>9 SETTEMBRE 2024</v>
      </c>
      <c r="G1269" s="1309" t="s">
        <v>93</v>
      </c>
      <c r="H1269" s="1309" t="str">
        <f>VLOOKUP(G1269,CATEGORIE!$H$3:$I$104,2,FALSE)</f>
        <v>COSTO SOPRAVVIVENZA</v>
      </c>
      <c r="I1269" s="59">
        <v>6.5</v>
      </c>
      <c r="J1269" s="940"/>
      <c r="K1269" s="59"/>
      <c r="L1269" s="59"/>
    </row>
    <row r="1270" spans="1:12" ht="18.600000000000001" customHeight="1">
      <c r="A1270" s="57" t="s">
        <v>241</v>
      </c>
      <c r="B1270" s="57" t="s">
        <v>240</v>
      </c>
      <c r="C1270" s="57">
        <v>2024</v>
      </c>
      <c r="D1270" s="58">
        <f>MATCH(B1270,{"GENNAIO","FEBBRAIO","MARZO","APRILE","MAGGIO","GIUGNO","LUGLIO","AGOSTO","SETTEMBRE","OTTOBRE","NOVEMBRE","DICEMBRE"},0)</f>
        <v>9</v>
      </c>
      <c r="E1270" s="57" t="str">
        <f t="shared" si="1724"/>
        <v>SETTEMBRE 2024</v>
      </c>
      <c r="F1270" s="57" t="str">
        <f t="shared" si="1725"/>
        <v>9 SETTEMBRE 2024</v>
      </c>
      <c r="G1270" s="1309" t="s">
        <v>242</v>
      </c>
      <c r="H1270" s="1309" t="str">
        <f>VLOOKUP(G1270,CATEGORIE!$H$3:$I$104,2,FALSE)</f>
        <v>COSTO ABBONAMENTI</v>
      </c>
      <c r="I1270" s="59">
        <v>8.49</v>
      </c>
      <c r="J1270" s="940"/>
      <c r="K1270" s="59" t="s">
        <v>112</v>
      </c>
      <c r="L1270" s="59"/>
    </row>
    <row r="1271" spans="1:12" ht="18.600000000000001" customHeight="1">
      <c r="A1271" s="57" t="s">
        <v>92</v>
      </c>
      <c r="B1271" s="57" t="s">
        <v>240</v>
      </c>
      <c r="C1271" s="57">
        <v>2024</v>
      </c>
      <c r="D1271" s="58">
        <f>MATCH(B1271,{"GENNAIO","FEBBRAIO","MARZO","APRILE","MAGGIO","GIUGNO","LUGLIO","AGOSTO","SETTEMBRE","OTTOBRE","NOVEMBRE","DICEMBRE"},0)</f>
        <v>9</v>
      </c>
      <c r="E1271" s="57" t="str">
        <f t="shared" si="1724"/>
        <v>SETTEMBRE 2024</v>
      </c>
      <c r="F1271" s="57" t="str">
        <f t="shared" si="1725"/>
        <v>9 SETTEMBRE 2024</v>
      </c>
      <c r="G1271" s="1309" t="s">
        <v>94</v>
      </c>
      <c r="H1271" s="1309" t="str">
        <f>VLOOKUP(G1271,CATEGORIE!$H$3:$I$104,2,FALSE)</f>
        <v>COSTO SVAGHI</v>
      </c>
      <c r="I1271" s="59">
        <v>4.2</v>
      </c>
      <c r="J1271" s="940"/>
      <c r="K1271" s="59"/>
      <c r="L1271" s="59"/>
    </row>
    <row r="1272" spans="1:12" ht="16.5" customHeight="1">
      <c r="A1272" s="57" t="s">
        <v>101</v>
      </c>
      <c r="B1272" s="57" t="s">
        <v>240</v>
      </c>
      <c r="C1272" s="57">
        <v>2024</v>
      </c>
      <c r="D1272" s="58">
        <f>MATCH(B1272,{"GENNAIO","FEBBRAIO","MARZO","APRILE","MAGGIO","GIUGNO","LUGLIO","AGOSTO","SETTEMBRE","OTTOBRE","NOVEMBRE","DICEMBRE"},0)</f>
        <v>9</v>
      </c>
      <c r="E1272" s="57" t="str">
        <f t="shared" si="1724"/>
        <v>SETTEMBRE 2024</v>
      </c>
      <c r="F1272" s="57" t="str">
        <f t="shared" si="1725"/>
        <v>9 SETTEMBRE 2024</v>
      </c>
      <c r="G1272" s="1309" t="s">
        <v>91</v>
      </c>
      <c r="H1272" s="1309" t="str">
        <f>VLOOKUP(G1272,CATEGORIE!$H$3:$I$104,2,FALSE)</f>
        <v>COSTO SOPRAVVIVENZA</v>
      </c>
      <c r="I1272" s="59">
        <v>0.4</v>
      </c>
      <c r="J1272" s="940"/>
      <c r="K1272" s="59"/>
      <c r="L1272" s="59"/>
    </row>
    <row r="1273" spans="1:12" ht="16.5" customHeight="1">
      <c r="A1273" s="57" t="s">
        <v>105</v>
      </c>
      <c r="B1273" s="57" t="s">
        <v>240</v>
      </c>
      <c r="C1273" s="57">
        <v>2024</v>
      </c>
      <c r="D1273" s="58">
        <f>MATCH(B1273,{"GENNAIO","FEBBRAIO","MARZO","APRILE","MAGGIO","GIUGNO","LUGLIO","AGOSTO","SETTEMBRE","OTTOBRE","NOVEMBRE","DICEMBRE"},0)</f>
        <v>9</v>
      </c>
      <c r="E1273" s="57" t="str">
        <f t="shared" ref="E1273:E1336" si="1726">CONCATENATE(,B1273," ",C1273)</f>
        <v>SETTEMBRE 2024</v>
      </c>
      <c r="F1273" s="57" t="str">
        <f t="shared" ref="F1273:F1336" si="1727">CONCATENATE(D1273," ",E1273)</f>
        <v>9 SETTEMBRE 2024</v>
      </c>
      <c r="G1273" s="1309" t="s">
        <v>96</v>
      </c>
      <c r="H1273" s="1309" t="str">
        <f>VLOOKUP(G1273,CATEGORIE!$H$3:$I$104,2,FALSE)</f>
        <v>COSTO SOPRAVVIVENZA</v>
      </c>
      <c r="I1273" s="59">
        <v>14.03</v>
      </c>
      <c r="J1273" s="940"/>
      <c r="K1273" s="59"/>
      <c r="L1273" s="59"/>
    </row>
    <row r="1274" spans="1:12" ht="16.5" customHeight="1">
      <c r="A1274" s="57" t="s">
        <v>135</v>
      </c>
      <c r="B1274" s="57" t="s">
        <v>240</v>
      </c>
      <c r="C1274" s="57">
        <v>2024</v>
      </c>
      <c r="D1274" s="58">
        <f>MATCH(B1274,{"GENNAIO","FEBBRAIO","MARZO","APRILE","MAGGIO","GIUGNO","LUGLIO","AGOSTO","SETTEMBRE","OTTOBRE","NOVEMBRE","DICEMBRE"},0)</f>
        <v>9</v>
      </c>
      <c r="E1274" s="57" t="str">
        <f t="shared" si="1726"/>
        <v>SETTEMBRE 2024</v>
      </c>
      <c r="F1274" s="57" t="str">
        <f t="shared" si="1727"/>
        <v>9 SETTEMBRE 2024</v>
      </c>
      <c r="G1274" s="1309" t="s">
        <v>132</v>
      </c>
      <c r="H1274" s="1309" t="str">
        <f>VLOOKUP(G1274,CATEGORIE!$H$3:$I$104,2,FALSE)</f>
        <v>COSTO CASA</v>
      </c>
      <c r="I1274" s="59">
        <v>4.9800000000000004</v>
      </c>
      <c r="J1274" s="940"/>
      <c r="K1274" s="59"/>
      <c r="L1274" s="59"/>
    </row>
    <row r="1275" spans="1:12" ht="18.600000000000001" customHeight="1">
      <c r="A1275" s="57" t="s">
        <v>101</v>
      </c>
      <c r="B1275" s="57" t="s">
        <v>240</v>
      </c>
      <c r="C1275" s="57">
        <v>2024</v>
      </c>
      <c r="D1275" s="58">
        <f>MATCH(B1275,{"GENNAIO","FEBBRAIO","MARZO","APRILE","MAGGIO","GIUGNO","LUGLIO","AGOSTO","SETTEMBRE","OTTOBRE","NOVEMBRE","DICEMBRE"},0)</f>
        <v>9</v>
      </c>
      <c r="E1275" s="57" t="str">
        <f t="shared" si="1726"/>
        <v>SETTEMBRE 2024</v>
      </c>
      <c r="F1275" s="57" t="str">
        <f t="shared" si="1727"/>
        <v>9 SETTEMBRE 2024</v>
      </c>
      <c r="G1275" s="1309" t="s">
        <v>91</v>
      </c>
      <c r="H1275" s="1309" t="str">
        <f>VLOOKUP(G1275,CATEGORIE!$H$3:$I$104,2,FALSE)</f>
        <v>COSTO SOPRAVVIVENZA</v>
      </c>
      <c r="I1275" s="59">
        <v>0.4</v>
      </c>
      <c r="J1275" s="940"/>
      <c r="K1275" s="59"/>
      <c r="L1275" s="59"/>
    </row>
    <row r="1276" spans="1:12">
      <c r="A1276" s="57" t="s">
        <v>101</v>
      </c>
      <c r="B1276" s="57" t="s">
        <v>240</v>
      </c>
      <c r="C1276" s="57">
        <v>2024</v>
      </c>
      <c r="D1276" s="58">
        <f>MATCH(B1276,{"GENNAIO","FEBBRAIO","MARZO","APRILE","MAGGIO","GIUGNO","LUGLIO","AGOSTO","SETTEMBRE","OTTOBRE","NOVEMBRE","DICEMBRE"},0)</f>
        <v>9</v>
      </c>
      <c r="E1276" s="57" t="str">
        <f t="shared" si="1726"/>
        <v>SETTEMBRE 2024</v>
      </c>
      <c r="F1276" s="57" t="str">
        <f t="shared" si="1727"/>
        <v>9 SETTEMBRE 2024</v>
      </c>
      <c r="G1276" s="1309" t="s">
        <v>91</v>
      </c>
      <c r="H1276" s="1309" t="str">
        <f>VLOOKUP(G1276,CATEGORIE!$H$3:$I$104,2,FALSE)</f>
        <v>COSTO SOPRAVVIVENZA</v>
      </c>
      <c r="I1276" s="59">
        <v>0.4</v>
      </c>
      <c r="J1276" s="940"/>
      <c r="K1276" s="59"/>
      <c r="L1276" s="59"/>
    </row>
    <row r="1277" spans="1:12">
      <c r="A1277" s="57" t="s">
        <v>101</v>
      </c>
      <c r="B1277" s="57" t="s">
        <v>240</v>
      </c>
      <c r="C1277" s="57">
        <v>2024</v>
      </c>
      <c r="D1277" s="58">
        <f>MATCH(B1277,{"GENNAIO","FEBBRAIO","MARZO","APRILE","MAGGIO","GIUGNO","LUGLIO","AGOSTO","SETTEMBRE","OTTOBRE","NOVEMBRE","DICEMBRE"},0)</f>
        <v>9</v>
      </c>
      <c r="E1277" s="57" t="str">
        <f t="shared" si="1726"/>
        <v>SETTEMBRE 2024</v>
      </c>
      <c r="F1277" s="57" t="str">
        <f t="shared" si="1727"/>
        <v>9 SETTEMBRE 2024</v>
      </c>
      <c r="G1277" s="1309" t="s">
        <v>91</v>
      </c>
      <c r="H1277" s="1309" t="str">
        <f>VLOOKUP(G1277,CATEGORIE!$H$3:$I$104,2,FALSE)</f>
        <v>COSTO SOPRAVVIVENZA</v>
      </c>
      <c r="I1277" s="59">
        <v>0.4</v>
      </c>
      <c r="J1277" s="940"/>
      <c r="K1277" s="59"/>
      <c r="L1277" s="59"/>
    </row>
    <row r="1278" spans="1:12">
      <c r="A1278" s="57" t="s">
        <v>95</v>
      </c>
      <c r="B1278" s="57" t="s">
        <v>240</v>
      </c>
      <c r="C1278" s="57">
        <v>2024</v>
      </c>
      <c r="D1278" s="58">
        <f>MATCH(B1278,{"GENNAIO","FEBBRAIO","MARZO","APRILE","MAGGIO","GIUGNO","LUGLIO","AGOSTO","SETTEMBRE","OTTOBRE","NOVEMBRE","DICEMBRE"},0)</f>
        <v>9</v>
      </c>
      <c r="E1278" s="57" t="str">
        <f t="shared" si="1726"/>
        <v>SETTEMBRE 2024</v>
      </c>
      <c r="F1278" s="57" t="str">
        <f t="shared" si="1727"/>
        <v>9 SETTEMBRE 2024</v>
      </c>
      <c r="G1278" s="1309" t="s">
        <v>96</v>
      </c>
      <c r="H1278" s="1309" t="str">
        <f>VLOOKUP(G1278,CATEGORIE!$H$3:$I$104,2,FALSE)</f>
        <v>COSTO SOPRAVVIVENZA</v>
      </c>
      <c r="I1278" s="59">
        <v>16.07</v>
      </c>
      <c r="J1278" s="940"/>
      <c r="K1278" s="59"/>
      <c r="L1278" s="59"/>
    </row>
    <row r="1279" spans="1:12" ht="16.5" customHeight="1">
      <c r="A1279" s="57" t="s">
        <v>432</v>
      </c>
      <c r="B1279" s="57" t="s">
        <v>240</v>
      </c>
      <c r="C1279" s="57">
        <v>2024</v>
      </c>
      <c r="D1279" s="58">
        <f>MATCH(B1279,{"GENNAIO","FEBBRAIO","MARZO","APRILE","MAGGIO","GIUGNO","LUGLIO","AGOSTO","SETTEMBRE","OTTOBRE","NOVEMBRE","DICEMBRE"},0)</f>
        <v>9</v>
      </c>
      <c r="E1279" s="57" t="str">
        <f t="shared" si="1726"/>
        <v>SETTEMBRE 2024</v>
      </c>
      <c r="F1279" s="57" t="str">
        <f t="shared" si="1727"/>
        <v>9 SETTEMBRE 2024</v>
      </c>
      <c r="G1279" s="1309" t="s">
        <v>94</v>
      </c>
      <c r="H1279" s="1309" t="str">
        <f>VLOOKUP(G1279,CATEGORIE!$H$3:$I$104,2,FALSE)</f>
        <v>COSTO SVAGHI</v>
      </c>
      <c r="I1279" s="59">
        <v>32</v>
      </c>
      <c r="J1279" s="940"/>
      <c r="K1279" s="59"/>
      <c r="L1279" s="59"/>
    </row>
    <row r="1280" spans="1:12" ht="16.5" customHeight="1">
      <c r="A1280" s="57" t="s">
        <v>432</v>
      </c>
      <c r="B1280" s="57" t="s">
        <v>240</v>
      </c>
      <c r="C1280" s="57">
        <v>2024</v>
      </c>
      <c r="D1280" s="58">
        <f>MATCH(B1280,{"GENNAIO","FEBBRAIO","MARZO","APRILE","MAGGIO","GIUGNO","LUGLIO","AGOSTO","SETTEMBRE","OTTOBRE","NOVEMBRE","DICEMBRE"},0)</f>
        <v>9</v>
      </c>
      <c r="E1280" s="57" t="str">
        <f t="shared" si="1726"/>
        <v>SETTEMBRE 2024</v>
      </c>
      <c r="F1280" s="57" t="str">
        <f t="shared" si="1727"/>
        <v>9 SETTEMBRE 2024</v>
      </c>
      <c r="G1280" s="1309" t="s">
        <v>94</v>
      </c>
      <c r="H1280" s="1309" t="str">
        <f>VLOOKUP(G1280,CATEGORIE!$H$3:$I$104,2,FALSE)</f>
        <v>COSTO SVAGHI</v>
      </c>
      <c r="I1280" s="59">
        <v>35</v>
      </c>
      <c r="J1280" s="940"/>
      <c r="K1280" s="59"/>
      <c r="L1280" s="59"/>
    </row>
    <row r="1281" spans="1:12" ht="18.600000000000001" customHeight="1">
      <c r="A1281" s="57" t="s">
        <v>432</v>
      </c>
      <c r="B1281" s="57" t="s">
        <v>240</v>
      </c>
      <c r="C1281" s="57">
        <v>2024</v>
      </c>
      <c r="D1281" s="58">
        <f>MATCH(B1281,{"GENNAIO","FEBBRAIO","MARZO","APRILE","MAGGIO","GIUGNO","LUGLIO","AGOSTO","SETTEMBRE","OTTOBRE","NOVEMBRE","DICEMBRE"},0)</f>
        <v>9</v>
      </c>
      <c r="E1281" s="57" t="str">
        <f t="shared" si="1726"/>
        <v>SETTEMBRE 2024</v>
      </c>
      <c r="F1281" s="57" t="str">
        <f t="shared" si="1727"/>
        <v>9 SETTEMBRE 2024</v>
      </c>
      <c r="G1281" s="1309" t="s">
        <v>94</v>
      </c>
      <c r="H1281" s="1309" t="str">
        <f>VLOOKUP(G1281,CATEGORIE!$H$3:$I$104,2,FALSE)</f>
        <v>COSTO SVAGHI</v>
      </c>
      <c r="I1281" s="59">
        <v>25</v>
      </c>
      <c r="J1281" s="940"/>
      <c r="K1281" s="59"/>
      <c r="L1281" s="59"/>
    </row>
    <row r="1282" spans="1:12">
      <c r="A1282" s="57" t="s">
        <v>160</v>
      </c>
      <c r="B1282" s="57" t="s">
        <v>240</v>
      </c>
      <c r="C1282" s="57">
        <v>2024</v>
      </c>
      <c r="D1282" s="58">
        <f>MATCH(B1282,{"GENNAIO","FEBBRAIO","MARZO","APRILE","MAGGIO","GIUGNO","LUGLIO","AGOSTO","SETTEMBRE","OTTOBRE","NOVEMBRE","DICEMBRE"},0)</f>
        <v>9</v>
      </c>
      <c r="E1282" s="57" t="str">
        <f t="shared" si="1726"/>
        <v>SETTEMBRE 2024</v>
      </c>
      <c r="F1282" s="57" t="str">
        <f t="shared" si="1727"/>
        <v>9 SETTEMBRE 2024</v>
      </c>
      <c r="G1282" s="1309" t="s">
        <v>111</v>
      </c>
      <c r="H1282" s="1309" t="str">
        <f>VLOOKUP(G1282,CATEGORIE!$H$3:$I$104,2,FALSE)</f>
        <v>COSTO MOBILITA'</v>
      </c>
      <c r="I1282" s="59">
        <v>1.7</v>
      </c>
      <c r="J1282" s="940"/>
      <c r="K1282" s="59"/>
      <c r="L1282" s="59"/>
    </row>
    <row r="1283" spans="1:12">
      <c r="A1283" s="57" t="s">
        <v>99</v>
      </c>
      <c r="B1283" s="57" t="s">
        <v>240</v>
      </c>
      <c r="C1283" s="57">
        <v>2024</v>
      </c>
      <c r="D1283" s="58">
        <f>MATCH(B1283,{"GENNAIO","FEBBRAIO","MARZO","APRILE","MAGGIO","GIUGNO","LUGLIO","AGOSTO","SETTEMBRE","OTTOBRE","NOVEMBRE","DICEMBRE"},0)</f>
        <v>9</v>
      </c>
      <c r="E1283" s="57" t="str">
        <f t="shared" si="1726"/>
        <v>SETTEMBRE 2024</v>
      </c>
      <c r="F1283" s="57" t="str">
        <f t="shared" si="1727"/>
        <v>9 SETTEMBRE 2024</v>
      </c>
      <c r="G1283" s="1309" t="s">
        <v>100</v>
      </c>
      <c r="H1283" s="1309" t="str">
        <f>VLOOKUP(G1283,CATEGORIE!$H$3:$I$104,2,FALSE)</f>
        <v>COSTO SFIZI</v>
      </c>
      <c r="I1283" s="59">
        <v>22.9</v>
      </c>
      <c r="J1283" s="940"/>
      <c r="K1283" s="57" t="s">
        <v>99</v>
      </c>
      <c r="L1283" s="59"/>
    </row>
    <row r="1284" spans="1:12" ht="18.600000000000001" customHeight="1">
      <c r="A1284" s="57" t="s">
        <v>357</v>
      </c>
      <c r="B1284" s="57" t="s">
        <v>240</v>
      </c>
      <c r="C1284" s="57">
        <v>2024</v>
      </c>
      <c r="D1284" s="58">
        <f>MATCH(B1284,{"GENNAIO","FEBBRAIO","MARZO","APRILE","MAGGIO","GIUGNO","LUGLIO","AGOSTO","SETTEMBRE","OTTOBRE","NOVEMBRE","DICEMBRE"},0)</f>
        <v>9</v>
      </c>
      <c r="E1284" s="57" t="str">
        <f t="shared" si="1726"/>
        <v>SETTEMBRE 2024</v>
      </c>
      <c r="F1284" s="57" t="str">
        <f t="shared" si="1727"/>
        <v>9 SETTEMBRE 2024</v>
      </c>
      <c r="G1284" s="1309" t="s">
        <v>96</v>
      </c>
      <c r="H1284" s="1309" t="str">
        <f>VLOOKUP(G1284,CATEGORIE!$H$3:$I$104,2,FALSE)</f>
        <v>COSTO SOPRAVVIVENZA</v>
      </c>
      <c r="I1284" s="59">
        <v>12.84</v>
      </c>
      <c r="J1284" s="940"/>
      <c r="K1284" s="59"/>
      <c r="L1284" s="59"/>
    </row>
    <row r="1285" spans="1:12" ht="16.5" customHeight="1">
      <c r="A1285" s="57" t="s">
        <v>433</v>
      </c>
      <c r="B1285" s="57" t="s">
        <v>240</v>
      </c>
      <c r="C1285" s="57">
        <v>2024</v>
      </c>
      <c r="D1285" s="58">
        <f>MATCH(B1285,{"GENNAIO","FEBBRAIO","MARZO","APRILE","MAGGIO","GIUGNO","LUGLIO","AGOSTO","SETTEMBRE","OTTOBRE","NOVEMBRE","DICEMBRE"},0)</f>
        <v>9</v>
      </c>
      <c r="E1285" s="57" t="str">
        <f t="shared" si="1726"/>
        <v>SETTEMBRE 2024</v>
      </c>
      <c r="F1285" s="57" t="str">
        <f t="shared" si="1727"/>
        <v>9 SETTEMBRE 2024</v>
      </c>
      <c r="G1285" s="1309" t="s">
        <v>385</v>
      </c>
      <c r="H1285" s="1309" t="str">
        <f>VLOOKUP(G1285,CATEGORIE!$H$3:$I$104,2,FALSE)</f>
        <v>COSTO SFIZI</v>
      </c>
      <c r="I1285" s="60">
        <v>10.98</v>
      </c>
      <c r="J1285" s="940"/>
      <c r="K1285" s="59"/>
      <c r="L1285" s="59"/>
    </row>
    <row r="1286" spans="1:12" ht="18.600000000000001" customHeight="1">
      <c r="A1286" s="57" t="s">
        <v>92</v>
      </c>
      <c r="B1286" s="57" t="s">
        <v>240</v>
      </c>
      <c r="C1286" s="57">
        <v>2024</v>
      </c>
      <c r="D1286" s="58">
        <f>MATCH(B1286,{"GENNAIO","FEBBRAIO","MARZO","APRILE","MAGGIO","GIUGNO","LUGLIO","AGOSTO","SETTEMBRE","OTTOBRE","NOVEMBRE","DICEMBRE"},0)</f>
        <v>9</v>
      </c>
      <c r="E1286" s="57" t="str">
        <f t="shared" si="1726"/>
        <v>SETTEMBRE 2024</v>
      </c>
      <c r="F1286" s="57" t="str">
        <f t="shared" si="1727"/>
        <v>9 SETTEMBRE 2024</v>
      </c>
      <c r="G1286" s="1309" t="s">
        <v>93</v>
      </c>
      <c r="H1286" s="1309" t="str">
        <f>VLOOKUP(G1286,CATEGORIE!$H$3:$I$104,2,FALSE)</f>
        <v>COSTO SOPRAVVIVENZA</v>
      </c>
      <c r="I1286" s="59">
        <v>6.5</v>
      </c>
      <c r="J1286" s="940"/>
      <c r="K1286" s="59"/>
      <c r="L1286" s="59"/>
    </row>
    <row r="1287" spans="1:12" ht="18" customHeight="1">
      <c r="A1287" s="57" t="s">
        <v>95</v>
      </c>
      <c r="B1287" s="57" t="s">
        <v>240</v>
      </c>
      <c r="C1287" s="57">
        <v>2024</v>
      </c>
      <c r="D1287" s="58">
        <f>MATCH(B1287,{"GENNAIO","FEBBRAIO","MARZO","APRILE","MAGGIO","GIUGNO","LUGLIO","AGOSTO","SETTEMBRE","OTTOBRE","NOVEMBRE","DICEMBRE"},0)</f>
        <v>9</v>
      </c>
      <c r="E1287" s="57" t="str">
        <f t="shared" si="1726"/>
        <v>SETTEMBRE 2024</v>
      </c>
      <c r="F1287" s="57" t="str">
        <f t="shared" si="1727"/>
        <v>9 SETTEMBRE 2024</v>
      </c>
      <c r="G1287" s="1309" t="s">
        <v>96</v>
      </c>
      <c r="H1287" s="1309" t="str">
        <f>VLOOKUP(G1287,CATEGORIE!$H$3:$I$104,2,FALSE)</f>
        <v>COSTO SOPRAVVIVENZA</v>
      </c>
      <c r="I1287" s="59">
        <v>6.43</v>
      </c>
      <c r="J1287" s="940"/>
      <c r="K1287" s="59"/>
      <c r="L1287" s="59"/>
    </row>
    <row r="1288" spans="1:12" ht="18.600000000000001" customHeight="1">
      <c r="A1288" s="57" t="s">
        <v>101</v>
      </c>
      <c r="B1288" s="57" t="s">
        <v>240</v>
      </c>
      <c r="C1288" s="57">
        <v>2024</v>
      </c>
      <c r="D1288" s="58">
        <f>MATCH(B1288,{"GENNAIO","FEBBRAIO","MARZO","APRILE","MAGGIO","GIUGNO","LUGLIO","AGOSTO","SETTEMBRE","OTTOBRE","NOVEMBRE","DICEMBRE"},0)</f>
        <v>9</v>
      </c>
      <c r="E1288" s="57" t="str">
        <f t="shared" si="1726"/>
        <v>SETTEMBRE 2024</v>
      </c>
      <c r="F1288" s="57" t="str">
        <f t="shared" si="1727"/>
        <v>9 SETTEMBRE 2024</v>
      </c>
      <c r="G1288" s="1309" t="s">
        <v>91</v>
      </c>
      <c r="H1288" s="1309" t="str">
        <f>VLOOKUP(G1288,CATEGORIE!$H$3:$I$104,2,FALSE)</f>
        <v>COSTO SOPRAVVIVENZA</v>
      </c>
      <c r="I1288" s="59">
        <v>0.7</v>
      </c>
      <c r="J1288" s="940"/>
      <c r="K1288" s="59"/>
      <c r="L1288" s="59"/>
    </row>
    <row r="1289" spans="1:12" ht="16.5" customHeight="1">
      <c r="A1289" s="57" t="s">
        <v>135</v>
      </c>
      <c r="B1289" s="57" t="s">
        <v>240</v>
      </c>
      <c r="C1289" s="57">
        <v>2024</v>
      </c>
      <c r="D1289" s="58">
        <f>MATCH(B1289,{"GENNAIO","FEBBRAIO","MARZO","APRILE","MAGGIO","GIUGNO","LUGLIO","AGOSTO","SETTEMBRE","OTTOBRE","NOVEMBRE","DICEMBRE"},0)</f>
        <v>9</v>
      </c>
      <c r="E1289" s="57" t="str">
        <f t="shared" si="1726"/>
        <v>SETTEMBRE 2024</v>
      </c>
      <c r="F1289" s="57" t="str">
        <f t="shared" si="1727"/>
        <v>9 SETTEMBRE 2024</v>
      </c>
      <c r="G1289" s="1309" t="s">
        <v>132</v>
      </c>
      <c r="H1289" s="1309" t="str">
        <f>VLOOKUP(G1289,CATEGORIE!$H$3:$I$104,2,FALSE)</f>
        <v>COSTO CASA</v>
      </c>
      <c r="I1289" s="59">
        <v>14.4</v>
      </c>
      <c r="J1289" s="940"/>
      <c r="K1289" s="59"/>
      <c r="L1289" s="59"/>
    </row>
    <row r="1290" spans="1:12">
      <c r="A1290" s="57" t="s">
        <v>434</v>
      </c>
      <c r="B1290" s="57" t="s">
        <v>240</v>
      </c>
      <c r="C1290" s="57">
        <v>2024</v>
      </c>
      <c r="D1290" s="58">
        <f>MATCH(B1290,{"GENNAIO","FEBBRAIO","MARZO","APRILE","MAGGIO","GIUGNO","LUGLIO","AGOSTO","SETTEMBRE","OTTOBRE","NOVEMBRE","DICEMBRE"},0)</f>
        <v>9</v>
      </c>
      <c r="E1290" s="57" t="str">
        <f t="shared" si="1726"/>
        <v>SETTEMBRE 2024</v>
      </c>
      <c r="F1290" s="57" t="str">
        <f t="shared" si="1727"/>
        <v>9 SETTEMBRE 2024</v>
      </c>
      <c r="G1290" s="1309" t="s">
        <v>116</v>
      </c>
      <c r="H1290" s="1309" t="str">
        <f>VLOOKUP(G1290,CATEGORIE!$H$3:$I$104,2,FALSE)</f>
        <v>TASSE</v>
      </c>
      <c r="I1290" s="59">
        <v>165</v>
      </c>
      <c r="J1290" s="943"/>
      <c r="K1290" s="59" t="s">
        <v>97</v>
      </c>
      <c r="L1290" s="59" t="s">
        <v>435</v>
      </c>
    </row>
    <row r="1291" spans="1:12">
      <c r="A1291" s="57" t="s">
        <v>95</v>
      </c>
      <c r="B1291" s="57" t="s">
        <v>240</v>
      </c>
      <c r="C1291" s="57">
        <v>2024</v>
      </c>
      <c r="D1291" s="58">
        <f>MATCH(B1291,{"GENNAIO","FEBBRAIO","MARZO","APRILE","MAGGIO","GIUGNO","LUGLIO","AGOSTO","SETTEMBRE","OTTOBRE","NOVEMBRE","DICEMBRE"},0)</f>
        <v>9</v>
      </c>
      <c r="E1291" s="57" t="str">
        <f t="shared" si="1726"/>
        <v>SETTEMBRE 2024</v>
      </c>
      <c r="F1291" s="57" t="str">
        <f t="shared" si="1727"/>
        <v>9 SETTEMBRE 2024</v>
      </c>
      <c r="G1291" s="1309" t="s">
        <v>96</v>
      </c>
      <c r="H1291" s="1309" t="str">
        <f>VLOOKUP(G1291,CATEGORIE!$H$3:$I$104,2,FALSE)</f>
        <v>COSTO SOPRAVVIVENZA</v>
      </c>
      <c r="I1291" s="59">
        <v>8.82</v>
      </c>
      <c r="J1291" s="940"/>
      <c r="K1291" s="59"/>
      <c r="L1291" s="59"/>
    </row>
    <row r="1292" spans="1:12">
      <c r="A1292" s="57" t="s">
        <v>99</v>
      </c>
      <c r="B1292" s="57" t="s">
        <v>240</v>
      </c>
      <c r="C1292" s="57">
        <v>2024</v>
      </c>
      <c r="D1292" s="58">
        <f>MATCH(B1292,{"GENNAIO","FEBBRAIO","MARZO","APRILE","MAGGIO","GIUGNO","LUGLIO","AGOSTO","SETTEMBRE","OTTOBRE","NOVEMBRE","DICEMBRE"},0)</f>
        <v>9</v>
      </c>
      <c r="E1292" s="57" t="str">
        <f t="shared" si="1726"/>
        <v>SETTEMBRE 2024</v>
      </c>
      <c r="F1292" s="57" t="str">
        <f t="shared" si="1727"/>
        <v>9 SETTEMBRE 2024</v>
      </c>
      <c r="G1292" s="1309" t="s">
        <v>100</v>
      </c>
      <c r="H1292" s="1309" t="str">
        <f>VLOOKUP(G1292,CATEGORIE!$H$3:$I$104,2,FALSE)</f>
        <v>COSTO SFIZI</v>
      </c>
      <c r="I1292" s="59">
        <v>26.29</v>
      </c>
      <c r="J1292" s="940"/>
      <c r="K1292" s="57" t="s">
        <v>99</v>
      </c>
      <c r="L1292" s="59"/>
    </row>
    <row r="1293" spans="1:12" ht="14.25" customHeight="1">
      <c r="A1293" s="57" t="s">
        <v>92</v>
      </c>
      <c r="B1293" s="57" t="s">
        <v>240</v>
      </c>
      <c r="C1293" s="57">
        <v>2024</v>
      </c>
      <c r="D1293" s="58">
        <f>MATCH(B1293,{"GENNAIO","FEBBRAIO","MARZO","APRILE","MAGGIO","GIUGNO","LUGLIO","AGOSTO","SETTEMBRE","OTTOBRE","NOVEMBRE","DICEMBRE"},0)</f>
        <v>9</v>
      </c>
      <c r="E1293" s="57" t="str">
        <f t="shared" si="1726"/>
        <v>SETTEMBRE 2024</v>
      </c>
      <c r="F1293" s="57" t="str">
        <f t="shared" si="1727"/>
        <v>9 SETTEMBRE 2024</v>
      </c>
      <c r="G1293" s="1309" t="s">
        <v>93</v>
      </c>
      <c r="H1293" s="1309" t="str">
        <f>VLOOKUP(G1293,CATEGORIE!$H$3:$I$104,2,FALSE)</f>
        <v>COSTO SOPRAVVIVENZA</v>
      </c>
      <c r="I1293" s="59">
        <v>5</v>
      </c>
      <c r="J1293" s="940"/>
      <c r="K1293" s="59"/>
      <c r="L1293" s="59"/>
    </row>
    <row r="1294" spans="1:12" ht="16.5" customHeight="1">
      <c r="A1294" s="57" t="s">
        <v>322</v>
      </c>
      <c r="B1294" s="57" t="s">
        <v>240</v>
      </c>
      <c r="C1294" s="57">
        <v>2024</v>
      </c>
      <c r="D1294" s="58">
        <f>MATCH(B1294,{"GENNAIO","FEBBRAIO","MARZO","APRILE","MAGGIO","GIUGNO","LUGLIO","AGOSTO","SETTEMBRE","OTTOBRE","NOVEMBRE","DICEMBRE"},0)</f>
        <v>9</v>
      </c>
      <c r="E1294" s="57" t="str">
        <f t="shared" si="1726"/>
        <v>SETTEMBRE 2024</v>
      </c>
      <c r="F1294" s="57" t="str">
        <f t="shared" si="1727"/>
        <v>9 SETTEMBRE 2024</v>
      </c>
      <c r="G1294" s="1309" t="s">
        <v>188</v>
      </c>
      <c r="H1294" s="1309" t="str">
        <f>VLOOKUP(G1294,CATEGORIE!$H$3:$I$104,2,FALSE)</f>
        <v>COSTO VACANZE</v>
      </c>
      <c r="I1294" s="59">
        <v>29.49</v>
      </c>
      <c r="J1294" s="940"/>
      <c r="K1294" s="59"/>
      <c r="L1294" s="59" t="s">
        <v>323</v>
      </c>
    </row>
    <row r="1295" spans="1:12" ht="16.5" customHeight="1">
      <c r="A1295" s="57" t="s">
        <v>436</v>
      </c>
      <c r="B1295" s="57" t="s">
        <v>240</v>
      </c>
      <c r="C1295" s="57">
        <v>2024</v>
      </c>
      <c r="D1295" s="58">
        <f>MATCH(B1295,{"GENNAIO","FEBBRAIO","MARZO","APRILE","MAGGIO","GIUGNO","LUGLIO","AGOSTO","SETTEMBRE","OTTOBRE","NOVEMBRE","DICEMBRE"},0)</f>
        <v>9</v>
      </c>
      <c r="E1295" s="57" t="str">
        <f t="shared" si="1726"/>
        <v>SETTEMBRE 2024</v>
      </c>
      <c r="F1295" s="57" t="str">
        <f t="shared" si="1727"/>
        <v>9 SETTEMBRE 2024</v>
      </c>
      <c r="G1295" s="1309" t="s">
        <v>121</v>
      </c>
      <c r="H1295" s="1309" t="str">
        <f>VLOOKUP(G1295,CATEGORIE!$H$3:$I$104,2,FALSE)</f>
        <v>COSTO MOBILITA'</v>
      </c>
      <c r="I1295" s="59">
        <v>260</v>
      </c>
      <c r="J1295" s="940"/>
      <c r="K1295" s="59"/>
      <c r="L1295" s="59"/>
    </row>
    <row r="1296" spans="1:12" ht="16.5" customHeight="1">
      <c r="A1296" s="57" t="s">
        <v>120</v>
      </c>
      <c r="B1296" s="57" t="s">
        <v>240</v>
      </c>
      <c r="C1296" s="57">
        <v>2024</v>
      </c>
      <c r="D1296" s="58">
        <f>MATCH(B1296,{"GENNAIO","FEBBRAIO","MARZO","APRILE","MAGGIO","GIUGNO","LUGLIO","AGOSTO","SETTEMBRE","OTTOBRE","NOVEMBRE","DICEMBRE"},0)</f>
        <v>9</v>
      </c>
      <c r="E1296" s="57" t="str">
        <f t="shared" si="1726"/>
        <v>SETTEMBRE 2024</v>
      </c>
      <c r="F1296" s="57" t="str">
        <f t="shared" si="1727"/>
        <v>9 SETTEMBRE 2024</v>
      </c>
      <c r="G1296" s="1309" t="s">
        <v>121</v>
      </c>
      <c r="H1296" s="1309" t="str">
        <f>VLOOKUP(G1296,CATEGORIE!$H$3:$I$104,2,FALSE)</f>
        <v>COSTO MOBILITA'</v>
      </c>
      <c r="I1296" s="59">
        <v>9</v>
      </c>
      <c r="J1296" s="940"/>
      <c r="K1296" s="59"/>
      <c r="L1296" s="59"/>
    </row>
    <row r="1297" spans="1:12" ht="18.600000000000001" customHeight="1">
      <c r="A1297" s="57" t="s">
        <v>99</v>
      </c>
      <c r="B1297" s="57" t="s">
        <v>240</v>
      </c>
      <c r="C1297" s="57">
        <v>2024</v>
      </c>
      <c r="D1297" s="58">
        <f>MATCH(B1297,{"GENNAIO","FEBBRAIO","MARZO","APRILE","MAGGIO","GIUGNO","LUGLIO","AGOSTO","SETTEMBRE","OTTOBRE","NOVEMBRE","DICEMBRE"},0)</f>
        <v>9</v>
      </c>
      <c r="E1297" s="57" t="str">
        <f t="shared" si="1726"/>
        <v>SETTEMBRE 2024</v>
      </c>
      <c r="F1297" s="57" t="str">
        <f t="shared" si="1727"/>
        <v>9 SETTEMBRE 2024</v>
      </c>
      <c r="G1297" s="1309" t="s">
        <v>100</v>
      </c>
      <c r="H1297" s="1309" t="str">
        <f>VLOOKUP(G1297,CATEGORIE!$H$3:$I$104,2,FALSE)</f>
        <v>COSTO SFIZI</v>
      </c>
      <c r="I1297" s="59">
        <v>14.82</v>
      </c>
      <c r="J1297" s="940" t="s">
        <v>215</v>
      </c>
      <c r="K1297" s="57" t="s">
        <v>99</v>
      </c>
      <c r="L1297" s="59" t="s">
        <v>437</v>
      </c>
    </row>
    <row r="1298" spans="1:12" ht="18.600000000000001" customHeight="1">
      <c r="A1298" s="57" t="s">
        <v>99</v>
      </c>
      <c r="B1298" s="57" t="s">
        <v>240</v>
      </c>
      <c r="C1298" s="57">
        <v>2024</v>
      </c>
      <c r="D1298" s="58">
        <f>MATCH(B1298,{"GENNAIO","FEBBRAIO","MARZO","APRILE","MAGGIO","GIUGNO","LUGLIO","AGOSTO","SETTEMBRE","OTTOBRE","NOVEMBRE","DICEMBRE"},0)</f>
        <v>9</v>
      </c>
      <c r="E1298" s="57" t="str">
        <f t="shared" si="1726"/>
        <v>SETTEMBRE 2024</v>
      </c>
      <c r="F1298" s="57" t="str">
        <f t="shared" si="1727"/>
        <v>9 SETTEMBRE 2024</v>
      </c>
      <c r="G1298" s="1309" t="s">
        <v>100</v>
      </c>
      <c r="H1298" s="1309" t="str">
        <f>VLOOKUP(G1298,CATEGORIE!$H$3:$I$104,2,FALSE)</f>
        <v>COSTO SFIZI</v>
      </c>
      <c r="I1298" s="59">
        <v>14</v>
      </c>
      <c r="J1298" s="940" t="s">
        <v>197</v>
      </c>
      <c r="K1298" s="57" t="s">
        <v>99</v>
      </c>
      <c r="L1298" s="59" t="s">
        <v>423</v>
      </c>
    </row>
    <row r="1299" spans="1:12" ht="18.600000000000001" customHeight="1">
      <c r="A1299" s="57" t="s">
        <v>99</v>
      </c>
      <c r="B1299" s="57" t="s">
        <v>240</v>
      </c>
      <c r="C1299" s="57">
        <v>2024</v>
      </c>
      <c r="D1299" s="58">
        <f>MATCH(B1299,{"GENNAIO","FEBBRAIO","MARZO","APRILE","MAGGIO","GIUGNO","LUGLIO","AGOSTO","SETTEMBRE","OTTOBRE","NOVEMBRE","DICEMBRE"},0)</f>
        <v>9</v>
      </c>
      <c r="E1299" s="57" t="str">
        <f t="shared" si="1726"/>
        <v>SETTEMBRE 2024</v>
      </c>
      <c r="F1299" s="57" t="str">
        <f t="shared" si="1727"/>
        <v>9 SETTEMBRE 2024</v>
      </c>
      <c r="G1299" s="1309" t="s">
        <v>100</v>
      </c>
      <c r="H1299" s="1309" t="str">
        <f>VLOOKUP(G1299,CATEGORIE!$H$3:$I$104,2,FALSE)</f>
        <v>COSTO SFIZI</v>
      </c>
      <c r="I1299" s="59">
        <v>9.0500000000000007</v>
      </c>
      <c r="J1299" s="940" t="s">
        <v>215</v>
      </c>
      <c r="K1299" s="57" t="s">
        <v>99</v>
      </c>
      <c r="L1299" s="59" t="s">
        <v>438</v>
      </c>
    </row>
    <row r="1300" spans="1:12" ht="16.5" customHeight="1">
      <c r="A1300" s="57" t="s">
        <v>105</v>
      </c>
      <c r="B1300" s="57" t="s">
        <v>240</v>
      </c>
      <c r="C1300" s="57">
        <v>2024</v>
      </c>
      <c r="D1300" s="58">
        <f>MATCH(B1300,{"GENNAIO","FEBBRAIO","MARZO","APRILE","MAGGIO","GIUGNO","LUGLIO","AGOSTO","SETTEMBRE","OTTOBRE","NOVEMBRE","DICEMBRE"},0)</f>
        <v>9</v>
      </c>
      <c r="E1300" s="57" t="str">
        <f t="shared" si="1726"/>
        <v>SETTEMBRE 2024</v>
      </c>
      <c r="F1300" s="57" t="str">
        <f t="shared" si="1727"/>
        <v>9 SETTEMBRE 2024</v>
      </c>
      <c r="G1300" s="1309" t="s">
        <v>96</v>
      </c>
      <c r="H1300" s="1309" t="str">
        <f>VLOOKUP(G1300,CATEGORIE!$H$3:$I$104,2,FALSE)</f>
        <v>COSTO SOPRAVVIVENZA</v>
      </c>
      <c r="I1300" s="59">
        <v>8.84</v>
      </c>
      <c r="J1300" s="940"/>
      <c r="K1300" s="59"/>
      <c r="L1300" s="59"/>
    </row>
    <row r="1301" spans="1:12" ht="18.600000000000001" customHeight="1">
      <c r="A1301" s="57" t="s">
        <v>357</v>
      </c>
      <c r="B1301" s="57" t="s">
        <v>240</v>
      </c>
      <c r="C1301" s="57">
        <v>2024</v>
      </c>
      <c r="D1301" s="58">
        <f>MATCH(B1301,{"GENNAIO","FEBBRAIO","MARZO","APRILE","MAGGIO","GIUGNO","LUGLIO","AGOSTO","SETTEMBRE","OTTOBRE","NOVEMBRE","DICEMBRE"},0)</f>
        <v>9</v>
      </c>
      <c r="E1301" s="57" t="str">
        <f t="shared" si="1726"/>
        <v>SETTEMBRE 2024</v>
      </c>
      <c r="F1301" s="57" t="str">
        <f t="shared" si="1727"/>
        <v>9 SETTEMBRE 2024</v>
      </c>
      <c r="G1301" s="1309" t="s">
        <v>96</v>
      </c>
      <c r="H1301" s="1309" t="str">
        <f>VLOOKUP(G1301,CATEGORIE!$H$3:$I$104,2,FALSE)</f>
        <v>COSTO SOPRAVVIVENZA</v>
      </c>
      <c r="I1301" s="59">
        <v>20.2</v>
      </c>
      <c r="J1301" s="940"/>
      <c r="K1301" s="59"/>
      <c r="L1301" s="59"/>
    </row>
    <row r="1302" spans="1:12" ht="18" customHeight="1">
      <c r="A1302" s="57" t="s">
        <v>135</v>
      </c>
      <c r="B1302" s="57" t="s">
        <v>261</v>
      </c>
      <c r="C1302" s="57">
        <v>2024</v>
      </c>
      <c r="D1302" s="58">
        <f>MATCH(B1302,{"GENNAIO","FEBBRAIO","MARZO","APRILE","MAGGIO","GIUGNO","LUGLIO","AGOSTO","SETTEMBRE","OTTOBRE","NOVEMBRE","DICEMBRE"},0)</f>
        <v>8</v>
      </c>
      <c r="E1302" s="57" t="str">
        <f t="shared" si="1726"/>
        <v>AGOSTO 2024</v>
      </c>
      <c r="F1302" s="57" t="str">
        <f t="shared" si="1727"/>
        <v>8 AGOSTO 2024</v>
      </c>
      <c r="G1302" s="1309" t="s">
        <v>132</v>
      </c>
      <c r="H1302" s="1309" t="str">
        <f>VLOOKUP(G1302,CATEGORIE!$H$3:$I$104,2,FALSE)</f>
        <v>COSTO CASA</v>
      </c>
      <c r="I1302" s="59">
        <v>3.97</v>
      </c>
      <c r="J1302" s="940"/>
      <c r="K1302" s="59"/>
      <c r="L1302" s="59"/>
    </row>
    <row r="1303" spans="1:12" ht="18.600000000000001" customHeight="1">
      <c r="A1303" s="57" t="s">
        <v>439</v>
      </c>
      <c r="B1303" s="57" t="s">
        <v>261</v>
      </c>
      <c r="C1303" s="57">
        <v>2024</v>
      </c>
      <c r="D1303" s="58">
        <f>MATCH(B1303,{"GENNAIO","FEBBRAIO","MARZO","APRILE","MAGGIO","GIUGNO","LUGLIO","AGOSTO","SETTEMBRE","OTTOBRE","NOVEMBRE","DICEMBRE"},0)</f>
        <v>8</v>
      </c>
      <c r="E1303" s="57" t="str">
        <f t="shared" si="1726"/>
        <v>AGOSTO 2024</v>
      </c>
      <c r="F1303" s="57" t="str">
        <f t="shared" si="1727"/>
        <v>8 AGOSTO 2024</v>
      </c>
      <c r="G1303" s="1309" t="s">
        <v>94</v>
      </c>
      <c r="H1303" s="1309" t="str">
        <f>VLOOKUP(G1303,CATEGORIE!$H$3:$I$104,2,FALSE)</f>
        <v>COSTO SVAGHI</v>
      </c>
      <c r="I1303" s="59">
        <v>14</v>
      </c>
      <c r="J1303" s="940"/>
      <c r="K1303" s="59"/>
      <c r="L1303" s="59"/>
    </row>
    <row r="1304" spans="1:12" ht="16.5" customHeight="1">
      <c r="A1304" s="57" t="s">
        <v>95</v>
      </c>
      <c r="B1304" s="57" t="s">
        <v>261</v>
      </c>
      <c r="C1304" s="57">
        <v>2024</v>
      </c>
      <c r="D1304" s="58">
        <f>MATCH(B1304,{"GENNAIO","FEBBRAIO","MARZO","APRILE","MAGGIO","GIUGNO","LUGLIO","AGOSTO","SETTEMBRE","OTTOBRE","NOVEMBRE","DICEMBRE"},0)</f>
        <v>8</v>
      </c>
      <c r="E1304" s="57" t="str">
        <f t="shared" si="1726"/>
        <v>AGOSTO 2024</v>
      </c>
      <c r="F1304" s="57" t="str">
        <f t="shared" si="1727"/>
        <v>8 AGOSTO 2024</v>
      </c>
      <c r="G1304" s="1309" t="s">
        <v>96</v>
      </c>
      <c r="H1304" s="1309" t="str">
        <f>VLOOKUP(G1304,CATEGORIE!$H$3:$I$104,2,FALSE)</f>
        <v>COSTO SOPRAVVIVENZA</v>
      </c>
      <c r="I1304" s="59">
        <v>8.3000000000000007</v>
      </c>
      <c r="J1304" s="940"/>
      <c r="K1304" s="59"/>
      <c r="L1304" s="59"/>
    </row>
    <row r="1305" spans="1:12" ht="18.600000000000001" customHeight="1">
      <c r="A1305" s="57" t="s">
        <v>381</v>
      </c>
      <c r="B1305" s="57" t="s">
        <v>261</v>
      </c>
      <c r="C1305" s="57">
        <v>2024</v>
      </c>
      <c r="D1305" s="58">
        <f>MATCH(B1305,{"GENNAIO","FEBBRAIO","MARZO","APRILE","MAGGIO","GIUGNO","LUGLIO","AGOSTO","SETTEMBRE","OTTOBRE","NOVEMBRE","DICEMBRE"},0)</f>
        <v>8</v>
      </c>
      <c r="E1305" s="57" t="str">
        <f t="shared" si="1726"/>
        <v>AGOSTO 2024</v>
      </c>
      <c r="F1305" s="57" t="str">
        <f t="shared" si="1727"/>
        <v>8 AGOSTO 2024</v>
      </c>
      <c r="G1305" s="1309" t="s">
        <v>185</v>
      </c>
      <c r="H1305" s="1309" t="str">
        <f>VLOOKUP(G1305,CATEGORIE!$H$3:$I$104,2,FALSE)</f>
        <v>COSTO SFIZI</v>
      </c>
      <c r="I1305" s="59">
        <v>20</v>
      </c>
      <c r="J1305" s="940"/>
      <c r="K1305" s="59" t="s">
        <v>112</v>
      </c>
      <c r="L1305" s="59" t="s">
        <v>440</v>
      </c>
    </row>
    <row r="1306" spans="1:12" ht="16.5" customHeight="1">
      <c r="A1306" s="57" t="s">
        <v>95</v>
      </c>
      <c r="B1306" s="57" t="s">
        <v>261</v>
      </c>
      <c r="C1306" s="57">
        <v>2024</v>
      </c>
      <c r="D1306" s="58">
        <f>MATCH(B1306,{"GENNAIO","FEBBRAIO","MARZO","APRILE","MAGGIO","GIUGNO","LUGLIO","AGOSTO","SETTEMBRE","OTTOBRE","NOVEMBRE","DICEMBRE"},0)</f>
        <v>8</v>
      </c>
      <c r="E1306" s="57" t="str">
        <f t="shared" si="1726"/>
        <v>AGOSTO 2024</v>
      </c>
      <c r="F1306" s="57" t="str">
        <f t="shared" si="1727"/>
        <v>8 AGOSTO 2024</v>
      </c>
      <c r="G1306" s="1309" t="s">
        <v>96</v>
      </c>
      <c r="H1306" s="1309" t="str">
        <f>VLOOKUP(G1306,CATEGORIE!$H$3:$I$104,2,FALSE)</f>
        <v>COSTO SOPRAVVIVENZA</v>
      </c>
      <c r="I1306" s="59">
        <v>26.61</v>
      </c>
      <c r="J1306" s="940"/>
      <c r="K1306" s="59"/>
      <c r="L1306" s="59"/>
    </row>
    <row r="1307" spans="1:12" ht="16.5" customHeight="1">
      <c r="A1307" s="57" t="s">
        <v>417</v>
      </c>
      <c r="B1307" s="57" t="s">
        <v>261</v>
      </c>
      <c r="C1307" s="57">
        <v>2024</v>
      </c>
      <c r="D1307" s="58">
        <f>MATCH(B1307,{"GENNAIO","FEBBRAIO","MARZO","APRILE","MAGGIO","GIUGNO","LUGLIO","AGOSTO","SETTEMBRE","OTTOBRE","NOVEMBRE","DICEMBRE"},0)</f>
        <v>8</v>
      </c>
      <c r="E1307" s="57" t="str">
        <f t="shared" si="1726"/>
        <v>AGOSTO 2024</v>
      </c>
      <c r="F1307" s="57" t="str">
        <f t="shared" si="1727"/>
        <v>8 AGOSTO 2024</v>
      </c>
      <c r="G1307" s="1309" t="s">
        <v>418</v>
      </c>
      <c r="H1307" s="1309" t="str">
        <f>VLOOKUP(G1307,CATEGORIE!$H$3:$I$104,2,FALSE)</f>
        <v>COSTO SOPRAVVIVENZA</v>
      </c>
      <c r="I1307" s="60">
        <v>12.9</v>
      </c>
      <c r="J1307" s="940"/>
      <c r="K1307" s="59"/>
      <c r="L1307" s="59"/>
    </row>
    <row r="1308" spans="1:12" ht="16.5" customHeight="1">
      <c r="A1308" s="57" t="s">
        <v>135</v>
      </c>
      <c r="B1308" s="57" t="s">
        <v>261</v>
      </c>
      <c r="C1308" s="57">
        <v>2024</v>
      </c>
      <c r="D1308" s="58">
        <f>MATCH(B1308,{"GENNAIO","FEBBRAIO","MARZO","APRILE","MAGGIO","GIUGNO","LUGLIO","AGOSTO","SETTEMBRE","OTTOBRE","NOVEMBRE","DICEMBRE"},0)</f>
        <v>8</v>
      </c>
      <c r="E1308" s="57" t="str">
        <f t="shared" si="1726"/>
        <v>AGOSTO 2024</v>
      </c>
      <c r="F1308" s="57" t="str">
        <f t="shared" si="1727"/>
        <v>8 AGOSTO 2024</v>
      </c>
      <c r="G1308" s="1309" t="s">
        <v>132</v>
      </c>
      <c r="H1308" s="1309" t="str">
        <f>VLOOKUP(G1308,CATEGORIE!$H$3:$I$104,2,FALSE)</f>
        <v>COSTO CASA</v>
      </c>
      <c r="I1308" s="59">
        <v>21.38</v>
      </c>
      <c r="J1308" s="940"/>
      <c r="K1308" s="59"/>
      <c r="L1308" s="59"/>
    </row>
    <row r="1309" spans="1:12" ht="16.5" customHeight="1">
      <c r="A1309" s="57" t="s">
        <v>417</v>
      </c>
      <c r="B1309" s="57" t="s">
        <v>261</v>
      </c>
      <c r="C1309" s="57">
        <v>2024</v>
      </c>
      <c r="D1309" s="58">
        <f>MATCH(B1309,{"GENNAIO","FEBBRAIO","MARZO","APRILE","MAGGIO","GIUGNO","LUGLIO","AGOSTO","SETTEMBRE","OTTOBRE","NOVEMBRE","DICEMBRE"},0)</f>
        <v>8</v>
      </c>
      <c r="E1309" s="57" t="str">
        <f t="shared" si="1726"/>
        <v>AGOSTO 2024</v>
      </c>
      <c r="F1309" s="57" t="str">
        <f t="shared" si="1727"/>
        <v>8 AGOSTO 2024</v>
      </c>
      <c r="G1309" s="1309" t="s">
        <v>418</v>
      </c>
      <c r="H1309" s="1309" t="str">
        <f>VLOOKUP(G1309,CATEGORIE!$H$3:$I$104,2,FALSE)</f>
        <v>COSTO SOPRAVVIVENZA</v>
      </c>
      <c r="I1309" s="60">
        <v>12.8</v>
      </c>
      <c r="J1309" s="940"/>
      <c r="K1309" s="59"/>
      <c r="L1309" s="59"/>
    </row>
    <row r="1310" spans="1:12" ht="16.5" customHeight="1">
      <c r="A1310" s="57" t="s">
        <v>329</v>
      </c>
      <c r="B1310" s="57" t="s">
        <v>261</v>
      </c>
      <c r="C1310" s="57">
        <v>2024</v>
      </c>
      <c r="D1310" s="58">
        <f>MATCH(B1310,{"GENNAIO","FEBBRAIO","MARZO","APRILE","MAGGIO","GIUGNO","LUGLIO","AGOSTO","SETTEMBRE","OTTOBRE","NOVEMBRE","DICEMBRE"},0)</f>
        <v>8</v>
      </c>
      <c r="E1310" s="57" t="str">
        <f t="shared" si="1726"/>
        <v>AGOSTO 2024</v>
      </c>
      <c r="F1310" s="57" t="str">
        <f t="shared" si="1727"/>
        <v>8 AGOSTO 2024</v>
      </c>
      <c r="G1310" s="1309" t="s">
        <v>94</v>
      </c>
      <c r="H1310" s="1309" t="str">
        <f>VLOOKUP(G1310,CATEGORIE!$H$3:$I$104,2,FALSE)</f>
        <v>COSTO SVAGHI</v>
      </c>
      <c r="I1310" s="59">
        <v>20</v>
      </c>
      <c r="J1310" s="940"/>
      <c r="K1310" s="59"/>
      <c r="L1310" s="59"/>
    </row>
    <row r="1311" spans="1:12" ht="16.5" customHeight="1">
      <c r="A1311" s="57" t="s">
        <v>441</v>
      </c>
      <c r="B1311" s="57" t="s">
        <v>261</v>
      </c>
      <c r="C1311" s="57">
        <v>2024</v>
      </c>
      <c r="D1311" s="58">
        <f>MATCH(B1311,{"GENNAIO","FEBBRAIO","MARZO","APRILE","MAGGIO","GIUGNO","LUGLIO","AGOSTO","SETTEMBRE","OTTOBRE","NOVEMBRE","DICEMBRE"},0)</f>
        <v>8</v>
      </c>
      <c r="E1311" s="57" t="str">
        <f t="shared" si="1726"/>
        <v>AGOSTO 2024</v>
      </c>
      <c r="F1311" s="57" t="str">
        <f t="shared" si="1727"/>
        <v>8 AGOSTO 2024</v>
      </c>
      <c r="G1311" s="1309" t="s">
        <v>94</v>
      </c>
      <c r="H1311" s="1309" t="str">
        <f>VLOOKUP(G1311,CATEGORIE!$H$3:$I$104,2,FALSE)</f>
        <v>COSTO SVAGHI</v>
      </c>
      <c r="I1311" s="59">
        <v>36</v>
      </c>
      <c r="J1311" s="940"/>
      <c r="K1311" s="59"/>
      <c r="L1311" s="59"/>
    </row>
    <row r="1312" spans="1:12" ht="16.5" customHeight="1">
      <c r="A1312" s="57" t="s">
        <v>442</v>
      </c>
      <c r="B1312" s="57" t="s">
        <v>261</v>
      </c>
      <c r="C1312" s="57">
        <v>2024</v>
      </c>
      <c r="D1312" s="58">
        <f>MATCH(B1312,{"GENNAIO","FEBBRAIO","MARZO","APRILE","MAGGIO","GIUGNO","LUGLIO","AGOSTO","SETTEMBRE","OTTOBRE","NOVEMBRE","DICEMBRE"},0)</f>
        <v>8</v>
      </c>
      <c r="E1312" s="57" t="str">
        <f t="shared" si="1726"/>
        <v>AGOSTO 2024</v>
      </c>
      <c r="F1312" s="57" t="str">
        <f t="shared" si="1727"/>
        <v>8 AGOSTO 2024</v>
      </c>
      <c r="G1312" s="1309" t="s">
        <v>94</v>
      </c>
      <c r="H1312" s="1309" t="str">
        <f>VLOOKUP(G1312,CATEGORIE!$H$3:$I$104,2,FALSE)</f>
        <v>COSTO SVAGHI</v>
      </c>
      <c r="I1312" s="59">
        <v>2</v>
      </c>
      <c r="J1312" s="940"/>
      <c r="K1312" s="59"/>
      <c r="L1312" s="59" t="s">
        <v>443</v>
      </c>
    </row>
    <row r="1313" spans="1:12" ht="16.5" customHeight="1">
      <c r="A1313" s="57" t="s">
        <v>444</v>
      </c>
      <c r="B1313" s="57" t="s">
        <v>261</v>
      </c>
      <c r="C1313" s="57">
        <v>2024</v>
      </c>
      <c r="D1313" s="58">
        <f>MATCH(B1313,{"GENNAIO","FEBBRAIO","MARZO","APRILE","MAGGIO","GIUGNO","LUGLIO","AGOSTO","SETTEMBRE","OTTOBRE","NOVEMBRE","DICEMBRE"},0)</f>
        <v>8</v>
      </c>
      <c r="E1313" s="57" t="str">
        <f t="shared" si="1726"/>
        <v>AGOSTO 2024</v>
      </c>
      <c r="F1313" s="57" t="str">
        <f t="shared" si="1727"/>
        <v>8 AGOSTO 2024</v>
      </c>
      <c r="G1313" s="1309" t="s">
        <v>1250</v>
      </c>
      <c r="H1313" s="1309" t="str">
        <f>VLOOKUP(G1313,CATEGORIE!$H$3:$I$104,2,FALSE)</f>
        <v>COSTO VACANZE</v>
      </c>
      <c r="I1313" s="59">
        <v>31.51</v>
      </c>
      <c r="J1313" s="940"/>
      <c r="K1313" s="59"/>
      <c r="L1313" s="59" t="s">
        <v>443</v>
      </c>
    </row>
    <row r="1314" spans="1:12" ht="16.5" customHeight="1">
      <c r="A1314" s="57" t="s">
        <v>445</v>
      </c>
      <c r="B1314" s="57" t="s">
        <v>261</v>
      </c>
      <c r="C1314" s="57">
        <v>2024</v>
      </c>
      <c r="D1314" s="58">
        <f>MATCH(B1314,{"GENNAIO","FEBBRAIO","MARZO","APRILE","MAGGIO","GIUGNO","LUGLIO","AGOSTO","SETTEMBRE","OTTOBRE","NOVEMBRE","DICEMBRE"},0)</f>
        <v>8</v>
      </c>
      <c r="E1314" s="57" t="str">
        <f t="shared" si="1726"/>
        <v>AGOSTO 2024</v>
      </c>
      <c r="F1314" s="57" t="str">
        <f t="shared" si="1727"/>
        <v>8 AGOSTO 2024</v>
      </c>
      <c r="G1314" s="1309" t="s">
        <v>185</v>
      </c>
      <c r="H1314" s="1309" t="str">
        <f>VLOOKUP(G1314,CATEGORIE!$H$3:$I$104,2,FALSE)</f>
        <v>COSTO SFIZI</v>
      </c>
      <c r="I1314" s="59">
        <v>12</v>
      </c>
      <c r="J1314" s="940"/>
      <c r="K1314" s="59"/>
      <c r="L1314" s="59" t="s">
        <v>443</v>
      </c>
    </row>
    <row r="1315" spans="1:12" ht="16.5" customHeight="1">
      <c r="A1315" s="57" t="s">
        <v>446</v>
      </c>
      <c r="B1315" s="57" t="s">
        <v>261</v>
      </c>
      <c r="C1315" s="57">
        <v>2024</v>
      </c>
      <c r="D1315" s="58">
        <f>MATCH(B1315,{"GENNAIO","FEBBRAIO","MARZO","APRILE","MAGGIO","GIUGNO","LUGLIO","AGOSTO","SETTEMBRE","OTTOBRE","NOVEMBRE","DICEMBRE"},0)</f>
        <v>8</v>
      </c>
      <c r="E1315" s="57" t="str">
        <f t="shared" si="1726"/>
        <v>AGOSTO 2024</v>
      </c>
      <c r="F1315" s="57" t="str">
        <f t="shared" si="1727"/>
        <v>8 AGOSTO 2024</v>
      </c>
      <c r="G1315" s="1309" t="s">
        <v>185</v>
      </c>
      <c r="H1315" s="1309" t="str">
        <f>VLOOKUP(G1315,CATEGORIE!$H$3:$I$104,2,FALSE)</f>
        <v>COSTO SFIZI</v>
      </c>
      <c r="I1315" s="59">
        <v>12</v>
      </c>
      <c r="J1315" s="940"/>
      <c r="K1315" s="59"/>
      <c r="L1315" s="59" t="s">
        <v>443</v>
      </c>
    </row>
    <row r="1316" spans="1:12" ht="16.5" customHeight="1">
      <c r="A1316" s="57" t="s">
        <v>447</v>
      </c>
      <c r="B1316" s="57" t="s">
        <v>261</v>
      </c>
      <c r="C1316" s="57">
        <v>2024</v>
      </c>
      <c r="D1316" s="58">
        <f>MATCH(B1316,{"GENNAIO","FEBBRAIO","MARZO","APRILE","MAGGIO","GIUGNO","LUGLIO","AGOSTO","SETTEMBRE","OTTOBRE","NOVEMBRE","DICEMBRE"},0)</f>
        <v>8</v>
      </c>
      <c r="E1316" s="57" t="str">
        <f t="shared" si="1726"/>
        <v>AGOSTO 2024</v>
      </c>
      <c r="F1316" s="57" t="str">
        <f t="shared" si="1727"/>
        <v>8 AGOSTO 2024</v>
      </c>
      <c r="G1316" s="1309" t="s">
        <v>185</v>
      </c>
      <c r="H1316" s="1309" t="str">
        <f>VLOOKUP(G1316,CATEGORIE!$H$3:$I$104,2,FALSE)</f>
        <v>COSTO SFIZI</v>
      </c>
      <c r="I1316" s="59">
        <v>31.2</v>
      </c>
      <c r="J1316" s="940"/>
      <c r="K1316" s="59"/>
      <c r="L1316" s="59" t="s">
        <v>443</v>
      </c>
    </row>
    <row r="1317" spans="1:12" ht="16.5" customHeight="1">
      <c r="A1317" s="57" t="s">
        <v>448</v>
      </c>
      <c r="B1317" s="57" t="s">
        <v>261</v>
      </c>
      <c r="C1317" s="57">
        <v>2024</v>
      </c>
      <c r="D1317" s="58">
        <f>MATCH(B1317,{"GENNAIO","FEBBRAIO","MARZO","APRILE","MAGGIO","GIUGNO","LUGLIO","AGOSTO","SETTEMBRE","OTTOBRE","NOVEMBRE","DICEMBRE"},0)</f>
        <v>8</v>
      </c>
      <c r="E1317" s="57" t="str">
        <f t="shared" si="1726"/>
        <v>AGOSTO 2024</v>
      </c>
      <c r="F1317" s="57" t="str">
        <f t="shared" si="1727"/>
        <v>8 AGOSTO 2024</v>
      </c>
      <c r="G1317" s="1309" t="s">
        <v>94</v>
      </c>
      <c r="H1317" s="1309" t="str">
        <f>VLOOKUP(G1317,CATEGORIE!$H$3:$I$104,2,FALSE)</f>
        <v>COSTO SVAGHI</v>
      </c>
      <c r="I1317" s="59">
        <v>12.1</v>
      </c>
      <c r="J1317" s="940"/>
      <c r="K1317" s="59"/>
      <c r="L1317" s="59" t="s">
        <v>443</v>
      </c>
    </row>
    <row r="1318" spans="1:12" ht="16.5" customHeight="1">
      <c r="A1318" s="57" t="s">
        <v>449</v>
      </c>
      <c r="B1318" s="57" t="s">
        <v>261</v>
      </c>
      <c r="C1318" s="57">
        <v>2024</v>
      </c>
      <c r="D1318" s="58">
        <f>MATCH(B1318,{"GENNAIO","FEBBRAIO","MARZO","APRILE","MAGGIO","GIUGNO","LUGLIO","AGOSTO","SETTEMBRE","OTTOBRE","NOVEMBRE","DICEMBRE"},0)</f>
        <v>8</v>
      </c>
      <c r="E1318" s="57" t="str">
        <f t="shared" si="1726"/>
        <v>AGOSTO 2024</v>
      </c>
      <c r="F1318" s="57" t="str">
        <f t="shared" si="1727"/>
        <v>8 AGOSTO 2024</v>
      </c>
      <c r="G1318" s="1309" t="s">
        <v>1250</v>
      </c>
      <c r="H1318" s="1309" t="str">
        <f>VLOOKUP(G1318,CATEGORIE!$H$3:$I$104,2,FALSE)</f>
        <v>COSTO VACANZE</v>
      </c>
      <c r="I1318" s="59">
        <v>63.04</v>
      </c>
      <c r="J1318" s="940"/>
      <c r="K1318" s="59"/>
      <c r="L1318" s="59" t="s">
        <v>443</v>
      </c>
    </row>
    <row r="1319" spans="1:12" ht="16.5" customHeight="1">
      <c r="A1319" s="57" t="s">
        <v>450</v>
      </c>
      <c r="B1319" s="57" t="s">
        <v>261</v>
      </c>
      <c r="C1319" s="57">
        <v>2024</v>
      </c>
      <c r="D1319" s="58">
        <f>MATCH(B1319,{"GENNAIO","FEBBRAIO","MARZO","APRILE","MAGGIO","GIUGNO","LUGLIO","AGOSTO","SETTEMBRE","OTTOBRE","NOVEMBRE","DICEMBRE"},0)</f>
        <v>8</v>
      </c>
      <c r="E1319" s="57" t="str">
        <f t="shared" si="1726"/>
        <v>AGOSTO 2024</v>
      </c>
      <c r="F1319" s="57" t="str">
        <f t="shared" si="1727"/>
        <v>8 AGOSTO 2024</v>
      </c>
      <c r="G1319" s="1309" t="s">
        <v>94</v>
      </c>
      <c r="H1319" s="1309" t="str">
        <f>VLOOKUP(G1319,CATEGORIE!$H$3:$I$104,2,FALSE)</f>
        <v>COSTO SVAGHI</v>
      </c>
      <c r="I1319" s="59">
        <v>4.5</v>
      </c>
      <c r="J1319" s="940"/>
      <c r="K1319" s="59"/>
      <c r="L1319" s="59" t="s">
        <v>443</v>
      </c>
    </row>
    <row r="1320" spans="1:12" ht="16.5" customHeight="1">
      <c r="A1320" s="57" t="s">
        <v>450</v>
      </c>
      <c r="B1320" s="57" t="s">
        <v>261</v>
      </c>
      <c r="C1320" s="57">
        <v>2024</v>
      </c>
      <c r="D1320" s="58">
        <f>MATCH(B1320,{"GENNAIO","FEBBRAIO","MARZO","APRILE","MAGGIO","GIUGNO","LUGLIO","AGOSTO","SETTEMBRE","OTTOBRE","NOVEMBRE","DICEMBRE"},0)</f>
        <v>8</v>
      </c>
      <c r="E1320" s="57" t="str">
        <f t="shared" si="1726"/>
        <v>AGOSTO 2024</v>
      </c>
      <c r="F1320" s="57" t="str">
        <f t="shared" si="1727"/>
        <v>8 AGOSTO 2024</v>
      </c>
      <c r="G1320" s="1309" t="s">
        <v>94</v>
      </c>
      <c r="H1320" s="1309" t="str">
        <f>VLOOKUP(G1320,CATEGORIE!$H$3:$I$104,2,FALSE)</f>
        <v>COSTO SVAGHI</v>
      </c>
      <c r="I1320" s="59">
        <v>24.5</v>
      </c>
      <c r="J1320" s="940"/>
      <c r="K1320" s="59"/>
      <c r="L1320" s="59" t="s">
        <v>443</v>
      </c>
    </row>
    <row r="1321" spans="1:12" ht="16.5" customHeight="1">
      <c r="A1321" s="57" t="s">
        <v>451</v>
      </c>
      <c r="B1321" s="57" t="s">
        <v>261</v>
      </c>
      <c r="C1321" s="57">
        <v>2024</v>
      </c>
      <c r="D1321" s="58">
        <f>MATCH(B1321,{"GENNAIO","FEBBRAIO","MARZO","APRILE","MAGGIO","GIUGNO","LUGLIO","AGOSTO","SETTEMBRE","OTTOBRE","NOVEMBRE","DICEMBRE"},0)</f>
        <v>8</v>
      </c>
      <c r="E1321" s="57" t="str">
        <f t="shared" si="1726"/>
        <v>AGOSTO 2024</v>
      </c>
      <c r="F1321" s="57" t="str">
        <f t="shared" si="1727"/>
        <v>8 AGOSTO 2024</v>
      </c>
      <c r="G1321" s="1309" t="s">
        <v>94</v>
      </c>
      <c r="H1321" s="1309" t="str">
        <f>VLOOKUP(G1321,CATEGORIE!$H$3:$I$104,2,FALSE)</f>
        <v>COSTO SVAGHI</v>
      </c>
      <c r="I1321" s="59">
        <v>10.5</v>
      </c>
      <c r="J1321" s="940"/>
      <c r="K1321" s="59"/>
      <c r="L1321" s="59" t="s">
        <v>443</v>
      </c>
    </row>
    <row r="1322" spans="1:12" ht="16.5" customHeight="1">
      <c r="A1322" s="57" t="s">
        <v>452</v>
      </c>
      <c r="B1322" s="57" t="s">
        <v>261</v>
      </c>
      <c r="C1322" s="57">
        <v>2024</v>
      </c>
      <c r="D1322" s="58">
        <f>MATCH(B1322,{"GENNAIO","FEBBRAIO","MARZO","APRILE","MAGGIO","GIUGNO","LUGLIO","AGOSTO","SETTEMBRE","OTTOBRE","NOVEMBRE","DICEMBRE"},0)</f>
        <v>8</v>
      </c>
      <c r="E1322" s="57" t="str">
        <f t="shared" si="1726"/>
        <v>AGOSTO 2024</v>
      </c>
      <c r="F1322" s="57" t="str">
        <f t="shared" si="1727"/>
        <v>8 AGOSTO 2024</v>
      </c>
      <c r="G1322" s="1309" t="s">
        <v>94</v>
      </c>
      <c r="H1322" s="1309" t="str">
        <f>VLOOKUP(G1322,CATEGORIE!$H$3:$I$104,2,FALSE)</f>
        <v>COSTO SVAGHI</v>
      </c>
      <c r="I1322" s="59">
        <v>7.5</v>
      </c>
      <c r="J1322" s="940"/>
      <c r="K1322" s="59"/>
      <c r="L1322" s="59" t="s">
        <v>443</v>
      </c>
    </row>
    <row r="1323" spans="1:12" ht="16.5" customHeight="1">
      <c r="A1323" s="57" t="s">
        <v>453</v>
      </c>
      <c r="B1323" s="57" t="s">
        <v>261</v>
      </c>
      <c r="C1323" s="57">
        <v>2024</v>
      </c>
      <c r="D1323" s="58">
        <f>MATCH(B1323,{"GENNAIO","FEBBRAIO","MARZO","APRILE","MAGGIO","GIUGNO","LUGLIO","AGOSTO","SETTEMBRE","OTTOBRE","NOVEMBRE","DICEMBRE"},0)</f>
        <v>8</v>
      </c>
      <c r="E1323" s="57" t="str">
        <f t="shared" si="1726"/>
        <v>AGOSTO 2024</v>
      </c>
      <c r="F1323" s="57" t="str">
        <f t="shared" si="1727"/>
        <v>8 AGOSTO 2024</v>
      </c>
      <c r="G1323" s="1309" t="s">
        <v>94</v>
      </c>
      <c r="H1323" s="1309" t="str">
        <f>VLOOKUP(G1323,CATEGORIE!$H$3:$I$104,2,FALSE)</f>
        <v>COSTO SVAGHI</v>
      </c>
      <c r="I1323" s="59">
        <v>7.4</v>
      </c>
      <c r="J1323" s="940"/>
      <c r="K1323" s="59"/>
      <c r="L1323" s="59" t="s">
        <v>443</v>
      </c>
    </row>
    <row r="1324" spans="1:12" ht="16.5" customHeight="1">
      <c r="A1324" s="57" t="s">
        <v>454</v>
      </c>
      <c r="B1324" s="57" t="s">
        <v>261</v>
      </c>
      <c r="C1324" s="57">
        <v>2024</v>
      </c>
      <c r="D1324" s="58">
        <f>MATCH(B1324,{"GENNAIO","FEBBRAIO","MARZO","APRILE","MAGGIO","GIUGNO","LUGLIO","AGOSTO","SETTEMBRE","OTTOBRE","NOVEMBRE","DICEMBRE"},0)</f>
        <v>8</v>
      </c>
      <c r="E1324" s="57" t="str">
        <f t="shared" si="1726"/>
        <v>AGOSTO 2024</v>
      </c>
      <c r="F1324" s="57" t="str">
        <f t="shared" si="1727"/>
        <v>8 AGOSTO 2024</v>
      </c>
      <c r="G1324" s="1309" t="s">
        <v>94</v>
      </c>
      <c r="H1324" s="1309" t="str">
        <f>VLOOKUP(G1324,CATEGORIE!$H$3:$I$104,2,FALSE)</f>
        <v>COSTO SVAGHI</v>
      </c>
      <c r="I1324" s="59">
        <v>6.5</v>
      </c>
      <c r="J1324" s="940"/>
      <c r="K1324" s="59"/>
      <c r="L1324" s="59" t="s">
        <v>443</v>
      </c>
    </row>
    <row r="1325" spans="1:12" ht="16.5" customHeight="1">
      <c r="A1325" s="57" t="s">
        <v>455</v>
      </c>
      <c r="B1325" s="57" t="s">
        <v>261</v>
      </c>
      <c r="C1325" s="57">
        <v>2024</v>
      </c>
      <c r="D1325" s="58">
        <f>MATCH(B1325,{"GENNAIO","FEBBRAIO","MARZO","APRILE","MAGGIO","GIUGNO","LUGLIO","AGOSTO","SETTEMBRE","OTTOBRE","NOVEMBRE","DICEMBRE"},0)</f>
        <v>8</v>
      </c>
      <c r="E1325" s="57" t="str">
        <f t="shared" si="1726"/>
        <v>AGOSTO 2024</v>
      </c>
      <c r="F1325" s="57" t="str">
        <f t="shared" si="1727"/>
        <v>8 AGOSTO 2024</v>
      </c>
      <c r="G1325" s="1309" t="s">
        <v>94</v>
      </c>
      <c r="H1325" s="1309" t="str">
        <f>VLOOKUP(G1325,CATEGORIE!$H$3:$I$104,2,FALSE)</f>
        <v>COSTO SVAGHI</v>
      </c>
      <c r="I1325" s="59">
        <v>6</v>
      </c>
      <c r="J1325" s="940"/>
      <c r="K1325" s="59"/>
      <c r="L1325" s="59" t="s">
        <v>443</v>
      </c>
    </row>
    <row r="1326" spans="1:12" ht="16.5" customHeight="1">
      <c r="A1326" s="57" t="s">
        <v>456</v>
      </c>
      <c r="B1326" s="57" t="s">
        <v>261</v>
      </c>
      <c r="C1326" s="57">
        <v>2024</v>
      </c>
      <c r="D1326" s="58">
        <f>MATCH(B1326,{"GENNAIO","FEBBRAIO","MARZO","APRILE","MAGGIO","GIUGNO","LUGLIO","AGOSTO","SETTEMBRE","OTTOBRE","NOVEMBRE","DICEMBRE"},0)</f>
        <v>8</v>
      </c>
      <c r="E1326" s="57" t="str">
        <f t="shared" si="1726"/>
        <v>AGOSTO 2024</v>
      </c>
      <c r="F1326" s="57" t="str">
        <f t="shared" si="1727"/>
        <v>8 AGOSTO 2024</v>
      </c>
      <c r="G1326" s="1309" t="s">
        <v>94</v>
      </c>
      <c r="H1326" s="1309" t="str">
        <f>VLOOKUP(G1326,CATEGORIE!$H$3:$I$104,2,FALSE)</f>
        <v>COSTO SVAGHI</v>
      </c>
      <c r="I1326" s="59">
        <v>6</v>
      </c>
      <c r="J1326" s="940"/>
      <c r="K1326" s="59"/>
      <c r="L1326" s="59" t="s">
        <v>443</v>
      </c>
    </row>
    <row r="1327" spans="1:12" ht="16.5" customHeight="1">
      <c r="A1327" s="57" t="s">
        <v>99</v>
      </c>
      <c r="B1327" s="57" t="s">
        <v>261</v>
      </c>
      <c r="C1327" s="57">
        <v>2024</v>
      </c>
      <c r="D1327" s="58">
        <f>MATCH(B1327,{"GENNAIO","FEBBRAIO","MARZO","APRILE","MAGGIO","GIUGNO","LUGLIO","AGOSTO","SETTEMBRE","OTTOBRE","NOVEMBRE","DICEMBRE"},0)</f>
        <v>8</v>
      </c>
      <c r="E1327" s="57" t="str">
        <f t="shared" si="1726"/>
        <v>AGOSTO 2024</v>
      </c>
      <c r="F1327" s="57" t="str">
        <f t="shared" si="1727"/>
        <v>8 AGOSTO 2024</v>
      </c>
      <c r="G1327" s="1309" t="s">
        <v>100</v>
      </c>
      <c r="H1327" s="1309" t="str">
        <f>VLOOKUP(G1327,CATEGORIE!$H$3:$I$104,2,FALSE)</f>
        <v>COSTO SFIZI</v>
      </c>
      <c r="I1327" s="59">
        <v>9.06</v>
      </c>
      <c r="J1327" s="940" t="s">
        <v>124</v>
      </c>
      <c r="K1327" s="57" t="s">
        <v>99</v>
      </c>
      <c r="L1327" s="59" t="s">
        <v>457</v>
      </c>
    </row>
    <row r="1328" spans="1:12" ht="18.600000000000001" customHeight="1">
      <c r="A1328" s="57" t="s">
        <v>458</v>
      </c>
      <c r="B1328" s="57" t="s">
        <v>261</v>
      </c>
      <c r="C1328" s="57">
        <v>2024</v>
      </c>
      <c r="D1328" s="58">
        <f>MATCH(B1328,{"GENNAIO","FEBBRAIO","MARZO","APRILE","MAGGIO","GIUGNO","LUGLIO","AGOSTO","SETTEMBRE","OTTOBRE","NOVEMBRE","DICEMBRE"},0)</f>
        <v>8</v>
      </c>
      <c r="E1328" s="57" t="str">
        <f t="shared" si="1726"/>
        <v>AGOSTO 2024</v>
      </c>
      <c r="F1328" s="57" t="str">
        <f t="shared" si="1727"/>
        <v>8 AGOSTO 2024</v>
      </c>
      <c r="G1328" s="1309" t="s">
        <v>94</v>
      </c>
      <c r="H1328" s="1309" t="str">
        <f>VLOOKUP(G1328,CATEGORIE!$H$3:$I$104,2,FALSE)</f>
        <v>COSTO SVAGHI</v>
      </c>
      <c r="I1328" s="59">
        <v>13.7</v>
      </c>
      <c r="J1328" s="940"/>
      <c r="K1328" s="59"/>
      <c r="L1328" s="59" t="s">
        <v>443</v>
      </c>
    </row>
    <row r="1329" spans="1:12" ht="16.5" customHeight="1">
      <c r="A1329" s="57" t="s">
        <v>459</v>
      </c>
      <c r="B1329" s="57" t="s">
        <v>261</v>
      </c>
      <c r="C1329" s="57">
        <v>2024</v>
      </c>
      <c r="D1329" s="58">
        <f>MATCH(B1329,{"GENNAIO","FEBBRAIO","MARZO","APRILE","MAGGIO","GIUGNO","LUGLIO","AGOSTO","SETTEMBRE","OTTOBRE","NOVEMBRE","DICEMBRE"},0)</f>
        <v>8</v>
      </c>
      <c r="E1329" s="57" t="str">
        <f t="shared" si="1726"/>
        <v>AGOSTO 2024</v>
      </c>
      <c r="F1329" s="57" t="str">
        <f t="shared" si="1727"/>
        <v>8 AGOSTO 2024</v>
      </c>
      <c r="G1329" s="1309" t="s">
        <v>94</v>
      </c>
      <c r="H1329" s="1309" t="str">
        <f>VLOOKUP(G1329,CATEGORIE!$H$3:$I$104,2,FALSE)</f>
        <v>COSTO SVAGHI</v>
      </c>
      <c r="I1329" s="59">
        <v>5.0999999999999996</v>
      </c>
      <c r="J1329" s="940"/>
      <c r="K1329" s="59"/>
      <c r="L1329" s="59" t="s">
        <v>443</v>
      </c>
    </row>
    <row r="1330" spans="1:12" ht="16.5" customHeight="1">
      <c r="A1330" s="57" t="s">
        <v>460</v>
      </c>
      <c r="B1330" s="57" t="s">
        <v>261</v>
      </c>
      <c r="C1330" s="57">
        <v>2024</v>
      </c>
      <c r="D1330" s="58">
        <f>MATCH(B1330,{"GENNAIO","FEBBRAIO","MARZO","APRILE","MAGGIO","GIUGNO","LUGLIO","AGOSTO","SETTEMBRE","OTTOBRE","NOVEMBRE","DICEMBRE"},0)</f>
        <v>8</v>
      </c>
      <c r="E1330" s="57" t="str">
        <f t="shared" si="1726"/>
        <v>AGOSTO 2024</v>
      </c>
      <c r="F1330" s="57" t="str">
        <f t="shared" si="1727"/>
        <v>8 AGOSTO 2024</v>
      </c>
      <c r="G1330" s="1309" t="s">
        <v>94</v>
      </c>
      <c r="H1330" s="1309" t="str">
        <f>VLOOKUP(G1330,CATEGORIE!$H$3:$I$104,2,FALSE)</f>
        <v>COSTO SVAGHI</v>
      </c>
      <c r="I1330" s="59">
        <v>6.9</v>
      </c>
      <c r="J1330" s="940"/>
      <c r="K1330" s="59"/>
      <c r="L1330" s="59" t="s">
        <v>443</v>
      </c>
    </row>
    <row r="1331" spans="1:12" ht="16.5" customHeight="1">
      <c r="A1331" s="57" t="s">
        <v>135</v>
      </c>
      <c r="B1331" s="57" t="s">
        <v>261</v>
      </c>
      <c r="C1331" s="57">
        <v>2024</v>
      </c>
      <c r="D1331" s="58">
        <f>MATCH(B1331,{"GENNAIO","FEBBRAIO","MARZO","APRILE","MAGGIO","GIUGNO","LUGLIO","AGOSTO","SETTEMBRE","OTTOBRE","NOVEMBRE","DICEMBRE"},0)</f>
        <v>8</v>
      </c>
      <c r="E1331" s="57" t="str">
        <f t="shared" si="1726"/>
        <v>AGOSTO 2024</v>
      </c>
      <c r="F1331" s="57" t="str">
        <f t="shared" si="1727"/>
        <v>8 AGOSTO 2024</v>
      </c>
      <c r="G1331" s="1309" t="s">
        <v>132</v>
      </c>
      <c r="H1331" s="1309" t="str">
        <f>VLOOKUP(G1331,CATEGORIE!$H$3:$I$104,2,FALSE)</f>
        <v>COSTO CASA</v>
      </c>
      <c r="I1331" s="59">
        <v>14.89</v>
      </c>
      <c r="J1331" s="940"/>
      <c r="K1331" s="59"/>
      <c r="L1331" s="59"/>
    </row>
    <row r="1332" spans="1:12" ht="16.5" customHeight="1">
      <c r="A1332" s="57" t="s">
        <v>99</v>
      </c>
      <c r="B1332" s="57" t="s">
        <v>261</v>
      </c>
      <c r="C1332" s="57">
        <v>2024</v>
      </c>
      <c r="D1332" s="58">
        <f>MATCH(B1332,{"GENNAIO","FEBBRAIO","MARZO","APRILE","MAGGIO","GIUGNO","LUGLIO","AGOSTO","SETTEMBRE","OTTOBRE","NOVEMBRE","DICEMBRE"},0)</f>
        <v>8</v>
      </c>
      <c r="E1332" s="57" t="str">
        <f t="shared" si="1726"/>
        <v>AGOSTO 2024</v>
      </c>
      <c r="F1332" s="57" t="str">
        <f t="shared" si="1727"/>
        <v>8 AGOSTO 2024</v>
      </c>
      <c r="G1332" s="1309" t="s">
        <v>100</v>
      </c>
      <c r="H1332" s="1309" t="str">
        <f>VLOOKUP(G1332,CATEGORIE!$H$3:$I$104,2,FALSE)</f>
        <v>COSTO SFIZI</v>
      </c>
      <c r="I1332" s="59">
        <v>19.899999999999999</v>
      </c>
      <c r="J1332" s="940"/>
      <c r="K1332" s="57" t="s">
        <v>99</v>
      </c>
      <c r="L1332" s="59"/>
    </row>
    <row r="1333" spans="1:12" ht="16.5" customHeight="1">
      <c r="A1333" s="57" t="s">
        <v>350</v>
      </c>
      <c r="B1333" s="57" t="s">
        <v>261</v>
      </c>
      <c r="C1333" s="57">
        <v>2024</v>
      </c>
      <c r="D1333" s="58">
        <f>MATCH(B1333,{"GENNAIO","FEBBRAIO","MARZO","APRILE","MAGGIO","GIUGNO","LUGLIO","AGOSTO","SETTEMBRE","OTTOBRE","NOVEMBRE","DICEMBRE"},0)</f>
        <v>8</v>
      </c>
      <c r="E1333" s="57" t="str">
        <f t="shared" si="1726"/>
        <v>AGOSTO 2024</v>
      </c>
      <c r="F1333" s="57" t="str">
        <f t="shared" si="1727"/>
        <v>8 AGOSTO 2024</v>
      </c>
      <c r="G1333" s="1309" t="s">
        <v>94</v>
      </c>
      <c r="H1333" s="1309" t="str">
        <f>VLOOKUP(G1333,CATEGORIE!$H$3:$I$104,2,FALSE)</f>
        <v>COSTO SVAGHI</v>
      </c>
      <c r="I1333" s="59">
        <v>29</v>
      </c>
      <c r="J1333" s="940"/>
      <c r="K1333" s="59"/>
      <c r="L1333" s="59"/>
    </row>
    <row r="1334" spans="1:12" ht="16.5" customHeight="1">
      <c r="A1334" s="57" t="s">
        <v>187</v>
      </c>
      <c r="B1334" s="57" t="s">
        <v>261</v>
      </c>
      <c r="C1334" s="57">
        <v>2024</v>
      </c>
      <c r="D1334" s="58">
        <f>MATCH(B1334,{"GENNAIO","FEBBRAIO","MARZO","APRILE","MAGGIO","GIUGNO","LUGLIO","AGOSTO","SETTEMBRE","OTTOBRE","NOVEMBRE","DICEMBRE"},0)</f>
        <v>8</v>
      </c>
      <c r="E1334" s="57" t="str">
        <f t="shared" si="1726"/>
        <v>AGOSTO 2024</v>
      </c>
      <c r="F1334" s="57" t="str">
        <f t="shared" si="1727"/>
        <v>8 AGOSTO 2024</v>
      </c>
      <c r="G1334" s="1309" t="s">
        <v>188</v>
      </c>
      <c r="H1334" s="1309" t="str">
        <f>VLOOKUP(G1334,CATEGORIE!$H$3:$I$104,2,FALSE)</f>
        <v>COSTO VACANZE</v>
      </c>
      <c r="I1334" s="59">
        <v>149.56</v>
      </c>
      <c r="J1334" s="940"/>
      <c r="K1334" s="59"/>
      <c r="L1334" s="59" t="s">
        <v>461</v>
      </c>
    </row>
    <row r="1335" spans="1:12" ht="16.5" customHeight="1">
      <c r="A1335" s="57" t="s">
        <v>99</v>
      </c>
      <c r="B1335" s="57" t="s">
        <v>261</v>
      </c>
      <c r="C1335" s="57">
        <v>2024</v>
      </c>
      <c r="D1335" s="58">
        <f>MATCH(B1335,{"GENNAIO","FEBBRAIO","MARZO","APRILE","MAGGIO","GIUGNO","LUGLIO","AGOSTO","SETTEMBRE","OTTOBRE","NOVEMBRE","DICEMBRE"},0)</f>
        <v>8</v>
      </c>
      <c r="E1335" s="57" t="str">
        <f t="shared" si="1726"/>
        <v>AGOSTO 2024</v>
      </c>
      <c r="F1335" s="57" t="str">
        <f t="shared" si="1727"/>
        <v>8 AGOSTO 2024</v>
      </c>
      <c r="G1335" s="1309" t="s">
        <v>100</v>
      </c>
      <c r="H1335" s="1309" t="str">
        <f>VLOOKUP(G1335,CATEGORIE!$H$3:$I$104,2,FALSE)</f>
        <v>COSTO SFIZI</v>
      </c>
      <c r="I1335" s="59">
        <v>30.9</v>
      </c>
      <c r="J1335" s="940"/>
      <c r="K1335" s="57" t="s">
        <v>99</v>
      </c>
      <c r="L1335" s="59"/>
    </row>
    <row r="1336" spans="1:12" ht="16.5" customHeight="1">
      <c r="A1336" s="57" t="s">
        <v>187</v>
      </c>
      <c r="B1336" s="57" t="s">
        <v>261</v>
      </c>
      <c r="C1336" s="57">
        <v>2024</v>
      </c>
      <c r="D1336" s="58">
        <f>MATCH(B1336,{"GENNAIO","FEBBRAIO","MARZO","APRILE","MAGGIO","GIUGNO","LUGLIO","AGOSTO","SETTEMBRE","OTTOBRE","NOVEMBRE","DICEMBRE"},0)</f>
        <v>8</v>
      </c>
      <c r="E1336" s="57" t="str">
        <f t="shared" si="1726"/>
        <v>AGOSTO 2024</v>
      </c>
      <c r="F1336" s="57" t="str">
        <f t="shared" si="1727"/>
        <v>8 AGOSTO 2024</v>
      </c>
      <c r="G1336" s="1309" t="s">
        <v>188</v>
      </c>
      <c r="H1336" s="1309" t="str">
        <f>VLOOKUP(G1336,CATEGORIE!$H$3:$I$104,2,FALSE)</f>
        <v>COSTO VACANZE</v>
      </c>
      <c r="I1336" s="59">
        <v>307.2</v>
      </c>
      <c r="J1336" s="940"/>
      <c r="K1336" s="59"/>
      <c r="L1336" s="59" t="s">
        <v>461</v>
      </c>
    </row>
    <row r="1337" spans="1:12" ht="16.5" customHeight="1">
      <c r="A1337" s="57" t="s">
        <v>187</v>
      </c>
      <c r="B1337" s="57" t="s">
        <v>261</v>
      </c>
      <c r="C1337" s="57">
        <v>2024</v>
      </c>
      <c r="D1337" s="58">
        <f>MATCH(B1337,{"GENNAIO","FEBBRAIO","MARZO","APRILE","MAGGIO","GIUGNO","LUGLIO","AGOSTO","SETTEMBRE","OTTOBRE","NOVEMBRE","DICEMBRE"},0)</f>
        <v>8</v>
      </c>
      <c r="E1337" s="57" t="str">
        <f t="shared" ref="E1337:E1400" si="1728">CONCATENATE(,B1337," ",C1337)</f>
        <v>AGOSTO 2024</v>
      </c>
      <c r="F1337" s="57" t="str">
        <f t="shared" ref="F1337:F1400" si="1729">CONCATENATE(D1337," ",E1337)</f>
        <v>8 AGOSTO 2024</v>
      </c>
      <c r="G1337" s="1309" t="s">
        <v>188</v>
      </c>
      <c r="H1337" s="1309" t="str">
        <f>VLOOKUP(G1337,CATEGORIE!$H$3:$I$104,2,FALSE)</f>
        <v>COSTO VACANZE</v>
      </c>
      <c r="I1337" s="59">
        <v>270</v>
      </c>
      <c r="J1337" s="940"/>
      <c r="K1337" s="59"/>
      <c r="L1337" s="59" t="s">
        <v>461</v>
      </c>
    </row>
    <row r="1338" spans="1:12">
      <c r="A1338" s="57" t="s">
        <v>99</v>
      </c>
      <c r="B1338" s="57" t="s">
        <v>261</v>
      </c>
      <c r="C1338" s="57">
        <v>2024</v>
      </c>
      <c r="D1338" s="58">
        <f>MATCH(B1338,{"GENNAIO","FEBBRAIO","MARZO","APRILE","MAGGIO","GIUGNO","LUGLIO","AGOSTO","SETTEMBRE","OTTOBRE","NOVEMBRE","DICEMBRE"},0)</f>
        <v>8</v>
      </c>
      <c r="E1338" s="57" t="str">
        <f t="shared" si="1728"/>
        <v>AGOSTO 2024</v>
      </c>
      <c r="F1338" s="57" t="str">
        <f t="shared" si="1729"/>
        <v>8 AGOSTO 2024</v>
      </c>
      <c r="G1338" s="1309" t="s">
        <v>100</v>
      </c>
      <c r="H1338" s="1309" t="str">
        <f>VLOOKUP(G1338,CATEGORIE!$H$3:$I$104,2,FALSE)</f>
        <v>COSTO SFIZI</v>
      </c>
      <c r="I1338" s="59">
        <v>11.95</v>
      </c>
      <c r="J1338" s="940"/>
      <c r="K1338" s="57" t="s">
        <v>99</v>
      </c>
      <c r="L1338" s="59"/>
    </row>
    <row r="1339" spans="1:12" ht="16.5" customHeight="1">
      <c r="A1339" s="57" t="s">
        <v>99</v>
      </c>
      <c r="B1339" s="57" t="s">
        <v>261</v>
      </c>
      <c r="C1339" s="57">
        <v>2024</v>
      </c>
      <c r="D1339" s="58">
        <f>MATCH(B1339,{"GENNAIO","FEBBRAIO","MARZO","APRILE","MAGGIO","GIUGNO","LUGLIO","AGOSTO","SETTEMBRE","OTTOBRE","NOVEMBRE","DICEMBRE"},0)</f>
        <v>8</v>
      </c>
      <c r="E1339" s="57" t="str">
        <f t="shared" si="1728"/>
        <v>AGOSTO 2024</v>
      </c>
      <c r="F1339" s="57" t="str">
        <f t="shared" si="1729"/>
        <v>8 AGOSTO 2024</v>
      </c>
      <c r="G1339" s="1309" t="s">
        <v>100</v>
      </c>
      <c r="H1339" s="1309" t="str">
        <f>VLOOKUP(G1339,CATEGORIE!$H$3:$I$104,2,FALSE)</f>
        <v>COSTO SFIZI</v>
      </c>
      <c r="I1339" s="59">
        <v>21.66</v>
      </c>
      <c r="J1339" s="940"/>
      <c r="K1339" s="57" t="s">
        <v>99</v>
      </c>
      <c r="L1339" s="59"/>
    </row>
    <row r="1340" spans="1:12" ht="16.5" customHeight="1">
      <c r="A1340" s="57" t="s">
        <v>187</v>
      </c>
      <c r="B1340" s="57" t="s">
        <v>261</v>
      </c>
      <c r="C1340" s="57">
        <v>2024</v>
      </c>
      <c r="D1340" s="58">
        <f>MATCH(B1340,{"GENNAIO","FEBBRAIO","MARZO","APRILE","MAGGIO","GIUGNO","LUGLIO","AGOSTO","SETTEMBRE","OTTOBRE","NOVEMBRE","DICEMBRE"},0)</f>
        <v>8</v>
      </c>
      <c r="E1340" s="57" t="str">
        <f t="shared" si="1728"/>
        <v>AGOSTO 2024</v>
      </c>
      <c r="F1340" s="57" t="str">
        <f t="shared" si="1729"/>
        <v>8 AGOSTO 2024</v>
      </c>
      <c r="G1340" s="1309" t="s">
        <v>188</v>
      </c>
      <c r="H1340" s="1309" t="str">
        <f>VLOOKUP(G1340,CATEGORIE!$H$3:$I$104,2,FALSE)</f>
        <v>COSTO VACANZE</v>
      </c>
      <c r="I1340" s="59">
        <v>318</v>
      </c>
      <c r="J1340" s="940"/>
      <c r="K1340" s="59"/>
      <c r="L1340" s="59" t="s">
        <v>461</v>
      </c>
    </row>
    <row r="1341" spans="1:12" ht="16.5" customHeight="1">
      <c r="A1341" s="57" t="s">
        <v>106</v>
      </c>
      <c r="B1341" s="57" t="s">
        <v>261</v>
      </c>
      <c r="C1341" s="57">
        <v>2024</v>
      </c>
      <c r="D1341" s="58">
        <f>MATCH(B1341,{"GENNAIO","FEBBRAIO","MARZO","APRILE","MAGGIO","GIUGNO","LUGLIO","AGOSTO","SETTEMBRE","OTTOBRE","NOVEMBRE","DICEMBRE"},0)</f>
        <v>8</v>
      </c>
      <c r="E1341" s="57" t="str">
        <f t="shared" si="1728"/>
        <v>AGOSTO 2024</v>
      </c>
      <c r="F1341" s="57" t="str">
        <f t="shared" si="1729"/>
        <v>8 AGOSTO 2024</v>
      </c>
      <c r="G1341" s="1309" t="s">
        <v>107</v>
      </c>
      <c r="H1341" s="1309" t="str">
        <f>VLOOKUP(G1341,CATEGORIE!$H$3:$I$104,2,FALSE)</f>
        <v>COSTO SOPRAVVIVENZA</v>
      </c>
      <c r="I1341" s="59">
        <v>33</v>
      </c>
      <c r="J1341" s="940"/>
      <c r="K1341" s="59"/>
      <c r="L1341" s="59"/>
    </row>
    <row r="1342" spans="1:12" ht="16.5" customHeight="1">
      <c r="A1342" s="57" t="s">
        <v>166</v>
      </c>
      <c r="B1342" s="57" t="s">
        <v>261</v>
      </c>
      <c r="C1342" s="57">
        <v>2024</v>
      </c>
      <c r="D1342" s="58">
        <f>MATCH(B1342,{"GENNAIO","FEBBRAIO","MARZO","APRILE","MAGGIO","GIUGNO","LUGLIO","AGOSTO","SETTEMBRE","OTTOBRE","NOVEMBRE","DICEMBRE"},0)</f>
        <v>8</v>
      </c>
      <c r="E1342" s="57" t="str">
        <f t="shared" si="1728"/>
        <v>AGOSTO 2024</v>
      </c>
      <c r="F1342" s="57" t="str">
        <f t="shared" si="1729"/>
        <v>8 AGOSTO 2024</v>
      </c>
      <c r="G1342" s="1309" t="s">
        <v>94</v>
      </c>
      <c r="H1342" s="1309" t="str">
        <f>VLOOKUP(G1342,CATEGORIE!$H$3:$I$104,2,FALSE)</f>
        <v>COSTO SVAGHI</v>
      </c>
      <c r="I1342" s="59">
        <v>0.52</v>
      </c>
      <c r="J1342" s="940"/>
      <c r="K1342" s="59"/>
      <c r="L1342" s="59"/>
    </row>
    <row r="1343" spans="1:12" ht="16.5" customHeight="1">
      <c r="A1343" s="57" t="s">
        <v>462</v>
      </c>
      <c r="B1343" s="57" t="s">
        <v>261</v>
      </c>
      <c r="C1343" s="57">
        <v>2024</v>
      </c>
      <c r="D1343" s="58">
        <f>MATCH(B1343,{"GENNAIO","FEBBRAIO","MARZO","APRILE","MAGGIO","GIUGNO","LUGLIO","AGOSTO","SETTEMBRE","OTTOBRE","NOVEMBRE","DICEMBRE"},0)</f>
        <v>8</v>
      </c>
      <c r="E1343" s="57" t="str">
        <f t="shared" si="1728"/>
        <v>AGOSTO 2024</v>
      </c>
      <c r="F1343" s="57" t="str">
        <f t="shared" si="1729"/>
        <v>8 AGOSTO 2024</v>
      </c>
      <c r="G1343" s="1309" t="s">
        <v>94</v>
      </c>
      <c r="H1343" s="1309" t="str">
        <f>VLOOKUP(G1343,CATEGORIE!$H$3:$I$104,2,FALSE)</f>
        <v>COSTO SVAGHI</v>
      </c>
      <c r="I1343" s="59">
        <v>5.33</v>
      </c>
      <c r="J1343" s="940"/>
      <c r="K1343" s="59"/>
      <c r="L1343" s="59"/>
    </row>
    <row r="1344" spans="1:12" ht="16.5" customHeight="1">
      <c r="A1344" s="57" t="s">
        <v>166</v>
      </c>
      <c r="B1344" s="57" t="s">
        <v>261</v>
      </c>
      <c r="C1344" s="57">
        <v>2024</v>
      </c>
      <c r="D1344" s="58">
        <f>MATCH(B1344,{"GENNAIO","FEBBRAIO","MARZO","APRILE","MAGGIO","GIUGNO","LUGLIO","AGOSTO","SETTEMBRE","OTTOBRE","NOVEMBRE","DICEMBRE"},0)</f>
        <v>8</v>
      </c>
      <c r="E1344" s="57" t="str">
        <f t="shared" si="1728"/>
        <v>AGOSTO 2024</v>
      </c>
      <c r="F1344" s="57" t="str">
        <f t="shared" si="1729"/>
        <v>8 AGOSTO 2024</v>
      </c>
      <c r="G1344" s="1309" t="s">
        <v>94</v>
      </c>
      <c r="H1344" s="1309" t="str">
        <f>VLOOKUP(G1344,CATEGORIE!$H$3:$I$104,2,FALSE)</f>
        <v>COSTO SVAGHI</v>
      </c>
      <c r="I1344" s="59">
        <v>3.95</v>
      </c>
      <c r="J1344" s="940"/>
      <c r="K1344" s="59"/>
      <c r="L1344" s="59"/>
    </row>
    <row r="1345" spans="1:12" ht="18.600000000000001" customHeight="1">
      <c r="A1345" s="57" t="s">
        <v>463</v>
      </c>
      <c r="B1345" s="61" t="s">
        <v>261</v>
      </c>
      <c r="C1345" s="61">
        <v>2024</v>
      </c>
      <c r="D1345" s="58">
        <f>MATCH(B1345,{"GENNAIO","FEBBRAIO","MARZO","APRILE","MAGGIO","GIUGNO","LUGLIO","AGOSTO","SETTEMBRE","OTTOBRE","NOVEMBRE","DICEMBRE"},0)</f>
        <v>8</v>
      </c>
      <c r="E1345" s="57" t="str">
        <f t="shared" si="1728"/>
        <v>AGOSTO 2024</v>
      </c>
      <c r="F1345" s="57" t="str">
        <f t="shared" si="1729"/>
        <v>8 AGOSTO 2024</v>
      </c>
      <c r="G1345" s="1309" t="s">
        <v>418</v>
      </c>
      <c r="H1345" s="1309" t="str">
        <f>VLOOKUP(G1345,CATEGORIE!$H$3:$I$104,2,FALSE)</f>
        <v>COSTO SOPRAVVIVENZA</v>
      </c>
      <c r="I1345" s="60">
        <v>12.85</v>
      </c>
      <c r="J1345" s="940"/>
      <c r="K1345" s="59"/>
      <c r="L1345" s="59"/>
    </row>
    <row r="1346" spans="1:12" ht="16.5" customHeight="1">
      <c r="A1346" s="57" t="s">
        <v>464</v>
      </c>
      <c r="B1346" s="57" t="s">
        <v>261</v>
      </c>
      <c r="C1346" s="57">
        <v>2024</v>
      </c>
      <c r="D1346" s="58">
        <f>MATCH(B1346,{"GENNAIO","FEBBRAIO","MARZO","APRILE","MAGGIO","GIUGNO","LUGLIO","AGOSTO","SETTEMBRE","OTTOBRE","NOVEMBRE","DICEMBRE"},0)</f>
        <v>8</v>
      </c>
      <c r="E1346" s="57" t="str">
        <f t="shared" si="1728"/>
        <v>AGOSTO 2024</v>
      </c>
      <c r="F1346" s="57" t="str">
        <f t="shared" si="1729"/>
        <v>8 AGOSTO 2024</v>
      </c>
      <c r="G1346" s="1309" t="s">
        <v>94</v>
      </c>
      <c r="H1346" s="1309" t="str">
        <f>VLOOKUP(G1346,CATEGORIE!$H$3:$I$104,2,FALSE)</f>
        <v>COSTO SVAGHI</v>
      </c>
      <c r="I1346" s="59">
        <v>27.5</v>
      </c>
      <c r="J1346" s="940"/>
      <c r="K1346" s="59"/>
      <c r="L1346" s="59"/>
    </row>
    <row r="1347" spans="1:12" ht="16.5" customHeight="1">
      <c r="A1347" s="57" t="s">
        <v>464</v>
      </c>
      <c r="B1347" s="57" t="s">
        <v>261</v>
      </c>
      <c r="C1347" s="57">
        <v>2024</v>
      </c>
      <c r="D1347" s="58">
        <f>MATCH(B1347,{"GENNAIO","FEBBRAIO","MARZO","APRILE","MAGGIO","GIUGNO","LUGLIO","AGOSTO","SETTEMBRE","OTTOBRE","NOVEMBRE","DICEMBRE"},0)</f>
        <v>8</v>
      </c>
      <c r="E1347" s="57" t="str">
        <f t="shared" si="1728"/>
        <v>AGOSTO 2024</v>
      </c>
      <c r="F1347" s="57" t="str">
        <f t="shared" si="1729"/>
        <v>8 AGOSTO 2024</v>
      </c>
      <c r="G1347" s="1309" t="s">
        <v>94</v>
      </c>
      <c r="H1347" s="1309" t="str">
        <f>VLOOKUP(G1347,CATEGORIE!$H$3:$I$104,2,FALSE)</f>
        <v>COSTO SVAGHI</v>
      </c>
      <c r="I1347" s="59">
        <v>16.5</v>
      </c>
      <c r="J1347" s="940"/>
      <c r="K1347" s="59"/>
      <c r="L1347" s="59"/>
    </row>
    <row r="1348" spans="1:12" ht="18.600000000000001" customHeight="1">
      <c r="A1348" s="57" t="s">
        <v>105</v>
      </c>
      <c r="B1348" s="57" t="s">
        <v>261</v>
      </c>
      <c r="C1348" s="57">
        <v>2024</v>
      </c>
      <c r="D1348" s="58">
        <f>MATCH(B1348,{"GENNAIO","FEBBRAIO","MARZO","APRILE","MAGGIO","GIUGNO","LUGLIO","AGOSTO","SETTEMBRE","OTTOBRE","NOVEMBRE","DICEMBRE"},0)</f>
        <v>8</v>
      </c>
      <c r="E1348" s="57" t="str">
        <f t="shared" si="1728"/>
        <v>AGOSTO 2024</v>
      </c>
      <c r="F1348" s="57" t="str">
        <f t="shared" si="1729"/>
        <v>8 AGOSTO 2024</v>
      </c>
      <c r="G1348" s="1309" t="s">
        <v>96</v>
      </c>
      <c r="H1348" s="1309" t="str">
        <f>VLOOKUP(G1348,CATEGORIE!$H$3:$I$104,2,FALSE)</f>
        <v>COSTO SOPRAVVIVENZA</v>
      </c>
      <c r="I1348" s="59">
        <v>20.16</v>
      </c>
      <c r="J1348" s="940"/>
      <c r="K1348" s="59"/>
      <c r="L1348" s="59"/>
    </row>
    <row r="1349" spans="1:12" ht="18.600000000000001" customHeight="1">
      <c r="A1349" s="57" t="s">
        <v>99</v>
      </c>
      <c r="B1349" s="57" t="s">
        <v>261</v>
      </c>
      <c r="C1349" s="57">
        <v>2024</v>
      </c>
      <c r="D1349" s="58">
        <f>MATCH(B1349,{"GENNAIO","FEBBRAIO","MARZO","APRILE","MAGGIO","GIUGNO","LUGLIO","AGOSTO","SETTEMBRE","OTTOBRE","NOVEMBRE","DICEMBRE"},0)</f>
        <v>8</v>
      </c>
      <c r="E1349" s="57" t="str">
        <f t="shared" si="1728"/>
        <v>AGOSTO 2024</v>
      </c>
      <c r="F1349" s="57" t="str">
        <f t="shared" si="1729"/>
        <v>8 AGOSTO 2024</v>
      </c>
      <c r="G1349" s="1309" t="s">
        <v>100</v>
      </c>
      <c r="H1349" s="1309" t="str">
        <f>VLOOKUP(G1349,CATEGORIE!$H$3:$I$104,2,FALSE)</f>
        <v>COSTO SFIZI</v>
      </c>
      <c r="I1349" s="59">
        <v>14.82</v>
      </c>
      <c r="J1349" s="940" t="s">
        <v>124</v>
      </c>
      <c r="K1349" s="57" t="s">
        <v>99</v>
      </c>
      <c r="L1349" s="59" t="s">
        <v>437</v>
      </c>
    </row>
    <row r="1350" spans="1:12" ht="16.5" customHeight="1">
      <c r="A1350" s="57" t="s">
        <v>99</v>
      </c>
      <c r="B1350" s="57" t="s">
        <v>261</v>
      </c>
      <c r="C1350" s="57">
        <v>2024</v>
      </c>
      <c r="D1350" s="58">
        <f>MATCH(B1350,{"GENNAIO","FEBBRAIO","MARZO","APRILE","MAGGIO","GIUGNO","LUGLIO","AGOSTO","SETTEMBRE","OTTOBRE","NOVEMBRE","DICEMBRE"},0)</f>
        <v>8</v>
      </c>
      <c r="E1350" s="57" t="str">
        <f t="shared" si="1728"/>
        <v>AGOSTO 2024</v>
      </c>
      <c r="F1350" s="57" t="str">
        <f t="shared" si="1729"/>
        <v>8 AGOSTO 2024</v>
      </c>
      <c r="G1350" s="1309" t="s">
        <v>100</v>
      </c>
      <c r="H1350" s="1309" t="str">
        <f>VLOOKUP(G1350,CATEGORIE!$H$3:$I$104,2,FALSE)</f>
        <v>COSTO SFIZI</v>
      </c>
      <c r="I1350" s="59">
        <v>14</v>
      </c>
      <c r="J1350" s="940" t="s">
        <v>126</v>
      </c>
      <c r="K1350" s="57" t="s">
        <v>99</v>
      </c>
      <c r="L1350" s="59" t="s">
        <v>423</v>
      </c>
    </row>
    <row r="1351" spans="1:12" ht="18.600000000000001" customHeight="1">
      <c r="A1351" s="57" t="s">
        <v>135</v>
      </c>
      <c r="B1351" s="57" t="s">
        <v>288</v>
      </c>
      <c r="C1351" s="57">
        <v>2024</v>
      </c>
      <c r="D1351" s="58">
        <f>MATCH(B1351,{"GENNAIO","FEBBRAIO","MARZO","APRILE","MAGGIO","GIUGNO","LUGLIO","AGOSTO","SETTEMBRE","OTTOBRE","NOVEMBRE","DICEMBRE"},0)</f>
        <v>7</v>
      </c>
      <c r="E1351" s="57" t="str">
        <f t="shared" si="1728"/>
        <v>LUGLIO 2024</v>
      </c>
      <c r="F1351" s="57" t="str">
        <f t="shared" si="1729"/>
        <v>7 LUGLIO 2024</v>
      </c>
      <c r="G1351" s="1309" t="s">
        <v>132</v>
      </c>
      <c r="H1351" s="1309" t="str">
        <f>VLOOKUP(G1351,CATEGORIE!$H$3:$I$104,2,FALSE)</f>
        <v>COSTO CASA</v>
      </c>
      <c r="I1351" s="59">
        <v>14.27</v>
      </c>
      <c r="J1351" s="940"/>
      <c r="K1351" s="59"/>
      <c r="L1351" s="59"/>
    </row>
    <row r="1352" spans="1:12" ht="18.600000000000001" customHeight="1">
      <c r="A1352" s="57" t="s">
        <v>465</v>
      </c>
      <c r="B1352" s="57" t="s">
        <v>288</v>
      </c>
      <c r="C1352" s="57">
        <v>2024</v>
      </c>
      <c r="D1352" s="58">
        <f>MATCH(B1352,{"GENNAIO","FEBBRAIO","MARZO","APRILE","MAGGIO","GIUGNO","LUGLIO","AGOSTO","SETTEMBRE","OTTOBRE","NOVEMBRE","DICEMBRE"},0)</f>
        <v>7</v>
      </c>
      <c r="E1352" s="57" t="str">
        <f t="shared" si="1728"/>
        <v>LUGLIO 2024</v>
      </c>
      <c r="F1352" s="57" t="str">
        <f t="shared" si="1729"/>
        <v>7 LUGLIO 2024</v>
      </c>
      <c r="G1352" s="1309" t="s">
        <v>96</v>
      </c>
      <c r="H1352" s="1309" t="str">
        <f>VLOOKUP(G1352,CATEGORIE!$H$3:$I$104,2,FALSE)</f>
        <v>COSTO SOPRAVVIVENZA</v>
      </c>
      <c r="I1352" s="59">
        <v>55.99</v>
      </c>
      <c r="J1352" s="940"/>
      <c r="K1352" s="59"/>
      <c r="L1352" s="59"/>
    </row>
    <row r="1353" spans="1:12" ht="16.5" customHeight="1">
      <c r="A1353" s="57" t="s">
        <v>101</v>
      </c>
      <c r="B1353" s="57" t="s">
        <v>288</v>
      </c>
      <c r="C1353" s="57">
        <v>2024</v>
      </c>
      <c r="D1353" s="58">
        <f>MATCH(B1353,{"GENNAIO","FEBBRAIO","MARZO","APRILE","MAGGIO","GIUGNO","LUGLIO","AGOSTO","SETTEMBRE","OTTOBRE","NOVEMBRE","DICEMBRE"},0)</f>
        <v>7</v>
      </c>
      <c r="E1353" s="57" t="str">
        <f t="shared" si="1728"/>
        <v>LUGLIO 2024</v>
      </c>
      <c r="F1353" s="57" t="str">
        <f t="shared" si="1729"/>
        <v>7 LUGLIO 2024</v>
      </c>
      <c r="G1353" s="1309" t="s">
        <v>91</v>
      </c>
      <c r="H1353" s="1309" t="str">
        <f>VLOOKUP(G1353,CATEGORIE!$H$3:$I$104,2,FALSE)</f>
        <v>COSTO SOPRAVVIVENZA</v>
      </c>
      <c r="I1353" s="59">
        <v>0.7</v>
      </c>
      <c r="J1353" s="940"/>
      <c r="K1353" s="59"/>
      <c r="L1353" s="59"/>
    </row>
    <row r="1354" spans="1:12" ht="16.5" customHeight="1">
      <c r="A1354" s="57" t="s">
        <v>357</v>
      </c>
      <c r="B1354" s="57" t="s">
        <v>288</v>
      </c>
      <c r="C1354" s="57">
        <v>2024</v>
      </c>
      <c r="D1354" s="58">
        <f>MATCH(B1354,{"GENNAIO","FEBBRAIO","MARZO","APRILE","MAGGIO","GIUGNO","LUGLIO","AGOSTO","SETTEMBRE","OTTOBRE","NOVEMBRE","DICEMBRE"},0)</f>
        <v>7</v>
      </c>
      <c r="E1354" s="57" t="str">
        <f t="shared" si="1728"/>
        <v>LUGLIO 2024</v>
      </c>
      <c r="F1354" s="57" t="str">
        <f t="shared" si="1729"/>
        <v>7 LUGLIO 2024</v>
      </c>
      <c r="G1354" s="1309" t="s">
        <v>96</v>
      </c>
      <c r="H1354" s="1309" t="str">
        <f>VLOOKUP(G1354,CATEGORIE!$H$3:$I$104,2,FALSE)</f>
        <v>COSTO SOPRAVVIVENZA</v>
      </c>
      <c r="I1354" s="59">
        <v>7.49</v>
      </c>
      <c r="J1354" s="940"/>
      <c r="K1354" s="59"/>
      <c r="L1354" s="59"/>
    </row>
    <row r="1355" spans="1:12" ht="16.5" customHeight="1">
      <c r="A1355" s="57" t="s">
        <v>102</v>
      </c>
      <c r="B1355" s="57" t="s">
        <v>288</v>
      </c>
      <c r="C1355" s="57">
        <v>2024</v>
      </c>
      <c r="D1355" s="58">
        <f>MATCH(B1355,{"GENNAIO","FEBBRAIO","MARZO","APRILE","MAGGIO","GIUGNO","LUGLIO","AGOSTO","SETTEMBRE","OTTOBRE","NOVEMBRE","DICEMBRE"},0)</f>
        <v>7</v>
      </c>
      <c r="E1355" s="57" t="str">
        <f t="shared" si="1728"/>
        <v>LUGLIO 2024</v>
      </c>
      <c r="F1355" s="57" t="str">
        <f t="shared" si="1729"/>
        <v>7 LUGLIO 2024</v>
      </c>
      <c r="G1355" s="1309" t="s">
        <v>96</v>
      </c>
      <c r="H1355" s="1309" t="str">
        <f>VLOOKUP(G1355,CATEGORIE!$H$3:$I$104,2,FALSE)</f>
        <v>COSTO SOPRAVVIVENZA</v>
      </c>
      <c r="I1355" s="59">
        <v>5.88</v>
      </c>
      <c r="J1355" s="940"/>
      <c r="K1355" s="59"/>
      <c r="L1355" s="59"/>
    </row>
    <row r="1356" spans="1:12" ht="16.5" customHeight="1">
      <c r="A1356" s="57" t="s">
        <v>99</v>
      </c>
      <c r="B1356" s="57" t="s">
        <v>288</v>
      </c>
      <c r="C1356" s="57">
        <v>2024</v>
      </c>
      <c r="D1356" s="58">
        <f>MATCH(B1356,{"GENNAIO","FEBBRAIO","MARZO","APRILE","MAGGIO","GIUGNO","LUGLIO","AGOSTO","SETTEMBRE","OTTOBRE","NOVEMBRE","DICEMBRE"},0)</f>
        <v>7</v>
      </c>
      <c r="E1356" s="57" t="str">
        <f t="shared" si="1728"/>
        <v>LUGLIO 2024</v>
      </c>
      <c r="F1356" s="57" t="str">
        <f t="shared" si="1729"/>
        <v>7 LUGLIO 2024</v>
      </c>
      <c r="G1356" s="1309" t="s">
        <v>100</v>
      </c>
      <c r="H1356" s="1309" t="str">
        <f>VLOOKUP(G1356,CATEGORIE!$H$3:$I$104,2,FALSE)</f>
        <v>COSTO SFIZI</v>
      </c>
      <c r="I1356" s="59">
        <v>14</v>
      </c>
      <c r="J1356" s="940" t="s">
        <v>145</v>
      </c>
      <c r="K1356" s="57" t="s">
        <v>99</v>
      </c>
      <c r="L1356" s="59" t="s">
        <v>423</v>
      </c>
    </row>
    <row r="1357" spans="1:12" ht="16.5" customHeight="1">
      <c r="A1357" s="57" t="s">
        <v>101</v>
      </c>
      <c r="B1357" s="57" t="s">
        <v>288</v>
      </c>
      <c r="C1357" s="57">
        <v>2024</v>
      </c>
      <c r="D1357" s="58">
        <f>MATCH(B1357,{"GENNAIO","FEBBRAIO","MARZO","APRILE","MAGGIO","GIUGNO","LUGLIO","AGOSTO","SETTEMBRE","OTTOBRE","NOVEMBRE","DICEMBRE"},0)</f>
        <v>7</v>
      </c>
      <c r="E1357" s="57" t="str">
        <f t="shared" si="1728"/>
        <v>LUGLIO 2024</v>
      </c>
      <c r="F1357" s="57" t="str">
        <f t="shared" si="1729"/>
        <v>7 LUGLIO 2024</v>
      </c>
      <c r="G1357" s="1309" t="s">
        <v>91</v>
      </c>
      <c r="H1357" s="1309" t="str">
        <f>VLOOKUP(G1357,CATEGORIE!$H$3:$I$104,2,FALSE)</f>
        <v>COSTO SOPRAVVIVENZA</v>
      </c>
      <c r="I1357" s="59">
        <v>0.7</v>
      </c>
      <c r="J1357" s="940"/>
      <c r="K1357" s="59"/>
      <c r="L1357" s="59"/>
    </row>
    <row r="1358" spans="1:12" ht="16.5" customHeight="1">
      <c r="A1358" s="57" t="s">
        <v>101</v>
      </c>
      <c r="B1358" s="57" t="s">
        <v>288</v>
      </c>
      <c r="C1358" s="57">
        <v>2024</v>
      </c>
      <c r="D1358" s="58">
        <f>MATCH(B1358,{"GENNAIO","FEBBRAIO","MARZO","APRILE","MAGGIO","GIUGNO","LUGLIO","AGOSTO","SETTEMBRE","OTTOBRE","NOVEMBRE","DICEMBRE"},0)</f>
        <v>7</v>
      </c>
      <c r="E1358" s="57" t="str">
        <f t="shared" si="1728"/>
        <v>LUGLIO 2024</v>
      </c>
      <c r="F1358" s="57" t="str">
        <f t="shared" si="1729"/>
        <v>7 LUGLIO 2024</v>
      </c>
      <c r="G1358" s="1309" t="s">
        <v>91</v>
      </c>
      <c r="H1358" s="1309" t="str">
        <f>VLOOKUP(G1358,CATEGORIE!$H$3:$I$104,2,FALSE)</f>
        <v>COSTO SOPRAVVIVENZA</v>
      </c>
      <c r="I1358" s="59">
        <v>0.4</v>
      </c>
      <c r="J1358" s="940"/>
      <c r="K1358" s="59"/>
      <c r="L1358" s="59"/>
    </row>
    <row r="1359" spans="1:12">
      <c r="A1359" s="57" t="s">
        <v>101</v>
      </c>
      <c r="B1359" s="57" t="s">
        <v>288</v>
      </c>
      <c r="C1359" s="57">
        <v>2024</v>
      </c>
      <c r="D1359" s="58">
        <f>MATCH(B1359,{"GENNAIO","FEBBRAIO","MARZO","APRILE","MAGGIO","GIUGNO","LUGLIO","AGOSTO","SETTEMBRE","OTTOBRE","NOVEMBRE","DICEMBRE"},0)</f>
        <v>7</v>
      </c>
      <c r="E1359" s="57" t="str">
        <f t="shared" si="1728"/>
        <v>LUGLIO 2024</v>
      </c>
      <c r="F1359" s="57" t="str">
        <f t="shared" si="1729"/>
        <v>7 LUGLIO 2024</v>
      </c>
      <c r="G1359" s="1309" t="s">
        <v>91</v>
      </c>
      <c r="H1359" s="1309" t="str">
        <f>VLOOKUP(G1359,CATEGORIE!$H$3:$I$104,2,FALSE)</f>
        <v>COSTO SOPRAVVIVENZA</v>
      </c>
      <c r="I1359" s="59">
        <v>0.4</v>
      </c>
      <c r="J1359" s="940"/>
      <c r="K1359" s="59"/>
      <c r="L1359" s="59"/>
    </row>
    <row r="1360" spans="1:12" ht="16.5" customHeight="1">
      <c r="A1360" s="57" t="s">
        <v>101</v>
      </c>
      <c r="B1360" s="57" t="s">
        <v>288</v>
      </c>
      <c r="C1360" s="57">
        <v>2024</v>
      </c>
      <c r="D1360" s="58">
        <f>MATCH(B1360,{"GENNAIO","FEBBRAIO","MARZO","APRILE","MAGGIO","GIUGNO","LUGLIO","AGOSTO","SETTEMBRE","OTTOBRE","NOVEMBRE","DICEMBRE"},0)</f>
        <v>7</v>
      </c>
      <c r="E1360" s="57" t="str">
        <f t="shared" si="1728"/>
        <v>LUGLIO 2024</v>
      </c>
      <c r="F1360" s="57" t="str">
        <f t="shared" si="1729"/>
        <v>7 LUGLIO 2024</v>
      </c>
      <c r="G1360" s="1309" t="s">
        <v>91</v>
      </c>
      <c r="H1360" s="1309" t="str">
        <f>VLOOKUP(G1360,CATEGORIE!$H$3:$I$104,2,FALSE)</f>
        <v>COSTO SOPRAVVIVENZA</v>
      </c>
      <c r="I1360" s="59">
        <v>0.4</v>
      </c>
      <c r="J1360" s="940"/>
      <c r="K1360" s="59"/>
      <c r="L1360" s="59"/>
    </row>
    <row r="1361" spans="1:12" ht="16.5" customHeight="1">
      <c r="A1361" s="57" t="s">
        <v>101</v>
      </c>
      <c r="B1361" s="57" t="s">
        <v>288</v>
      </c>
      <c r="C1361" s="57">
        <v>2024</v>
      </c>
      <c r="D1361" s="58">
        <f>MATCH(B1361,{"GENNAIO","FEBBRAIO","MARZO","APRILE","MAGGIO","GIUGNO","LUGLIO","AGOSTO","SETTEMBRE","OTTOBRE","NOVEMBRE","DICEMBRE"},0)</f>
        <v>7</v>
      </c>
      <c r="E1361" s="57" t="str">
        <f t="shared" si="1728"/>
        <v>LUGLIO 2024</v>
      </c>
      <c r="F1361" s="57" t="str">
        <f t="shared" si="1729"/>
        <v>7 LUGLIO 2024</v>
      </c>
      <c r="G1361" s="1309" t="s">
        <v>91</v>
      </c>
      <c r="H1361" s="1309" t="str">
        <f>VLOOKUP(G1361,CATEGORIE!$H$3:$I$104,2,FALSE)</f>
        <v>COSTO SOPRAVVIVENZA</v>
      </c>
      <c r="I1361" s="59">
        <v>0.4</v>
      </c>
      <c r="J1361" s="940"/>
      <c r="K1361" s="59"/>
      <c r="L1361" s="59"/>
    </row>
    <row r="1362" spans="1:12" ht="16.5" customHeight="1">
      <c r="A1362" s="57" t="s">
        <v>92</v>
      </c>
      <c r="B1362" s="57" t="s">
        <v>288</v>
      </c>
      <c r="C1362" s="57">
        <v>2024</v>
      </c>
      <c r="D1362" s="58">
        <f>MATCH(B1362,{"GENNAIO","FEBBRAIO","MARZO","APRILE","MAGGIO","GIUGNO","LUGLIO","AGOSTO","SETTEMBRE","OTTOBRE","NOVEMBRE","DICEMBRE"},0)</f>
        <v>7</v>
      </c>
      <c r="E1362" s="57" t="str">
        <f t="shared" si="1728"/>
        <v>LUGLIO 2024</v>
      </c>
      <c r="F1362" s="57" t="str">
        <f t="shared" si="1729"/>
        <v>7 LUGLIO 2024</v>
      </c>
      <c r="G1362" s="1309" t="s">
        <v>93</v>
      </c>
      <c r="H1362" s="1309" t="str">
        <f>VLOOKUP(G1362,CATEGORIE!$H$3:$I$104,2,FALSE)</f>
        <v>COSTO SOPRAVVIVENZA</v>
      </c>
      <c r="I1362" s="59">
        <v>5</v>
      </c>
      <c r="J1362" s="940"/>
      <c r="K1362" s="59"/>
      <c r="L1362" s="59"/>
    </row>
    <row r="1363" spans="1:12">
      <c r="A1363" s="57" t="s">
        <v>101</v>
      </c>
      <c r="B1363" s="57" t="s">
        <v>288</v>
      </c>
      <c r="C1363" s="57">
        <v>2024</v>
      </c>
      <c r="D1363" s="58">
        <f>MATCH(B1363,{"GENNAIO","FEBBRAIO","MARZO","APRILE","MAGGIO","GIUGNO","LUGLIO","AGOSTO","SETTEMBRE","OTTOBRE","NOVEMBRE","DICEMBRE"},0)</f>
        <v>7</v>
      </c>
      <c r="E1363" s="57" t="str">
        <f t="shared" si="1728"/>
        <v>LUGLIO 2024</v>
      </c>
      <c r="F1363" s="57" t="str">
        <f t="shared" si="1729"/>
        <v>7 LUGLIO 2024</v>
      </c>
      <c r="G1363" s="1309" t="s">
        <v>91</v>
      </c>
      <c r="H1363" s="1309" t="str">
        <f>VLOOKUP(G1363,CATEGORIE!$H$3:$I$104,2,FALSE)</f>
        <v>COSTO SOPRAVVIVENZA</v>
      </c>
      <c r="I1363" s="59">
        <v>0.4</v>
      </c>
      <c r="J1363" s="940"/>
      <c r="K1363" s="59"/>
      <c r="L1363" s="59"/>
    </row>
    <row r="1364" spans="1:12" ht="18.600000000000001" customHeight="1">
      <c r="A1364" s="57" t="s">
        <v>101</v>
      </c>
      <c r="B1364" s="57" t="s">
        <v>288</v>
      </c>
      <c r="C1364" s="57">
        <v>2024</v>
      </c>
      <c r="D1364" s="58">
        <f>MATCH(B1364,{"GENNAIO","FEBBRAIO","MARZO","APRILE","MAGGIO","GIUGNO","LUGLIO","AGOSTO","SETTEMBRE","OTTOBRE","NOVEMBRE","DICEMBRE"},0)</f>
        <v>7</v>
      </c>
      <c r="E1364" s="57" t="str">
        <f t="shared" si="1728"/>
        <v>LUGLIO 2024</v>
      </c>
      <c r="F1364" s="57" t="str">
        <f t="shared" si="1729"/>
        <v>7 LUGLIO 2024</v>
      </c>
      <c r="G1364" s="1309" t="s">
        <v>91</v>
      </c>
      <c r="H1364" s="1309" t="str">
        <f>VLOOKUP(G1364,CATEGORIE!$H$3:$I$104,2,FALSE)</f>
        <v>COSTO SOPRAVVIVENZA</v>
      </c>
      <c r="I1364" s="59">
        <v>0.4</v>
      </c>
      <c r="J1364" s="940"/>
      <c r="K1364" s="59"/>
      <c r="L1364" s="59"/>
    </row>
    <row r="1365" spans="1:12" ht="16.5" customHeight="1">
      <c r="A1365" s="57" t="s">
        <v>101</v>
      </c>
      <c r="B1365" s="57" t="s">
        <v>288</v>
      </c>
      <c r="C1365" s="57">
        <v>2024</v>
      </c>
      <c r="D1365" s="58">
        <f>MATCH(B1365,{"GENNAIO","FEBBRAIO","MARZO","APRILE","MAGGIO","GIUGNO","LUGLIO","AGOSTO","SETTEMBRE","OTTOBRE","NOVEMBRE","DICEMBRE"},0)</f>
        <v>7</v>
      </c>
      <c r="E1365" s="57" t="str">
        <f t="shared" si="1728"/>
        <v>LUGLIO 2024</v>
      </c>
      <c r="F1365" s="57" t="str">
        <f t="shared" si="1729"/>
        <v>7 LUGLIO 2024</v>
      </c>
      <c r="G1365" s="1309" t="s">
        <v>91</v>
      </c>
      <c r="H1365" s="1309" t="str">
        <f>VLOOKUP(G1365,CATEGORIE!$H$3:$I$104,2,FALSE)</f>
        <v>COSTO SOPRAVVIVENZA</v>
      </c>
      <c r="I1365" s="59">
        <v>0.4</v>
      </c>
      <c r="J1365" s="940"/>
      <c r="K1365" s="59"/>
      <c r="L1365" s="59"/>
    </row>
    <row r="1366" spans="1:12" ht="18.600000000000001" customHeight="1">
      <c r="A1366" s="57" t="s">
        <v>92</v>
      </c>
      <c r="B1366" s="57" t="s">
        <v>288</v>
      </c>
      <c r="C1366" s="57">
        <v>2024</v>
      </c>
      <c r="D1366" s="58">
        <f>MATCH(B1366,{"GENNAIO","FEBBRAIO","MARZO","APRILE","MAGGIO","GIUGNO","LUGLIO","AGOSTO","SETTEMBRE","OTTOBRE","NOVEMBRE","DICEMBRE"},0)</f>
        <v>7</v>
      </c>
      <c r="E1366" s="57" t="str">
        <f t="shared" si="1728"/>
        <v>LUGLIO 2024</v>
      </c>
      <c r="F1366" s="57" t="str">
        <f t="shared" si="1729"/>
        <v>7 LUGLIO 2024</v>
      </c>
      <c r="G1366" s="1309" t="s">
        <v>93</v>
      </c>
      <c r="H1366" s="1309" t="str">
        <f>VLOOKUP(G1366,CATEGORIE!$H$3:$I$104,2,FALSE)</f>
        <v>COSTO SOPRAVVIVENZA</v>
      </c>
      <c r="I1366" s="59">
        <v>5</v>
      </c>
      <c r="J1366" s="940"/>
      <c r="K1366" s="59"/>
      <c r="L1366" s="59"/>
    </row>
    <row r="1367" spans="1:12" ht="16.5" customHeight="1">
      <c r="A1367" s="57" t="s">
        <v>466</v>
      </c>
      <c r="B1367" s="57" t="s">
        <v>288</v>
      </c>
      <c r="C1367" s="57">
        <v>2024</v>
      </c>
      <c r="D1367" s="58">
        <f>MATCH(B1367,{"GENNAIO","FEBBRAIO","MARZO","APRILE","MAGGIO","GIUGNO","LUGLIO","AGOSTO","SETTEMBRE","OTTOBRE","NOVEMBRE","DICEMBRE"},0)</f>
        <v>7</v>
      </c>
      <c r="E1367" s="57" t="str">
        <f t="shared" si="1728"/>
        <v>LUGLIO 2024</v>
      </c>
      <c r="F1367" s="57" t="str">
        <f t="shared" si="1729"/>
        <v>7 LUGLIO 2024</v>
      </c>
      <c r="G1367" s="1309" t="s">
        <v>94</v>
      </c>
      <c r="H1367" s="1309" t="str">
        <f>VLOOKUP(G1367,CATEGORIE!$H$3:$I$104,2,FALSE)</f>
        <v>COSTO SVAGHI</v>
      </c>
      <c r="I1367" s="59">
        <v>28.7</v>
      </c>
      <c r="J1367" s="940"/>
      <c r="K1367" s="59"/>
      <c r="L1367" s="59"/>
    </row>
    <row r="1368" spans="1:12" ht="18.600000000000001" customHeight="1">
      <c r="A1368" s="57" t="s">
        <v>99</v>
      </c>
      <c r="B1368" s="57" t="s">
        <v>288</v>
      </c>
      <c r="C1368" s="57">
        <v>2024</v>
      </c>
      <c r="D1368" s="58">
        <f>MATCH(B1368,{"GENNAIO","FEBBRAIO","MARZO","APRILE","MAGGIO","GIUGNO","LUGLIO","AGOSTO","SETTEMBRE","OTTOBRE","NOVEMBRE","DICEMBRE"},0)</f>
        <v>7</v>
      </c>
      <c r="E1368" s="57" t="str">
        <f t="shared" si="1728"/>
        <v>LUGLIO 2024</v>
      </c>
      <c r="F1368" s="57" t="str">
        <f t="shared" si="1729"/>
        <v>7 LUGLIO 2024</v>
      </c>
      <c r="G1368" s="1309" t="s">
        <v>100</v>
      </c>
      <c r="H1368" s="1309" t="str">
        <f>VLOOKUP(G1368,CATEGORIE!$H$3:$I$104,2,FALSE)</f>
        <v>COSTO SFIZI</v>
      </c>
      <c r="I1368" s="59">
        <v>14.82</v>
      </c>
      <c r="J1368" s="940" t="s">
        <v>138</v>
      </c>
      <c r="K1368" s="57" t="s">
        <v>99</v>
      </c>
      <c r="L1368" s="59" t="s">
        <v>437</v>
      </c>
    </row>
    <row r="1369" spans="1:12" ht="14.25" customHeight="1">
      <c r="A1369" s="57" t="s">
        <v>95</v>
      </c>
      <c r="B1369" s="57" t="s">
        <v>288</v>
      </c>
      <c r="C1369" s="57">
        <v>2024</v>
      </c>
      <c r="D1369" s="58">
        <f>MATCH(B1369,{"GENNAIO","FEBBRAIO","MARZO","APRILE","MAGGIO","GIUGNO","LUGLIO","AGOSTO","SETTEMBRE","OTTOBRE","NOVEMBRE","DICEMBRE"},0)</f>
        <v>7</v>
      </c>
      <c r="E1369" s="57" t="str">
        <f t="shared" si="1728"/>
        <v>LUGLIO 2024</v>
      </c>
      <c r="F1369" s="57" t="str">
        <f t="shared" si="1729"/>
        <v>7 LUGLIO 2024</v>
      </c>
      <c r="G1369" s="1309" t="s">
        <v>96</v>
      </c>
      <c r="H1369" s="1309" t="str">
        <f>VLOOKUP(G1369,CATEGORIE!$H$3:$I$104,2,FALSE)</f>
        <v>COSTO SOPRAVVIVENZA</v>
      </c>
      <c r="I1369" s="59">
        <v>14.65</v>
      </c>
      <c r="J1369" s="940"/>
      <c r="K1369" s="59"/>
      <c r="L1369" s="59"/>
    </row>
    <row r="1370" spans="1:12" ht="16.5" customHeight="1">
      <c r="A1370" s="57" t="s">
        <v>467</v>
      </c>
      <c r="B1370" s="57" t="s">
        <v>288</v>
      </c>
      <c r="C1370" s="57">
        <v>2024</v>
      </c>
      <c r="D1370" s="58">
        <f>MATCH(B1370,{"GENNAIO","FEBBRAIO","MARZO","APRILE","MAGGIO","GIUGNO","LUGLIO","AGOSTO","SETTEMBRE","OTTOBRE","NOVEMBRE","DICEMBRE"},0)</f>
        <v>7</v>
      </c>
      <c r="E1370" s="57" t="str">
        <f t="shared" si="1728"/>
        <v>LUGLIO 2024</v>
      </c>
      <c r="F1370" s="57" t="str">
        <f t="shared" si="1729"/>
        <v>7 LUGLIO 2024</v>
      </c>
      <c r="G1370" s="1309" t="s">
        <v>94</v>
      </c>
      <c r="H1370" s="1309" t="str">
        <f>VLOOKUP(G1370,CATEGORIE!$H$3:$I$104,2,FALSE)</f>
        <v>COSTO SVAGHI</v>
      </c>
      <c r="I1370" s="59">
        <v>12</v>
      </c>
      <c r="J1370" s="940"/>
      <c r="K1370" s="59"/>
      <c r="L1370" s="59"/>
    </row>
    <row r="1371" spans="1:12" ht="14.25" customHeight="1">
      <c r="A1371" s="57" t="s">
        <v>105</v>
      </c>
      <c r="B1371" s="57" t="s">
        <v>288</v>
      </c>
      <c r="C1371" s="57">
        <v>2024</v>
      </c>
      <c r="D1371" s="58">
        <f>MATCH(B1371,{"GENNAIO","FEBBRAIO","MARZO","APRILE","MAGGIO","GIUGNO","LUGLIO","AGOSTO","SETTEMBRE","OTTOBRE","NOVEMBRE","DICEMBRE"},0)</f>
        <v>7</v>
      </c>
      <c r="E1371" s="57" t="str">
        <f t="shared" si="1728"/>
        <v>LUGLIO 2024</v>
      </c>
      <c r="F1371" s="57" t="str">
        <f t="shared" si="1729"/>
        <v>7 LUGLIO 2024</v>
      </c>
      <c r="G1371" s="1309" t="s">
        <v>96</v>
      </c>
      <c r="H1371" s="1309" t="str">
        <f>VLOOKUP(G1371,CATEGORIE!$H$3:$I$104,2,FALSE)</f>
        <v>COSTO SOPRAVVIVENZA</v>
      </c>
      <c r="I1371" s="59">
        <v>13.23</v>
      </c>
      <c r="J1371" s="940"/>
      <c r="K1371" s="59"/>
      <c r="L1371" s="59"/>
    </row>
    <row r="1372" spans="1:12" ht="16.5" customHeight="1">
      <c r="A1372" s="57" t="s">
        <v>120</v>
      </c>
      <c r="B1372" s="57" t="s">
        <v>288</v>
      </c>
      <c r="C1372" s="57">
        <v>2024</v>
      </c>
      <c r="D1372" s="58">
        <f>MATCH(B1372,{"GENNAIO","FEBBRAIO","MARZO","APRILE","MAGGIO","GIUGNO","LUGLIO","AGOSTO","SETTEMBRE","OTTOBRE","NOVEMBRE","DICEMBRE"},0)</f>
        <v>7</v>
      </c>
      <c r="E1372" s="57" t="str">
        <f t="shared" si="1728"/>
        <v>LUGLIO 2024</v>
      </c>
      <c r="F1372" s="57" t="str">
        <f t="shared" si="1729"/>
        <v>7 LUGLIO 2024</v>
      </c>
      <c r="G1372" s="1309" t="s">
        <v>121</v>
      </c>
      <c r="H1372" s="1309" t="str">
        <f>VLOOKUP(G1372,CATEGORIE!$H$3:$I$104,2,FALSE)</f>
        <v>COSTO MOBILITA'</v>
      </c>
      <c r="I1372" s="59">
        <v>9</v>
      </c>
      <c r="J1372" s="940"/>
      <c r="K1372" s="59"/>
      <c r="L1372" s="59"/>
    </row>
    <row r="1373" spans="1:12">
      <c r="A1373" s="57" t="s">
        <v>101</v>
      </c>
      <c r="B1373" s="57" t="s">
        <v>288</v>
      </c>
      <c r="C1373" s="57">
        <v>2024</v>
      </c>
      <c r="D1373" s="58">
        <f>MATCH(B1373,{"GENNAIO","FEBBRAIO","MARZO","APRILE","MAGGIO","GIUGNO","LUGLIO","AGOSTO","SETTEMBRE","OTTOBRE","NOVEMBRE","DICEMBRE"},0)</f>
        <v>7</v>
      </c>
      <c r="E1373" s="57" t="str">
        <f t="shared" si="1728"/>
        <v>LUGLIO 2024</v>
      </c>
      <c r="F1373" s="57" t="str">
        <f t="shared" si="1729"/>
        <v>7 LUGLIO 2024</v>
      </c>
      <c r="G1373" s="1309" t="s">
        <v>91</v>
      </c>
      <c r="H1373" s="1309" t="str">
        <f>VLOOKUP(G1373,CATEGORIE!$H$3:$I$104,2,FALSE)</f>
        <v>COSTO SOPRAVVIVENZA</v>
      </c>
      <c r="I1373" s="59">
        <v>0.4</v>
      </c>
      <c r="J1373" s="940"/>
      <c r="K1373" s="59"/>
      <c r="L1373" s="59"/>
    </row>
    <row r="1374" spans="1:12" ht="18.600000000000001" customHeight="1">
      <c r="A1374" s="57" t="s">
        <v>468</v>
      </c>
      <c r="B1374" s="57" t="s">
        <v>288</v>
      </c>
      <c r="C1374" s="57">
        <v>2024</v>
      </c>
      <c r="D1374" s="58">
        <f>MATCH(B1374,{"GENNAIO","FEBBRAIO","MARZO","APRILE","MAGGIO","GIUGNO","LUGLIO","AGOSTO","SETTEMBRE","OTTOBRE","NOVEMBRE","DICEMBRE"},0)</f>
        <v>7</v>
      </c>
      <c r="E1374" s="57" t="str">
        <f t="shared" si="1728"/>
        <v>LUGLIO 2024</v>
      </c>
      <c r="F1374" s="57" t="str">
        <f t="shared" si="1729"/>
        <v>7 LUGLIO 2024</v>
      </c>
      <c r="G1374" s="1309" t="s">
        <v>132</v>
      </c>
      <c r="H1374" s="1309" t="str">
        <f>VLOOKUP(G1374,CATEGORIE!$H$3:$I$104,2,FALSE)</f>
        <v>COSTO CASA</v>
      </c>
      <c r="I1374" s="59">
        <v>20</v>
      </c>
      <c r="J1374" s="940"/>
      <c r="K1374" s="59"/>
      <c r="L1374" s="59"/>
    </row>
    <row r="1375" spans="1:12" ht="18.600000000000001" customHeight="1">
      <c r="A1375" s="57" t="s">
        <v>99</v>
      </c>
      <c r="B1375" s="57" t="s">
        <v>288</v>
      </c>
      <c r="C1375" s="57">
        <v>2024</v>
      </c>
      <c r="D1375" s="58">
        <f>MATCH(B1375,{"GENNAIO","FEBBRAIO","MARZO","APRILE","MAGGIO","GIUGNO","LUGLIO","AGOSTO","SETTEMBRE","OTTOBRE","NOVEMBRE","DICEMBRE"},0)</f>
        <v>7</v>
      </c>
      <c r="E1375" s="57" t="str">
        <f t="shared" si="1728"/>
        <v>LUGLIO 2024</v>
      </c>
      <c r="F1375" s="57" t="str">
        <f t="shared" si="1729"/>
        <v>7 LUGLIO 2024</v>
      </c>
      <c r="G1375" s="1309" t="s">
        <v>100</v>
      </c>
      <c r="H1375" s="1309" t="str">
        <f>VLOOKUP(G1375,CATEGORIE!$H$3:$I$104,2,FALSE)</f>
        <v>COSTO SFIZI</v>
      </c>
      <c r="I1375" s="59">
        <v>9.06</v>
      </c>
      <c r="J1375" s="940"/>
      <c r="K1375" s="57" t="s">
        <v>99</v>
      </c>
      <c r="L1375" s="59"/>
    </row>
    <row r="1376" spans="1:12" ht="16.5" customHeight="1">
      <c r="A1376" s="57" t="s">
        <v>92</v>
      </c>
      <c r="B1376" s="57" t="s">
        <v>288</v>
      </c>
      <c r="C1376" s="57">
        <v>2024</v>
      </c>
      <c r="D1376" s="58">
        <f>MATCH(B1376,{"GENNAIO","FEBBRAIO","MARZO","APRILE","MAGGIO","GIUGNO","LUGLIO","AGOSTO","SETTEMBRE","OTTOBRE","NOVEMBRE","DICEMBRE"},0)</f>
        <v>7</v>
      </c>
      <c r="E1376" s="57" t="str">
        <f t="shared" si="1728"/>
        <v>LUGLIO 2024</v>
      </c>
      <c r="F1376" s="57" t="str">
        <f t="shared" si="1729"/>
        <v>7 LUGLIO 2024</v>
      </c>
      <c r="G1376" s="1309" t="s">
        <v>93</v>
      </c>
      <c r="H1376" s="1309" t="str">
        <f>VLOOKUP(G1376,CATEGORIE!$H$3:$I$104,2,FALSE)</f>
        <v>COSTO SOPRAVVIVENZA</v>
      </c>
      <c r="I1376" s="59">
        <v>5</v>
      </c>
      <c r="J1376" s="940"/>
      <c r="K1376" s="59"/>
      <c r="L1376" s="59"/>
    </row>
    <row r="1377" spans="1:12">
      <c r="A1377" s="57" t="s">
        <v>357</v>
      </c>
      <c r="B1377" s="57" t="s">
        <v>288</v>
      </c>
      <c r="C1377" s="57">
        <v>2024</v>
      </c>
      <c r="D1377" s="58">
        <f>MATCH(B1377,{"GENNAIO","FEBBRAIO","MARZO","APRILE","MAGGIO","GIUGNO","LUGLIO","AGOSTO","SETTEMBRE","OTTOBRE","NOVEMBRE","DICEMBRE"},0)</f>
        <v>7</v>
      </c>
      <c r="E1377" s="57" t="str">
        <f t="shared" si="1728"/>
        <v>LUGLIO 2024</v>
      </c>
      <c r="F1377" s="57" t="str">
        <f t="shared" si="1729"/>
        <v>7 LUGLIO 2024</v>
      </c>
      <c r="G1377" s="1309" t="s">
        <v>96</v>
      </c>
      <c r="H1377" s="1309" t="str">
        <f>VLOOKUP(G1377,CATEGORIE!$H$3:$I$104,2,FALSE)</f>
        <v>COSTO SOPRAVVIVENZA</v>
      </c>
      <c r="I1377" s="59">
        <v>10.86</v>
      </c>
      <c r="J1377" s="940"/>
      <c r="K1377" s="59"/>
      <c r="L1377" s="59"/>
    </row>
    <row r="1378" spans="1:12" ht="16.5" customHeight="1">
      <c r="A1378" s="57" t="s">
        <v>135</v>
      </c>
      <c r="B1378" s="57" t="s">
        <v>288</v>
      </c>
      <c r="C1378" s="57">
        <v>2024</v>
      </c>
      <c r="D1378" s="58">
        <f>MATCH(B1378,{"GENNAIO","FEBBRAIO","MARZO","APRILE","MAGGIO","GIUGNO","LUGLIO","AGOSTO","SETTEMBRE","OTTOBRE","NOVEMBRE","DICEMBRE"},0)</f>
        <v>7</v>
      </c>
      <c r="E1378" s="57" t="str">
        <f t="shared" si="1728"/>
        <v>LUGLIO 2024</v>
      </c>
      <c r="F1378" s="57" t="str">
        <f t="shared" si="1729"/>
        <v>7 LUGLIO 2024</v>
      </c>
      <c r="G1378" s="1309" t="s">
        <v>132</v>
      </c>
      <c r="H1378" s="1309" t="str">
        <f>VLOOKUP(G1378,CATEGORIE!$H$3:$I$104,2,FALSE)</f>
        <v>COSTO CASA</v>
      </c>
      <c r="I1378" s="59">
        <v>9.59</v>
      </c>
      <c r="J1378" s="940"/>
      <c r="K1378" s="59"/>
      <c r="L1378" s="59"/>
    </row>
    <row r="1379" spans="1:12" ht="16.5" customHeight="1">
      <c r="A1379" s="57" t="s">
        <v>101</v>
      </c>
      <c r="B1379" s="57" t="s">
        <v>288</v>
      </c>
      <c r="C1379" s="57">
        <v>2024</v>
      </c>
      <c r="D1379" s="58">
        <f>MATCH(B1379,{"GENNAIO","FEBBRAIO","MARZO","APRILE","MAGGIO","GIUGNO","LUGLIO","AGOSTO","SETTEMBRE","OTTOBRE","NOVEMBRE","DICEMBRE"},0)</f>
        <v>7</v>
      </c>
      <c r="E1379" s="57" t="str">
        <f t="shared" si="1728"/>
        <v>LUGLIO 2024</v>
      </c>
      <c r="F1379" s="57" t="str">
        <f t="shared" si="1729"/>
        <v>7 LUGLIO 2024</v>
      </c>
      <c r="G1379" s="1309" t="s">
        <v>91</v>
      </c>
      <c r="H1379" s="1309" t="str">
        <f>VLOOKUP(G1379,CATEGORIE!$H$3:$I$104,2,FALSE)</f>
        <v>COSTO SOPRAVVIVENZA</v>
      </c>
      <c r="I1379" s="59">
        <v>0.4</v>
      </c>
      <c r="J1379" s="940"/>
      <c r="K1379" s="59"/>
      <c r="L1379" s="59"/>
    </row>
    <row r="1380" spans="1:12" ht="16.5" customHeight="1">
      <c r="A1380" s="57" t="s">
        <v>469</v>
      </c>
      <c r="B1380" s="57" t="s">
        <v>288</v>
      </c>
      <c r="C1380" s="57">
        <v>2024</v>
      </c>
      <c r="D1380" s="58">
        <f>MATCH(B1380,{"GENNAIO","FEBBRAIO","MARZO","APRILE","MAGGIO","GIUGNO","LUGLIO","AGOSTO","SETTEMBRE","OTTOBRE","NOVEMBRE","DICEMBRE"},0)</f>
        <v>7</v>
      </c>
      <c r="E1380" s="57" t="str">
        <f t="shared" si="1728"/>
        <v>LUGLIO 2024</v>
      </c>
      <c r="F1380" s="57" t="str">
        <f t="shared" si="1729"/>
        <v>7 LUGLIO 2024</v>
      </c>
      <c r="G1380" s="1309" t="s">
        <v>1250</v>
      </c>
      <c r="H1380" s="1309" t="str">
        <f>VLOOKUP(G1380,CATEGORIE!$H$3:$I$104,2,FALSE)</f>
        <v>COSTO VACANZE</v>
      </c>
      <c r="I1380" s="59">
        <v>20</v>
      </c>
      <c r="J1380" s="940"/>
      <c r="K1380" s="59"/>
      <c r="L1380" s="59" t="s">
        <v>470</v>
      </c>
    </row>
    <row r="1381" spans="1:12" ht="16.5" customHeight="1">
      <c r="A1381" s="57" t="s">
        <v>471</v>
      </c>
      <c r="B1381" s="57" t="s">
        <v>288</v>
      </c>
      <c r="C1381" s="57">
        <v>2024</v>
      </c>
      <c r="D1381" s="58">
        <f>MATCH(B1381,{"GENNAIO","FEBBRAIO","MARZO","APRILE","MAGGIO","GIUGNO","LUGLIO","AGOSTO","SETTEMBRE","OTTOBRE","NOVEMBRE","DICEMBRE"},0)</f>
        <v>7</v>
      </c>
      <c r="E1381" s="57" t="str">
        <f t="shared" si="1728"/>
        <v>LUGLIO 2024</v>
      </c>
      <c r="F1381" s="57" t="str">
        <f t="shared" si="1729"/>
        <v>7 LUGLIO 2024</v>
      </c>
      <c r="G1381" s="1309" t="s">
        <v>94</v>
      </c>
      <c r="H1381" s="1309" t="str">
        <f>VLOOKUP(G1381,CATEGORIE!$H$3:$I$104,2,FALSE)</f>
        <v>COSTO SVAGHI</v>
      </c>
      <c r="I1381" s="59">
        <v>8</v>
      </c>
      <c r="J1381" s="940"/>
      <c r="K1381" s="59"/>
      <c r="L1381" s="59" t="s">
        <v>470</v>
      </c>
    </row>
    <row r="1382" spans="1:12" ht="16.5" customHeight="1">
      <c r="A1382" s="57" t="s">
        <v>166</v>
      </c>
      <c r="B1382" s="57" t="s">
        <v>288</v>
      </c>
      <c r="C1382" s="57">
        <v>2024</v>
      </c>
      <c r="D1382" s="58">
        <f>MATCH(B1382,{"GENNAIO","FEBBRAIO","MARZO","APRILE","MAGGIO","GIUGNO","LUGLIO","AGOSTO","SETTEMBRE","OTTOBRE","NOVEMBRE","DICEMBRE"},0)</f>
        <v>7</v>
      </c>
      <c r="E1382" s="57" t="str">
        <f t="shared" si="1728"/>
        <v>LUGLIO 2024</v>
      </c>
      <c r="F1382" s="57" t="str">
        <f t="shared" si="1729"/>
        <v>7 LUGLIO 2024</v>
      </c>
      <c r="G1382" s="1309" t="s">
        <v>94</v>
      </c>
      <c r="H1382" s="1309" t="str">
        <f>VLOOKUP(G1382,CATEGORIE!$H$3:$I$104,2,FALSE)</f>
        <v>COSTO SVAGHI</v>
      </c>
      <c r="I1382" s="59">
        <v>2.39</v>
      </c>
      <c r="J1382" s="940"/>
      <c r="K1382" s="59"/>
      <c r="L1382" s="59" t="s">
        <v>470</v>
      </c>
    </row>
    <row r="1383" spans="1:12" ht="16.5" customHeight="1">
      <c r="A1383" s="57" t="s">
        <v>166</v>
      </c>
      <c r="B1383" s="57" t="s">
        <v>288</v>
      </c>
      <c r="C1383" s="57">
        <v>2024</v>
      </c>
      <c r="D1383" s="58">
        <f>MATCH(B1383,{"GENNAIO","FEBBRAIO","MARZO","APRILE","MAGGIO","GIUGNO","LUGLIO","AGOSTO","SETTEMBRE","OTTOBRE","NOVEMBRE","DICEMBRE"},0)</f>
        <v>7</v>
      </c>
      <c r="E1383" s="57" t="str">
        <f t="shared" si="1728"/>
        <v>LUGLIO 2024</v>
      </c>
      <c r="F1383" s="57" t="str">
        <f t="shared" si="1729"/>
        <v>7 LUGLIO 2024</v>
      </c>
      <c r="G1383" s="1309" t="s">
        <v>94</v>
      </c>
      <c r="H1383" s="1309" t="str">
        <f>VLOOKUP(G1383,CATEGORIE!$H$3:$I$104,2,FALSE)</f>
        <v>COSTO SVAGHI</v>
      </c>
      <c r="I1383" s="59">
        <v>7.1</v>
      </c>
      <c r="J1383" s="940"/>
      <c r="K1383" s="59"/>
      <c r="L1383" s="59" t="s">
        <v>470</v>
      </c>
    </row>
    <row r="1384" spans="1:12" ht="16.5" customHeight="1">
      <c r="A1384" s="57" t="s">
        <v>471</v>
      </c>
      <c r="B1384" s="57" t="s">
        <v>288</v>
      </c>
      <c r="C1384" s="57">
        <v>2024</v>
      </c>
      <c r="D1384" s="58">
        <f>MATCH(B1384,{"GENNAIO","FEBBRAIO","MARZO","APRILE","MAGGIO","GIUGNO","LUGLIO","AGOSTO","SETTEMBRE","OTTOBRE","NOVEMBRE","DICEMBRE"},0)</f>
        <v>7</v>
      </c>
      <c r="E1384" s="57" t="str">
        <f t="shared" si="1728"/>
        <v>LUGLIO 2024</v>
      </c>
      <c r="F1384" s="57" t="str">
        <f t="shared" si="1729"/>
        <v>7 LUGLIO 2024</v>
      </c>
      <c r="G1384" s="1309" t="s">
        <v>94</v>
      </c>
      <c r="H1384" s="1309" t="str">
        <f>VLOOKUP(G1384,CATEGORIE!$H$3:$I$104,2,FALSE)</f>
        <v>COSTO SVAGHI</v>
      </c>
      <c r="I1384" s="59">
        <v>10</v>
      </c>
      <c r="J1384" s="940"/>
      <c r="K1384" s="59"/>
      <c r="L1384" s="59" t="s">
        <v>470</v>
      </c>
    </row>
    <row r="1385" spans="1:12" ht="18.600000000000001" customHeight="1">
      <c r="A1385" s="57" t="s">
        <v>471</v>
      </c>
      <c r="B1385" s="57" t="s">
        <v>288</v>
      </c>
      <c r="C1385" s="57">
        <v>2024</v>
      </c>
      <c r="D1385" s="58">
        <f>MATCH(B1385,{"GENNAIO","FEBBRAIO","MARZO","APRILE","MAGGIO","GIUGNO","LUGLIO","AGOSTO","SETTEMBRE","OTTOBRE","NOVEMBRE","DICEMBRE"},0)</f>
        <v>7</v>
      </c>
      <c r="E1385" s="57" t="str">
        <f t="shared" si="1728"/>
        <v>LUGLIO 2024</v>
      </c>
      <c r="F1385" s="57" t="str">
        <f t="shared" si="1729"/>
        <v>7 LUGLIO 2024</v>
      </c>
      <c r="G1385" s="1309" t="s">
        <v>94</v>
      </c>
      <c r="H1385" s="1309" t="str">
        <f>VLOOKUP(G1385,CATEGORIE!$H$3:$I$104,2,FALSE)</f>
        <v>COSTO SVAGHI</v>
      </c>
      <c r="I1385" s="59">
        <v>20</v>
      </c>
      <c r="J1385" s="940"/>
      <c r="K1385" s="59"/>
      <c r="L1385" s="59" t="s">
        <v>470</v>
      </c>
    </row>
    <row r="1386" spans="1:12" ht="16.5" customHeight="1">
      <c r="A1386" s="57" t="s">
        <v>350</v>
      </c>
      <c r="B1386" s="57" t="s">
        <v>288</v>
      </c>
      <c r="C1386" s="57">
        <v>2024</v>
      </c>
      <c r="D1386" s="58">
        <f>MATCH(B1386,{"GENNAIO","FEBBRAIO","MARZO","APRILE","MAGGIO","GIUGNO","LUGLIO","AGOSTO","SETTEMBRE","OTTOBRE","NOVEMBRE","DICEMBRE"},0)</f>
        <v>7</v>
      </c>
      <c r="E1386" s="57" t="str">
        <f t="shared" si="1728"/>
        <v>LUGLIO 2024</v>
      </c>
      <c r="F1386" s="57" t="str">
        <f t="shared" si="1729"/>
        <v>7 LUGLIO 2024</v>
      </c>
      <c r="G1386" s="1309" t="s">
        <v>94</v>
      </c>
      <c r="H1386" s="1309" t="str">
        <f>VLOOKUP(G1386,CATEGORIE!$H$3:$I$104,2,FALSE)</f>
        <v>COSTO SVAGHI</v>
      </c>
      <c r="I1386" s="59">
        <v>20</v>
      </c>
      <c r="J1386" s="940"/>
      <c r="K1386" s="59"/>
      <c r="L1386" s="59"/>
    </row>
    <row r="1387" spans="1:12" ht="16.5" customHeight="1">
      <c r="A1387" s="57" t="s">
        <v>322</v>
      </c>
      <c r="B1387" s="57" t="s">
        <v>288</v>
      </c>
      <c r="C1387" s="57">
        <v>2024</v>
      </c>
      <c r="D1387" s="58">
        <f>MATCH(B1387,{"GENNAIO","FEBBRAIO","MARZO","APRILE","MAGGIO","GIUGNO","LUGLIO","AGOSTO","SETTEMBRE","OTTOBRE","NOVEMBRE","DICEMBRE"},0)</f>
        <v>7</v>
      </c>
      <c r="E1387" s="57" t="str">
        <f t="shared" si="1728"/>
        <v>LUGLIO 2024</v>
      </c>
      <c r="F1387" s="57" t="str">
        <f t="shared" si="1729"/>
        <v>7 LUGLIO 2024</v>
      </c>
      <c r="G1387" s="1309" t="s">
        <v>188</v>
      </c>
      <c r="H1387" s="1309" t="str">
        <f>VLOOKUP(G1387,CATEGORIE!$H$3:$I$104,2,FALSE)</f>
        <v>COSTO VACANZE</v>
      </c>
      <c r="I1387" s="59">
        <v>37.99</v>
      </c>
      <c r="J1387" s="940"/>
      <c r="K1387" s="59"/>
      <c r="L1387" s="59" t="s">
        <v>323</v>
      </c>
    </row>
    <row r="1388" spans="1:12" ht="16.5" customHeight="1">
      <c r="A1388" s="57" t="s">
        <v>105</v>
      </c>
      <c r="B1388" s="57" t="s">
        <v>288</v>
      </c>
      <c r="C1388" s="57">
        <v>2024</v>
      </c>
      <c r="D1388" s="58">
        <f>MATCH(B1388,{"GENNAIO","FEBBRAIO","MARZO","APRILE","MAGGIO","GIUGNO","LUGLIO","AGOSTO","SETTEMBRE","OTTOBRE","NOVEMBRE","DICEMBRE"},0)</f>
        <v>7</v>
      </c>
      <c r="E1388" s="57" t="str">
        <f t="shared" si="1728"/>
        <v>LUGLIO 2024</v>
      </c>
      <c r="F1388" s="57" t="str">
        <f t="shared" si="1729"/>
        <v>7 LUGLIO 2024</v>
      </c>
      <c r="G1388" s="1309" t="s">
        <v>96</v>
      </c>
      <c r="H1388" s="1309" t="str">
        <f>VLOOKUP(G1388,CATEGORIE!$H$3:$I$104,2,FALSE)</f>
        <v>COSTO SOPRAVVIVENZA</v>
      </c>
      <c r="I1388" s="59">
        <v>1.99</v>
      </c>
      <c r="J1388" s="940"/>
      <c r="K1388" s="59"/>
      <c r="L1388" s="59"/>
    </row>
    <row r="1389" spans="1:12" ht="16.5" customHeight="1">
      <c r="A1389" s="57" t="s">
        <v>101</v>
      </c>
      <c r="B1389" s="57" t="s">
        <v>288</v>
      </c>
      <c r="C1389" s="57">
        <v>2024</v>
      </c>
      <c r="D1389" s="58">
        <f>MATCH(B1389,{"GENNAIO","FEBBRAIO","MARZO","APRILE","MAGGIO","GIUGNO","LUGLIO","AGOSTO","SETTEMBRE","OTTOBRE","NOVEMBRE","DICEMBRE"},0)</f>
        <v>7</v>
      </c>
      <c r="E1389" s="57" t="str">
        <f t="shared" si="1728"/>
        <v>LUGLIO 2024</v>
      </c>
      <c r="F1389" s="57" t="str">
        <f t="shared" si="1729"/>
        <v>7 LUGLIO 2024</v>
      </c>
      <c r="G1389" s="1309" t="s">
        <v>91</v>
      </c>
      <c r="H1389" s="1309" t="str">
        <f>VLOOKUP(G1389,CATEGORIE!$H$3:$I$104,2,FALSE)</f>
        <v>COSTO SOPRAVVIVENZA</v>
      </c>
      <c r="I1389" s="59">
        <v>0.4</v>
      </c>
      <c r="J1389" s="940"/>
      <c r="K1389" s="59"/>
      <c r="L1389" s="59"/>
    </row>
    <row r="1390" spans="1:12" ht="16.5" customHeight="1">
      <c r="A1390" s="57" t="s">
        <v>101</v>
      </c>
      <c r="B1390" s="57" t="s">
        <v>288</v>
      </c>
      <c r="C1390" s="57">
        <v>2024</v>
      </c>
      <c r="D1390" s="58">
        <f>MATCH(B1390,{"GENNAIO","FEBBRAIO","MARZO","APRILE","MAGGIO","GIUGNO","LUGLIO","AGOSTO","SETTEMBRE","OTTOBRE","NOVEMBRE","DICEMBRE"},0)</f>
        <v>7</v>
      </c>
      <c r="E1390" s="57" t="str">
        <f t="shared" si="1728"/>
        <v>LUGLIO 2024</v>
      </c>
      <c r="F1390" s="57" t="str">
        <f t="shared" si="1729"/>
        <v>7 LUGLIO 2024</v>
      </c>
      <c r="G1390" s="1309" t="s">
        <v>91</v>
      </c>
      <c r="H1390" s="1309" t="str">
        <f>VLOOKUP(G1390,CATEGORIE!$H$3:$I$104,2,FALSE)</f>
        <v>COSTO SOPRAVVIVENZA</v>
      </c>
      <c r="I1390" s="59">
        <v>0.4</v>
      </c>
      <c r="J1390" s="940"/>
      <c r="K1390" s="59"/>
      <c r="L1390" s="59"/>
    </row>
    <row r="1391" spans="1:12" ht="16.5" customHeight="1">
      <c r="A1391" s="57" t="s">
        <v>101</v>
      </c>
      <c r="B1391" s="57" t="s">
        <v>288</v>
      </c>
      <c r="C1391" s="57">
        <v>2024</v>
      </c>
      <c r="D1391" s="58">
        <f>MATCH(B1391,{"GENNAIO","FEBBRAIO","MARZO","APRILE","MAGGIO","GIUGNO","LUGLIO","AGOSTO","SETTEMBRE","OTTOBRE","NOVEMBRE","DICEMBRE"},0)</f>
        <v>7</v>
      </c>
      <c r="E1391" s="57" t="str">
        <f t="shared" si="1728"/>
        <v>LUGLIO 2024</v>
      </c>
      <c r="F1391" s="57" t="str">
        <f t="shared" si="1729"/>
        <v>7 LUGLIO 2024</v>
      </c>
      <c r="G1391" s="1309" t="s">
        <v>91</v>
      </c>
      <c r="H1391" s="1309" t="str">
        <f>VLOOKUP(G1391,CATEGORIE!$H$3:$I$104,2,FALSE)</f>
        <v>COSTO SOPRAVVIVENZA</v>
      </c>
      <c r="I1391" s="59">
        <v>0.4</v>
      </c>
      <c r="J1391" s="940"/>
      <c r="K1391" s="59"/>
      <c r="L1391" s="59"/>
    </row>
    <row r="1392" spans="1:12" ht="16.5" customHeight="1">
      <c r="A1392" s="57" t="s">
        <v>101</v>
      </c>
      <c r="B1392" s="57" t="s">
        <v>288</v>
      </c>
      <c r="C1392" s="57">
        <v>2024</v>
      </c>
      <c r="D1392" s="58">
        <f>MATCH(B1392,{"GENNAIO","FEBBRAIO","MARZO","APRILE","MAGGIO","GIUGNO","LUGLIO","AGOSTO","SETTEMBRE","OTTOBRE","NOVEMBRE","DICEMBRE"},0)</f>
        <v>7</v>
      </c>
      <c r="E1392" s="57" t="str">
        <f t="shared" si="1728"/>
        <v>LUGLIO 2024</v>
      </c>
      <c r="F1392" s="57" t="str">
        <f t="shared" si="1729"/>
        <v>7 LUGLIO 2024</v>
      </c>
      <c r="G1392" s="1309" t="s">
        <v>91</v>
      </c>
      <c r="H1392" s="1309" t="str">
        <f>VLOOKUP(G1392,CATEGORIE!$H$3:$I$104,2,FALSE)</f>
        <v>COSTO SOPRAVVIVENZA</v>
      </c>
      <c r="I1392" s="59">
        <v>0.4</v>
      </c>
      <c r="J1392" s="940"/>
      <c r="K1392" s="59"/>
      <c r="L1392" s="59"/>
    </row>
    <row r="1393" spans="1:12">
      <c r="A1393" s="57" t="s">
        <v>101</v>
      </c>
      <c r="B1393" s="57" t="s">
        <v>288</v>
      </c>
      <c r="C1393" s="57">
        <v>2024</v>
      </c>
      <c r="D1393" s="58">
        <f>MATCH(B1393,{"GENNAIO","FEBBRAIO","MARZO","APRILE","MAGGIO","GIUGNO","LUGLIO","AGOSTO","SETTEMBRE","OTTOBRE","NOVEMBRE","DICEMBRE"},0)</f>
        <v>7</v>
      </c>
      <c r="E1393" s="57" t="str">
        <f t="shared" si="1728"/>
        <v>LUGLIO 2024</v>
      </c>
      <c r="F1393" s="57" t="str">
        <f t="shared" si="1729"/>
        <v>7 LUGLIO 2024</v>
      </c>
      <c r="G1393" s="1309" t="s">
        <v>91</v>
      </c>
      <c r="H1393" s="1309" t="str">
        <f>VLOOKUP(G1393,CATEGORIE!$H$3:$I$104,2,FALSE)</f>
        <v>COSTO SOPRAVVIVENZA</v>
      </c>
      <c r="I1393" s="59">
        <v>0.7</v>
      </c>
      <c r="J1393" s="940"/>
      <c r="K1393" s="59"/>
      <c r="L1393" s="59"/>
    </row>
    <row r="1394" spans="1:12" ht="14.25" customHeight="1">
      <c r="A1394" s="57" t="s">
        <v>101</v>
      </c>
      <c r="B1394" s="57" t="s">
        <v>288</v>
      </c>
      <c r="C1394" s="57">
        <v>2024</v>
      </c>
      <c r="D1394" s="58">
        <f>MATCH(B1394,{"GENNAIO","FEBBRAIO","MARZO","APRILE","MAGGIO","GIUGNO","LUGLIO","AGOSTO","SETTEMBRE","OTTOBRE","NOVEMBRE","DICEMBRE"},0)</f>
        <v>7</v>
      </c>
      <c r="E1394" s="57" t="str">
        <f t="shared" si="1728"/>
        <v>LUGLIO 2024</v>
      </c>
      <c r="F1394" s="57" t="str">
        <f t="shared" si="1729"/>
        <v>7 LUGLIO 2024</v>
      </c>
      <c r="G1394" s="1309" t="s">
        <v>91</v>
      </c>
      <c r="H1394" s="1309" t="str">
        <f>VLOOKUP(G1394,CATEGORIE!$H$3:$I$104,2,FALSE)</f>
        <v>COSTO SOPRAVVIVENZA</v>
      </c>
      <c r="I1394" s="59">
        <v>0.4</v>
      </c>
      <c r="J1394" s="940"/>
      <c r="K1394" s="59"/>
      <c r="L1394" s="59"/>
    </row>
    <row r="1395" spans="1:12" ht="18.600000000000001" customHeight="1">
      <c r="A1395" s="57" t="s">
        <v>101</v>
      </c>
      <c r="B1395" s="57" t="s">
        <v>288</v>
      </c>
      <c r="C1395" s="57">
        <v>2024</v>
      </c>
      <c r="D1395" s="58">
        <f>MATCH(B1395,{"GENNAIO","FEBBRAIO","MARZO","APRILE","MAGGIO","GIUGNO","LUGLIO","AGOSTO","SETTEMBRE","OTTOBRE","NOVEMBRE","DICEMBRE"},0)</f>
        <v>7</v>
      </c>
      <c r="E1395" s="57" t="str">
        <f t="shared" si="1728"/>
        <v>LUGLIO 2024</v>
      </c>
      <c r="F1395" s="57" t="str">
        <f t="shared" si="1729"/>
        <v>7 LUGLIO 2024</v>
      </c>
      <c r="G1395" s="1309" t="s">
        <v>91</v>
      </c>
      <c r="H1395" s="1309" t="str">
        <f>VLOOKUP(G1395,CATEGORIE!$H$3:$I$104,2,FALSE)</f>
        <v>COSTO SOPRAVVIVENZA</v>
      </c>
      <c r="I1395" s="59">
        <v>0.4</v>
      </c>
      <c r="J1395" s="940"/>
      <c r="K1395" s="59"/>
      <c r="L1395" s="59"/>
    </row>
    <row r="1396" spans="1:12" ht="18.600000000000001" customHeight="1">
      <c r="A1396" s="57" t="s">
        <v>291</v>
      </c>
      <c r="B1396" s="57" t="s">
        <v>288</v>
      </c>
      <c r="C1396" s="57">
        <v>2024</v>
      </c>
      <c r="D1396" s="58">
        <f>MATCH(B1396,{"GENNAIO","FEBBRAIO","MARZO","APRILE","MAGGIO","GIUGNO","LUGLIO","AGOSTO","SETTEMBRE","OTTOBRE","NOVEMBRE","DICEMBRE"},0)</f>
        <v>7</v>
      </c>
      <c r="E1396" s="57" t="str">
        <f t="shared" si="1728"/>
        <v>LUGLIO 2024</v>
      </c>
      <c r="F1396" s="57" t="str">
        <f t="shared" si="1729"/>
        <v>7 LUGLIO 2024</v>
      </c>
      <c r="G1396" s="1309" t="s">
        <v>1250</v>
      </c>
      <c r="H1396" s="1309" t="str">
        <f>VLOOKUP(G1396,CATEGORIE!$H$3:$I$104,2,FALSE)</f>
        <v>COSTO VACANZE</v>
      </c>
      <c r="I1396" s="60">
        <v>470.43</v>
      </c>
      <c r="J1396" s="940"/>
      <c r="K1396" s="59"/>
      <c r="L1396" s="59" t="s">
        <v>472</v>
      </c>
    </row>
    <row r="1397" spans="1:12" ht="18.600000000000001" customHeight="1">
      <c r="A1397" s="57" t="s">
        <v>120</v>
      </c>
      <c r="B1397" s="57" t="s">
        <v>288</v>
      </c>
      <c r="C1397" s="57">
        <v>2024</v>
      </c>
      <c r="D1397" s="58">
        <f>MATCH(B1397,{"GENNAIO","FEBBRAIO","MARZO","APRILE","MAGGIO","GIUGNO","LUGLIO","AGOSTO","SETTEMBRE","OTTOBRE","NOVEMBRE","DICEMBRE"},0)</f>
        <v>7</v>
      </c>
      <c r="E1397" s="57" t="str">
        <f t="shared" si="1728"/>
        <v>LUGLIO 2024</v>
      </c>
      <c r="F1397" s="57" t="str">
        <f t="shared" si="1729"/>
        <v>7 LUGLIO 2024</v>
      </c>
      <c r="G1397" s="1309" t="s">
        <v>121</v>
      </c>
      <c r="H1397" s="1309" t="str">
        <f>VLOOKUP(G1397,CATEGORIE!$H$3:$I$104,2,FALSE)</f>
        <v>COSTO MOBILITA'</v>
      </c>
      <c r="I1397" s="59">
        <v>9</v>
      </c>
      <c r="J1397" s="940"/>
      <c r="K1397" s="59"/>
      <c r="L1397" s="59"/>
    </row>
    <row r="1398" spans="1:12" ht="16.5" customHeight="1">
      <c r="A1398" s="57" t="s">
        <v>135</v>
      </c>
      <c r="B1398" s="57" t="s">
        <v>288</v>
      </c>
      <c r="C1398" s="57">
        <v>2024</v>
      </c>
      <c r="D1398" s="58">
        <f>MATCH(B1398,{"GENNAIO","FEBBRAIO","MARZO","APRILE","MAGGIO","GIUGNO","LUGLIO","AGOSTO","SETTEMBRE","OTTOBRE","NOVEMBRE","DICEMBRE"},0)</f>
        <v>7</v>
      </c>
      <c r="E1398" s="57" t="str">
        <f t="shared" si="1728"/>
        <v>LUGLIO 2024</v>
      </c>
      <c r="F1398" s="57" t="str">
        <f t="shared" si="1729"/>
        <v>7 LUGLIO 2024</v>
      </c>
      <c r="G1398" s="1309" t="s">
        <v>132</v>
      </c>
      <c r="H1398" s="1309" t="str">
        <f>VLOOKUP(G1398,CATEGORIE!$H$3:$I$104,2,FALSE)</f>
        <v>COSTO CASA</v>
      </c>
      <c r="I1398" s="59">
        <v>12.59</v>
      </c>
      <c r="J1398" s="940"/>
      <c r="K1398" s="59"/>
      <c r="L1398" s="59"/>
    </row>
    <row r="1399" spans="1:12">
      <c r="A1399" s="57" t="s">
        <v>102</v>
      </c>
      <c r="B1399" s="57" t="s">
        <v>288</v>
      </c>
      <c r="C1399" s="57">
        <v>2024</v>
      </c>
      <c r="D1399" s="58">
        <f>MATCH(B1399,{"GENNAIO","FEBBRAIO","MARZO","APRILE","MAGGIO","GIUGNO","LUGLIO","AGOSTO","SETTEMBRE","OTTOBRE","NOVEMBRE","DICEMBRE"},0)</f>
        <v>7</v>
      </c>
      <c r="E1399" s="57" t="str">
        <f t="shared" si="1728"/>
        <v>LUGLIO 2024</v>
      </c>
      <c r="F1399" s="57" t="str">
        <f t="shared" si="1729"/>
        <v>7 LUGLIO 2024</v>
      </c>
      <c r="G1399" s="1309" t="s">
        <v>96</v>
      </c>
      <c r="H1399" s="1309" t="str">
        <f>VLOOKUP(G1399,CATEGORIE!$H$3:$I$104,2,FALSE)</f>
        <v>COSTO SOPRAVVIVENZA</v>
      </c>
      <c r="I1399" s="59">
        <v>8.16</v>
      </c>
      <c r="J1399" s="940"/>
      <c r="K1399" s="59"/>
      <c r="L1399" s="59"/>
    </row>
    <row r="1400" spans="1:12" ht="16.5" customHeight="1">
      <c r="A1400" s="57" t="s">
        <v>105</v>
      </c>
      <c r="B1400" s="57" t="s">
        <v>288</v>
      </c>
      <c r="C1400" s="57">
        <v>2024</v>
      </c>
      <c r="D1400" s="58">
        <f>MATCH(B1400,{"GENNAIO","FEBBRAIO","MARZO","APRILE","MAGGIO","GIUGNO","LUGLIO","AGOSTO","SETTEMBRE","OTTOBRE","NOVEMBRE","DICEMBRE"},0)</f>
        <v>7</v>
      </c>
      <c r="E1400" s="57" t="str">
        <f t="shared" si="1728"/>
        <v>LUGLIO 2024</v>
      </c>
      <c r="F1400" s="57" t="str">
        <f t="shared" si="1729"/>
        <v>7 LUGLIO 2024</v>
      </c>
      <c r="G1400" s="1309" t="s">
        <v>96</v>
      </c>
      <c r="H1400" s="1309" t="str">
        <f>VLOOKUP(G1400,CATEGORIE!$H$3:$I$104,2,FALSE)</f>
        <v>COSTO SOPRAVVIVENZA</v>
      </c>
      <c r="I1400" s="59">
        <v>14.18</v>
      </c>
      <c r="J1400" s="940"/>
      <c r="K1400" s="59"/>
      <c r="L1400" s="59"/>
    </row>
    <row r="1401" spans="1:12" ht="16.5" customHeight="1">
      <c r="A1401" s="57" t="s">
        <v>101</v>
      </c>
      <c r="B1401" s="57" t="s">
        <v>288</v>
      </c>
      <c r="C1401" s="57">
        <v>2024</v>
      </c>
      <c r="D1401" s="58">
        <f>MATCH(B1401,{"GENNAIO","FEBBRAIO","MARZO","APRILE","MAGGIO","GIUGNO","LUGLIO","AGOSTO","SETTEMBRE","OTTOBRE","NOVEMBRE","DICEMBRE"},0)</f>
        <v>7</v>
      </c>
      <c r="E1401" s="57" t="str">
        <f t="shared" ref="E1401:E1464" si="1730">CONCATENATE(,B1401," ",C1401)</f>
        <v>LUGLIO 2024</v>
      </c>
      <c r="F1401" s="57" t="str">
        <f t="shared" ref="F1401:F1464" si="1731">CONCATENATE(D1401," ",E1401)</f>
        <v>7 LUGLIO 2024</v>
      </c>
      <c r="G1401" s="1309" t="s">
        <v>91</v>
      </c>
      <c r="H1401" s="1309" t="str">
        <f>VLOOKUP(G1401,CATEGORIE!$H$3:$I$104,2,FALSE)</f>
        <v>COSTO SOPRAVVIVENZA</v>
      </c>
      <c r="I1401" s="59">
        <v>0.7</v>
      </c>
      <c r="J1401" s="940"/>
      <c r="K1401" s="59"/>
      <c r="L1401" s="59"/>
    </row>
    <row r="1402" spans="1:12" ht="16.5" customHeight="1">
      <c r="A1402" s="57" t="s">
        <v>92</v>
      </c>
      <c r="B1402" s="57" t="s">
        <v>288</v>
      </c>
      <c r="C1402" s="57">
        <v>2024</v>
      </c>
      <c r="D1402" s="58">
        <f>MATCH(B1402,{"GENNAIO","FEBBRAIO","MARZO","APRILE","MAGGIO","GIUGNO","LUGLIO","AGOSTO","SETTEMBRE","OTTOBRE","NOVEMBRE","DICEMBRE"},0)</f>
        <v>7</v>
      </c>
      <c r="E1402" s="57" t="str">
        <f t="shared" si="1730"/>
        <v>LUGLIO 2024</v>
      </c>
      <c r="F1402" s="57" t="str">
        <f t="shared" si="1731"/>
        <v>7 LUGLIO 2024</v>
      </c>
      <c r="G1402" s="1309" t="s">
        <v>93</v>
      </c>
      <c r="H1402" s="1309" t="str">
        <f>VLOOKUP(G1402,CATEGORIE!$H$3:$I$104,2,FALSE)</f>
        <v>COSTO SOPRAVVIVENZA</v>
      </c>
      <c r="I1402" s="59">
        <v>7</v>
      </c>
      <c r="J1402" s="940"/>
      <c r="K1402" s="59"/>
      <c r="L1402" s="59"/>
    </row>
    <row r="1403" spans="1:12" ht="16.5" customHeight="1">
      <c r="A1403" s="57" t="s">
        <v>99</v>
      </c>
      <c r="B1403" s="57" t="s">
        <v>288</v>
      </c>
      <c r="C1403" s="57">
        <v>2024</v>
      </c>
      <c r="D1403" s="58">
        <f>MATCH(B1403,{"GENNAIO","FEBBRAIO","MARZO","APRILE","MAGGIO","GIUGNO","LUGLIO","AGOSTO","SETTEMBRE","OTTOBRE","NOVEMBRE","DICEMBRE"},0)</f>
        <v>7</v>
      </c>
      <c r="E1403" s="57" t="str">
        <f t="shared" si="1730"/>
        <v>LUGLIO 2024</v>
      </c>
      <c r="F1403" s="57" t="str">
        <f t="shared" si="1731"/>
        <v>7 LUGLIO 2024</v>
      </c>
      <c r="G1403" s="1309" t="s">
        <v>100</v>
      </c>
      <c r="H1403" s="1309" t="str">
        <f>VLOOKUP(G1403,CATEGORIE!$H$3:$I$104,2,FALSE)</f>
        <v>COSTO SFIZI</v>
      </c>
      <c r="I1403" s="59">
        <v>40.01</v>
      </c>
      <c r="J1403" s="940"/>
      <c r="K1403" s="57" t="s">
        <v>99</v>
      </c>
      <c r="L1403" s="59"/>
    </row>
    <row r="1404" spans="1:12" ht="16.5" customHeight="1">
      <c r="A1404" s="57" t="s">
        <v>101</v>
      </c>
      <c r="B1404" s="57" t="s">
        <v>314</v>
      </c>
      <c r="C1404" s="57">
        <v>2024</v>
      </c>
      <c r="D1404" s="58">
        <f>MATCH(B1404,{"GENNAIO","FEBBRAIO","MARZO","APRILE","MAGGIO","GIUGNO","LUGLIO","AGOSTO","SETTEMBRE","OTTOBRE","NOVEMBRE","DICEMBRE"},0)</f>
        <v>6</v>
      </c>
      <c r="E1404" s="57" t="str">
        <f t="shared" si="1730"/>
        <v>GIUGNO 2024</v>
      </c>
      <c r="F1404" s="57" t="str">
        <f t="shared" si="1731"/>
        <v>6 GIUGNO 2024</v>
      </c>
      <c r="G1404" s="1309" t="s">
        <v>91</v>
      </c>
      <c r="H1404" s="1309" t="str">
        <f>VLOOKUP(G1404,CATEGORIE!$H$3:$I$104,2,FALSE)</f>
        <v>COSTO SOPRAVVIVENZA</v>
      </c>
      <c r="I1404" s="59">
        <v>0.4</v>
      </c>
      <c r="J1404" s="940"/>
      <c r="K1404" s="59"/>
      <c r="L1404" s="59"/>
    </row>
    <row r="1405" spans="1:12" ht="16.5" customHeight="1">
      <c r="A1405" s="57" t="s">
        <v>101</v>
      </c>
      <c r="B1405" s="57" t="s">
        <v>314</v>
      </c>
      <c r="C1405" s="57">
        <v>2024</v>
      </c>
      <c r="D1405" s="58">
        <f>MATCH(B1405,{"GENNAIO","FEBBRAIO","MARZO","APRILE","MAGGIO","GIUGNO","LUGLIO","AGOSTO","SETTEMBRE","OTTOBRE","NOVEMBRE","DICEMBRE"},0)</f>
        <v>6</v>
      </c>
      <c r="E1405" s="57" t="str">
        <f t="shared" si="1730"/>
        <v>GIUGNO 2024</v>
      </c>
      <c r="F1405" s="57" t="str">
        <f t="shared" si="1731"/>
        <v>6 GIUGNO 2024</v>
      </c>
      <c r="G1405" s="1309" t="s">
        <v>91</v>
      </c>
      <c r="H1405" s="1309" t="str">
        <f>VLOOKUP(G1405,CATEGORIE!$H$3:$I$104,2,FALSE)</f>
        <v>COSTO SOPRAVVIVENZA</v>
      </c>
      <c r="I1405" s="59">
        <v>0.4</v>
      </c>
      <c r="J1405" s="940"/>
      <c r="K1405" s="59"/>
      <c r="L1405" s="59"/>
    </row>
    <row r="1406" spans="1:12" ht="16.5" customHeight="1">
      <c r="A1406" s="57" t="s">
        <v>101</v>
      </c>
      <c r="B1406" s="57" t="s">
        <v>314</v>
      </c>
      <c r="C1406" s="57">
        <v>2024</v>
      </c>
      <c r="D1406" s="58">
        <f>MATCH(B1406,{"GENNAIO","FEBBRAIO","MARZO","APRILE","MAGGIO","GIUGNO","LUGLIO","AGOSTO","SETTEMBRE","OTTOBRE","NOVEMBRE","DICEMBRE"},0)</f>
        <v>6</v>
      </c>
      <c r="E1406" s="57" t="str">
        <f t="shared" si="1730"/>
        <v>GIUGNO 2024</v>
      </c>
      <c r="F1406" s="57" t="str">
        <f t="shared" si="1731"/>
        <v>6 GIUGNO 2024</v>
      </c>
      <c r="G1406" s="1309" t="s">
        <v>91</v>
      </c>
      <c r="H1406" s="1309" t="str">
        <f>VLOOKUP(G1406,CATEGORIE!$H$3:$I$104,2,FALSE)</f>
        <v>COSTO SOPRAVVIVENZA</v>
      </c>
      <c r="I1406" s="59">
        <v>0.4</v>
      </c>
      <c r="J1406" s="940"/>
      <c r="K1406" s="59"/>
      <c r="L1406" s="59"/>
    </row>
    <row r="1407" spans="1:12" ht="16.5" customHeight="1">
      <c r="A1407" s="57" t="s">
        <v>101</v>
      </c>
      <c r="B1407" s="57" t="s">
        <v>314</v>
      </c>
      <c r="C1407" s="57">
        <v>2024</v>
      </c>
      <c r="D1407" s="58">
        <f>MATCH(B1407,{"GENNAIO","FEBBRAIO","MARZO","APRILE","MAGGIO","GIUGNO","LUGLIO","AGOSTO","SETTEMBRE","OTTOBRE","NOVEMBRE","DICEMBRE"},0)</f>
        <v>6</v>
      </c>
      <c r="E1407" s="57" t="str">
        <f t="shared" si="1730"/>
        <v>GIUGNO 2024</v>
      </c>
      <c r="F1407" s="57" t="str">
        <f t="shared" si="1731"/>
        <v>6 GIUGNO 2024</v>
      </c>
      <c r="G1407" s="1309" t="s">
        <v>91</v>
      </c>
      <c r="H1407" s="1309" t="str">
        <f>VLOOKUP(G1407,CATEGORIE!$H$3:$I$104,2,FALSE)</f>
        <v>COSTO SOPRAVVIVENZA</v>
      </c>
      <c r="I1407" s="59">
        <v>1.2</v>
      </c>
      <c r="J1407" s="940"/>
      <c r="K1407" s="59"/>
      <c r="L1407" s="59"/>
    </row>
    <row r="1408" spans="1:12" ht="18.600000000000001" customHeight="1">
      <c r="A1408" s="57" t="s">
        <v>101</v>
      </c>
      <c r="B1408" s="57" t="s">
        <v>314</v>
      </c>
      <c r="C1408" s="57">
        <v>2024</v>
      </c>
      <c r="D1408" s="58">
        <f>MATCH(B1408,{"GENNAIO","FEBBRAIO","MARZO","APRILE","MAGGIO","GIUGNO","LUGLIO","AGOSTO","SETTEMBRE","OTTOBRE","NOVEMBRE","DICEMBRE"},0)</f>
        <v>6</v>
      </c>
      <c r="E1408" s="57" t="str">
        <f t="shared" si="1730"/>
        <v>GIUGNO 2024</v>
      </c>
      <c r="F1408" s="57" t="str">
        <f t="shared" si="1731"/>
        <v>6 GIUGNO 2024</v>
      </c>
      <c r="G1408" s="1309" t="s">
        <v>91</v>
      </c>
      <c r="H1408" s="1309" t="str">
        <f>VLOOKUP(G1408,CATEGORIE!$H$3:$I$104,2,FALSE)</f>
        <v>COSTO SOPRAVVIVENZA</v>
      </c>
      <c r="I1408" s="59">
        <v>0.4</v>
      </c>
      <c r="J1408" s="940"/>
      <c r="K1408" s="59"/>
      <c r="L1408" s="59"/>
    </row>
    <row r="1409" spans="1:12" ht="16.5" customHeight="1">
      <c r="A1409" s="57" t="s">
        <v>101</v>
      </c>
      <c r="B1409" s="57" t="s">
        <v>314</v>
      </c>
      <c r="C1409" s="57">
        <v>2024</v>
      </c>
      <c r="D1409" s="58">
        <f>MATCH(B1409,{"GENNAIO","FEBBRAIO","MARZO","APRILE","MAGGIO","GIUGNO","LUGLIO","AGOSTO","SETTEMBRE","OTTOBRE","NOVEMBRE","DICEMBRE"},0)</f>
        <v>6</v>
      </c>
      <c r="E1409" s="57" t="str">
        <f t="shared" si="1730"/>
        <v>GIUGNO 2024</v>
      </c>
      <c r="F1409" s="57" t="str">
        <f t="shared" si="1731"/>
        <v>6 GIUGNO 2024</v>
      </c>
      <c r="G1409" s="1309" t="s">
        <v>91</v>
      </c>
      <c r="H1409" s="1309" t="str">
        <f>VLOOKUP(G1409,CATEGORIE!$H$3:$I$104,2,FALSE)</f>
        <v>COSTO SOPRAVVIVENZA</v>
      </c>
      <c r="I1409" s="59">
        <v>0.4</v>
      </c>
      <c r="J1409" s="940"/>
      <c r="K1409" s="59"/>
      <c r="L1409" s="59"/>
    </row>
    <row r="1410" spans="1:12" ht="16.5" customHeight="1">
      <c r="A1410" s="57" t="s">
        <v>101</v>
      </c>
      <c r="B1410" s="57" t="s">
        <v>314</v>
      </c>
      <c r="C1410" s="57">
        <v>2024</v>
      </c>
      <c r="D1410" s="58">
        <f>MATCH(B1410,{"GENNAIO","FEBBRAIO","MARZO","APRILE","MAGGIO","GIUGNO","LUGLIO","AGOSTO","SETTEMBRE","OTTOBRE","NOVEMBRE","DICEMBRE"},0)</f>
        <v>6</v>
      </c>
      <c r="E1410" s="57" t="str">
        <f t="shared" si="1730"/>
        <v>GIUGNO 2024</v>
      </c>
      <c r="F1410" s="57" t="str">
        <f t="shared" si="1731"/>
        <v>6 GIUGNO 2024</v>
      </c>
      <c r="G1410" s="1309" t="s">
        <v>91</v>
      </c>
      <c r="H1410" s="1309" t="str">
        <f>VLOOKUP(G1410,CATEGORIE!$H$3:$I$104,2,FALSE)</f>
        <v>COSTO SOPRAVVIVENZA</v>
      </c>
      <c r="I1410" s="59">
        <v>0.4</v>
      </c>
      <c r="J1410" s="940"/>
      <c r="K1410" s="59"/>
      <c r="L1410" s="59"/>
    </row>
    <row r="1411" spans="1:12" ht="16.5" customHeight="1">
      <c r="A1411" s="57" t="s">
        <v>95</v>
      </c>
      <c r="B1411" s="57" t="s">
        <v>314</v>
      </c>
      <c r="C1411" s="57">
        <v>2024</v>
      </c>
      <c r="D1411" s="58">
        <f>MATCH(B1411,{"GENNAIO","FEBBRAIO","MARZO","APRILE","MAGGIO","GIUGNO","LUGLIO","AGOSTO","SETTEMBRE","OTTOBRE","NOVEMBRE","DICEMBRE"},0)</f>
        <v>6</v>
      </c>
      <c r="E1411" s="57" t="str">
        <f t="shared" si="1730"/>
        <v>GIUGNO 2024</v>
      </c>
      <c r="F1411" s="57" t="str">
        <f t="shared" si="1731"/>
        <v>6 GIUGNO 2024</v>
      </c>
      <c r="G1411" s="1309" t="s">
        <v>96</v>
      </c>
      <c r="H1411" s="1309" t="str">
        <f>VLOOKUP(G1411,CATEGORIE!$H$3:$I$104,2,FALSE)</f>
        <v>COSTO SOPRAVVIVENZA</v>
      </c>
      <c r="I1411" s="59">
        <v>12.66</v>
      </c>
      <c r="J1411" s="940"/>
      <c r="K1411" s="59"/>
      <c r="L1411" s="59"/>
    </row>
    <row r="1412" spans="1:12" ht="16.5" customHeight="1">
      <c r="A1412" s="57" t="s">
        <v>473</v>
      </c>
      <c r="B1412" s="57" t="s">
        <v>314</v>
      </c>
      <c r="C1412" s="57">
        <v>2024</v>
      </c>
      <c r="D1412" s="58">
        <f>MATCH(B1412,{"GENNAIO","FEBBRAIO","MARZO","APRILE","MAGGIO","GIUGNO","LUGLIO","AGOSTO","SETTEMBRE","OTTOBRE","NOVEMBRE","DICEMBRE"},0)</f>
        <v>6</v>
      </c>
      <c r="E1412" s="57" t="str">
        <f t="shared" si="1730"/>
        <v>GIUGNO 2024</v>
      </c>
      <c r="F1412" s="57" t="str">
        <f t="shared" si="1731"/>
        <v>6 GIUGNO 2024</v>
      </c>
      <c r="G1412" s="1309" t="s">
        <v>94</v>
      </c>
      <c r="H1412" s="1309" t="str">
        <f>VLOOKUP(G1412,CATEGORIE!$H$3:$I$104,2,FALSE)</f>
        <v>COSTO SVAGHI</v>
      </c>
      <c r="I1412" s="59">
        <v>37.5</v>
      </c>
      <c r="J1412" s="940"/>
      <c r="K1412" s="59"/>
      <c r="L1412" s="59"/>
    </row>
    <row r="1413" spans="1:12" ht="16.5" customHeight="1">
      <c r="A1413" s="57" t="s">
        <v>474</v>
      </c>
      <c r="B1413" s="57" t="s">
        <v>314</v>
      </c>
      <c r="C1413" s="57">
        <v>2024</v>
      </c>
      <c r="D1413" s="58">
        <f>MATCH(B1413,{"GENNAIO","FEBBRAIO","MARZO","APRILE","MAGGIO","GIUGNO","LUGLIO","AGOSTO","SETTEMBRE","OTTOBRE","NOVEMBRE","DICEMBRE"},0)</f>
        <v>6</v>
      </c>
      <c r="E1413" s="57" t="str">
        <f t="shared" si="1730"/>
        <v>GIUGNO 2024</v>
      </c>
      <c r="F1413" s="57" t="str">
        <f t="shared" si="1731"/>
        <v>6 GIUGNO 2024</v>
      </c>
      <c r="G1413" s="1309" t="s">
        <v>94</v>
      </c>
      <c r="H1413" s="1309" t="str">
        <f>VLOOKUP(G1413,CATEGORIE!$H$3:$I$104,2,FALSE)</f>
        <v>COSTO SVAGHI</v>
      </c>
      <c r="I1413" s="59">
        <v>25.5</v>
      </c>
      <c r="J1413" s="940"/>
      <c r="K1413" s="59"/>
      <c r="L1413" s="59"/>
    </row>
    <row r="1414" spans="1:12" ht="16.5" customHeight="1">
      <c r="A1414" s="57" t="s">
        <v>475</v>
      </c>
      <c r="B1414" s="57" t="s">
        <v>314</v>
      </c>
      <c r="C1414" s="57">
        <v>2024</v>
      </c>
      <c r="D1414" s="58">
        <f>MATCH(B1414,{"GENNAIO","FEBBRAIO","MARZO","APRILE","MAGGIO","GIUGNO","LUGLIO","AGOSTO","SETTEMBRE","OTTOBRE","NOVEMBRE","DICEMBRE"},0)</f>
        <v>6</v>
      </c>
      <c r="E1414" s="57" t="str">
        <f t="shared" si="1730"/>
        <v>GIUGNO 2024</v>
      </c>
      <c r="F1414" s="57" t="str">
        <f t="shared" si="1731"/>
        <v>6 GIUGNO 2024</v>
      </c>
      <c r="G1414" s="1309" t="s">
        <v>188</v>
      </c>
      <c r="H1414" s="1309" t="str">
        <f>VLOOKUP(G1414,CATEGORIE!$H$3:$I$104,2,FALSE)</f>
        <v>COSTO VACANZE</v>
      </c>
      <c r="I1414" s="59">
        <v>70</v>
      </c>
      <c r="J1414" s="940"/>
      <c r="K1414" s="59"/>
      <c r="L1414" s="59" t="s">
        <v>476</v>
      </c>
    </row>
    <row r="1415" spans="1:12">
      <c r="A1415" s="57" t="s">
        <v>119</v>
      </c>
      <c r="B1415" s="57" t="s">
        <v>314</v>
      </c>
      <c r="C1415" s="57">
        <v>2024</v>
      </c>
      <c r="D1415" s="58">
        <f>MATCH(B1415,{"GENNAIO","FEBBRAIO","MARZO","APRILE","MAGGIO","GIUGNO","LUGLIO","AGOSTO","SETTEMBRE","OTTOBRE","NOVEMBRE","DICEMBRE"},0)</f>
        <v>6</v>
      </c>
      <c r="E1415" s="57" t="str">
        <f t="shared" si="1730"/>
        <v>GIUGNO 2024</v>
      </c>
      <c r="F1415" s="57" t="str">
        <f t="shared" si="1731"/>
        <v>6 GIUGNO 2024</v>
      </c>
      <c r="G1415" s="1309" t="s">
        <v>108</v>
      </c>
      <c r="H1415" s="1309" t="str">
        <f>VLOOKUP(G1415,CATEGORIE!$H$3:$I$104,2,FALSE)</f>
        <v>COSTO SFIZI</v>
      </c>
      <c r="I1415" s="59">
        <v>59.95</v>
      </c>
      <c r="J1415" s="940"/>
      <c r="K1415" s="59"/>
      <c r="L1415" s="59"/>
    </row>
    <row r="1416" spans="1:12" ht="16.5" customHeight="1">
      <c r="A1416" s="57" t="s">
        <v>101</v>
      </c>
      <c r="B1416" s="57" t="s">
        <v>314</v>
      </c>
      <c r="C1416" s="57">
        <v>2024</v>
      </c>
      <c r="D1416" s="58">
        <f>MATCH(B1416,{"GENNAIO","FEBBRAIO","MARZO","APRILE","MAGGIO","GIUGNO","LUGLIO","AGOSTO","SETTEMBRE","OTTOBRE","NOVEMBRE","DICEMBRE"},0)</f>
        <v>6</v>
      </c>
      <c r="E1416" s="57" t="str">
        <f t="shared" si="1730"/>
        <v>GIUGNO 2024</v>
      </c>
      <c r="F1416" s="57" t="str">
        <f t="shared" si="1731"/>
        <v>6 GIUGNO 2024</v>
      </c>
      <c r="G1416" s="1309" t="s">
        <v>91</v>
      </c>
      <c r="H1416" s="1309" t="str">
        <f>VLOOKUP(G1416,CATEGORIE!$H$3:$I$104,2,FALSE)</f>
        <v>COSTO SOPRAVVIVENZA</v>
      </c>
      <c r="I1416" s="59">
        <v>0.4</v>
      </c>
      <c r="J1416" s="940"/>
      <c r="K1416" s="59"/>
      <c r="L1416" s="59"/>
    </row>
    <row r="1417" spans="1:12" ht="16.5" customHeight="1">
      <c r="A1417" s="57" t="s">
        <v>101</v>
      </c>
      <c r="B1417" s="57" t="s">
        <v>314</v>
      </c>
      <c r="C1417" s="57">
        <v>2024</v>
      </c>
      <c r="D1417" s="58">
        <f>MATCH(B1417,{"GENNAIO","FEBBRAIO","MARZO","APRILE","MAGGIO","GIUGNO","LUGLIO","AGOSTO","SETTEMBRE","OTTOBRE","NOVEMBRE","DICEMBRE"},0)</f>
        <v>6</v>
      </c>
      <c r="E1417" s="57" t="str">
        <f t="shared" si="1730"/>
        <v>GIUGNO 2024</v>
      </c>
      <c r="F1417" s="57" t="str">
        <f t="shared" si="1731"/>
        <v>6 GIUGNO 2024</v>
      </c>
      <c r="G1417" s="1309" t="s">
        <v>91</v>
      </c>
      <c r="H1417" s="1309" t="str">
        <f>VLOOKUP(G1417,CATEGORIE!$H$3:$I$104,2,FALSE)</f>
        <v>COSTO SOPRAVVIVENZA</v>
      </c>
      <c r="I1417" s="59">
        <v>0.4</v>
      </c>
      <c r="J1417" s="940"/>
      <c r="K1417" s="59"/>
      <c r="L1417" s="59"/>
    </row>
    <row r="1418" spans="1:12" ht="16.5" customHeight="1">
      <c r="A1418" s="57" t="s">
        <v>92</v>
      </c>
      <c r="B1418" s="57" t="s">
        <v>314</v>
      </c>
      <c r="C1418" s="57">
        <v>2024</v>
      </c>
      <c r="D1418" s="58">
        <f>MATCH(B1418,{"GENNAIO","FEBBRAIO","MARZO","APRILE","MAGGIO","GIUGNO","LUGLIO","AGOSTO","SETTEMBRE","OTTOBRE","NOVEMBRE","DICEMBRE"},0)</f>
        <v>6</v>
      </c>
      <c r="E1418" s="57" t="str">
        <f t="shared" si="1730"/>
        <v>GIUGNO 2024</v>
      </c>
      <c r="F1418" s="57" t="str">
        <f t="shared" si="1731"/>
        <v>6 GIUGNO 2024</v>
      </c>
      <c r="G1418" s="1309" t="s">
        <v>93</v>
      </c>
      <c r="H1418" s="1309" t="str">
        <f>VLOOKUP(G1418,CATEGORIE!$H$3:$I$104,2,FALSE)</f>
        <v>COSTO SOPRAVVIVENZA</v>
      </c>
      <c r="I1418" s="59">
        <v>5</v>
      </c>
      <c r="J1418" s="940"/>
      <c r="K1418" s="59"/>
      <c r="L1418" s="59"/>
    </row>
    <row r="1419" spans="1:12" ht="16.5" customHeight="1">
      <c r="A1419" s="57" t="s">
        <v>101</v>
      </c>
      <c r="B1419" s="57" t="s">
        <v>314</v>
      </c>
      <c r="C1419" s="57">
        <v>2024</v>
      </c>
      <c r="D1419" s="58">
        <f>MATCH(B1419,{"GENNAIO","FEBBRAIO","MARZO","APRILE","MAGGIO","GIUGNO","LUGLIO","AGOSTO","SETTEMBRE","OTTOBRE","NOVEMBRE","DICEMBRE"},0)</f>
        <v>6</v>
      </c>
      <c r="E1419" s="57" t="str">
        <f t="shared" si="1730"/>
        <v>GIUGNO 2024</v>
      </c>
      <c r="F1419" s="57" t="str">
        <f t="shared" si="1731"/>
        <v>6 GIUGNO 2024</v>
      </c>
      <c r="G1419" s="1309" t="s">
        <v>91</v>
      </c>
      <c r="H1419" s="1309" t="str">
        <f>VLOOKUP(G1419,CATEGORIE!$H$3:$I$104,2,FALSE)</f>
        <v>COSTO SOPRAVVIVENZA</v>
      </c>
      <c r="I1419" s="59">
        <v>0.4</v>
      </c>
      <c r="J1419" s="940"/>
      <c r="K1419" s="59"/>
      <c r="L1419" s="59"/>
    </row>
    <row r="1420" spans="1:12" ht="16.5" customHeight="1">
      <c r="A1420" s="57" t="s">
        <v>101</v>
      </c>
      <c r="B1420" s="57" t="s">
        <v>314</v>
      </c>
      <c r="C1420" s="57">
        <v>2024</v>
      </c>
      <c r="D1420" s="58">
        <f>MATCH(B1420,{"GENNAIO","FEBBRAIO","MARZO","APRILE","MAGGIO","GIUGNO","LUGLIO","AGOSTO","SETTEMBRE","OTTOBRE","NOVEMBRE","DICEMBRE"},0)</f>
        <v>6</v>
      </c>
      <c r="E1420" s="57" t="str">
        <f t="shared" si="1730"/>
        <v>GIUGNO 2024</v>
      </c>
      <c r="F1420" s="57" t="str">
        <f t="shared" si="1731"/>
        <v>6 GIUGNO 2024</v>
      </c>
      <c r="G1420" s="1309" t="s">
        <v>91</v>
      </c>
      <c r="H1420" s="1309" t="str">
        <f>VLOOKUP(G1420,CATEGORIE!$H$3:$I$104,2,FALSE)</f>
        <v>COSTO SOPRAVVIVENZA</v>
      </c>
      <c r="I1420" s="59">
        <v>0.4</v>
      </c>
      <c r="J1420" s="940"/>
      <c r="K1420" s="59"/>
      <c r="L1420" s="59"/>
    </row>
    <row r="1421" spans="1:12" ht="18.600000000000001" customHeight="1">
      <c r="A1421" s="57" t="s">
        <v>101</v>
      </c>
      <c r="B1421" s="57" t="s">
        <v>314</v>
      </c>
      <c r="C1421" s="57">
        <v>2024</v>
      </c>
      <c r="D1421" s="58">
        <f>MATCH(B1421,{"GENNAIO","FEBBRAIO","MARZO","APRILE","MAGGIO","GIUGNO","LUGLIO","AGOSTO","SETTEMBRE","OTTOBRE","NOVEMBRE","DICEMBRE"},0)</f>
        <v>6</v>
      </c>
      <c r="E1421" s="57" t="str">
        <f t="shared" si="1730"/>
        <v>GIUGNO 2024</v>
      </c>
      <c r="F1421" s="57" t="str">
        <f t="shared" si="1731"/>
        <v>6 GIUGNO 2024</v>
      </c>
      <c r="G1421" s="1309" t="s">
        <v>91</v>
      </c>
      <c r="H1421" s="1309" t="str">
        <f>VLOOKUP(G1421,CATEGORIE!$H$3:$I$104,2,FALSE)</f>
        <v>COSTO SOPRAVVIVENZA</v>
      </c>
      <c r="I1421" s="59">
        <v>0.4</v>
      </c>
      <c r="J1421" s="940"/>
      <c r="K1421" s="59"/>
      <c r="L1421" s="59"/>
    </row>
    <row r="1422" spans="1:12" ht="18.600000000000001" customHeight="1">
      <c r="A1422" s="57" t="s">
        <v>99</v>
      </c>
      <c r="B1422" s="57" t="s">
        <v>314</v>
      </c>
      <c r="C1422" s="57">
        <v>2024</v>
      </c>
      <c r="D1422" s="58">
        <f>MATCH(B1422,{"GENNAIO","FEBBRAIO","MARZO","APRILE","MAGGIO","GIUGNO","LUGLIO","AGOSTO","SETTEMBRE","OTTOBRE","NOVEMBRE","DICEMBRE"},0)</f>
        <v>6</v>
      </c>
      <c r="E1422" s="57" t="str">
        <f t="shared" si="1730"/>
        <v>GIUGNO 2024</v>
      </c>
      <c r="F1422" s="57" t="str">
        <f t="shared" si="1731"/>
        <v>6 GIUGNO 2024</v>
      </c>
      <c r="G1422" s="1309" t="s">
        <v>100</v>
      </c>
      <c r="H1422" s="1309" t="str">
        <f>VLOOKUP(G1422,CATEGORIE!$H$3:$I$104,2,FALSE)</f>
        <v>COSTO SFIZI</v>
      </c>
      <c r="I1422" s="59">
        <v>14.99</v>
      </c>
      <c r="J1422" s="940"/>
      <c r="K1422" s="57" t="s">
        <v>99</v>
      </c>
      <c r="L1422" s="59"/>
    </row>
    <row r="1423" spans="1:12" ht="16.5" customHeight="1">
      <c r="A1423" s="57" t="s">
        <v>119</v>
      </c>
      <c r="B1423" s="57" t="s">
        <v>314</v>
      </c>
      <c r="C1423" s="57">
        <v>2024</v>
      </c>
      <c r="D1423" s="58">
        <f>MATCH(B1423,{"GENNAIO","FEBBRAIO","MARZO","APRILE","MAGGIO","GIUGNO","LUGLIO","AGOSTO","SETTEMBRE","OTTOBRE","NOVEMBRE","DICEMBRE"},0)</f>
        <v>6</v>
      </c>
      <c r="E1423" s="57" t="str">
        <f t="shared" si="1730"/>
        <v>GIUGNO 2024</v>
      </c>
      <c r="F1423" s="57" t="str">
        <f t="shared" si="1731"/>
        <v>6 GIUGNO 2024</v>
      </c>
      <c r="G1423" s="1309" t="s">
        <v>108</v>
      </c>
      <c r="H1423" s="1309" t="str">
        <f>VLOOKUP(G1423,CATEGORIE!$H$3:$I$104,2,FALSE)</f>
        <v>COSTO SFIZI</v>
      </c>
      <c r="I1423" s="59">
        <v>89.8</v>
      </c>
      <c r="J1423" s="940"/>
      <c r="K1423" s="59"/>
      <c r="L1423" s="59"/>
    </row>
    <row r="1424" spans="1:12" ht="14.25" customHeight="1">
      <c r="A1424" s="57" t="s">
        <v>95</v>
      </c>
      <c r="B1424" s="57" t="s">
        <v>314</v>
      </c>
      <c r="C1424" s="57">
        <v>2024</v>
      </c>
      <c r="D1424" s="58">
        <f>MATCH(B1424,{"GENNAIO","FEBBRAIO","MARZO","APRILE","MAGGIO","GIUGNO","LUGLIO","AGOSTO","SETTEMBRE","OTTOBRE","NOVEMBRE","DICEMBRE"},0)</f>
        <v>6</v>
      </c>
      <c r="E1424" s="57" t="str">
        <f t="shared" si="1730"/>
        <v>GIUGNO 2024</v>
      </c>
      <c r="F1424" s="57" t="str">
        <f t="shared" si="1731"/>
        <v>6 GIUGNO 2024</v>
      </c>
      <c r="G1424" s="1309" t="s">
        <v>96</v>
      </c>
      <c r="H1424" s="1309" t="str">
        <f>VLOOKUP(G1424,CATEGORIE!$H$3:$I$104,2,FALSE)</f>
        <v>COSTO SOPRAVVIVENZA</v>
      </c>
      <c r="I1424" s="59">
        <v>5.18</v>
      </c>
      <c r="J1424" s="940"/>
      <c r="K1424" s="59"/>
      <c r="L1424" s="59"/>
    </row>
    <row r="1425" spans="1:12">
      <c r="A1425" s="57" t="s">
        <v>105</v>
      </c>
      <c r="B1425" s="57" t="s">
        <v>314</v>
      </c>
      <c r="C1425" s="57">
        <v>2024</v>
      </c>
      <c r="D1425" s="58">
        <f>MATCH(B1425,{"GENNAIO","FEBBRAIO","MARZO","APRILE","MAGGIO","GIUGNO","LUGLIO","AGOSTO","SETTEMBRE","OTTOBRE","NOVEMBRE","DICEMBRE"},0)</f>
        <v>6</v>
      </c>
      <c r="E1425" s="57" t="str">
        <f t="shared" si="1730"/>
        <v>GIUGNO 2024</v>
      </c>
      <c r="F1425" s="57" t="str">
        <f t="shared" si="1731"/>
        <v>6 GIUGNO 2024</v>
      </c>
      <c r="G1425" s="1309" t="s">
        <v>96</v>
      </c>
      <c r="H1425" s="1309" t="str">
        <f>VLOOKUP(G1425,CATEGORIE!$H$3:$I$104,2,FALSE)</f>
        <v>COSTO SOPRAVVIVENZA</v>
      </c>
      <c r="I1425" s="59">
        <v>1.19</v>
      </c>
      <c r="J1425" s="940"/>
      <c r="K1425" s="59"/>
      <c r="L1425" s="59"/>
    </row>
    <row r="1426" spans="1:12" ht="16.5" customHeight="1">
      <c r="A1426" s="57" t="s">
        <v>329</v>
      </c>
      <c r="B1426" s="57" t="s">
        <v>314</v>
      </c>
      <c r="C1426" s="57">
        <v>2024</v>
      </c>
      <c r="D1426" s="58">
        <f>MATCH(B1426,{"GENNAIO","FEBBRAIO","MARZO","APRILE","MAGGIO","GIUGNO","LUGLIO","AGOSTO","SETTEMBRE","OTTOBRE","NOVEMBRE","DICEMBRE"},0)</f>
        <v>6</v>
      </c>
      <c r="E1426" s="57" t="str">
        <f t="shared" si="1730"/>
        <v>GIUGNO 2024</v>
      </c>
      <c r="F1426" s="57" t="str">
        <f t="shared" si="1731"/>
        <v>6 GIUGNO 2024</v>
      </c>
      <c r="G1426" s="1309" t="s">
        <v>94</v>
      </c>
      <c r="H1426" s="1309" t="str">
        <f>VLOOKUP(G1426,CATEGORIE!$H$3:$I$104,2,FALSE)</f>
        <v>COSTO SVAGHI</v>
      </c>
      <c r="I1426" s="59">
        <v>28</v>
      </c>
      <c r="J1426" s="940"/>
      <c r="K1426" s="59"/>
      <c r="L1426" s="59"/>
    </row>
    <row r="1427" spans="1:12">
      <c r="A1427" s="57" t="s">
        <v>120</v>
      </c>
      <c r="B1427" s="57" t="s">
        <v>314</v>
      </c>
      <c r="C1427" s="57">
        <v>2024</v>
      </c>
      <c r="D1427" s="58">
        <f>MATCH(B1427,{"GENNAIO","FEBBRAIO","MARZO","APRILE","MAGGIO","GIUGNO","LUGLIO","AGOSTO","SETTEMBRE","OTTOBRE","NOVEMBRE","DICEMBRE"},0)</f>
        <v>6</v>
      </c>
      <c r="E1427" s="57" t="str">
        <f t="shared" si="1730"/>
        <v>GIUGNO 2024</v>
      </c>
      <c r="F1427" s="57" t="str">
        <f t="shared" si="1731"/>
        <v>6 GIUGNO 2024</v>
      </c>
      <c r="G1427" s="1309" t="s">
        <v>121</v>
      </c>
      <c r="H1427" s="1309" t="str">
        <f>VLOOKUP(G1427,CATEGORIE!$H$3:$I$104,2,FALSE)</f>
        <v>COSTO MOBILITA'</v>
      </c>
      <c r="I1427" s="59">
        <v>9</v>
      </c>
      <c r="J1427" s="940"/>
      <c r="K1427" s="59"/>
      <c r="L1427" s="59"/>
    </row>
    <row r="1428" spans="1:12" ht="18.600000000000001" customHeight="1">
      <c r="A1428" s="57" t="s">
        <v>106</v>
      </c>
      <c r="B1428" s="57" t="s">
        <v>314</v>
      </c>
      <c r="C1428" s="57">
        <v>2024</v>
      </c>
      <c r="D1428" s="58">
        <f>MATCH(B1428,{"GENNAIO","FEBBRAIO","MARZO","APRILE","MAGGIO","GIUGNO","LUGLIO","AGOSTO","SETTEMBRE","OTTOBRE","NOVEMBRE","DICEMBRE"},0)</f>
        <v>6</v>
      </c>
      <c r="E1428" s="57" t="str">
        <f t="shared" si="1730"/>
        <v>GIUGNO 2024</v>
      </c>
      <c r="F1428" s="57" t="str">
        <f t="shared" si="1731"/>
        <v>6 GIUGNO 2024</v>
      </c>
      <c r="G1428" s="1309" t="s">
        <v>107</v>
      </c>
      <c r="H1428" s="1309" t="str">
        <f>VLOOKUP(G1428,CATEGORIE!$H$3:$I$104,2,FALSE)</f>
        <v>COSTO SOPRAVVIVENZA</v>
      </c>
      <c r="I1428" s="59">
        <v>33</v>
      </c>
      <c r="J1428" s="940"/>
      <c r="K1428" s="59"/>
      <c r="L1428" s="59"/>
    </row>
    <row r="1429" spans="1:12" ht="16.5" customHeight="1">
      <c r="A1429" s="57" t="s">
        <v>101</v>
      </c>
      <c r="B1429" s="57" t="s">
        <v>314</v>
      </c>
      <c r="C1429" s="57">
        <v>2024</v>
      </c>
      <c r="D1429" s="58">
        <f>MATCH(B1429,{"GENNAIO","FEBBRAIO","MARZO","APRILE","MAGGIO","GIUGNO","LUGLIO","AGOSTO","SETTEMBRE","OTTOBRE","NOVEMBRE","DICEMBRE"},0)</f>
        <v>6</v>
      </c>
      <c r="E1429" s="57" t="str">
        <f t="shared" si="1730"/>
        <v>GIUGNO 2024</v>
      </c>
      <c r="F1429" s="57" t="str">
        <f t="shared" si="1731"/>
        <v>6 GIUGNO 2024</v>
      </c>
      <c r="G1429" s="1309" t="s">
        <v>91</v>
      </c>
      <c r="H1429" s="1309" t="str">
        <f>VLOOKUP(G1429,CATEGORIE!$H$3:$I$104,2,FALSE)</f>
        <v>COSTO SOPRAVVIVENZA</v>
      </c>
      <c r="I1429" s="59">
        <v>0.4</v>
      </c>
      <c r="J1429" s="940"/>
      <c r="K1429" s="59"/>
      <c r="L1429" s="59"/>
    </row>
    <row r="1430" spans="1:12" ht="16.5" customHeight="1">
      <c r="A1430" s="57" t="s">
        <v>92</v>
      </c>
      <c r="B1430" s="57" t="s">
        <v>314</v>
      </c>
      <c r="C1430" s="57">
        <v>2024</v>
      </c>
      <c r="D1430" s="58">
        <f>MATCH(B1430,{"GENNAIO","FEBBRAIO","MARZO","APRILE","MAGGIO","GIUGNO","LUGLIO","AGOSTO","SETTEMBRE","OTTOBRE","NOVEMBRE","DICEMBRE"},0)</f>
        <v>6</v>
      </c>
      <c r="E1430" s="57" t="str">
        <f t="shared" si="1730"/>
        <v>GIUGNO 2024</v>
      </c>
      <c r="F1430" s="57" t="str">
        <f t="shared" si="1731"/>
        <v>6 GIUGNO 2024</v>
      </c>
      <c r="G1430" s="1309" t="s">
        <v>93</v>
      </c>
      <c r="H1430" s="1309" t="str">
        <f>VLOOKUP(G1430,CATEGORIE!$H$3:$I$104,2,FALSE)</f>
        <v>COSTO SOPRAVVIVENZA</v>
      </c>
      <c r="I1430" s="59">
        <v>5</v>
      </c>
      <c r="J1430" s="940"/>
      <c r="K1430" s="59"/>
      <c r="L1430" s="59"/>
    </row>
    <row r="1431" spans="1:12" ht="18.600000000000001" customHeight="1">
      <c r="A1431" s="57" t="s">
        <v>357</v>
      </c>
      <c r="B1431" s="57" t="s">
        <v>314</v>
      </c>
      <c r="C1431" s="57">
        <v>2024</v>
      </c>
      <c r="D1431" s="58">
        <f>MATCH(B1431,{"GENNAIO","FEBBRAIO","MARZO","APRILE","MAGGIO","GIUGNO","LUGLIO","AGOSTO","SETTEMBRE","OTTOBRE","NOVEMBRE","DICEMBRE"},0)</f>
        <v>6</v>
      </c>
      <c r="E1431" s="57" t="str">
        <f t="shared" si="1730"/>
        <v>GIUGNO 2024</v>
      </c>
      <c r="F1431" s="57" t="str">
        <f t="shared" si="1731"/>
        <v>6 GIUGNO 2024</v>
      </c>
      <c r="G1431" s="1309" t="s">
        <v>96</v>
      </c>
      <c r="H1431" s="1309" t="str">
        <f>VLOOKUP(G1431,CATEGORIE!$H$3:$I$104,2,FALSE)</f>
        <v>COSTO SOPRAVVIVENZA</v>
      </c>
      <c r="I1431" s="59">
        <v>8.3000000000000007</v>
      </c>
      <c r="J1431" s="940"/>
      <c r="K1431" s="59"/>
      <c r="L1431" s="59"/>
    </row>
    <row r="1432" spans="1:12" ht="16.5" customHeight="1">
      <c r="A1432" s="57" t="s">
        <v>101</v>
      </c>
      <c r="B1432" s="57" t="s">
        <v>314</v>
      </c>
      <c r="C1432" s="57">
        <v>2024</v>
      </c>
      <c r="D1432" s="58">
        <f>MATCH(B1432,{"GENNAIO","FEBBRAIO","MARZO","APRILE","MAGGIO","GIUGNO","LUGLIO","AGOSTO","SETTEMBRE","OTTOBRE","NOVEMBRE","DICEMBRE"},0)</f>
        <v>6</v>
      </c>
      <c r="E1432" s="57" t="str">
        <f t="shared" si="1730"/>
        <v>GIUGNO 2024</v>
      </c>
      <c r="F1432" s="57" t="str">
        <f t="shared" si="1731"/>
        <v>6 GIUGNO 2024</v>
      </c>
      <c r="G1432" s="1309" t="s">
        <v>91</v>
      </c>
      <c r="H1432" s="1309" t="str">
        <f>VLOOKUP(G1432,CATEGORIE!$H$3:$I$104,2,FALSE)</f>
        <v>COSTO SOPRAVVIVENZA</v>
      </c>
      <c r="I1432" s="59">
        <v>0.4</v>
      </c>
      <c r="J1432" s="940"/>
      <c r="K1432" s="59"/>
      <c r="L1432" s="59"/>
    </row>
    <row r="1433" spans="1:12" ht="18.600000000000001" customHeight="1">
      <c r="A1433" s="57" t="s">
        <v>101</v>
      </c>
      <c r="B1433" s="57" t="s">
        <v>314</v>
      </c>
      <c r="C1433" s="57">
        <v>2024</v>
      </c>
      <c r="D1433" s="58">
        <f>MATCH(B1433,{"GENNAIO","FEBBRAIO","MARZO","APRILE","MAGGIO","GIUGNO","LUGLIO","AGOSTO","SETTEMBRE","OTTOBRE","NOVEMBRE","DICEMBRE"},0)</f>
        <v>6</v>
      </c>
      <c r="E1433" s="57" t="str">
        <f t="shared" si="1730"/>
        <v>GIUGNO 2024</v>
      </c>
      <c r="F1433" s="57" t="str">
        <f t="shared" si="1731"/>
        <v>6 GIUGNO 2024</v>
      </c>
      <c r="G1433" s="1309" t="s">
        <v>91</v>
      </c>
      <c r="H1433" s="1309" t="str">
        <f>VLOOKUP(G1433,CATEGORIE!$H$3:$I$104,2,FALSE)</f>
        <v>COSTO SOPRAVVIVENZA</v>
      </c>
      <c r="I1433" s="59">
        <v>0.7</v>
      </c>
      <c r="J1433" s="940"/>
      <c r="K1433" s="59"/>
      <c r="L1433" s="59"/>
    </row>
    <row r="1434" spans="1:12" ht="18.600000000000001" customHeight="1">
      <c r="A1434" s="57" t="s">
        <v>95</v>
      </c>
      <c r="B1434" s="57" t="s">
        <v>314</v>
      </c>
      <c r="C1434" s="57">
        <v>2024</v>
      </c>
      <c r="D1434" s="58">
        <f>MATCH(B1434,{"GENNAIO","FEBBRAIO","MARZO","APRILE","MAGGIO","GIUGNO","LUGLIO","AGOSTO","SETTEMBRE","OTTOBRE","NOVEMBRE","DICEMBRE"},0)</f>
        <v>6</v>
      </c>
      <c r="E1434" s="57" t="str">
        <f t="shared" si="1730"/>
        <v>GIUGNO 2024</v>
      </c>
      <c r="F1434" s="57" t="str">
        <f t="shared" si="1731"/>
        <v>6 GIUGNO 2024</v>
      </c>
      <c r="G1434" s="1309" t="s">
        <v>96</v>
      </c>
      <c r="H1434" s="1309" t="str">
        <f>VLOOKUP(G1434,CATEGORIE!$H$3:$I$104,2,FALSE)</f>
        <v>COSTO SOPRAVVIVENZA</v>
      </c>
      <c r="I1434" s="59">
        <v>14.83</v>
      </c>
      <c r="J1434" s="940"/>
      <c r="K1434" s="59"/>
      <c r="L1434" s="59"/>
    </row>
    <row r="1435" spans="1:12" ht="16.5" customHeight="1">
      <c r="A1435" s="57" t="s">
        <v>130</v>
      </c>
      <c r="B1435" s="57" t="s">
        <v>314</v>
      </c>
      <c r="C1435" s="57">
        <v>2024</v>
      </c>
      <c r="D1435" s="58">
        <f>MATCH(B1435,{"GENNAIO","FEBBRAIO","MARZO","APRILE","MAGGIO","GIUGNO","LUGLIO","AGOSTO","SETTEMBRE","OTTOBRE","NOVEMBRE","DICEMBRE"},0)</f>
        <v>6</v>
      </c>
      <c r="E1435" s="57" t="str">
        <f t="shared" si="1730"/>
        <v>GIUGNO 2024</v>
      </c>
      <c r="F1435" s="57" t="str">
        <f t="shared" si="1731"/>
        <v>6 GIUGNO 2024</v>
      </c>
      <c r="G1435" s="1309" t="s">
        <v>94</v>
      </c>
      <c r="H1435" s="1309" t="str">
        <f>VLOOKUP(G1435,CATEGORIE!$H$3:$I$104,2,FALSE)</f>
        <v>COSTO SVAGHI</v>
      </c>
      <c r="I1435" s="59">
        <v>35.5</v>
      </c>
      <c r="J1435" s="940"/>
      <c r="K1435" s="59"/>
      <c r="L1435" s="59"/>
    </row>
    <row r="1436" spans="1:12">
      <c r="A1436" s="57" t="s">
        <v>105</v>
      </c>
      <c r="B1436" s="57" t="s">
        <v>314</v>
      </c>
      <c r="C1436" s="57">
        <v>2024</v>
      </c>
      <c r="D1436" s="58">
        <f>MATCH(B1436,{"GENNAIO","FEBBRAIO","MARZO","APRILE","MAGGIO","GIUGNO","LUGLIO","AGOSTO","SETTEMBRE","OTTOBRE","NOVEMBRE","DICEMBRE"},0)</f>
        <v>6</v>
      </c>
      <c r="E1436" s="57" t="str">
        <f t="shared" si="1730"/>
        <v>GIUGNO 2024</v>
      </c>
      <c r="F1436" s="57" t="str">
        <f t="shared" si="1731"/>
        <v>6 GIUGNO 2024</v>
      </c>
      <c r="G1436" s="1309" t="s">
        <v>96</v>
      </c>
      <c r="H1436" s="1309" t="str">
        <f>VLOOKUP(G1436,CATEGORIE!$H$3:$I$104,2,FALSE)</f>
        <v>COSTO SOPRAVVIVENZA</v>
      </c>
      <c r="I1436" s="59">
        <v>9.0299999999999994</v>
      </c>
      <c r="J1436" s="940"/>
      <c r="K1436" s="59"/>
      <c r="L1436" s="59"/>
    </row>
    <row r="1437" spans="1:12" ht="16.5" customHeight="1">
      <c r="A1437" s="57" t="s">
        <v>135</v>
      </c>
      <c r="B1437" s="57" t="s">
        <v>314</v>
      </c>
      <c r="C1437" s="57">
        <v>2024</v>
      </c>
      <c r="D1437" s="58">
        <f>MATCH(B1437,{"GENNAIO","FEBBRAIO","MARZO","APRILE","MAGGIO","GIUGNO","LUGLIO","AGOSTO","SETTEMBRE","OTTOBRE","NOVEMBRE","DICEMBRE"},0)</f>
        <v>6</v>
      </c>
      <c r="E1437" s="57" t="str">
        <f t="shared" si="1730"/>
        <v>GIUGNO 2024</v>
      </c>
      <c r="F1437" s="57" t="str">
        <f t="shared" si="1731"/>
        <v>6 GIUGNO 2024</v>
      </c>
      <c r="G1437" s="1309" t="s">
        <v>132</v>
      </c>
      <c r="H1437" s="1309" t="str">
        <f>VLOOKUP(G1437,CATEGORIE!$H$3:$I$104,2,FALSE)</f>
        <v>COSTO CASA</v>
      </c>
      <c r="I1437" s="59">
        <v>18.09</v>
      </c>
      <c r="J1437" s="940"/>
      <c r="K1437" s="59"/>
      <c r="L1437" s="59"/>
    </row>
    <row r="1438" spans="1:12">
      <c r="A1438" s="57" t="s">
        <v>467</v>
      </c>
      <c r="B1438" s="57" t="s">
        <v>314</v>
      </c>
      <c r="C1438" s="57">
        <v>2024</v>
      </c>
      <c r="D1438" s="58">
        <f>MATCH(B1438,{"GENNAIO","FEBBRAIO","MARZO","APRILE","MAGGIO","GIUGNO","LUGLIO","AGOSTO","SETTEMBRE","OTTOBRE","NOVEMBRE","DICEMBRE"},0)</f>
        <v>6</v>
      </c>
      <c r="E1438" s="57" t="str">
        <f t="shared" si="1730"/>
        <v>GIUGNO 2024</v>
      </c>
      <c r="F1438" s="57" t="str">
        <f t="shared" si="1731"/>
        <v>6 GIUGNO 2024</v>
      </c>
      <c r="G1438" s="1309" t="s">
        <v>94</v>
      </c>
      <c r="H1438" s="1309" t="str">
        <f>VLOOKUP(G1438,CATEGORIE!$H$3:$I$104,2,FALSE)</f>
        <v>COSTO SVAGHI</v>
      </c>
      <c r="I1438" s="59">
        <v>30</v>
      </c>
      <c r="J1438" s="940"/>
      <c r="K1438" s="59"/>
      <c r="L1438" s="59"/>
    </row>
    <row r="1439" spans="1:12" ht="14.25" customHeight="1">
      <c r="A1439" s="57" t="s">
        <v>92</v>
      </c>
      <c r="B1439" s="57" t="s">
        <v>314</v>
      </c>
      <c r="C1439" s="57">
        <v>2024</v>
      </c>
      <c r="D1439" s="58">
        <f>MATCH(B1439,{"GENNAIO","FEBBRAIO","MARZO","APRILE","MAGGIO","GIUGNO","LUGLIO","AGOSTO","SETTEMBRE","OTTOBRE","NOVEMBRE","DICEMBRE"},0)</f>
        <v>6</v>
      </c>
      <c r="E1439" s="57" t="str">
        <f t="shared" si="1730"/>
        <v>GIUGNO 2024</v>
      </c>
      <c r="F1439" s="57" t="str">
        <f t="shared" si="1731"/>
        <v>6 GIUGNO 2024</v>
      </c>
      <c r="G1439" s="1309" t="s">
        <v>93</v>
      </c>
      <c r="H1439" s="1309" t="str">
        <f>VLOOKUP(G1439,CATEGORIE!$H$3:$I$104,2,FALSE)</f>
        <v>COSTO SOPRAVVIVENZA</v>
      </c>
      <c r="I1439" s="59">
        <v>5</v>
      </c>
      <c r="J1439" s="940"/>
      <c r="K1439" s="59"/>
      <c r="L1439" s="59"/>
    </row>
    <row r="1440" spans="1:12" ht="18.600000000000001" customHeight="1">
      <c r="A1440" s="57" t="s">
        <v>101</v>
      </c>
      <c r="B1440" s="57" t="s">
        <v>314</v>
      </c>
      <c r="C1440" s="57">
        <v>2024</v>
      </c>
      <c r="D1440" s="58">
        <f>MATCH(B1440,{"GENNAIO","FEBBRAIO","MARZO","APRILE","MAGGIO","GIUGNO","LUGLIO","AGOSTO","SETTEMBRE","OTTOBRE","NOVEMBRE","DICEMBRE"},0)</f>
        <v>6</v>
      </c>
      <c r="E1440" s="57" t="str">
        <f t="shared" si="1730"/>
        <v>GIUGNO 2024</v>
      </c>
      <c r="F1440" s="57" t="str">
        <f t="shared" si="1731"/>
        <v>6 GIUGNO 2024</v>
      </c>
      <c r="G1440" s="1309" t="s">
        <v>91</v>
      </c>
      <c r="H1440" s="1309" t="str">
        <f>VLOOKUP(G1440,CATEGORIE!$H$3:$I$104,2,FALSE)</f>
        <v>COSTO SOPRAVVIVENZA</v>
      </c>
      <c r="I1440" s="59">
        <v>0.4</v>
      </c>
      <c r="J1440" s="940"/>
      <c r="K1440" s="59"/>
      <c r="L1440" s="59"/>
    </row>
    <row r="1441" spans="1:12" ht="18.600000000000001" customHeight="1">
      <c r="A1441" s="57" t="s">
        <v>92</v>
      </c>
      <c r="B1441" s="57" t="s">
        <v>314</v>
      </c>
      <c r="C1441" s="57">
        <v>2024</v>
      </c>
      <c r="D1441" s="58">
        <f>MATCH(B1441,{"GENNAIO","FEBBRAIO","MARZO","APRILE","MAGGIO","GIUGNO","LUGLIO","AGOSTO","SETTEMBRE","OTTOBRE","NOVEMBRE","DICEMBRE"},0)</f>
        <v>6</v>
      </c>
      <c r="E1441" s="57" t="str">
        <f t="shared" si="1730"/>
        <v>GIUGNO 2024</v>
      </c>
      <c r="F1441" s="57" t="str">
        <f t="shared" si="1731"/>
        <v>6 GIUGNO 2024</v>
      </c>
      <c r="G1441" s="1309" t="s">
        <v>93</v>
      </c>
      <c r="H1441" s="1309" t="str">
        <f>VLOOKUP(G1441,CATEGORIE!$H$3:$I$104,2,FALSE)</f>
        <v>COSTO SOPRAVVIVENZA</v>
      </c>
      <c r="I1441" s="59">
        <v>5</v>
      </c>
      <c r="J1441" s="940"/>
      <c r="K1441" s="59"/>
      <c r="L1441" s="59"/>
    </row>
    <row r="1442" spans="1:12" ht="16.5" customHeight="1">
      <c r="A1442" s="57" t="s">
        <v>120</v>
      </c>
      <c r="B1442" s="57" t="s">
        <v>314</v>
      </c>
      <c r="C1442" s="57">
        <v>2024</v>
      </c>
      <c r="D1442" s="58">
        <f>MATCH(B1442,{"GENNAIO","FEBBRAIO","MARZO","APRILE","MAGGIO","GIUGNO","LUGLIO","AGOSTO","SETTEMBRE","OTTOBRE","NOVEMBRE","DICEMBRE"},0)</f>
        <v>6</v>
      </c>
      <c r="E1442" s="57" t="str">
        <f t="shared" si="1730"/>
        <v>GIUGNO 2024</v>
      </c>
      <c r="F1442" s="57" t="str">
        <f t="shared" si="1731"/>
        <v>6 GIUGNO 2024</v>
      </c>
      <c r="G1442" s="1309" t="s">
        <v>121</v>
      </c>
      <c r="H1442" s="1309" t="str">
        <f>VLOOKUP(G1442,CATEGORIE!$H$3:$I$104,2,FALSE)</f>
        <v>COSTO MOBILITA'</v>
      </c>
      <c r="I1442" s="59">
        <v>7</v>
      </c>
      <c r="J1442" s="940"/>
      <c r="K1442" s="59"/>
      <c r="L1442" s="59"/>
    </row>
    <row r="1443" spans="1:12" ht="16.5" customHeight="1">
      <c r="A1443" s="57" t="s">
        <v>95</v>
      </c>
      <c r="B1443" s="57" t="s">
        <v>314</v>
      </c>
      <c r="C1443" s="57">
        <v>2024</v>
      </c>
      <c r="D1443" s="58">
        <f>MATCH(B1443,{"GENNAIO","FEBBRAIO","MARZO","APRILE","MAGGIO","GIUGNO","LUGLIO","AGOSTO","SETTEMBRE","OTTOBRE","NOVEMBRE","DICEMBRE"},0)</f>
        <v>6</v>
      </c>
      <c r="E1443" s="57" t="str">
        <f t="shared" si="1730"/>
        <v>GIUGNO 2024</v>
      </c>
      <c r="F1443" s="57" t="str">
        <f t="shared" si="1731"/>
        <v>6 GIUGNO 2024</v>
      </c>
      <c r="G1443" s="1309" t="s">
        <v>96</v>
      </c>
      <c r="H1443" s="1309" t="str">
        <f>VLOOKUP(G1443,CATEGORIE!$H$3:$I$104,2,FALSE)</f>
        <v>COSTO SOPRAVVIVENZA</v>
      </c>
      <c r="I1443" s="59">
        <v>13.98</v>
      </c>
      <c r="J1443" s="940"/>
      <c r="K1443" s="59"/>
      <c r="L1443" s="59"/>
    </row>
    <row r="1444" spans="1:12">
      <c r="A1444" s="57" t="s">
        <v>465</v>
      </c>
      <c r="B1444" s="57" t="s">
        <v>314</v>
      </c>
      <c r="C1444" s="57">
        <v>2024</v>
      </c>
      <c r="D1444" s="58">
        <f>MATCH(B1444,{"GENNAIO","FEBBRAIO","MARZO","APRILE","MAGGIO","GIUGNO","LUGLIO","AGOSTO","SETTEMBRE","OTTOBRE","NOVEMBRE","DICEMBRE"},0)</f>
        <v>6</v>
      </c>
      <c r="E1444" s="57" t="str">
        <f t="shared" si="1730"/>
        <v>GIUGNO 2024</v>
      </c>
      <c r="F1444" s="57" t="str">
        <f t="shared" si="1731"/>
        <v>6 GIUGNO 2024</v>
      </c>
      <c r="G1444" s="1309" t="s">
        <v>96</v>
      </c>
      <c r="H1444" s="1309" t="str">
        <f>VLOOKUP(G1444,CATEGORIE!$H$3:$I$104,2,FALSE)</f>
        <v>COSTO SOPRAVVIVENZA</v>
      </c>
      <c r="I1444" s="59">
        <v>25</v>
      </c>
      <c r="J1444" s="940"/>
      <c r="K1444" s="59"/>
      <c r="L1444" s="59"/>
    </row>
    <row r="1445" spans="1:12" ht="16.5" customHeight="1">
      <c r="A1445" s="57" t="s">
        <v>300</v>
      </c>
      <c r="B1445" s="57" t="s">
        <v>314</v>
      </c>
      <c r="C1445" s="57">
        <v>2024</v>
      </c>
      <c r="D1445" s="58">
        <f>MATCH(B1445,{"GENNAIO","FEBBRAIO","MARZO","APRILE","MAGGIO","GIUGNO","LUGLIO","AGOSTO","SETTEMBRE","OTTOBRE","NOVEMBRE","DICEMBRE"},0)</f>
        <v>6</v>
      </c>
      <c r="E1445" s="57" t="str">
        <f t="shared" si="1730"/>
        <v>GIUGNO 2024</v>
      </c>
      <c r="F1445" s="57" t="str">
        <f t="shared" si="1731"/>
        <v>6 GIUGNO 2024</v>
      </c>
      <c r="G1445" s="1309" t="s">
        <v>94</v>
      </c>
      <c r="H1445" s="1309" t="str">
        <f>VLOOKUP(G1445,CATEGORIE!$H$3:$I$104,2,FALSE)</f>
        <v>COSTO SVAGHI</v>
      </c>
      <c r="I1445" s="59">
        <v>71</v>
      </c>
      <c r="J1445" s="940"/>
      <c r="K1445" s="59"/>
      <c r="L1445" s="59"/>
    </row>
    <row r="1446" spans="1:12" ht="18.600000000000001" customHeight="1">
      <c r="A1446" s="57" t="s">
        <v>101</v>
      </c>
      <c r="B1446" s="57" t="s">
        <v>314</v>
      </c>
      <c r="C1446" s="57">
        <v>2024</v>
      </c>
      <c r="D1446" s="58">
        <f>MATCH(B1446,{"GENNAIO","FEBBRAIO","MARZO","APRILE","MAGGIO","GIUGNO","LUGLIO","AGOSTO","SETTEMBRE","OTTOBRE","NOVEMBRE","DICEMBRE"},0)</f>
        <v>6</v>
      </c>
      <c r="E1446" s="57" t="str">
        <f t="shared" si="1730"/>
        <v>GIUGNO 2024</v>
      </c>
      <c r="F1446" s="57" t="str">
        <f t="shared" si="1731"/>
        <v>6 GIUGNO 2024</v>
      </c>
      <c r="G1446" s="1309" t="s">
        <v>91</v>
      </c>
      <c r="H1446" s="1309" t="str">
        <f>VLOOKUP(G1446,CATEGORIE!$H$3:$I$104,2,FALSE)</f>
        <v>COSTO SOPRAVVIVENZA</v>
      </c>
      <c r="I1446" s="59">
        <v>0.4</v>
      </c>
      <c r="J1446" s="940"/>
      <c r="K1446" s="59"/>
      <c r="L1446" s="59"/>
    </row>
    <row r="1447" spans="1:12" ht="18" customHeight="1">
      <c r="A1447" s="57" t="s">
        <v>92</v>
      </c>
      <c r="B1447" s="57" t="s">
        <v>314</v>
      </c>
      <c r="C1447" s="57">
        <v>2024</v>
      </c>
      <c r="D1447" s="58">
        <f>MATCH(B1447,{"GENNAIO","FEBBRAIO","MARZO","APRILE","MAGGIO","GIUGNO","LUGLIO","AGOSTO","SETTEMBRE","OTTOBRE","NOVEMBRE","DICEMBRE"},0)</f>
        <v>6</v>
      </c>
      <c r="E1447" s="57" t="str">
        <f t="shared" si="1730"/>
        <v>GIUGNO 2024</v>
      </c>
      <c r="F1447" s="57" t="str">
        <f t="shared" si="1731"/>
        <v>6 GIUGNO 2024</v>
      </c>
      <c r="G1447" s="1309" t="s">
        <v>93</v>
      </c>
      <c r="H1447" s="1309" t="str">
        <f>VLOOKUP(G1447,CATEGORIE!$H$3:$I$104,2,FALSE)</f>
        <v>COSTO SOPRAVVIVENZA</v>
      </c>
      <c r="I1447" s="59">
        <v>5</v>
      </c>
      <c r="J1447" s="940"/>
      <c r="K1447" s="59"/>
      <c r="L1447" s="59"/>
    </row>
    <row r="1448" spans="1:12" ht="18.600000000000001" customHeight="1">
      <c r="A1448" s="57" t="s">
        <v>221</v>
      </c>
      <c r="B1448" s="57" t="s">
        <v>314</v>
      </c>
      <c r="C1448" s="57">
        <v>2024</v>
      </c>
      <c r="D1448" s="58">
        <f>MATCH(B1448,{"GENNAIO","FEBBRAIO","MARZO","APRILE","MAGGIO","GIUGNO","LUGLIO","AGOSTO","SETTEMBRE","OTTOBRE","NOVEMBRE","DICEMBRE"},0)</f>
        <v>6</v>
      </c>
      <c r="E1448" s="57" t="str">
        <f t="shared" si="1730"/>
        <v>GIUGNO 2024</v>
      </c>
      <c r="F1448" s="57" t="str">
        <f t="shared" si="1731"/>
        <v>6 GIUGNO 2024</v>
      </c>
      <c r="G1448" s="1309" t="s">
        <v>94</v>
      </c>
      <c r="H1448" s="1309" t="str">
        <f>VLOOKUP(G1448,CATEGORIE!$H$3:$I$104,2,FALSE)</f>
        <v>COSTO SVAGHI</v>
      </c>
      <c r="I1448" s="59">
        <v>61.9</v>
      </c>
      <c r="J1448" s="940"/>
      <c r="K1448" s="59"/>
      <c r="L1448" s="59"/>
    </row>
    <row r="1449" spans="1:12" ht="16.5" customHeight="1">
      <c r="A1449" s="57" t="s">
        <v>466</v>
      </c>
      <c r="B1449" s="57" t="s">
        <v>314</v>
      </c>
      <c r="C1449" s="57">
        <v>2024</v>
      </c>
      <c r="D1449" s="58">
        <f>MATCH(B1449,{"GENNAIO","FEBBRAIO","MARZO","APRILE","MAGGIO","GIUGNO","LUGLIO","AGOSTO","SETTEMBRE","OTTOBRE","NOVEMBRE","DICEMBRE"},0)</f>
        <v>6</v>
      </c>
      <c r="E1449" s="57" t="str">
        <f t="shared" si="1730"/>
        <v>GIUGNO 2024</v>
      </c>
      <c r="F1449" s="57" t="str">
        <f t="shared" si="1731"/>
        <v>6 GIUGNO 2024</v>
      </c>
      <c r="G1449" s="1309" t="s">
        <v>94</v>
      </c>
      <c r="H1449" s="1309" t="str">
        <f>VLOOKUP(G1449,CATEGORIE!$H$3:$I$104,2,FALSE)</f>
        <v>COSTO SVAGHI</v>
      </c>
      <c r="I1449" s="59">
        <v>24.7</v>
      </c>
      <c r="J1449" s="940"/>
      <c r="K1449" s="59"/>
      <c r="L1449" s="59"/>
    </row>
    <row r="1450" spans="1:12">
      <c r="A1450" s="57" t="s">
        <v>306</v>
      </c>
      <c r="B1450" s="57" t="s">
        <v>314</v>
      </c>
      <c r="C1450" s="57">
        <v>2024</v>
      </c>
      <c r="D1450" s="58">
        <f>MATCH(B1450,{"GENNAIO","FEBBRAIO","MARZO","APRILE","MAGGIO","GIUGNO","LUGLIO","AGOSTO","SETTEMBRE","OTTOBRE","NOVEMBRE","DICEMBRE"},0)</f>
        <v>6</v>
      </c>
      <c r="E1450" s="57" t="str">
        <f t="shared" si="1730"/>
        <v>GIUGNO 2024</v>
      </c>
      <c r="F1450" s="57" t="str">
        <f t="shared" si="1731"/>
        <v>6 GIUGNO 2024</v>
      </c>
      <c r="G1450" s="1309" t="s">
        <v>100</v>
      </c>
      <c r="H1450" s="1309" t="str">
        <f>VLOOKUP(G1450,CATEGORIE!$H$3:$I$104,2,FALSE)</f>
        <v>COSTO SFIZI</v>
      </c>
      <c r="I1450" s="59">
        <v>18.23</v>
      </c>
      <c r="J1450" s="940"/>
      <c r="K1450" s="59" t="s">
        <v>112</v>
      </c>
      <c r="L1450" s="59"/>
    </row>
    <row r="1451" spans="1:12" ht="18.600000000000001" customHeight="1">
      <c r="A1451" s="57" t="s">
        <v>105</v>
      </c>
      <c r="B1451" s="57" t="s">
        <v>314</v>
      </c>
      <c r="C1451" s="57">
        <v>2024</v>
      </c>
      <c r="D1451" s="58">
        <f>MATCH(B1451,{"GENNAIO","FEBBRAIO","MARZO","APRILE","MAGGIO","GIUGNO","LUGLIO","AGOSTO","SETTEMBRE","OTTOBRE","NOVEMBRE","DICEMBRE"},0)</f>
        <v>6</v>
      </c>
      <c r="E1451" s="57" t="str">
        <f t="shared" si="1730"/>
        <v>GIUGNO 2024</v>
      </c>
      <c r="F1451" s="57" t="str">
        <f t="shared" si="1731"/>
        <v>6 GIUGNO 2024</v>
      </c>
      <c r="G1451" s="1309" t="s">
        <v>96</v>
      </c>
      <c r="H1451" s="1309" t="str">
        <f>VLOOKUP(G1451,CATEGORIE!$H$3:$I$104,2,FALSE)</f>
        <v>COSTO SOPRAVVIVENZA</v>
      </c>
      <c r="I1451" s="59">
        <v>28.26</v>
      </c>
      <c r="J1451" s="940"/>
      <c r="K1451" s="59"/>
      <c r="L1451" s="59"/>
    </row>
    <row r="1452" spans="1:12">
      <c r="A1452" s="57" t="s">
        <v>101</v>
      </c>
      <c r="B1452" s="57" t="s">
        <v>314</v>
      </c>
      <c r="C1452" s="57">
        <v>2024</v>
      </c>
      <c r="D1452" s="58">
        <f>MATCH(B1452,{"GENNAIO","FEBBRAIO","MARZO","APRILE","MAGGIO","GIUGNO","LUGLIO","AGOSTO","SETTEMBRE","OTTOBRE","NOVEMBRE","DICEMBRE"},0)</f>
        <v>6</v>
      </c>
      <c r="E1452" s="57" t="str">
        <f t="shared" si="1730"/>
        <v>GIUGNO 2024</v>
      </c>
      <c r="F1452" s="57" t="str">
        <f t="shared" si="1731"/>
        <v>6 GIUGNO 2024</v>
      </c>
      <c r="G1452" s="1309" t="s">
        <v>91</v>
      </c>
      <c r="H1452" s="1309" t="str">
        <f>VLOOKUP(G1452,CATEGORIE!$H$3:$I$104,2,FALSE)</f>
        <v>COSTO SOPRAVVIVENZA</v>
      </c>
      <c r="I1452" s="59">
        <v>0.4</v>
      </c>
      <c r="J1452" s="940"/>
      <c r="K1452" s="59"/>
      <c r="L1452" s="59"/>
    </row>
    <row r="1453" spans="1:12" ht="18.600000000000001" customHeight="1">
      <c r="A1453" s="57" t="s">
        <v>92</v>
      </c>
      <c r="B1453" s="57" t="s">
        <v>314</v>
      </c>
      <c r="C1453" s="57">
        <v>2024</v>
      </c>
      <c r="D1453" s="58">
        <f>MATCH(B1453,{"GENNAIO","FEBBRAIO","MARZO","APRILE","MAGGIO","GIUGNO","LUGLIO","AGOSTO","SETTEMBRE","OTTOBRE","NOVEMBRE","DICEMBRE"},0)</f>
        <v>6</v>
      </c>
      <c r="E1453" s="57" t="str">
        <f t="shared" si="1730"/>
        <v>GIUGNO 2024</v>
      </c>
      <c r="F1453" s="57" t="str">
        <f t="shared" si="1731"/>
        <v>6 GIUGNO 2024</v>
      </c>
      <c r="G1453" s="1309" t="s">
        <v>93</v>
      </c>
      <c r="H1453" s="1309" t="str">
        <f>VLOOKUP(G1453,CATEGORIE!$H$3:$I$104,2,FALSE)</f>
        <v>COSTO SOPRAVVIVENZA</v>
      </c>
      <c r="I1453" s="59">
        <v>5</v>
      </c>
      <c r="J1453" s="940"/>
      <c r="K1453" s="59"/>
      <c r="L1453" s="59"/>
    </row>
    <row r="1454" spans="1:12">
      <c r="A1454" s="57" t="s">
        <v>477</v>
      </c>
      <c r="B1454" s="57" t="s">
        <v>333</v>
      </c>
      <c r="C1454" s="57">
        <v>2024</v>
      </c>
      <c r="D1454" s="58">
        <f>MATCH(B1454,{"GENNAIO","FEBBRAIO","MARZO","APRILE","MAGGIO","GIUGNO","LUGLIO","AGOSTO","SETTEMBRE","OTTOBRE","NOVEMBRE","DICEMBRE"},0)</f>
        <v>5</v>
      </c>
      <c r="E1454" s="57" t="str">
        <f t="shared" si="1730"/>
        <v>MAGGIO 2024</v>
      </c>
      <c r="F1454" s="57" t="str">
        <f t="shared" si="1731"/>
        <v>5 MAGGIO 2024</v>
      </c>
      <c r="G1454" s="1309" t="s">
        <v>185</v>
      </c>
      <c r="H1454" s="1309" t="str">
        <f>VLOOKUP(G1454,CATEGORIE!$H$3:$I$104,2,FALSE)</f>
        <v>COSTO SFIZI</v>
      </c>
      <c r="I1454" s="59">
        <v>10</v>
      </c>
      <c r="J1454" s="940"/>
      <c r="K1454" s="59"/>
      <c r="L1454" s="59" t="s">
        <v>478</v>
      </c>
    </row>
    <row r="1455" spans="1:12" ht="16.5" customHeight="1">
      <c r="A1455" s="57" t="s">
        <v>479</v>
      </c>
      <c r="B1455" s="57" t="s">
        <v>333</v>
      </c>
      <c r="C1455" s="57">
        <v>2024</v>
      </c>
      <c r="D1455" s="58">
        <f>MATCH(B1455,{"GENNAIO","FEBBRAIO","MARZO","APRILE","MAGGIO","GIUGNO","LUGLIO","AGOSTO","SETTEMBRE","OTTOBRE","NOVEMBRE","DICEMBRE"},0)</f>
        <v>5</v>
      </c>
      <c r="E1455" s="57" t="str">
        <f t="shared" si="1730"/>
        <v>MAGGIO 2024</v>
      </c>
      <c r="F1455" s="57" t="str">
        <f t="shared" si="1731"/>
        <v>5 MAGGIO 2024</v>
      </c>
      <c r="G1455" s="1309" t="s">
        <v>94</v>
      </c>
      <c r="H1455" s="1309" t="str">
        <f>VLOOKUP(G1455,CATEGORIE!$H$3:$I$104,2,FALSE)</f>
        <v>COSTO SVAGHI</v>
      </c>
      <c r="I1455" s="59">
        <v>27.8</v>
      </c>
      <c r="J1455" s="940"/>
      <c r="K1455" s="59"/>
      <c r="L1455" s="59"/>
    </row>
    <row r="1456" spans="1:12" ht="16.5" customHeight="1">
      <c r="A1456" s="57" t="s">
        <v>135</v>
      </c>
      <c r="B1456" s="57" t="s">
        <v>333</v>
      </c>
      <c r="C1456" s="57">
        <v>2024</v>
      </c>
      <c r="D1456" s="58">
        <f>MATCH(B1456,{"GENNAIO","FEBBRAIO","MARZO","APRILE","MAGGIO","GIUGNO","LUGLIO","AGOSTO","SETTEMBRE","OTTOBRE","NOVEMBRE","DICEMBRE"},0)</f>
        <v>5</v>
      </c>
      <c r="E1456" s="57" t="str">
        <f t="shared" si="1730"/>
        <v>MAGGIO 2024</v>
      </c>
      <c r="F1456" s="57" t="str">
        <f t="shared" si="1731"/>
        <v>5 MAGGIO 2024</v>
      </c>
      <c r="G1456" s="1309" t="s">
        <v>132</v>
      </c>
      <c r="H1456" s="1309" t="str">
        <f>VLOOKUP(G1456,CATEGORIE!$H$3:$I$104,2,FALSE)</f>
        <v>COSTO CASA</v>
      </c>
      <c r="I1456" s="59">
        <v>15.8</v>
      </c>
      <c r="J1456" s="940"/>
      <c r="K1456" s="59"/>
      <c r="L1456" s="59"/>
    </row>
    <row r="1457" spans="1:12" ht="18.600000000000001" customHeight="1">
      <c r="A1457" s="57" t="s">
        <v>92</v>
      </c>
      <c r="B1457" s="57" t="s">
        <v>333</v>
      </c>
      <c r="C1457" s="57">
        <v>2024</v>
      </c>
      <c r="D1457" s="58">
        <f>MATCH(B1457,{"GENNAIO","FEBBRAIO","MARZO","APRILE","MAGGIO","GIUGNO","LUGLIO","AGOSTO","SETTEMBRE","OTTOBRE","NOVEMBRE","DICEMBRE"},0)</f>
        <v>5</v>
      </c>
      <c r="E1457" s="57" t="str">
        <f t="shared" si="1730"/>
        <v>MAGGIO 2024</v>
      </c>
      <c r="F1457" s="57" t="str">
        <f t="shared" si="1731"/>
        <v>5 MAGGIO 2024</v>
      </c>
      <c r="G1457" s="1309" t="s">
        <v>94</v>
      </c>
      <c r="H1457" s="1309" t="str">
        <f>VLOOKUP(G1457,CATEGORIE!$H$3:$I$104,2,FALSE)</f>
        <v>COSTO SVAGHI</v>
      </c>
      <c r="I1457" s="59">
        <v>2.6</v>
      </c>
      <c r="J1457" s="940"/>
      <c r="K1457" s="59"/>
      <c r="L1457" s="59"/>
    </row>
    <row r="1458" spans="1:12" ht="16.5" customHeight="1">
      <c r="A1458" s="57" t="s">
        <v>101</v>
      </c>
      <c r="B1458" s="57" t="s">
        <v>333</v>
      </c>
      <c r="C1458" s="57">
        <v>2024</v>
      </c>
      <c r="D1458" s="58">
        <f>MATCH(B1458,{"GENNAIO","FEBBRAIO","MARZO","APRILE","MAGGIO","GIUGNO","LUGLIO","AGOSTO","SETTEMBRE","OTTOBRE","NOVEMBRE","DICEMBRE"},0)</f>
        <v>5</v>
      </c>
      <c r="E1458" s="57" t="str">
        <f t="shared" si="1730"/>
        <v>MAGGIO 2024</v>
      </c>
      <c r="F1458" s="57" t="str">
        <f t="shared" si="1731"/>
        <v>5 MAGGIO 2024</v>
      </c>
      <c r="G1458" s="1309" t="s">
        <v>91</v>
      </c>
      <c r="H1458" s="1309" t="str">
        <f>VLOOKUP(G1458,CATEGORIE!$H$3:$I$104,2,FALSE)</f>
        <v>COSTO SOPRAVVIVENZA</v>
      </c>
      <c r="I1458" s="59">
        <v>0.4</v>
      </c>
      <c r="J1458" s="940"/>
      <c r="K1458" s="59"/>
      <c r="L1458" s="59"/>
    </row>
    <row r="1459" spans="1:12" ht="18.600000000000001" customHeight="1">
      <c r="A1459" s="57" t="s">
        <v>101</v>
      </c>
      <c r="B1459" s="57" t="s">
        <v>333</v>
      </c>
      <c r="C1459" s="57">
        <v>2024</v>
      </c>
      <c r="D1459" s="58">
        <f>MATCH(B1459,{"GENNAIO","FEBBRAIO","MARZO","APRILE","MAGGIO","GIUGNO","LUGLIO","AGOSTO","SETTEMBRE","OTTOBRE","NOVEMBRE","DICEMBRE"},0)</f>
        <v>5</v>
      </c>
      <c r="E1459" s="57" t="str">
        <f t="shared" si="1730"/>
        <v>MAGGIO 2024</v>
      </c>
      <c r="F1459" s="57" t="str">
        <f t="shared" si="1731"/>
        <v>5 MAGGIO 2024</v>
      </c>
      <c r="G1459" s="1309" t="s">
        <v>91</v>
      </c>
      <c r="H1459" s="1309" t="str">
        <f>VLOOKUP(G1459,CATEGORIE!$H$3:$I$104,2,FALSE)</f>
        <v>COSTO SOPRAVVIVENZA</v>
      </c>
      <c r="I1459" s="59">
        <v>0.4</v>
      </c>
      <c r="J1459" s="940"/>
      <c r="K1459" s="59"/>
      <c r="L1459" s="59"/>
    </row>
    <row r="1460" spans="1:12" ht="16.5" customHeight="1">
      <c r="A1460" s="57" t="s">
        <v>480</v>
      </c>
      <c r="B1460" s="57" t="s">
        <v>333</v>
      </c>
      <c r="C1460" s="57">
        <v>2024</v>
      </c>
      <c r="D1460" s="58">
        <f>MATCH(B1460,{"GENNAIO","FEBBRAIO","MARZO","APRILE","MAGGIO","GIUGNO","LUGLIO","AGOSTO","SETTEMBRE","OTTOBRE","NOVEMBRE","DICEMBRE"},0)</f>
        <v>5</v>
      </c>
      <c r="E1460" s="57" t="str">
        <f t="shared" si="1730"/>
        <v>MAGGIO 2024</v>
      </c>
      <c r="F1460" s="57" t="str">
        <f t="shared" si="1731"/>
        <v>5 MAGGIO 2024</v>
      </c>
      <c r="G1460" s="1309" t="s">
        <v>185</v>
      </c>
      <c r="H1460" s="1309" t="str">
        <f>VLOOKUP(G1460,CATEGORIE!$H$3:$I$104,2,FALSE)</f>
        <v>COSTO SFIZI</v>
      </c>
      <c r="I1460" s="59">
        <v>8.6300000000000008</v>
      </c>
      <c r="J1460" s="940"/>
      <c r="K1460" s="59"/>
      <c r="L1460" s="59" t="s">
        <v>481</v>
      </c>
    </row>
    <row r="1461" spans="1:12">
      <c r="A1461" s="57" t="s">
        <v>101</v>
      </c>
      <c r="B1461" s="57" t="s">
        <v>333</v>
      </c>
      <c r="C1461" s="57">
        <v>2024</v>
      </c>
      <c r="D1461" s="58">
        <f>MATCH(B1461,{"GENNAIO","FEBBRAIO","MARZO","APRILE","MAGGIO","GIUGNO","LUGLIO","AGOSTO","SETTEMBRE","OTTOBRE","NOVEMBRE","DICEMBRE"},0)</f>
        <v>5</v>
      </c>
      <c r="E1461" s="57" t="str">
        <f t="shared" si="1730"/>
        <v>MAGGIO 2024</v>
      </c>
      <c r="F1461" s="57" t="str">
        <f t="shared" si="1731"/>
        <v>5 MAGGIO 2024</v>
      </c>
      <c r="G1461" s="1309" t="s">
        <v>91</v>
      </c>
      <c r="H1461" s="1309" t="str">
        <f>VLOOKUP(G1461,CATEGORIE!$H$3:$I$104,2,FALSE)</f>
        <v>COSTO SOPRAVVIVENZA</v>
      </c>
      <c r="I1461" s="59">
        <v>0.4</v>
      </c>
      <c r="J1461" s="940"/>
      <c r="K1461" s="59"/>
      <c r="L1461" s="59"/>
    </row>
    <row r="1462" spans="1:12" ht="16.5" customHeight="1">
      <c r="A1462" s="57" t="s">
        <v>482</v>
      </c>
      <c r="B1462" s="57" t="s">
        <v>333</v>
      </c>
      <c r="C1462" s="57">
        <v>2024</v>
      </c>
      <c r="D1462" s="58">
        <f>MATCH(B1462,{"GENNAIO","FEBBRAIO","MARZO","APRILE","MAGGIO","GIUGNO","LUGLIO","AGOSTO","SETTEMBRE","OTTOBRE","NOVEMBRE","DICEMBRE"},0)</f>
        <v>5</v>
      </c>
      <c r="E1462" s="57" t="str">
        <f t="shared" si="1730"/>
        <v>MAGGIO 2024</v>
      </c>
      <c r="F1462" s="57" t="str">
        <f t="shared" si="1731"/>
        <v>5 MAGGIO 2024</v>
      </c>
      <c r="G1462" s="1309" t="s">
        <v>94</v>
      </c>
      <c r="H1462" s="1309" t="str">
        <f>VLOOKUP(G1462,CATEGORIE!$H$3:$I$104,2,FALSE)</f>
        <v>COSTO SVAGHI</v>
      </c>
      <c r="I1462" s="59">
        <v>6.4</v>
      </c>
      <c r="J1462" s="940"/>
      <c r="K1462" s="59"/>
      <c r="L1462" s="59"/>
    </row>
    <row r="1463" spans="1:12" ht="16.5" customHeight="1">
      <c r="A1463" s="57" t="s">
        <v>99</v>
      </c>
      <c r="B1463" s="57" t="s">
        <v>333</v>
      </c>
      <c r="C1463" s="57">
        <v>2024</v>
      </c>
      <c r="D1463" s="58">
        <f>MATCH(B1463,{"GENNAIO","FEBBRAIO","MARZO","APRILE","MAGGIO","GIUGNO","LUGLIO","AGOSTO","SETTEMBRE","OTTOBRE","NOVEMBRE","DICEMBRE"},0)</f>
        <v>5</v>
      </c>
      <c r="E1463" s="57" t="str">
        <f t="shared" si="1730"/>
        <v>MAGGIO 2024</v>
      </c>
      <c r="F1463" s="57" t="str">
        <f t="shared" si="1731"/>
        <v>5 MAGGIO 2024</v>
      </c>
      <c r="G1463" s="1309" t="s">
        <v>100</v>
      </c>
      <c r="H1463" s="1309" t="str">
        <f>VLOOKUP(G1463,CATEGORIE!$H$3:$I$104,2,FALSE)</f>
        <v>COSTO SFIZI</v>
      </c>
      <c r="I1463" s="59">
        <v>14.99</v>
      </c>
      <c r="J1463" s="940" t="s">
        <v>215</v>
      </c>
      <c r="K1463" s="57" t="s">
        <v>99</v>
      </c>
      <c r="L1463" s="59" t="s">
        <v>483</v>
      </c>
    </row>
    <row r="1464" spans="1:12" ht="16.5" customHeight="1">
      <c r="A1464" s="57" t="s">
        <v>92</v>
      </c>
      <c r="B1464" s="57" t="s">
        <v>333</v>
      </c>
      <c r="C1464" s="57">
        <v>2024</v>
      </c>
      <c r="D1464" s="58">
        <f>MATCH(B1464,{"GENNAIO","FEBBRAIO","MARZO","APRILE","MAGGIO","GIUGNO","LUGLIO","AGOSTO","SETTEMBRE","OTTOBRE","NOVEMBRE","DICEMBRE"},0)</f>
        <v>5</v>
      </c>
      <c r="E1464" s="57" t="str">
        <f t="shared" si="1730"/>
        <v>MAGGIO 2024</v>
      </c>
      <c r="F1464" s="57" t="str">
        <f t="shared" si="1731"/>
        <v>5 MAGGIO 2024</v>
      </c>
      <c r="G1464" s="1309" t="s">
        <v>93</v>
      </c>
      <c r="H1464" s="1309" t="str">
        <f>VLOOKUP(G1464,CATEGORIE!$H$3:$I$104,2,FALSE)</f>
        <v>COSTO SOPRAVVIVENZA</v>
      </c>
      <c r="I1464" s="59">
        <v>5</v>
      </c>
      <c r="J1464" s="940"/>
      <c r="K1464" s="59"/>
      <c r="L1464" s="59"/>
    </row>
    <row r="1465" spans="1:12">
      <c r="A1465" s="57" t="s">
        <v>101</v>
      </c>
      <c r="B1465" s="57" t="s">
        <v>333</v>
      </c>
      <c r="C1465" s="57">
        <v>2024</v>
      </c>
      <c r="D1465" s="58">
        <f>MATCH(B1465,{"GENNAIO","FEBBRAIO","MARZO","APRILE","MAGGIO","GIUGNO","LUGLIO","AGOSTO","SETTEMBRE","OTTOBRE","NOVEMBRE","DICEMBRE"},0)</f>
        <v>5</v>
      </c>
      <c r="E1465" s="57" t="str">
        <f t="shared" ref="E1465:E1528" si="1732">CONCATENATE(,B1465," ",C1465)</f>
        <v>MAGGIO 2024</v>
      </c>
      <c r="F1465" s="57" t="str">
        <f t="shared" ref="F1465:F1528" si="1733">CONCATENATE(D1465," ",E1465)</f>
        <v>5 MAGGIO 2024</v>
      </c>
      <c r="G1465" s="1309" t="s">
        <v>91</v>
      </c>
      <c r="H1465" s="1309" t="str">
        <f>VLOOKUP(G1465,CATEGORIE!$H$3:$I$104,2,FALSE)</f>
        <v>COSTO SOPRAVVIVENZA</v>
      </c>
      <c r="I1465" s="59">
        <v>0.4</v>
      </c>
      <c r="J1465" s="940"/>
      <c r="K1465" s="59"/>
      <c r="L1465" s="59"/>
    </row>
    <row r="1466" spans="1:12" ht="18.600000000000001" customHeight="1">
      <c r="A1466" s="57" t="s">
        <v>101</v>
      </c>
      <c r="B1466" s="57" t="s">
        <v>333</v>
      </c>
      <c r="C1466" s="57">
        <v>2024</v>
      </c>
      <c r="D1466" s="58">
        <f>MATCH(B1466,{"GENNAIO","FEBBRAIO","MARZO","APRILE","MAGGIO","GIUGNO","LUGLIO","AGOSTO","SETTEMBRE","OTTOBRE","NOVEMBRE","DICEMBRE"},0)</f>
        <v>5</v>
      </c>
      <c r="E1466" s="57" t="str">
        <f t="shared" si="1732"/>
        <v>MAGGIO 2024</v>
      </c>
      <c r="F1466" s="57" t="str">
        <f t="shared" si="1733"/>
        <v>5 MAGGIO 2024</v>
      </c>
      <c r="G1466" s="1309" t="s">
        <v>91</v>
      </c>
      <c r="H1466" s="1309" t="str">
        <f>VLOOKUP(G1466,CATEGORIE!$H$3:$I$104,2,FALSE)</f>
        <v>COSTO SOPRAVVIVENZA</v>
      </c>
      <c r="I1466" s="59">
        <v>0.4</v>
      </c>
      <c r="J1466" s="940"/>
      <c r="K1466" s="59"/>
      <c r="L1466" s="59"/>
    </row>
    <row r="1467" spans="1:12" ht="18.600000000000001" customHeight="1">
      <c r="A1467" s="57" t="s">
        <v>101</v>
      </c>
      <c r="B1467" s="57" t="s">
        <v>333</v>
      </c>
      <c r="C1467" s="57">
        <v>2024</v>
      </c>
      <c r="D1467" s="58">
        <f>MATCH(B1467,{"GENNAIO","FEBBRAIO","MARZO","APRILE","MAGGIO","GIUGNO","LUGLIO","AGOSTO","SETTEMBRE","OTTOBRE","NOVEMBRE","DICEMBRE"},0)</f>
        <v>5</v>
      </c>
      <c r="E1467" s="57" t="str">
        <f t="shared" si="1732"/>
        <v>MAGGIO 2024</v>
      </c>
      <c r="F1467" s="57" t="str">
        <f t="shared" si="1733"/>
        <v>5 MAGGIO 2024</v>
      </c>
      <c r="G1467" s="1309" t="s">
        <v>91</v>
      </c>
      <c r="H1467" s="1309" t="str">
        <f>VLOOKUP(G1467,CATEGORIE!$H$3:$I$104,2,FALSE)</f>
        <v>COSTO SOPRAVVIVENZA</v>
      </c>
      <c r="I1467" s="59">
        <v>0.4</v>
      </c>
      <c r="J1467" s="940"/>
      <c r="K1467" s="59"/>
      <c r="L1467" s="59"/>
    </row>
    <row r="1468" spans="1:12">
      <c r="A1468" s="57" t="s">
        <v>484</v>
      </c>
      <c r="B1468" s="57" t="s">
        <v>333</v>
      </c>
      <c r="C1468" s="57">
        <v>2024</v>
      </c>
      <c r="D1468" s="58">
        <f>MATCH(B1468,{"GENNAIO","FEBBRAIO","MARZO","APRILE","MAGGIO","GIUGNO","LUGLIO","AGOSTO","SETTEMBRE","OTTOBRE","NOVEMBRE","DICEMBRE"},0)</f>
        <v>5</v>
      </c>
      <c r="E1468" s="57" t="str">
        <f t="shared" si="1732"/>
        <v>MAGGIO 2024</v>
      </c>
      <c r="F1468" s="57" t="str">
        <f t="shared" si="1733"/>
        <v>5 MAGGIO 2024</v>
      </c>
      <c r="G1468" s="1309" t="s">
        <v>94</v>
      </c>
      <c r="H1468" s="1309" t="str">
        <f>VLOOKUP(G1468,CATEGORIE!$H$3:$I$104,2,FALSE)</f>
        <v>COSTO SVAGHI</v>
      </c>
      <c r="I1468" s="59">
        <v>3.89</v>
      </c>
      <c r="J1468" s="940"/>
      <c r="K1468" s="59"/>
      <c r="L1468" s="59"/>
    </row>
    <row r="1469" spans="1:12" ht="18.600000000000001" customHeight="1">
      <c r="A1469" s="57" t="s">
        <v>102</v>
      </c>
      <c r="B1469" s="57" t="s">
        <v>333</v>
      </c>
      <c r="C1469" s="57">
        <v>2024</v>
      </c>
      <c r="D1469" s="58">
        <f>MATCH(B1469,{"GENNAIO","FEBBRAIO","MARZO","APRILE","MAGGIO","GIUGNO","LUGLIO","AGOSTO","SETTEMBRE","OTTOBRE","NOVEMBRE","DICEMBRE"},0)</f>
        <v>5</v>
      </c>
      <c r="E1469" s="57" t="str">
        <f t="shared" si="1732"/>
        <v>MAGGIO 2024</v>
      </c>
      <c r="F1469" s="57" t="str">
        <f t="shared" si="1733"/>
        <v>5 MAGGIO 2024</v>
      </c>
      <c r="G1469" s="1309" t="s">
        <v>96</v>
      </c>
      <c r="H1469" s="1309" t="str">
        <f>VLOOKUP(G1469,CATEGORIE!$H$3:$I$104,2,FALSE)</f>
        <v>COSTO SOPRAVVIVENZA</v>
      </c>
      <c r="I1469" s="59">
        <v>3.4</v>
      </c>
      <c r="J1469" s="940"/>
      <c r="K1469" s="59"/>
      <c r="L1469" s="59"/>
    </row>
    <row r="1470" spans="1:12">
      <c r="A1470" s="57" t="s">
        <v>105</v>
      </c>
      <c r="B1470" s="57" t="s">
        <v>333</v>
      </c>
      <c r="C1470" s="57">
        <v>2024</v>
      </c>
      <c r="D1470" s="58">
        <f>MATCH(B1470,{"GENNAIO","FEBBRAIO","MARZO","APRILE","MAGGIO","GIUGNO","LUGLIO","AGOSTO","SETTEMBRE","OTTOBRE","NOVEMBRE","DICEMBRE"},0)</f>
        <v>5</v>
      </c>
      <c r="E1470" s="57" t="str">
        <f t="shared" si="1732"/>
        <v>MAGGIO 2024</v>
      </c>
      <c r="F1470" s="57" t="str">
        <f t="shared" si="1733"/>
        <v>5 MAGGIO 2024</v>
      </c>
      <c r="G1470" s="1309" t="s">
        <v>96</v>
      </c>
      <c r="H1470" s="1309" t="str">
        <f>VLOOKUP(G1470,CATEGORIE!$H$3:$I$104,2,FALSE)</f>
        <v>COSTO SOPRAVVIVENZA</v>
      </c>
      <c r="I1470" s="59">
        <v>14.74</v>
      </c>
      <c r="J1470" s="940"/>
      <c r="K1470" s="59"/>
      <c r="L1470" s="59"/>
    </row>
    <row r="1471" spans="1:12" ht="18.600000000000001" customHeight="1">
      <c r="A1471" s="57" t="s">
        <v>485</v>
      </c>
      <c r="B1471" s="57" t="s">
        <v>333</v>
      </c>
      <c r="C1471" s="57">
        <v>2024</v>
      </c>
      <c r="D1471" s="58">
        <f>MATCH(B1471,{"GENNAIO","FEBBRAIO","MARZO","APRILE","MAGGIO","GIUGNO","LUGLIO","AGOSTO","SETTEMBRE","OTTOBRE","NOVEMBRE","DICEMBRE"},0)</f>
        <v>5</v>
      </c>
      <c r="E1471" s="57" t="str">
        <f t="shared" si="1732"/>
        <v>MAGGIO 2024</v>
      </c>
      <c r="F1471" s="57" t="str">
        <f t="shared" si="1733"/>
        <v>5 MAGGIO 2024</v>
      </c>
      <c r="G1471" s="1309" t="s">
        <v>94</v>
      </c>
      <c r="H1471" s="1309" t="str">
        <f>VLOOKUP(G1471,CATEGORIE!$H$3:$I$104,2,FALSE)</f>
        <v>COSTO SVAGHI</v>
      </c>
      <c r="I1471" s="59">
        <v>16.7</v>
      </c>
      <c r="J1471" s="940"/>
      <c r="K1471" s="59"/>
      <c r="L1471" s="59"/>
    </row>
    <row r="1472" spans="1:12" ht="16.5" customHeight="1">
      <c r="A1472" s="57" t="s">
        <v>357</v>
      </c>
      <c r="B1472" s="57" t="s">
        <v>333</v>
      </c>
      <c r="C1472" s="57">
        <v>2024</v>
      </c>
      <c r="D1472" s="58">
        <f>MATCH(B1472,{"GENNAIO","FEBBRAIO","MARZO","APRILE","MAGGIO","GIUGNO","LUGLIO","AGOSTO","SETTEMBRE","OTTOBRE","NOVEMBRE","DICEMBRE"},0)</f>
        <v>5</v>
      </c>
      <c r="E1472" s="57" t="str">
        <f t="shared" si="1732"/>
        <v>MAGGIO 2024</v>
      </c>
      <c r="F1472" s="57" t="str">
        <f t="shared" si="1733"/>
        <v>5 MAGGIO 2024</v>
      </c>
      <c r="G1472" s="1309" t="s">
        <v>96</v>
      </c>
      <c r="H1472" s="1309" t="str">
        <f>VLOOKUP(G1472,CATEGORIE!$H$3:$I$104,2,FALSE)</f>
        <v>COSTO SOPRAVVIVENZA</v>
      </c>
      <c r="I1472" s="59">
        <v>15.18</v>
      </c>
      <c r="J1472" s="940"/>
      <c r="K1472" s="59"/>
      <c r="L1472" s="59"/>
    </row>
    <row r="1473" spans="1:12" ht="16.5" customHeight="1">
      <c r="A1473" s="57" t="s">
        <v>92</v>
      </c>
      <c r="B1473" s="57" t="s">
        <v>333</v>
      </c>
      <c r="C1473" s="57">
        <v>2024</v>
      </c>
      <c r="D1473" s="58">
        <f>MATCH(B1473,{"GENNAIO","FEBBRAIO","MARZO","APRILE","MAGGIO","GIUGNO","LUGLIO","AGOSTO","SETTEMBRE","OTTOBRE","NOVEMBRE","DICEMBRE"},0)</f>
        <v>5</v>
      </c>
      <c r="E1473" s="57" t="str">
        <f t="shared" si="1732"/>
        <v>MAGGIO 2024</v>
      </c>
      <c r="F1473" s="57" t="str">
        <f t="shared" si="1733"/>
        <v>5 MAGGIO 2024</v>
      </c>
      <c r="G1473" s="1309" t="s">
        <v>93</v>
      </c>
      <c r="H1473" s="1309" t="str">
        <f>VLOOKUP(G1473,CATEGORIE!$H$3:$I$104,2,FALSE)</f>
        <v>COSTO SOPRAVVIVENZA</v>
      </c>
      <c r="I1473" s="59">
        <v>5</v>
      </c>
      <c r="J1473" s="940"/>
      <c r="K1473" s="59"/>
      <c r="L1473" s="59"/>
    </row>
    <row r="1474" spans="1:12" ht="16.5" customHeight="1">
      <c r="A1474" s="57" t="s">
        <v>486</v>
      </c>
      <c r="B1474" s="57" t="s">
        <v>333</v>
      </c>
      <c r="C1474" s="57">
        <v>2024</v>
      </c>
      <c r="D1474" s="58">
        <f>MATCH(B1474,{"GENNAIO","FEBBRAIO","MARZO","APRILE","MAGGIO","GIUGNO","LUGLIO","AGOSTO","SETTEMBRE","OTTOBRE","NOVEMBRE","DICEMBRE"},0)</f>
        <v>5</v>
      </c>
      <c r="E1474" s="57" t="str">
        <f t="shared" si="1732"/>
        <v>MAGGIO 2024</v>
      </c>
      <c r="F1474" s="57" t="str">
        <f t="shared" si="1733"/>
        <v>5 MAGGIO 2024</v>
      </c>
      <c r="G1474" s="1309" t="s">
        <v>185</v>
      </c>
      <c r="H1474" s="1309" t="str">
        <f>VLOOKUP(G1474,CATEGORIE!$H$3:$I$104,2,FALSE)</f>
        <v>COSTO SFIZI</v>
      </c>
      <c r="I1474" s="59">
        <v>9.99</v>
      </c>
      <c r="J1474" s="940"/>
      <c r="K1474" s="59"/>
      <c r="L1474" s="59" t="s">
        <v>487</v>
      </c>
    </row>
    <row r="1475" spans="1:12" ht="16.5" customHeight="1">
      <c r="A1475" s="57" t="s">
        <v>166</v>
      </c>
      <c r="B1475" s="57" t="s">
        <v>333</v>
      </c>
      <c r="C1475" s="57">
        <v>2024</v>
      </c>
      <c r="D1475" s="58">
        <f>MATCH(B1475,{"GENNAIO","FEBBRAIO","MARZO","APRILE","MAGGIO","GIUGNO","LUGLIO","AGOSTO","SETTEMBRE","OTTOBRE","NOVEMBRE","DICEMBRE"},0)</f>
        <v>5</v>
      </c>
      <c r="E1475" s="57" t="str">
        <f t="shared" si="1732"/>
        <v>MAGGIO 2024</v>
      </c>
      <c r="F1475" s="57" t="str">
        <f t="shared" si="1733"/>
        <v>5 MAGGIO 2024</v>
      </c>
      <c r="G1475" s="1309" t="s">
        <v>116</v>
      </c>
      <c r="H1475" s="1309" t="str">
        <f>VLOOKUP(G1475,CATEGORIE!$H$3:$I$104,2,FALSE)</f>
        <v>TASSE</v>
      </c>
      <c r="I1475" s="59">
        <v>0.62</v>
      </c>
      <c r="J1475" s="940"/>
      <c r="K1475" s="59"/>
      <c r="L1475" s="59" t="s">
        <v>488</v>
      </c>
    </row>
    <row r="1476" spans="1:12" ht="16.5" customHeight="1">
      <c r="A1476" s="57" t="s">
        <v>166</v>
      </c>
      <c r="B1476" s="57" t="s">
        <v>333</v>
      </c>
      <c r="C1476" s="57">
        <v>2024</v>
      </c>
      <c r="D1476" s="58">
        <f>MATCH(B1476,{"GENNAIO","FEBBRAIO","MARZO","APRILE","MAGGIO","GIUGNO","LUGLIO","AGOSTO","SETTEMBRE","OTTOBRE","NOVEMBRE","DICEMBRE"},0)</f>
        <v>5</v>
      </c>
      <c r="E1476" s="57" t="str">
        <f t="shared" si="1732"/>
        <v>MAGGIO 2024</v>
      </c>
      <c r="F1476" s="57" t="str">
        <f t="shared" si="1733"/>
        <v>5 MAGGIO 2024</v>
      </c>
      <c r="G1476" s="1309" t="s">
        <v>116</v>
      </c>
      <c r="H1476" s="1309" t="str">
        <f>VLOOKUP(G1476,CATEGORIE!$H$3:$I$104,2,FALSE)</f>
        <v>TASSE</v>
      </c>
      <c r="I1476" s="59">
        <v>0.62</v>
      </c>
      <c r="J1476" s="940"/>
      <c r="K1476" s="59"/>
      <c r="L1476" s="59" t="s">
        <v>489</v>
      </c>
    </row>
    <row r="1477" spans="1:12" ht="18.600000000000001" customHeight="1">
      <c r="A1477" s="57" t="s">
        <v>166</v>
      </c>
      <c r="B1477" s="57" t="s">
        <v>333</v>
      </c>
      <c r="C1477" s="57">
        <v>2024</v>
      </c>
      <c r="D1477" s="58">
        <f>MATCH(B1477,{"GENNAIO","FEBBRAIO","MARZO","APRILE","MAGGIO","GIUGNO","LUGLIO","AGOSTO","SETTEMBRE","OTTOBRE","NOVEMBRE","DICEMBRE"},0)</f>
        <v>5</v>
      </c>
      <c r="E1477" s="57" t="str">
        <f t="shared" si="1732"/>
        <v>MAGGIO 2024</v>
      </c>
      <c r="F1477" s="57" t="str">
        <f t="shared" si="1733"/>
        <v>5 MAGGIO 2024</v>
      </c>
      <c r="G1477" s="1309" t="s">
        <v>1250</v>
      </c>
      <c r="H1477" s="1309" t="str">
        <f>VLOOKUP(G1477,CATEGORIE!$H$3:$I$104,2,FALSE)</f>
        <v>COSTO VACANZE</v>
      </c>
      <c r="I1477" s="59">
        <v>11.5</v>
      </c>
      <c r="J1477" s="940"/>
      <c r="K1477" s="59"/>
      <c r="L1477" s="59" t="s">
        <v>490</v>
      </c>
    </row>
    <row r="1478" spans="1:12">
      <c r="A1478" s="57" t="s">
        <v>166</v>
      </c>
      <c r="B1478" s="57" t="s">
        <v>333</v>
      </c>
      <c r="C1478" s="57">
        <v>2024</v>
      </c>
      <c r="D1478" s="58">
        <f>MATCH(B1478,{"GENNAIO","FEBBRAIO","MARZO","APRILE","MAGGIO","GIUGNO","LUGLIO","AGOSTO","SETTEMBRE","OTTOBRE","NOVEMBRE","DICEMBRE"},0)</f>
        <v>5</v>
      </c>
      <c r="E1478" s="57" t="str">
        <f t="shared" si="1732"/>
        <v>MAGGIO 2024</v>
      </c>
      <c r="F1478" s="57" t="str">
        <f t="shared" si="1733"/>
        <v>5 MAGGIO 2024</v>
      </c>
      <c r="G1478" s="1309" t="s">
        <v>94</v>
      </c>
      <c r="H1478" s="1309" t="str">
        <f>VLOOKUP(G1478,CATEGORIE!$H$3:$I$104,2,FALSE)</f>
        <v>COSTO SVAGHI</v>
      </c>
      <c r="I1478" s="59">
        <v>7.29</v>
      </c>
      <c r="J1478" s="940"/>
      <c r="K1478" s="59"/>
      <c r="L1478" s="59"/>
    </row>
    <row r="1479" spans="1:12" ht="16.5" customHeight="1">
      <c r="A1479" s="57" t="s">
        <v>101</v>
      </c>
      <c r="B1479" s="57" t="s">
        <v>333</v>
      </c>
      <c r="C1479" s="57">
        <v>2024</v>
      </c>
      <c r="D1479" s="58">
        <f>MATCH(B1479,{"GENNAIO","FEBBRAIO","MARZO","APRILE","MAGGIO","GIUGNO","LUGLIO","AGOSTO","SETTEMBRE","OTTOBRE","NOVEMBRE","DICEMBRE"},0)</f>
        <v>5</v>
      </c>
      <c r="E1479" s="57" t="str">
        <f t="shared" si="1732"/>
        <v>MAGGIO 2024</v>
      </c>
      <c r="F1479" s="57" t="str">
        <f t="shared" si="1733"/>
        <v>5 MAGGIO 2024</v>
      </c>
      <c r="G1479" s="1309" t="s">
        <v>91</v>
      </c>
      <c r="H1479" s="1309" t="str">
        <f>VLOOKUP(G1479,CATEGORIE!$H$3:$I$104,2,FALSE)</f>
        <v>COSTO SOPRAVVIVENZA</v>
      </c>
      <c r="I1479" s="59">
        <v>0.4</v>
      </c>
      <c r="J1479" s="940"/>
      <c r="K1479" s="59"/>
      <c r="L1479" s="59"/>
    </row>
    <row r="1480" spans="1:12">
      <c r="A1480" s="57" t="s">
        <v>135</v>
      </c>
      <c r="B1480" s="57" t="s">
        <v>333</v>
      </c>
      <c r="C1480" s="57">
        <v>2024</v>
      </c>
      <c r="D1480" s="58">
        <f>MATCH(B1480,{"GENNAIO","FEBBRAIO","MARZO","APRILE","MAGGIO","GIUGNO","LUGLIO","AGOSTO","SETTEMBRE","OTTOBRE","NOVEMBRE","DICEMBRE"},0)</f>
        <v>5</v>
      </c>
      <c r="E1480" s="57" t="str">
        <f t="shared" si="1732"/>
        <v>MAGGIO 2024</v>
      </c>
      <c r="F1480" s="57" t="str">
        <f t="shared" si="1733"/>
        <v>5 MAGGIO 2024</v>
      </c>
      <c r="G1480" s="1309" t="s">
        <v>132</v>
      </c>
      <c r="H1480" s="1309" t="str">
        <f>VLOOKUP(G1480,CATEGORIE!$H$3:$I$104,2,FALSE)</f>
        <v>COSTO CASA</v>
      </c>
      <c r="I1480" s="59">
        <v>15.44</v>
      </c>
      <c r="J1480" s="940"/>
      <c r="K1480" s="59"/>
      <c r="L1480" s="59"/>
    </row>
    <row r="1481" spans="1:12">
      <c r="A1481" s="57" t="s">
        <v>92</v>
      </c>
      <c r="B1481" s="57" t="s">
        <v>333</v>
      </c>
      <c r="C1481" s="57">
        <v>2024</v>
      </c>
      <c r="D1481" s="58">
        <f>MATCH(B1481,{"GENNAIO","FEBBRAIO","MARZO","APRILE","MAGGIO","GIUGNO","LUGLIO","AGOSTO","SETTEMBRE","OTTOBRE","NOVEMBRE","DICEMBRE"},0)</f>
        <v>5</v>
      </c>
      <c r="E1481" s="57" t="str">
        <f t="shared" si="1732"/>
        <v>MAGGIO 2024</v>
      </c>
      <c r="F1481" s="57" t="str">
        <f t="shared" si="1733"/>
        <v>5 MAGGIO 2024</v>
      </c>
      <c r="G1481" s="1309" t="s">
        <v>94</v>
      </c>
      <c r="H1481" s="1309" t="str">
        <f>VLOOKUP(G1481,CATEGORIE!$H$3:$I$104,2,FALSE)</f>
        <v>COSTO SVAGHI</v>
      </c>
      <c r="I1481" s="59">
        <v>3.9</v>
      </c>
      <c r="J1481" s="940"/>
      <c r="K1481" s="59"/>
      <c r="L1481" s="59"/>
    </row>
    <row r="1482" spans="1:12" ht="18.600000000000001" customHeight="1">
      <c r="A1482" s="57" t="s">
        <v>491</v>
      </c>
      <c r="B1482" s="57" t="s">
        <v>333</v>
      </c>
      <c r="C1482" s="57">
        <v>2024</v>
      </c>
      <c r="D1482" s="58">
        <f>MATCH(B1482,{"GENNAIO","FEBBRAIO","MARZO","APRILE","MAGGIO","GIUGNO","LUGLIO","AGOSTO","SETTEMBRE","OTTOBRE","NOVEMBRE","DICEMBRE"},0)</f>
        <v>5</v>
      </c>
      <c r="E1482" s="57" t="str">
        <f t="shared" si="1732"/>
        <v>MAGGIO 2024</v>
      </c>
      <c r="F1482" s="57" t="str">
        <f t="shared" si="1733"/>
        <v>5 MAGGIO 2024</v>
      </c>
      <c r="G1482" s="1309" t="s">
        <v>94</v>
      </c>
      <c r="H1482" s="1309" t="str">
        <f>VLOOKUP(G1482,CATEGORIE!$H$3:$I$104,2,FALSE)</f>
        <v>COSTO SVAGHI</v>
      </c>
      <c r="I1482" s="59">
        <v>46</v>
      </c>
      <c r="J1482" s="940"/>
      <c r="K1482" s="59"/>
      <c r="L1482" s="59"/>
    </row>
    <row r="1483" spans="1:12" ht="16.5" customHeight="1">
      <c r="A1483" s="57" t="s">
        <v>92</v>
      </c>
      <c r="B1483" s="57" t="s">
        <v>333</v>
      </c>
      <c r="C1483" s="57">
        <v>2024</v>
      </c>
      <c r="D1483" s="58">
        <f>MATCH(B1483,{"GENNAIO","FEBBRAIO","MARZO","APRILE","MAGGIO","GIUGNO","LUGLIO","AGOSTO","SETTEMBRE","OTTOBRE","NOVEMBRE","DICEMBRE"},0)</f>
        <v>5</v>
      </c>
      <c r="E1483" s="57" t="str">
        <f t="shared" si="1732"/>
        <v>MAGGIO 2024</v>
      </c>
      <c r="F1483" s="57" t="str">
        <f t="shared" si="1733"/>
        <v>5 MAGGIO 2024</v>
      </c>
      <c r="G1483" s="1309" t="s">
        <v>93</v>
      </c>
      <c r="H1483" s="1309" t="str">
        <f>VLOOKUP(G1483,CATEGORIE!$H$3:$I$104,2,FALSE)</f>
        <v>COSTO SOPRAVVIVENZA</v>
      </c>
      <c r="I1483" s="59">
        <v>5</v>
      </c>
      <c r="J1483" s="940"/>
      <c r="K1483" s="59"/>
      <c r="L1483" s="59"/>
    </row>
    <row r="1484" spans="1:12" ht="18.600000000000001" customHeight="1">
      <c r="A1484" s="57" t="s">
        <v>170</v>
      </c>
      <c r="B1484" s="57" t="s">
        <v>333</v>
      </c>
      <c r="C1484" s="57">
        <v>2024</v>
      </c>
      <c r="D1484" s="58">
        <f>MATCH(B1484,{"GENNAIO","FEBBRAIO","MARZO","APRILE","MAGGIO","GIUGNO","LUGLIO","AGOSTO","SETTEMBRE","OTTOBRE","NOVEMBRE","DICEMBRE"},0)</f>
        <v>5</v>
      </c>
      <c r="E1484" s="57" t="str">
        <f t="shared" si="1732"/>
        <v>MAGGIO 2024</v>
      </c>
      <c r="F1484" s="57" t="str">
        <f t="shared" si="1733"/>
        <v>5 MAGGIO 2024</v>
      </c>
      <c r="G1484" s="1309" t="s">
        <v>185</v>
      </c>
      <c r="H1484" s="1309" t="str">
        <f>VLOOKUP(G1484,CATEGORIE!$H$3:$I$104,2,FALSE)</f>
        <v>COSTO SFIZI</v>
      </c>
      <c r="I1484" s="59">
        <v>20</v>
      </c>
      <c r="J1484" s="940"/>
      <c r="K1484" s="59"/>
      <c r="L1484" s="59" t="s">
        <v>346</v>
      </c>
    </row>
    <row r="1485" spans="1:12">
      <c r="A1485" s="57" t="s">
        <v>135</v>
      </c>
      <c r="B1485" s="57" t="s">
        <v>333</v>
      </c>
      <c r="C1485" s="57">
        <v>2024</v>
      </c>
      <c r="D1485" s="58">
        <f>MATCH(B1485,{"GENNAIO","FEBBRAIO","MARZO","APRILE","MAGGIO","GIUGNO","LUGLIO","AGOSTO","SETTEMBRE","OTTOBRE","NOVEMBRE","DICEMBRE"},0)</f>
        <v>5</v>
      </c>
      <c r="E1485" s="57" t="str">
        <f t="shared" si="1732"/>
        <v>MAGGIO 2024</v>
      </c>
      <c r="F1485" s="57" t="str">
        <f t="shared" si="1733"/>
        <v>5 MAGGIO 2024</v>
      </c>
      <c r="G1485" s="1309" t="s">
        <v>132</v>
      </c>
      <c r="H1485" s="1309" t="str">
        <f>VLOOKUP(G1485,CATEGORIE!$H$3:$I$104,2,FALSE)</f>
        <v>COSTO CASA</v>
      </c>
      <c r="I1485" s="59">
        <v>22.02</v>
      </c>
      <c r="J1485" s="940"/>
      <c r="K1485" s="59"/>
      <c r="L1485" s="59"/>
    </row>
    <row r="1486" spans="1:12">
      <c r="A1486" s="57" t="s">
        <v>101</v>
      </c>
      <c r="B1486" s="57" t="s">
        <v>333</v>
      </c>
      <c r="C1486" s="57">
        <v>2024</v>
      </c>
      <c r="D1486" s="58">
        <f>MATCH(B1486,{"GENNAIO","FEBBRAIO","MARZO","APRILE","MAGGIO","GIUGNO","LUGLIO","AGOSTO","SETTEMBRE","OTTOBRE","NOVEMBRE","DICEMBRE"},0)</f>
        <v>5</v>
      </c>
      <c r="E1486" s="57" t="str">
        <f t="shared" si="1732"/>
        <v>MAGGIO 2024</v>
      </c>
      <c r="F1486" s="57" t="str">
        <f t="shared" si="1733"/>
        <v>5 MAGGIO 2024</v>
      </c>
      <c r="G1486" s="1309" t="s">
        <v>91</v>
      </c>
      <c r="H1486" s="1309" t="str">
        <f>VLOOKUP(G1486,CATEGORIE!$H$3:$I$104,2,FALSE)</f>
        <v>COSTO SOPRAVVIVENZA</v>
      </c>
      <c r="I1486" s="59">
        <v>0.4</v>
      </c>
      <c r="J1486" s="940"/>
      <c r="K1486" s="59"/>
      <c r="L1486" s="59"/>
    </row>
    <row r="1487" spans="1:12" ht="16.5" customHeight="1">
      <c r="A1487" s="57" t="s">
        <v>102</v>
      </c>
      <c r="B1487" s="57" t="s">
        <v>333</v>
      </c>
      <c r="C1487" s="57">
        <v>2024</v>
      </c>
      <c r="D1487" s="58">
        <f>MATCH(B1487,{"GENNAIO","FEBBRAIO","MARZO","APRILE","MAGGIO","GIUGNO","LUGLIO","AGOSTO","SETTEMBRE","OTTOBRE","NOVEMBRE","DICEMBRE"},0)</f>
        <v>5</v>
      </c>
      <c r="E1487" s="57" t="str">
        <f t="shared" si="1732"/>
        <v>MAGGIO 2024</v>
      </c>
      <c r="F1487" s="57" t="str">
        <f t="shared" si="1733"/>
        <v>5 MAGGIO 2024</v>
      </c>
      <c r="G1487" s="1309" t="s">
        <v>96</v>
      </c>
      <c r="H1487" s="1309" t="str">
        <f>VLOOKUP(G1487,CATEGORIE!$H$3:$I$104,2,FALSE)</f>
        <v>COSTO SOPRAVVIVENZA</v>
      </c>
      <c r="I1487" s="59">
        <v>5.19</v>
      </c>
      <c r="J1487" s="940"/>
      <c r="K1487" s="59"/>
      <c r="L1487" s="59"/>
    </row>
    <row r="1488" spans="1:12" ht="16.5" customHeight="1">
      <c r="A1488" s="57" t="s">
        <v>92</v>
      </c>
      <c r="B1488" s="57" t="s">
        <v>333</v>
      </c>
      <c r="C1488" s="57">
        <v>2024</v>
      </c>
      <c r="D1488" s="58">
        <f>MATCH(B1488,{"GENNAIO","FEBBRAIO","MARZO","APRILE","MAGGIO","GIUGNO","LUGLIO","AGOSTO","SETTEMBRE","OTTOBRE","NOVEMBRE","DICEMBRE"},0)</f>
        <v>5</v>
      </c>
      <c r="E1488" s="57" t="str">
        <f t="shared" si="1732"/>
        <v>MAGGIO 2024</v>
      </c>
      <c r="F1488" s="57" t="str">
        <f t="shared" si="1733"/>
        <v>5 MAGGIO 2024</v>
      </c>
      <c r="G1488" s="1309" t="s">
        <v>94</v>
      </c>
      <c r="H1488" s="1309" t="str">
        <f>VLOOKUP(G1488,CATEGORIE!$H$3:$I$104,2,FALSE)</f>
        <v>COSTO SVAGHI</v>
      </c>
      <c r="I1488" s="59">
        <v>2.6</v>
      </c>
      <c r="J1488" s="940"/>
      <c r="K1488" s="59"/>
      <c r="L1488" s="59"/>
    </row>
    <row r="1489" spans="1:12" ht="16.5" customHeight="1">
      <c r="A1489" s="57" t="s">
        <v>95</v>
      </c>
      <c r="B1489" s="57" t="s">
        <v>333</v>
      </c>
      <c r="C1489" s="57">
        <v>2024</v>
      </c>
      <c r="D1489" s="58">
        <f>MATCH(B1489,{"GENNAIO","FEBBRAIO","MARZO","APRILE","MAGGIO","GIUGNO","LUGLIO","AGOSTO","SETTEMBRE","OTTOBRE","NOVEMBRE","DICEMBRE"},0)</f>
        <v>5</v>
      </c>
      <c r="E1489" s="57" t="str">
        <f t="shared" si="1732"/>
        <v>MAGGIO 2024</v>
      </c>
      <c r="F1489" s="57" t="str">
        <f t="shared" si="1733"/>
        <v>5 MAGGIO 2024</v>
      </c>
      <c r="G1489" s="1309" t="s">
        <v>96</v>
      </c>
      <c r="H1489" s="1309" t="str">
        <f>VLOOKUP(G1489,CATEGORIE!$H$3:$I$104,2,FALSE)</f>
        <v>COSTO SOPRAVVIVENZA</v>
      </c>
      <c r="I1489" s="59">
        <v>14.7</v>
      </c>
      <c r="J1489" s="940"/>
      <c r="K1489" s="59"/>
      <c r="L1489" s="59"/>
    </row>
    <row r="1490" spans="1:12">
      <c r="A1490" s="57" t="s">
        <v>492</v>
      </c>
      <c r="B1490" s="57" t="s">
        <v>333</v>
      </c>
      <c r="C1490" s="57">
        <v>2024</v>
      </c>
      <c r="D1490" s="58">
        <f>MATCH(B1490,{"GENNAIO","FEBBRAIO","MARZO","APRILE","MAGGIO","GIUGNO","LUGLIO","AGOSTO","SETTEMBRE","OTTOBRE","NOVEMBRE","DICEMBRE"},0)</f>
        <v>5</v>
      </c>
      <c r="E1490" s="57" t="str">
        <f t="shared" si="1732"/>
        <v>MAGGIO 2024</v>
      </c>
      <c r="F1490" s="57" t="str">
        <f t="shared" si="1733"/>
        <v>5 MAGGIO 2024</v>
      </c>
      <c r="G1490" s="1309" t="s">
        <v>1289</v>
      </c>
      <c r="H1490" s="1309" t="str">
        <f>VLOOKUP(G1490,CATEGORIE!$H$3:$I$104,2,FALSE)</f>
        <v>COSTO SFIZI</v>
      </c>
      <c r="I1490" s="59">
        <v>38.9</v>
      </c>
      <c r="J1490" s="940"/>
      <c r="K1490" s="59"/>
      <c r="L1490" s="59"/>
    </row>
    <row r="1491" spans="1:12" ht="18.600000000000001" customHeight="1">
      <c r="A1491" s="57" t="s">
        <v>361</v>
      </c>
      <c r="B1491" s="57" t="s">
        <v>333</v>
      </c>
      <c r="C1491" s="57">
        <v>2024</v>
      </c>
      <c r="D1491" s="58">
        <f>MATCH(B1491,{"GENNAIO","FEBBRAIO","MARZO","APRILE","MAGGIO","GIUGNO","LUGLIO","AGOSTO","SETTEMBRE","OTTOBRE","NOVEMBRE","DICEMBRE"},0)</f>
        <v>5</v>
      </c>
      <c r="E1491" s="57" t="str">
        <f t="shared" si="1732"/>
        <v>MAGGIO 2024</v>
      </c>
      <c r="F1491" s="57" t="str">
        <f t="shared" si="1733"/>
        <v>5 MAGGIO 2024</v>
      </c>
      <c r="G1491" s="1309" t="s">
        <v>94</v>
      </c>
      <c r="H1491" s="1309" t="str">
        <f>VLOOKUP(G1491,CATEGORIE!$H$3:$I$104,2,FALSE)</f>
        <v>COSTO SVAGHI</v>
      </c>
      <c r="I1491" s="59">
        <v>7.5</v>
      </c>
      <c r="J1491" s="940"/>
      <c r="K1491" s="59"/>
      <c r="L1491" s="59"/>
    </row>
    <row r="1492" spans="1:12">
      <c r="A1492" s="57" t="s">
        <v>101</v>
      </c>
      <c r="B1492" s="57" t="s">
        <v>333</v>
      </c>
      <c r="C1492" s="57">
        <v>2024</v>
      </c>
      <c r="D1492" s="58">
        <f>MATCH(B1492,{"GENNAIO","FEBBRAIO","MARZO","APRILE","MAGGIO","GIUGNO","LUGLIO","AGOSTO","SETTEMBRE","OTTOBRE","NOVEMBRE","DICEMBRE"},0)</f>
        <v>5</v>
      </c>
      <c r="E1492" s="57" t="str">
        <f t="shared" si="1732"/>
        <v>MAGGIO 2024</v>
      </c>
      <c r="F1492" s="57" t="str">
        <f t="shared" si="1733"/>
        <v>5 MAGGIO 2024</v>
      </c>
      <c r="G1492" s="1309" t="s">
        <v>91</v>
      </c>
      <c r="H1492" s="1309" t="str">
        <f>VLOOKUP(G1492,CATEGORIE!$H$3:$I$104,2,FALSE)</f>
        <v>COSTO SOPRAVVIVENZA</v>
      </c>
      <c r="I1492" s="59">
        <v>0.4</v>
      </c>
      <c r="J1492" s="940"/>
      <c r="K1492" s="59"/>
      <c r="L1492" s="59"/>
    </row>
    <row r="1493" spans="1:12">
      <c r="A1493" s="57" t="s">
        <v>92</v>
      </c>
      <c r="B1493" s="57" t="s">
        <v>352</v>
      </c>
      <c r="C1493" s="57">
        <v>2024</v>
      </c>
      <c r="D1493" s="58">
        <f>MATCH(B1493,{"GENNAIO","FEBBRAIO","MARZO","APRILE","MAGGIO","GIUGNO","LUGLIO","AGOSTO","SETTEMBRE","OTTOBRE","NOVEMBRE","DICEMBRE"},0)</f>
        <v>4</v>
      </c>
      <c r="E1493" s="57" t="str">
        <f t="shared" si="1732"/>
        <v>APRILE 2024</v>
      </c>
      <c r="F1493" s="57" t="str">
        <f t="shared" si="1733"/>
        <v>4 APRILE 2024</v>
      </c>
      <c r="G1493" s="1309" t="s">
        <v>93</v>
      </c>
      <c r="H1493" s="1309" t="str">
        <f>VLOOKUP(G1493,CATEGORIE!$H$3:$I$104,2,FALSE)</f>
        <v>COSTO SOPRAVVIVENZA</v>
      </c>
      <c r="I1493" s="59">
        <v>5</v>
      </c>
      <c r="J1493" s="940"/>
      <c r="K1493" s="59"/>
      <c r="L1493" s="59"/>
    </row>
    <row r="1494" spans="1:12" ht="18.600000000000001" customHeight="1">
      <c r="A1494" s="57" t="s">
        <v>105</v>
      </c>
      <c r="B1494" s="57" t="s">
        <v>352</v>
      </c>
      <c r="C1494" s="57">
        <v>2024</v>
      </c>
      <c r="D1494" s="58">
        <f>MATCH(B1494,{"GENNAIO","FEBBRAIO","MARZO","APRILE","MAGGIO","GIUGNO","LUGLIO","AGOSTO","SETTEMBRE","OTTOBRE","NOVEMBRE","DICEMBRE"},0)</f>
        <v>4</v>
      </c>
      <c r="E1494" s="57" t="str">
        <f t="shared" si="1732"/>
        <v>APRILE 2024</v>
      </c>
      <c r="F1494" s="57" t="str">
        <f t="shared" si="1733"/>
        <v>4 APRILE 2024</v>
      </c>
      <c r="G1494" s="1309" t="s">
        <v>96</v>
      </c>
      <c r="H1494" s="1309" t="str">
        <f>VLOOKUP(G1494,CATEGORIE!$H$3:$I$104,2,FALSE)</f>
        <v>COSTO SOPRAVVIVENZA</v>
      </c>
      <c r="I1494" s="59">
        <v>8.44</v>
      </c>
      <c r="J1494" s="940"/>
      <c r="K1494" s="59"/>
      <c r="L1494" s="59"/>
    </row>
    <row r="1495" spans="1:12" ht="16.5" customHeight="1">
      <c r="A1495" s="57" t="s">
        <v>95</v>
      </c>
      <c r="B1495" s="57" t="s">
        <v>352</v>
      </c>
      <c r="C1495" s="57">
        <v>2024</v>
      </c>
      <c r="D1495" s="58">
        <f>MATCH(B1495,{"GENNAIO","FEBBRAIO","MARZO","APRILE","MAGGIO","GIUGNO","LUGLIO","AGOSTO","SETTEMBRE","OTTOBRE","NOVEMBRE","DICEMBRE"},0)</f>
        <v>4</v>
      </c>
      <c r="E1495" s="57" t="str">
        <f t="shared" si="1732"/>
        <v>APRILE 2024</v>
      </c>
      <c r="F1495" s="57" t="str">
        <f t="shared" si="1733"/>
        <v>4 APRILE 2024</v>
      </c>
      <c r="G1495" s="1309" t="s">
        <v>96</v>
      </c>
      <c r="H1495" s="1309" t="str">
        <f>VLOOKUP(G1495,CATEGORIE!$H$3:$I$104,2,FALSE)</f>
        <v>COSTO SOPRAVVIVENZA</v>
      </c>
      <c r="I1495" s="59">
        <v>15.36</v>
      </c>
      <c r="J1495" s="940"/>
      <c r="K1495" s="59"/>
      <c r="L1495" s="59"/>
    </row>
    <row r="1496" spans="1:12" ht="16.5" customHeight="1">
      <c r="A1496" s="57" t="s">
        <v>92</v>
      </c>
      <c r="B1496" s="57" t="s">
        <v>352</v>
      </c>
      <c r="C1496" s="57">
        <v>2024</v>
      </c>
      <c r="D1496" s="58">
        <f>MATCH(B1496,{"GENNAIO","FEBBRAIO","MARZO","APRILE","MAGGIO","GIUGNO","LUGLIO","AGOSTO","SETTEMBRE","OTTOBRE","NOVEMBRE","DICEMBRE"},0)</f>
        <v>4</v>
      </c>
      <c r="E1496" s="57" t="str">
        <f t="shared" si="1732"/>
        <v>APRILE 2024</v>
      </c>
      <c r="F1496" s="57" t="str">
        <f t="shared" si="1733"/>
        <v>4 APRILE 2024</v>
      </c>
      <c r="G1496" s="1309" t="s">
        <v>93</v>
      </c>
      <c r="H1496" s="1309" t="str">
        <f>VLOOKUP(G1496,CATEGORIE!$H$3:$I$104,2,FALSE)</f>
        <v>COSTO SOPRAVVIVENZA</v>
      </c>
      <c r="I1496" s="59">
        <v>5</v>
      </c>
      <c r="J1496" s="940"/>
      <c r="K1496" s="59"/>
      <c r="L1496" s="59"/>
    </row>
    <row r="1497" spans="1:12" ht="16.5" customHeight="1">
      <c r="A1497" s="57" t="s">
        <v>135</v>
      </c>
      <c r="B1497" s="57" t="s">
        <v>352</v>
      </c>
      <c r="C1497" s="57">
        <v>2024</v>
      </c>
      <c r="D1497" s="58">
        <f>MATCH(B1497,{"GENNAIO","FEBBRAIO","MARZO","APRILE","MAGGIO","GIUGNO","LUGLIO","AGOSTO","SETTEMBRE","OTTOBRE","NOVEMBRE","DICEMBRE"},0)</f>
        <v>4</v>
      </c>
      <c r="E1497" s="57" t="str">
        <f t="shared" si="1732"/>
        <v>APRILE 2024</v>
      </c>
      <c r="F1497" s="57" t="str">
        <f t="shared" si="1733"/>
        <v>4 APRILE 2024</v>
      </c>
      <c r="G1497" s="1309" t="s">
        <v>132</v>
      </c>
      <c r="H1497" s="1309" t="str">
        <f>VLOOKUP(G1497,CATEGORIE!$H$3:$I$104,2,FALSE)</f>
        <v>COSTO CASA</v>
      </c>
      <c r="I1497" s="59">
        <v>7.69</v>
      </c>
      <c r="J1497" s="940"/>
      <c r="K1497" s="59"/>
      <c r="L1497" s="59"/>
    </row>
    <row r="1498" spans="1:12" ht="16.5" customHeight="1">
      <c r="A1498" s="57" t="s">
        <v>101</v>
      </c>
      <c r="B1498" s="57" t="s">
        <v>352</v>
      </c>
      <c r="C1498" s="57">
        <v>2024</v>
      </c>
      <c r="D1498" s="58">
        <f>MATCH(B1498,{"GENNAIO","FEBBRAIO","MARZO","APRILE","MAGGIO","GIUGNO","LUGLIO","AGOSTO","SETTEMBRE","OTTOBRE","NOVEMBRE","DICEMBRE"},0)</f>
        <v>4</v>
      </c>
      <c r="E1498" s="57" t="str">
        <f t="shared" si="1732"/>
        <v>APRILE 2024</v>
      </c>
      <c r="F1498" s="57" t="str">
        <f t="shared" si="1733"/>
        <v>4 APRILE 2024</v>
      </c>
      <c r="G1498" s="1309" t="s">
        <v>91</v>
      </c>
      <c r="H1498" s="1309" t="str">
        <f>VLOOKUP(G1498,CATEGORIE!$H$3:$I$104,2,FALSE)</f>
        <v>COSTO SOPRAVVIVENZA</v>
      </c>
      <c r="I1498" s="59">
        <v>0.4</v>
      </c>
      <c r="J1498" s="940"/>
      <c r="K1498" s="59"/>
      <c r="L1498" s="59"/>
    </row>
    <row r="1499" spans="1:12" ht="16.5" customHeight="1">
      <c r="A1499" s="57" t="s">
        <v>187</v>
      </c>
      <c r="B1499" s="57" t="s">
        <v>352</v>
      </c>
      <c r="C1499" s="57">
        <v>2024</v>
      </c>
      <c r="D1499" s="58">
        <f>MATCH(B1499,{"GENNAIO","FEBBRAIO","MARZO","APRILE","MAGGIO","GIUGNO","LUGLIO","AGOSTO","SETTEMBRE","OTTOBRE","NOVEMBRE","DICEMBRE"},0)</f>
        <v>4</v>
      </c>
      <c r="E1499" s="57" t="str">
        <f t="shared" si="1732"/>
        <v>APRILE 2024</v>
      </c>
      <c r="F1499" s="57" t="str">
        <f t="shared" si="1733"/>
        <v>4 APRILE 2024</v>
      </c>
      <c r="G1499" s="1309" t="s">
        <v>188</v>
      </c>
      <c r="H1499" s="1309" t="str">
        <f>VLOOKUP(G1499,CATEGORIE!$H$3:$I$104,2,FALSE)</f>
        <v>COSTO VACANZE</v>
      </c>
      <c r="I1499" s="59">
        <v>254</v>
      </c>
      <c r="J1499" s="940"/>
      <c r="K1499" s="59"/>
      <c r="L1499" s="59" t="s">
        <v>493</v>
      </c>
    </row>
    <row r="1500" spans="1:12" ht="16.5" customHeight="1">
      <c r="A1500" s="57" t="s">
        <v>101</v>
      </c>
      <c r="B1500" s="57" t="s">
        <v>352</v>
      </c>
      <c r="C1500" s="57">
        <v>2024</v>
      </c>
      <c r="D1500" s="58">
        <f>MATCH(B1500,{"GENNAIO","FEBBRAIO","MARZO","APRILE","MAGGIO","GIUGNO","LUGLIO","AGOSTO","SETTEMBRE","OTTOBRE","NOVEMBRE","DICEMBRE"},0)</f>
        <v>4</v>
      </c>
      <c r="E1500" s="57" t="str">
        <f t="shared" si="1732"/>
        <v>APRILE 2024</v>
      </c>
      <c r="F1500" s="57" t="str">
        <f t="shared" si="1733"/>
        <v>4 APRILE 2024</v>
      </c>
      <c r="G1500" s="1309" t="s">
        <v>91</v>
      </c>
      <c r="H1500" s="1309" t="str">
        <f>VLOOKUP(G1500,CATEGORIE!$H$3:$I$104,2,FALSE)</f>
        <v>COSTO SOPRAVVIVENZA</v>
      </c>
      <c r="I1500" s="59">
        <v>0.4</v>
      </c>
      <c r="J1500" s="940"/>
      <c r="K1500" s="59"/>
      <c r="L1500" s="59"/>
    </row>
    <row r="1501" spans="1:12" ht="16.5" customHeight="1">
      <c r="A1501" s="57" t="s">
        <v>101</v>
      </c>
      <c r="B1501" s="57" t="s">
        <v>352</v>
      </c>
      <c r="C1501" s="57">
        <v>2024</v>
      </c>
      <c r="D1501" s="58">
        <f>MATCH(B1501,{"GENNAIO","FEBBRAIO","MARZO","APRILE","MAGGIO","GIUGNO","LUGLIO","AGOSTO","SETTEMBRE","OTTOBRE","NOVEMBRE","DICEMBRE"},0)</f>
        <v>4</v>
      </c>
      <c r="E1501" s="57" t="str">
        <f t="shared" si="1732"/>
        <v>APRILE 2024</v>
      </c>
      <c r="F1501" s="57" t="str">
        <f t="shared" si="1733"/>
        <v>4 APRILE 2024</v>
      </c>
      <c r="G1501" s="1309" t="s">
        <v>91</v>
      </c>
      <c r="H1501" s="1309" t="str">
        <f>VLOOKUP(G1501,CATEGORIE!$H$3:$I$104,2,FALSE)</f>
        <v>COSTO SOPRAVVIVENZA</v>
      </c>
      <c r="I1501" s="59">
        <v>0.4</v>
      </c>
      <c r="J1501" s="940"/>
      <c r="K1501" s="59"/>
      <c r="L1501" s="59"/>
    </row>
    <row r="1502" spans="1:12" ht="16.5" customHeight="1">
      <c r="A1502" s="57" t="s">
        <v>101</v>
      </c>
      <c r="B1502" s="57" t="s">
        <v>352</v>
      </c>
      <c r="C1502" s="57">
        <v>2024</v>
      </c>
      <c r="D1502" s="58">
        <f>MATCH(B1502,{"GENNAIO","FEBBRAIO","MARZO","APRILE","MAGGIO","GIUGNO","LUGLIO","AGOSTO","SETTEMBRE","OTTOBRE","NOVEMBRE","DICEMBRE"},0)</f>
        <v>4</v>
      </c>
      <c r="E1502" s="57" t="str">
        <f t="shared" si="1732"/>
        <v>APRILE 2024</v>
      </c>
      <c r="F1502" s="57" t="str">
        <f t="shared" si="1733"/>
        <v>4 APRILE 2024</v>
      </c>
      <c r="G1502" s="1309" t="s">
        <v>91</v>
      </c>
      <c r="H1502" s="1309" t="str">
        <f>VLOOKUP(G1502,CATEGORIE!$H$3:$I$104,2,FALSE)</f>
        <v>COSTO SOPRAVVIVENZA</v>
      </c>
      <c r="I1502" s="59">
        <v>0.4</v>
      </c>
      <c r="J1502" s="940"/>
      <c r="K1502" s="59"/>
      <c r="L1502" s="59"/>
    </row>
    <row r="1503" spans="1:12" ht="16.5" customHeight="1">
      <c r="A1503" s="57" t="s">
        <v>101</v>
      </c>
      <c r="B1503" s="57" t="s">
        <v>352</v>
      </c>
      <c r="C1503" s="57">
        <v>2024</v>
      </c>
      <c r="D1503" s="58">
        <f>MATCH(B1503,{"GENNAIO","FEBBRAIO","MARZO","APRILE","MAGGIO","GIUGNO","LUGLIO","AGOSTO","SETTEMBRE","OTTOBRE","NOVEMBRE","DICEMBRE"},0)</f>
        <v>4</v>
      </c>
      <c r="E1503" s="57" t="str">
        <f t="shared" si="1732"/>
        <v>APRILE 2024</v>
      </c>
      <c r="F1503" s="57" t="str">
        <f t="shared" si="1733"/>
        <v>4 APRILE 2024</v>
      </c>
      <c r="G1503" s="1309" t="s">
        <v>91</v>
      </c>
      <c r="H1503" s="1309" t="str">
        <f>VLOOKUP(G1503,CATEGORIE!$H$3:$I$104,2,FALSE)</f>
        <v>COSTO SOPRAVVIVENZA</v>
      </c>
      <c r="I1503" s="59">
        <v>0.4</v>
      </c>
      <c r="J1503" s="940"/>
      <c r="K1503" s="59"/>
      <c r="L1503" s="59"/>
    </row>
    <row r="1504" spans="1:12" ht="16.5" customHeight="1">
      <c r="A1504" s="57" t="s">
        <v>101</v>
      </c>
      <c r="B1504" s="57" t="s">
        <v>352</v>
      </c>
      <c r="C1504" s="57">
        <v>2024</v>
      </c>
      <c r="D1504" s="58">
        <f>MATCH(B1504,{"GENNAIO","FEBBRAIO","MARZO","APRILE","MAGGIO","GIUGNO","LUGLIO","AGOSTO","SETTEMBRE","OTTOBRE","NOVEMBRE","DICEMBRE"},0)</f>
        <v>4</v>
      </c>
      <c r="E1504" s="57" t="str">
        <f t="shared" si="1732"/>
        <v>APRILE 2024</v>
      </c>
      <c r="F1504" s="57" t="str">
        <f t="shared" si="1733"/>
        <v>4 APRILE 2024</v>
      </c>
      <c r="G1504" s="1309" t="s">
        <v>91</v>
      </c>
      <c r="H1504" s="1309" t="str">
        <f>VLOOKUP(G1504,CATEGORIE!$H$3:$I$104,2,FALSE)</f>
        <v>COSTO SOPRAVVIVENZA</v>
      </c>
      <c r="I1504" s="59">
        <v>0.4</v>
      </c>
      <c r="J1504" s="940"/>
      <c r="K1504" s="59"/>
      <c r="L1504" s="59"/>
    </row>
    <row r="1505" spans="1:12" ht="16.5" customHeight="1">
      <c r="A1505" s="57" t="s">
        <v>101</v>
      </c>
      <c r="B1505" s="57" t="s">
        <v>352</v>
      </c>
      <c r="C1505" s="57">
        <v>2024</v>
      </c>
      <c r="D1505" s="58">
        <f>MATCH(B1505,{"GENNAIO","FEBBRAIO","MARZO","APRILE","MAGGIO","GIUGNO","LUGLIO","AGOSTO","SETTEMBRE","OTTOBRE","NOVEMBRE","DICEMBRE"},0)</f>
        <v>4</v>
      </c>
      <c r="E1505" s="57" t="str">
        <f t="shared" si="1732"/>
        <v>APRILE 2024</v>
      </c>
      <c r="F1505" s="57" t="str">
        <f t="shared" si="1733"/>
        <v>4 APRILE 2024</v>
      </c>
      <c r="G1505" s="1309" t="s">
        <v>91</v>
      </c>
      <c r="H1505" s="1309" t="str">
        <f>VLOOKUP(G1505,CATEGORIE!$H$3:$I$104,2,FALSE)</f>
        <v>COSTO SOPRAVVIVENZA</v>
      </c>
      <c r="I1505" s="59">
        <v>0.4</v>
      </c>
      <c r="J1505" s="940"/>
      <c r="K1505" s="59"/>
      <c r="L1505" s="59"/>
    </row>
    <row r="1506" spans="1:12" ht="16.5" customHeight="1">
      <c r="A1506" s="57" t="s">
        <v>101</v>
      </c>
      <c r="B1506" s="57" t="s">
        <v>352</v>
      </c>
      <c r="C1506" s="57">
        <v>2024</v>
      </c>
      <c r="D1506" s="58">
        <f>MATCH(B1506,{"GENNAIO","FEBBRAIO","MARZO","APRILE","MAGGIO","GIUGNO","LUGLIO","AGOSTO","SETTEMBRE","OTTOBRE","NOVEMBRE","DICEMBRE"},0)</f>
        <v>4</v>
      </c>
      <c r="E1506" s="57" t="str">
        <f t="shared" si="1732"/>
        <v>APRILE 2024</v>
      </c>
      <c r="F1506" s="57" t="str">
        <f t="shared" si="1733"/>
        <v>4 APRILE 2024</v>
      </c>
      <c r="G1506" s="1309" t="s">
        <v>91</v>
      </c>
      <c r="H1506" s="1309" t="str">
        <f>VLOOKUP(G1506,CATEGORIE!$H$3:$I$104,2,FALSE)</f>
        <v>COSTO SOPRAVVIVENZA</v>
      </c>
      <c r="I1506" s="59">
        <v>0.4</v>
      </c>
      <c r="J1506" s="940"/>
      <c r="K1506" s="59"/>
      <c r="L1506" s="59"/>
    </row>
    <row r="1507" spans="1:12" ht="18.600000000000001" customHeight="1">
      <c r="A1507" s="57" t="s">
        <v>101</v>
      </c>
      <c r="B1507" s="57" t="s">
        <v>352</v>
      </c>
      <c r="C1507" s="57">
        <v>2024</v>
      </c>
      <c r="D1507" s="58">
        <f>MATCH(B1507,{"GENNAIO","FEBBRAIO","MARZO","APRILE","MAGGIO","GIUGNO","LUGLIO","AGOSTO","SETTEMBRE","OTTOBRE","NOVEMBRE","DICEMBRE"},0)</f>
        <v>4</v>
      </c>
      <c r="E1507" s="57" t="str">
        <f t="shared" si="1732"/>
        <v>APRILE 2024</v>
      </c>
      <c r="F1507" s="57" t="str">
        <f t="shared" si="1733"/>
        <v>4 APRILE 2024</v>
      </c>
      <c r="G1507" s="1309" t="s">
        <v>91</v>
      </c>
      <c r="H1507" s="1309" t="str">
        <f>VLOOKUP(G1507,CATEGORIE!$H$3:$I$104,2,FALSE)</f>
        <v>COSTO SOPRAVVIVENZA</v>
      </c>
      <c r="I1507" s="59">
        <v>0.4</v>
      </c>
      <c r="J1507" s="940"/>
      <c r="K1507" s="59"/>
      <c r="L1507" s="59"/>
    </row>
    <row r="1508" spans="1:12">
      <c r="A1508" s="57" t="s">
        <v>101</v>
      </c>
      <c r="B1508" s="57" t="s">
        <v>352</v>
      </c>
      <c r="C1508" s="57">
        <v>2024</v>
      </c>
      <c r="D1508" s="58">
        <f>MATCH(B1508,{"GENNAIO","FEBBRAIO","MARZO","APRILE","MAGGIO","GIUGNO","LUGLIO","AGOSTO","SETTEMBRE","OTTOBRE","NOVEMBRE","DICEMBRE"},0)</f>
        <v>4</v>
      </c>
      <c r="E1508" s="57" t="str">
        <f t="shared" si="1732"/>
        <v>APRILE 2024</v>
      </c>
      <c r="F1508" s="57" t="str">
        <f t="shared" si="1733"/>
        <v>4 APRILE 2024</v>
      </c>
      <c r="G1508" s="1309" t="s">
        <v>91</v>
      </c>
      <c r="H1508" s="1309" t="str">
        <f>VLOOKUP(G1508,CATEGORIE!$H$3:$I$104,2,FALSE)</f>
        <v>COSTO SOPRAVVIVENZA</v>
      </c>
      <c r="I1508" s="59">
        <v>0.4</v>
      </c>
      <c r="J1508" s="940"/>
      <c r="K1508" s="59"/>
      <c r="L1508" s="59"/>
    </row>
    <row r="1509" spans="1:12">
      <c r="A1509" s="57" t="s">
        <v>101</v>
      </c>
      <c r="B1509" s="57" t="s">
        <v>352</v>
      </c>
      <c r="C1509" s="57">
        <v>2024</v>
      </c>
      <c r="D1509" s="58">
        <f>MATCH(B1509,{"GENNAIO","FEBBRAIO","MARZO","APRILE","MAGGIO","GIUGNO","LUGLIO","AGOSTO","SETTEMBRE","OTTOBRE","NOVEMBRE","DICEMBRE"},0)</f>
        <v>4</v>
      </c>
      <c r="E1509" s="57" t="str">
        <f t="shared" si="1732"/>
        <v>APRILE 2024</v>
      </c>
      <c r="F1509" s="57" t="str">
        <f t="shared" si="1733"/>
        <v>4 APRILE 2024</v>
      </c>
      <c r="G1509" s="1309" t="s">
        <v>91</v>
      </c>
      <c r="H1509" s="1309" t="str">
        <f>VLOOKUP(G1509,CATEGORIE!$H$3:$I$104,2,FALSE)</f>
        <v>COSTO SOPRAVVIVENZA</v>
      </c>
      <c r="I1509" s="59">
        <v>0.4</v>
      </c>
      <c r="J1509" s="940"/>
      <c r="K1509" s="59"/>
      <c r="L1509" s="59"/>
    </row>
    <row r="1510" spans="1:12" ht="18.600000000000001" customHeight="1">
      <c r="A1510" s="57" t="s">
        <v>102</v>
      </c>
      <c r="B1510" s="57" t="s">
        <v>352</v>
      </c>
      <c r="C1510" s="57">
        <v>2024</v>
      </c>
      <c r="D1510" s="58">
        <f>MATCH(B1510,{"GENNAIO","FEBBRAIO","MARZO","APRILE","MAGGIO","GIUGNO","LUGLIO","AGOSTO","SETTEMBRE","OTTOBRE","NOVEMBRE","DICEMBRE"},0)</f>
        <v>4</v>
      </c>
      <c r="E1510" s="57" t="str">
        <f t="shared" si="1732"/>
        <v>APRILE 2024</v>
      </c>
      <c r="F1510" s="57" t="str">
        <f t="shared" si="1733"/>
        <v>4 APRILE 2024</v>
      </c>
      <c r="G1510" s="1309" t="s">
        <v>96</v>
      </c>
      <c r="H1510" s="1309" t="str">
        <f>VLOOKUP(G1510,CATEGORIE!$H$3:$I$104,2,FALSE)</f>
        <v>COSTO SOPRAVVIVENZA</v>
      </c>
      <c r="I1510" s="59">
        <v>5.15</v>
      </c>
      <c r="J1510" s="940"/>
      <c r="K1510" s="59"/>
      <c r="L1510" s="59"/>
    </row>
    <row r="1511" spans="1:12" ht="18.600000000000001" customHeight="1">
      <c r="A1511" s="57" t="s">
        <v>95</v>
      </c>
      <c r="B1511" s="57" t="s">
        <v>352</v>
      </c>
      <c r="C1511" s="57">
        <v>2024</v>
      </c>
      <c r="D1511" s="58">
        <f>MATCH(B1511,{"GENNAIO","FEBBRAIO","MARZO","APRILE","MAGGIO","GIUGNO","LUGLIO","AGOSTO","SETTEMBRE","OTTOBRE","NOVEMBRE","DICEMBRE"},0)</f>
        <v>4</v>
      </c>
      <c r="E1511" s="57" t="str">
        <f t="shared" si="1732"/>
        <v>APRILE 2024</v>
      </c>
      <c r="F1511" s="57" t="str">
        <f t="shared" si="1733"/>
        <v>4 APRILE 2024</v>
      </c>
      <c r="G1511" s="1309" t="s">
        <v>96</v>
      </c>
      <c r="H1511" s="1309" t="str">
        <f>VLOOKUP(G1511,CATEGORIE!$H$3:$I$104,2,FALSE)</f>
        <v>COSTO SOPRAVVIVENZA</v>
      </c>
      <c r="I1511" s="59">
        <v>6.45</v>
      </c>
      <c r="J1511" s="940"/>
      <c r="K1511" s="59"/>
      <c r="L1511" s="59"/>
    </row>
    <row r="1512" spans="1:12">
      <c r="A1512" s="57" t="s">
        <v>494</v>
      </c>
      <c r="B1512" s="57" t="s">
        <v>352</v>
      </c>
      <c r="C1512" s="57">
        <v>2024</v>
      </c>
      <c r="D1512" s="58">
        <f>MATCH(B1512,{"GENNAIO","FEBBRAIO","MARZO","APRILE","MAGGIO","GIUGNO","LUGLIO","AGOSTO","SETTEMBRE","OTTOBRE","NOVEMBRE","DICEMBRE"},0)</f>
        <v>4</v>
      </c>
      <c r="E1512" s="57" t="str">
        <f t="shared" si="1732"/>
        <v>APRILE 2024</v>
      </c>
      <c r="F1512" s="57" t="str">
        <f t="shared" si="1733"/>
        <v>4 APRILE 2024</v>
      </c>
      <c r="G1512" s="1309" t="s">
        <v>185</v>
      </c>
      <c r="H1512" s="1309" t="str">
        <f>VLOOKUP(G1512,CATEGORIE!$H$3:$I$104,2,FALSE)</f>
        <v>COSTO SFIZI</v>
      </c>
      <c r="I1512" s="59">
        <v>29.95</v>
      </c>
      <c r="J1512" s="940"/>
      <c r="K1512" s="59"/>
      <c r="L1512" s="59" t="s">
        <v>495</v>
      </c>
    </row>
    <row r="1513" spans="1:12" ht="16.5" customHeight="1">
      <c r="A1513" s="57" t="s">
        <v>105</v>
      </c>
      <c r="B1513" s="57" t="s">
        <v>352</v>
      </c>
      <c r="C1513" s="57">
        <v>2024</v>
      </c>
      <c r="D1513" s="58">
        <f>MATCH(B1513,{"GENNAIO","FEBBRAIO","MARZO","APRILE","MAGGIO","GIUGNO","LUGLIO","AGOSTO","SETTEMBRE","OTTOBRE","NOVEMBRE","DICEMBRE"},0)</f>
        <v>4</v>
      </c>
      <c r="E1513" s="57" t="str">
        <f t="shared" si="1732"/>
        <v>APRILE 2024</v>
      </c>
      <c r="F1513" s="57" t="str">
        <f t="shared" si="1733"/>
        <v>4 APRILE 2024</v>
      </c>
      <c r="G1513" s="1309" t="s">
        <v>96</v>
      </c>
      <c r="H1513" s="1309" t="str">
        <f>VLOOKUP(G1513,CATEGORIE!$H$3:$I$104,2,FALSE)</f>
        <v>COSTO SOPRAVVIVENZA</v>
      </c>
      <c r="I1513" s="59">
        <v>9.94</v>
      </c>
      <c r="J1513" s="940"/>
      <c r="K1513" s="59"/>
      <c r="L1513" s="59"/>
    </row>
    <row r="1514" spans="1:12" ht="18.600000000000001" customHeight="1">
      <c r="A1514" s="57" t="s">
        <v>105</v>
      </c>
      <c r="B1514" s="57" t="s">
        <v>352</v>
      </c>
      <c r="C1514" s="57">
        <v>2024</v>
      </c>
      <c r="D1514" s="58">
        <f>MATCH(B1514,{"GENNAIO","FEBBRAIO","MARZO","APRILE","MAGGIO","GIUGNO","LUGLIO","AGOSTO","SETTEMBRE","OTTOBRE","NOVEMBRE","DICEMBRE"},0)</f>
        <v>4</v>
      </c>
      <c r="E1514" s="57" t="str">
        <f t="shared" si="1732"/>
        <v>APRILE 2024</v>
      </c>
      <c r="F1514" s="57" t="str">
        <f t="shared" si="1733"/>
        <v>4 APRILE 2024</v>
      </c>
      <c r="G1514" s="1309" t="s">
        <v>96</v>
      </c>
      <c r="H1514" s="1309" t="str">
        <f>VLOOKUP(G1514,CATEGORIE!$H$3:$I$104,2,FALSE)</f>
        <v>COSTO SOPRAVVIVENZA</v>
      </c>
      <c r="I1514" s="59">
        <v>1.99</v>
      </c>
      <c r="J1514" s="940"/>
      <c r="K1514" s="59"/>
      <c r="L1514" s="59"/>
    </row>
    <row r="1515" spans="1:12">
      <c r="A1515" s="57" t="s">
        <v>92</v>
      </c>
      <c r="B1515" s="57" t="s">
        <v>352</v>
      </c>
      <c r="C1515" s="57">
        <v>2024</v>
      </c>
      <c r="D1515" s="58">
        <f>MATCH(B1515,{"GENNAIO","FEBBRAIO","MARZO","APRILE","MAGGIO","GIUGNO","LUGLIO","AGOSTO","SETTEMBRE","OTTOBRE","NOVEMBRE","DICEMBRE"},0)</f>
        <v>4</v>
      </c>
      <c r="E1515" s="57" t="str">
        <f t="shared" si="1732"/>
        <v>APRILE 2024</v>
      </c>
      <c r="F1515" s="57" t="str">
        <f t="shared" si="1733"/>
        <v>4 APRILE 2024</v>
      </c>
      <c r="G1515" s="1309" t="s">
        <v>93</v>
      </c>
      <c r="H1515" s="1309" t="str">
        <f>VLOOKUP(G1515,CATEGORIE!$H$3:$I$104,2,FALSE)</f>
        <v>COSTO SOPRAVVIVENZA</v>
      </c>
      <c r="I1515" s="59">
        <v>5</v>
      </c>
      <c r="J1515" s="940"/>
      <c r="K1515" s="59"/>
      <c r="L1515" s="59"/>
    </row>
    <row r="1516" spans="1:12" ht="16.5" customHeight="1">
      <c r="A1516" s="57" t="s">
        <v>101</v>
      </c>
      <c r="B1516" s="57" t="s">
        <v>352</v>
      </c>
      <c r="C1516" s="57">
        <v>2024</v>
      </c>
      <c r="D1516" s="58">
        <f>MATCH(B1516,{"GENNAIO","FEBBRAIO","MARZO","APRILE","MAGGIO","GIUGNO","LUGLIO","AGOSTO","SETTEMBRE","OTTOBRE","NOVEMBRE","DICEMBRE"},0)</f>
        <v>4</v>
      </c>
      <c r="E1516" s="57" t="str">
        <f t="shared" si="1732"/>
        <v>APRILE 2024</v>
      </c>
      <c r="F1516" s="57" t="str">
        <f t="shared" si="1733"/>
        <v>4 APRILE 2024</v>
      </c>
      <c r="G1516" s="1309" t="s">
        <v>91</v>
      </c>
      <c r="H1516" s="1309" t="str">
        <f>VLOOKUP(G1516,CATEGORIE!$H$3:$I$104,2,FALSE)</f>
        <v>COSTO SOPRAVVIVENZA</v>
      </c>
      <c r="I1516" s="59">
        <v>0.4</v>
      </c>
      <c r="J1516" s="940"/>
      <c r="K1516" s="59"/>
      <c r="L1516" s="59"/>
    </row>
    <row r="1517" spans="1:12" ht="16.5" customHeight="1">
      <c r="A1517" s="57" t="s">
        <v>102</v>
      </c>
      <c r="B1517" s="57" t="s">
        <v>352</v>
      </c>
      <c r="C1517" s="57">
        <v>2024</v>
      </c>
      <c r="D1517" s="58">
        <f>MATCH(B1517,{"GENNAIO","FEBBRAIO","MARZO","APRILE","MAGGIO","GIUGNO","LUGLIO","AGOSTO","SETTEMBRE","OTTOBRE","NOVEMBRE","DICEMBRE"},0)</f>
        <v>4</v>
      </c>
      <c r="E1517" s="57" t="str">
        <f t="shared" si="1732"/>
        <v>APRILE 2024</v>
      </c>
      <c r="F1517" s="57" t="str">
        <f t="shared" si="1733"/>
        <v>4 APRILE 2024</v>
      </c>
      <c r="G1517" s="1309" t="s">
        <v>96</v>
      </c>
      <c r="H1517" s="1309" t="str">
        <f>VLOOKUP(G1517,CATEGORIE!$H$3:$I$104,2,FALSE)</f>
        <v>COSTO SOPRAVVIVENZA</v>
      </c>
      <c r="I1517" s="59">
        <v>3.4</v>
      </c>
      <c r="J1517" s="940"/>
      <c r="K1517" s="59"/>
      <c r="L1517" s="59"/>
    </row>
    <row r="1518" spans="1:12" ht="16.5" customHeight="1">
      <c r="A1518" s="57" t="s">
        <v>95</v>
      </c>
      <c r="B1518" s="57" t="s">
        <v>352</v>
      </c>
      <c r="C1518" s="57">
        <v>2024</v>
      </c>
      <c r="D1518" s="58">
        <f>MATCH(B1518,{"GENNAIO","FEBBRAIO","MARZO","APRILE","MAGGIO","GIUGNO","LUGLIO","AGOSTO","SETTEMBRE","OTTOBRE","NOVEMBRE","DICEMBRE"},0)</f>
        <v>4</v>
      </c>
      <c r="E1518" s="57" t="str">
        <f t="shared" si="1732"/>
        <v>APRILE 2024</v>
      </c>
      <c r="F1518" s="57" t="str">
        <f t="shared" si="1733"/>
        <v>4 APRILE 2024</v>
      </c>
      <c r="G1518" s="1309" t="s">
        <v>96</v>
      </c>
      <c r="H1518" s="1309" t="str">
        <f>VLOOKUP(G1518,CATEGORIE!$H$3:$I$104,2,FALSE)</f>
        <v>COSTO SOPRAVVIVENZA</v>
      </c>
      <c r="I1518" s="59">
        <v>17.899999999999999</v>
      </c>
      <c r="J1518" s="940"/>
      <c r="K1518" s="59"/>
      <c r="L1518" s="59" t="s">
        <v>496</v>
      </c>
    </row>
    <row r="1519" spans="1:12" ht="16.5" customHeight="1">
      <c r="A1519" s="57" t="s">
        <v>101</v>
      </c>
      <c r="B1519" s="57" t="s">
        <v>352</v>
      </c>
      <c r="C1519" s="57">
        <v>2024</v>
      </c>
      <c r="D1519" s="58">
        <f>MATCH(B1519,{"GENNAIO","FEBBRAIO","MARZO","APRILE","MAGGIO","GIUGNO","LUGLIO","AGOSTO","SETTEMBRE","OTTOBRE","NOVEMBRE","DICEMBRE"},0)</f>
        <v>4</v>
      </c>
      <c r="E1519" s="57" t="str">
        <f t="shared" si="1732"/>
        <v>APRILE 2024</v>
      </c>
      <c r="F1519" s="57" t="str">
        <f t="shared" si="1733"/>
        <v>4 APRILE 2024</v>
      </c>
      <c r="G1519" s="1309" t="s">
        <v>91</v>
      </c>
      <c r="H1519" s="1309" t="str">
        <f>VLOOKUP(G1519,CATEGORIE!$H$3:$I$104,2,FALSE)</f>
        <v>COSTO SOPRAVVIVENZA</v>
      </c>
      <c r="I1519" s="59">
        <v>0.4</v>
      </c>
      <c r="J1519" s="940"/>
      <c r="K1519" s="59"/>
      <c r="L1519" s="59"/>
    </row>
    <row r="1520" spans="1:12" ht="16.5" customHeight="1">
      <c r="A1520" s="57" t="s">
        <v>101</v>
      </c>
      <c r="B1520" s="57" t="s">
        <v>352</v>
      </c>
      <c r="C1520" s="57">
        <v>2024</v>
      </c>
      <c r="D1520" s="58">
        <f>MATCH(B1520,{"GENNAIO","FEBBRAIO","MARZO","APRILE","MAGGIO","GIUGNO","LUGLIO","AGOSTO","SETTEMBRE","OTTOBRE","NOVEMBRE","DICEMBRE"},0)</f>
        <v>4</v>
      </c>
      <c r="E1520" s="57" t="str">
        <f t="shared" si="1732"/>
        <v>APRILE 2024</v>
      </c>
      <c r="F1520" s="57" t="str">
        <f t="shared" si="1733"/>
        <v>4 APRILE 2024</v>
      </c>
      <c r="G1520" s="1309" t="s">
        <v>91</v>
      </c>
      <c r="H1520" s="1309" t="str">
        <f>VLOOKUP(G1520,CATEGORIE!$H$3:$I$104,2,FALSE)</f>
        <v>COSTO SOPRAVVIVENZA</v>
      </c>
      <c r="I1520" s="59">
        <v>0.4</v>
      </c>
      <c r="J1520" s="940"/>
      <c r="K1520" s="59"/>
      <c r="L1520" s="59"/>
    </row>
    <row r="1521" spans="1:12" ht="16.5" customHeight="1">
      <c r="A1521" s="57" t="s">
        <v>101</v>
      </c>
      <c r="B1521" s="57" t="s">
        <v>352</v>
      </c>
      <c r="C1521" s="57">
        <v>2024</v>
      </c>
      <c r="D1521" s="58">
        <f>MATCH(B1521,{"GENNAIO","FEBBRAIO","MARZO","APRILE","MAGGIO","GIUGNO","LUGLIO","AGOSTO","SETTEMBRE","OTTOBRE","NOVEMBRE","DICEMBRE"},0)</f>
        <v>4</v>
      </c>
      <c r="E1521" s="57" t="str">
        <f t="shared" si="1732"/>
        <v>APRILE 2024</v>
      </c>
      <c r="F1521" s="57" t="str">
        <f t="shared" si="1733"/>
        <v>4 APRILE 2024</v>
      </c>
      <c r="G1521" s="1309" t="s">
        <v>91</v>
      </c>
      <c r="H1521" s="1309" t="str">
        <f>VLOOKUP(G1521,CATEGORIE!$H$3:$I$104,2,FALSE)</f>
        <v>COSTO SOPRAVVIVENZA</v>
      </c>
      <c r="I1521" s="59">
        <v>0.4</v>
      </c>
      <c r="J1521" s="940"/>
      <c r="K1521" s="59"/>
      <c r="L1521" s="59"/>
    </row>
    <row r="1522" spans="1:12">
      <c r="A1522" s="57" t="s">
        <v>101</v>
      </c>
      <c r="B1522" s="57" t="s">
        <v>352</v>
      </c>
      <c r="C1522" s="57">
        <v>2024</v>
      </c>
      <c r="D1522" s="58">
        <f>MATCH(B1522,{"GENNAIO","FEBBRAIO","MARZO","APRILE","MAGGIO","GIUGNO","LUGLIO","AGOSTO","SETTEMBRE","OTTOBRE","NOVEMBRE","DICEMBRE"},0)</f>
        <v>4</v>
      </c>
      <c r="E1522" s="57" t="str">
        <f t="shared" si="1732"/>
        <v>APRILE 2024</v>
      </c>
      <c r="F1522" s="57" t="str">
        <f t="shared" si="1733"/>
        <v>4 APRILE 2024</v>
      </c>
      <c r="G1522" s="1309" t="s">
        <v>91</v>
      </c>
      <c r="H1522" s="1309" t="str">
        <f>VLOOKUP(G1522,CATEGORIE!$H$3:$I$104,2,FALSE)</f>
        <v>COSTO SOPRAVVIVENZA</v>
      </c>
      <c r="I1522" s="59">
        <v>0.4</v>
      </c>
      <c r="J1522" s="940"/>
      <c r="K1522" s="59"/>
      <c r="L1522" s="59"/>
    </row>
    <row r="1523" spans="1:12">
      <c r="A1523" s="57" t="s">
        <v>101</v>
      </c>
      <c r="B1523" s="57" t="s">
        <v>352</v>
      </c>
      <c r="C1523" s="57">
        <v>2024</v>
      </c>
      <c r="D1523" s="58">
        <f>MATCH(B1523,{"GENNAIO","FEBBRAIO","MARZO","APRILE","MAGGIO","GIUGNO","LUGLIO","AGOSTO","SETTEMBRE","OTTOBRE","NOVEMBRE","DICEMBRE"},0)</f>
        <v>4</v>
      </c>
      <c r="E1523" s="57" t="str">
        <f t="shared" si="1732"/>
        <v>APRILE 2024</v>
      </c>
      <c r="F1523" s="57" t="str">
        <f t="shared" si="1733"/>
        <v>4 APRILE 2024</v>
      </c>
      <c r="G1523" s="1309" t="s">
        <v>91</v>
      </c>
      <c r="H1523" s="1309" t="str">
        <f>VLOOKUP(G1523,CATEGORIE!$H$3:$I$104,2,FALSE)</f>
        <v>COSTO SOPRAVVIVENZA</v>
      </c>
      <c r="I1523" s="59">
        <v>0.4</v>
      </c>
      <c r="J1523" s="940"/>
      <c r="K1523" s="59"/>
      <c r="L1523" s="59"/>
    </row>
    <row r="1524" spans="1:12">
      <c r="A1524" s="57" t="s">
        <v>101</v>
      </c>
      <c r="B1524" s="57" t="s">
        <v>352</v>
      </c>
      <c r="C1524" s="57">
        <v>2024</v>
      </c>
      <c r="D1524" s="58">
        <f>MATCH(B1524,{"GENNAIO","FEBBRAIO","MARZO","APRILE","MAGGIO","GIUGNO","LUGLIO","AGOSTO","SETTEMBRE","OTTOBRE","NOVEMBRE","DICEMBRE"},0)</f>
        <v>4</v>
      </c>
      <c r="E1524" s="57" t="str">
        <f t="shared" si="1732"/>
        <v>APRILE 2024</v>
      </c>
      <c r="F1524" s="57" t="str">
        <f t="shared" si="1733"/>
        <v>4 APRILE 2024</v>
      </c>
      <c r="G1524" s="1309" t="s">
        <v>91</v>
      </c>
      <c r="H1524" s="1309" t="str">
        <f>VLOOKUP(G1524,CATEGORIE!$H$3:$I$104,2,FALSE)</f>
        <v>COSTO SOPRAVVIVENZA</v>
      </c>
      <c r="I1524" s="59">
        <v>0.4</v>
      </c>
      <c r="J1524" s="940"/>
      <c r="K1524" s="59"/>
      <c r="L1524" s="59"/>
    </row>
    <row r="1525" spans="1:12" ht="18.600000000000001" customHeight="1">
      <c r="A1525" s="57" t="s">
        <v>95</v>
      </c>
      <c r="B1525" s="57" t="s">
        <v>352</v>
      </c>
      <c r="C1525" s="57">
        <v>2024</v>
      </c>
      <c r="D1525" s="58">
        <f>MATCH(B1525,{"GENNAIO","FEBBRAIO","MARZO","APRILE","MAGGIO","GIUGNO","LUGLIO","AGOSTO","SETTEMBRE","OTTOBRE","NOVEMBRE","DICEMBRE"},0)</f>
        <v>4</v>
      </c>
      <c r="E1525" s="57" t="str">
        <f t="shared" si="1732"/>
        <v>APRILE 2024</v>
      </c>
      <c r="F1525" s="57" t="str">
        <f t="shared" si="1733"/>
        <v>4 APRILE 2024</v>
      </c>
      <c r="G1525" s="1309" t="s">
        <v>96</v>
      </c>
      <c r="H1525" s="1309" t="str">
        <f>VLOOKUP(G1525,CATEGORIE!$H$3:$I$104,2,FALSE)</f>
        <v>COSTO SOPRAVVIVENZA</v>
      </c>
      <c r="I1525" s="59">
        <v>10.63</v>
      </c>
      <c r="J1525" s="940"/>
      <c r="K1525" s="59"/>
      <c r="L1525" s="59" t="s">
        <v>496</v>
      </c>
    </row>
    <row r="1526" spans="1:12" ht="18.600000000000001" customHeight="1">
      <c r="A1526" s="57" t="s">
        <v>170</v>
      </c>
      <c r="B1526" s="57" t="s">
        <v>352</v>
      </c>
      <c r="C1526" s="57">
        <v>2024</v>
      </c>
      <c r="D1526" s="58">
        <f>MATCH(B1526,{"GENNAIO","FEBBRAIO","MARZO","APRILE","MAGGIO","GIUGNO","LUGLIO","AGOSTO","SETTEMBRE","OTTOBRE","NOVEMBRE","DICEMBRE"},0)</f>
        <v>4</v>
      </c>
      <c r="E1526" s="57" t="str">
        <f t="shared" si="1732"/>
        <v>APRILE 2024</v>
      </c>
      <c r="F1526" s="57" t="str">
        <f t="shared" si="1733"/>
        <v>4 APRILE 2024</v>
      </c>
      <c r="G1526" s="1309" t="s">
        <v>132</v>
      </c>
      <c r="H1526" s="1309" t="str">
        <f>VLOOKUP(G1526,CATEGORIE!$H$3:$I$104,2,FALSE)</f>
        <v>COSTO CASA</v>
      </c>
      <c r="I1526" s="59">
        <v>12</v>
      </c>
      <c r="J1526" s="940"/>
      <c r="K1526" s="59"/>
      <c r="L1526" s="59" t="s">
        <v>496</v>
      </c>
    </row>
    <row r="1527" spans="1:12" ht="16.5" customHeight="1">
      <c r="A1527" s="57" t="s">
        <v>170</v>
      </c>
      <c r="B1527" s="57" t="s">
        <v>352</v>
      </c>
      <c r="C1527" s="57">
        <v>2024</v>
      </c>
      <c r="D1527" s="58">
        <f>MATCH(B1527,{"GENNAIO","FEBBRAIO","MARZO","APRILE","MAGGIO","GIUGNO","LUGLIO","AGOSTO","SETTEMBRE","OTTOBRE","NOVEMBRE","DICEMBRE"},0)</f>
        <v>4</v>
      </c>
      <c r="E1527" s="57" t="str">
        <f t="shared" si="1732"/>
        <v>APRILE 2024</v>
      </c>
      <c r="F1527" s="57" t="str">
        <f t="shared" si="1733"/>
        <v>4 APRILE 2024</v>
      </c>
      <c r="G1527" s="1309" t="s">
        <v>132</v>
      </c>
      <c r="H1527" s="1309" t="str">
        <f>VLOOKUP(G1527,CATEGORIE!$H$3:$I$104,2,FALSE)</f>
        <v>COSTO CASA</v>
      </c>
      <c r="I1527" s="59">
        <v>14.5</v>
      </c>
      <c r="J1527" s="940"/>
      <c r="K1527" s="59"/>
      <c r="L1527" s="59"/>
    </row>
    <row r="1528" spans="1:12" ht="16.5" customHeight="1">
      <c r="A1528" s="57" t="s">
        <v>135</v>
      </c>
      <c r="B1528" s="57" t="s">
        <v>352</v>
      </c>
      <c r="C1528" s="57">
        <v>2024</v>
      </c>
      <c r="D1528" s="58">
        <f>MATCH(B1528,{"GENNAIO","FEBBRAIO","MARZO","APRILE","MAGGIO","GIUGNO","LUGLIO","AGOSTO","SETTEMBRE","OTTOBRE","NOVEMBRE","DICEMBRE"},0)</f>
        <v>4</v>
      </c>
      <c r="E1528" s="57" t="str">
        <f t="shared" si="1732"/>
        <v>APRILE 2024</v>
      </c>
      <c r="F1528" s="57" t="str">
        <f t="shared" si="1733"/>
        <v>4 APRILE 2024</v>
      </c>
      <c r="G1528" s="1309" t="s">
        <v>132</v>
      </c>
      <c r="H1528" s="1309" t="str">
        <f>VLOOKUP(G1528,CATEGORIE!$H$3:$I$104,2,FALSE)</f>
        <v>COSTO CASA</v>
      </c>
      <c r="I1528" s="59">
        <v>17.12</v>
      </c>
      <c r="J1528" s="940"/>
      <c r="K1528" s="59"/>
      <c r="L1528" s="59"/>
    </row>
    <row r="1529" spans="1:12">
      <c r="A1529" s="57" t="s">
        <v>156</v>
      </c>
      <c r="B1529" s="57" t="s">
        <v>352</v>
      </c>
      <c r="C1529" s="57">
        <v>2024</v>
      </c>
      <c r="D1529" s="58">
        <f>MATCH(B1529,{"GENNAIO","FEBBRAIO","MARZO","APRILE","MAGGIO","GIUGNO","LUGLIO","AGOSTO","SETTEMBRE","OTTOBRE","NOVEMBRE","DICEMBRE"},0)</f>
        <v>4</v>
      </c>
      <c r="E1529" s="57" t="str">
        <f t="shared" ref="E1529:E1592" si="1734">CONCATENATE(,B1529," ",C1529)</f>
        <v>APRILE 2024</v>
      </c>
      <c r="F1529" s="57" t="str">
        <f t="shared" ref="F1529:F1592" si="1735">CONCATENATE(D1529," ",E1529)</f>
        <v>4 APRILE 2024</v>
      </c>
      <c r="G1529" s="1309" t="s">
        <v>96</v>
      </c>
      <c r="H1529" s="1309" t="str">
        <f>VLOOKUP(G1529,CATEGORIE!$H$3:$I$104,2,FALSE)</f>
        <v>COSTO SOPRAVVIVENZA</v>
      </c>
      <c r="I1529" s="59">
        <v>64.56</v>
      </c>
      <c r="J1529" s="940"/>
      <c r="K1529" s="59"/>
      <c r="L1529" s="59" t="s">
        <v>496</v>
      </c>
    </row>
    <row r="1530" spans="1:12" ht="18.600000000000001" customHeight="1">
      <c r="A1530" s="57" t="s">
        <v>130</v>
      </c>
      <c r="B1530" s="57" t="s">
        <v>352</v>
      </c>
      <c r="C1530" s="57">
        <v>2024</v>
      </c>
      <c r="D1530" s="58">
        <f>MATCH(B1530,{"GENNAIO","FEBBRAIO","MARZO","APRILE","MAGGIO","GIUGNO","LUGLIO","AGOSTO","SETTEMBRE","OTTOBRE","NOVEMBRE","DICEMBRE"},0)</f>
        <v>4</v>
      </c>
      <c r="E1530" s="57" t="str">
        <f t="shared" si="1734"/>
        <v>APRILE 2024</v>
      </c>
      <c r="F1530" s="57" t="str">
        <f t="shared" si="1735"/>
        <v>4 APRILE 2024</v>
      </c>
      <c r="G1530" s="1309" t="s">
        <v>94</v>
      </c>
      <c r="H1530" s="1309" t="str">
        <f>VLOOKUP(G1530,CATEGORIE!$H$3:$I$104,2,FALSE)</f>
        <v>COSTO SVAGHI</v>
      </c>
      <c r="I1530" s="59">
        <v>14</v>
      </c>
      <c r="J1530" s="940"/>
      <c r="K1530" s="59"/>
      <c r="L1530" s="59"/>
    </row>
    <row r="1531" spans="1:12" ht="16.5" customHeight="1">
      <c r="A1531" s="57" t="s">
        <v>99</v>
      </c>
      <c r="B1531" s="57" t="s">
        <v>352</v>
      </c>
      <c r="C1531" s="57">
        <v>2024</v>
      </c>
      <c r="D1531" s="58">
        <f>MATCH(B1531,{"GENNAIO","FEBBRAIO","MARZO","APRILE","MAGGIO","GIUGNO","LUGLIO","AGOSTO","SETTEMBRE","OTTOBRE","NOVEMBRE","DICEMBRE"},0)</f>
        <v>4</v>
      </c>
      <c r="E1531" s="57" t="str">
        <f t="shared" si="1734"/>
        <v>APRILE 2024</v>
      </c>
      <c r="F1531" s="57" t="str">
        <f t="shared" si="1735"/>
        <v>4 APRILE 2024</v>
      </c>
      <c r="G1531" s="1309" t="s">
        <v>100</v>
      </c>
      <c r="H1531" s="1309" t="str">
        <f>VLOOKUP(G1531,CATEGORIE!$H$3:$I$104,2,FALSE)</f>
        <v>COSTO SFIZI</v>
      </c>
      <c r="I1531" s="59">
        <v>17.48</v>
      </c>
      <c r="J1531" s="940"/>
      <c r="K1531" s="57" t="s">
        <v>99</v>
      </c>
      <c r="L1531" s="59"/>
    </row>
    <row r="1532" spans="1:12">
      <c r="A1532" s="57" t="s">
        <v>497</v>
      </c>
      <c r="B1532" s="57" t="s">
        <v>352</v>
      </c>
      <c r="C1532" s="57">
        <v>2024</v>
      </c>
      <c r="D1532" s="58">
        <f>MATCH(B1532,{"GENNAIO","FEBBRAIO","MARZO","APRILE","MAGGIO","GIUGNO","LUGLIO","AGOSTO","SETTEMBRE","OTTOBRE","NOVEMBRE","DICEMBRE"},0)</f>
        <v>4</v>
      </c>
      <c r="E1532" s="57" t="str">
        <f t="shared" si="1734"/>
        <v>APRILE 2024</v>
      </c>
      <c r="F1532" s="57" t="str">
        <f t="shared" si="1735"/>
        <v>4 APRILE 2024</v>
      </c>
      <c r="G1532" s="1309" t="s">
        <v>116</v>
      </c>
      <c r="H1532" s="1309" t="str">
        <f>VLOOKUP(G1532,CATEGORIE!$H$3:$I$104,2,FALSE)</f>
        <v>TASSE</v>
      </c>
      <c r="I1532" s="59">
        <v>20.190000000000001</v>
      </c>
      <c r="J1532" s="940"/>
      <c r="K1532" s="59"/>
      <c r="L1532" s="59"/>
    </row>
    <row r="1533" spans="1:12" ht="16.5" customHeight="1">
      <c r="A1533" s="57" t="s">
        <v>102</v>
      </c>
      <c r="B1533" s="57" t="s">
        <v>352</v>
      </c>
      <c r="C1533" s="57">
        <v>2024</v>
      </c>
      <c r="D1533" s="58">
        <f>MATCH(B1533,{"GENNAIO","FEBBRAIO","MARZO","APRILE","MAGGIO","GIUGNO","LUGLIO","AGOSTO","SETTEMBRE","OTTOBRE","NOVEMBRE","DICEMBRE"},0)</f>
        <v>4</v>
      </c>
      <c r="E1533" s="57" t="str">
        <f t="shared" si="1734"/>
        <v>APRILE 2024</v>
      </c>
      <c r="F1533" s="57" t="str">
        <f t="shared" si="1735"/>
        <v>4 APRILE 2024</v>
      </c>
      <c r="G1533" s="1309" t="s">
        <v>96</v>
      </c>
      <c r="H1533" s="1309" t="str">
        <f>VLOOKUP(G1533,CATEGORIE!$H$3:$I$104,2,FALSE)</f>
        <v>COSTO SOPRAVVIVENZA</v>
      </c>
      <c r="I1533" s="59">
        <v>32.520000000000003</v>
      </c>
      <c r="J1533" s="940"/>
      <c r="K1533" s="59"/>
      <c r="L1533" s="59" t="s">
        <v>498</v>
      </c>
    </row>
    <row r="1534" spans="1:12" ht="16.5" customHeight="1">
      <c r="A1534" s="57" t="s">
        <v>99</v>
      </c>
      <c r="B1534" s="57" t="s">
        <v>352</v>
      </c>
      <c r="C1534" s="57">
        <v>2024</v>
      </c>
      <c r="D1534" s="58">
        <f>MATCH(B1534,{"GENNAIO","FEBBRAIO","MARZO","APRILE","MAGGIO","GIUGNO","LUGLIO","AGOSTO","SETTEMBRE","OTTOBRE","NOVEMBRE","DICEMBRE"},0)</f>
        <v>4</v>
      </c>
      <c r="E1534" s="57" t="str">
        <f t="shared" si="1734"/>
        <v>APRILE 2024</v>
      </c>
      <c r="F1534" s="57" t="str">
        <f t="shared" si="1735"/>
        <v>4 APRILE 2024</v>
      </c>
      <c r="G1534" s="1309" t="s">
        <v>100</v>
      </c>
      <c r="H1534" s="1309" t="str">
        <f>VLOOKUP(G1534,CATEGORIE!$H$3:$I$104,2,FALSE)</f>
        <v>COSTO SFIZI</v>
      </c>
      <c r="I1534" s="59">
        <v>15</v>
      </c>
      <c r="J1534" s="940" t="s">
        <v>124</v>
      </c>
      <c r="K1534" s="57" t="s">
        <v>99</v>
      </c>
      <c r="L1534" s="59" t="s">
        <v>483</v>
      </c>
    </row>
    <row r="1535" spans="1:12">
      <c r="A1535" s="57" t="s">
        <v>92</v>
      </c>
      <c r="B1535" s="57" t="s">
        <v>352</v>
      </c>
      <c r="C1535" s="57">
        <v>2024</v>
      </c>
      <c r="D1535" s="58">
        <f>MATCH(B1535,{"GENNAIO","FEBBRAIO","MARZO","APRILE","MAGGIO","GIUGNO","LUGLIO","AGOSTO","SETTEMBRE","OTTOBRE","NOVEMBRE","DICEMBRE"},0)</f>
        <v>4</v>
      </c>
      <c r="E1535" s="57" t="str">
        <f t="shared" si="1734"/>
        <v>APRILE 2024</v>
      </c>
      <c r="F1535" s="57" t="str">
        <f t="shared" si="1735"/>
        <v>4 APRILE 2024</v>
      </c>
      <c r="G1535" s="1309" t="s">
        <v>93</v>
      </c>
      <c r="H1535" s="1309" t="str">
        <f>VLOOKUP(G1535,CATEGORIE!$H$3:$I$104,2,FALSE)</f>
        <v>COSTO SOPRAVVIVENZA</v>
      </c>
      <c r="I1535" s="59">
        <v>5</v>
      </c>
      <c r="J1535" s="940"/>
      <c r="K1535" s="59"/>
      <c r="L1535" s="59"/>
    </row>
    <row r="1536" spans="1:12" ht="16.5" customHeight="1">
      <c r="A1536" s="57" t="s">
        <v>101</v>
      </c>
      <c r="B1536" s="57" t="s">
        <v>90</v>
      </c>
      <c r="C1536" s="57">
        <v>2024</v>
      </c>
      <c r="D1536" s="58">
        <f>MATCH(B1536,{"GENNAIO","FEBBRAIO","MARZO","APRILE","MAGGIO","GIUGNO","LUGLIO","AGOSTO","SETTEMBRE","OTTOBRE","NOVEMBRE","DICEMBRE"},0)</f>
        <v>3</v>
      </c>
      <c r="E1536" s="57" t="str">
        <f t="shared" si="1734"/>
        <v>MARZO 2024</v>
      </c>
      <c r="F1536" s="57" t="str">
        <f t="shared" si="1735"/>
        <v>3 MARZO 2024</v>
      </c>
      <c r="G1536" s="1309" t="s">
        <v>91</v>
      </c>
      <c r="H1536" s="1309" t="str">
        <f>VLOOKUP(G1536,CATEGORIE!$H$3:$I$104,2,FALSE)</f>
        <v>COSTO SOPRAVVIVENZA</v>
      </c>
      <c r="I1536" s="59">
        <v>0.4</v>
      </c>
      <c r="J1536" s="940"/>
      <c r="K1536" s="59"/>
      <c r="L1536" s="59"/>
    </row>
    <row r="1537" spans="1:12">
      <c r="A1537" s="57" t="s">
        <v>101</v>
      </c>
      <c r="B1537" s="57" t="s">
        <v>90</v>
      </c>
      <c r="C1537" s="57">
        <v>2024</v>
      </c>
      <c r="D1537" s="58">
        <f>MATCH(B1537,{"GENNAIO","FEBBRAIO","MARZO","APRILE","MAGGIO","GIUGNO","LUGLIO","AGOSTO","SETTEMBRE","OTTOBRE","NOVEMBRE","DICEMBRE"},0)</f>
        <v>3</v>
      </c>
      <c r="E1537" s="57" t="str">
        <f t="shared" si="1734"/>
        <v>MARZO 2024</v>
      </c>
      <c r="F1537" s="57" t="str">
        <f t="shared" si="1735"/>
        <v>3 MARZO 2024</v>
      </c>
      <c r="G1537" s="1309" t="s">
        <v>91</v>
      </c>
      <c r="H1537" s="1309" t="str">
        <f>VLOOKUP(G1537,CATEGORIE!$H$3:$I$104,2,FALSE)</f>
        <v>COSTO SOPRAVVIVENZA</v>
      </c>
      <c r="I1537" s="59">
        <v>0.4</v>
      </c>
      <c r="J1537" s="940"/>
      <c r="K1537" s="59"/>
      <c r="L1537" s="59"/>
    </row>
    <row r="1538" spans="1:12" ht="16.5" customHeight="1">
      <c r="A1538" s="57" t="s">
        <v>95</v>
      </c>
      <c r="B1538" s="57" t="s">
        <v>90</v>
      </c>
      <c r="C1538" s="57">
        <v>2024</v>
      </c>
      <c r="D1538" s="58">
        <f>MATCH(B1538,{"GENNAIO","FEBBRAIO","MARZO","APRILE","MAGGIO","GIUGNO","LUGLIO","AGOSTO","SETTEMBRE","OTTOBRE","NOVEMBRE","DICEMBRE"},0)</f>
        <v>3</v>
      </c>
      <c r="E1538" s="57" t="str">
        <f t="shared" si="1734"/>
        <v>MARZO 2024</v>
      </c>
      <c r="F1538" s="57" t="str">
        <f t="shared" si="1735"/>
        <v>3 MARZO 2024</v>
      </c>
      <c r="G1538" s="1309" t="s">
        <v>96</v>
      </c>
      <c r="H1538" s="1309" t="str">
        <f>VLOOKUP(G1538,CATEGORIE!$H$3:$I$104,2,FALSE)</f>
        <v>COSTO SOPRAVVIVENZA</v>
      </c>
      <c r="I1538" s="59">
        <v>12.13</v>
      </c>
      <c r="J1538" s="940"/>
      <c r="K1538" s="59"/>
      <c r="L1538" s="59"/>
    </row>
    <row r="1539" spans="1:12" ht="16.5" customHeight="1">
      <c r="A1539" s="57" t="s">
        <v>101</v>
      </c>
      <c r="B1539" s="57" t="s">
        <v>90</v>
      </c>
      <c r="C1539" s="57">
        <v>2024</v>
      </c>
      <c r="D1539" s="58">
        <f>MATCH(B1539,{"GENNAIO","FEBBRAIO","MARZO","APRILE","MAGGIO","GIUGNO","LUGLIO","AGOSTO","SETTEMBRE","OTTOBRE","NOVEMBRE","DICEMBRE"},0)</f>
        <v>3</v>
      </c>
      <c r="E1539" s="57" t="str">
        <f t="shared" si="1734"/>
        <v>MARZO 2024</v>
      </c>
      <c r="F1539" s="57" t="str">
        <f t="shared" si="1735"/>
        <v>3 MARZO 2024</v>
      </c>
      <c r="G1539" s="1309" t="s">
        <v>91</v>
      </c>
      <c r="H1539" s="1309" t="str">
        <f>VLOOKUP(G1539,CATEGORIE!$H$3:$I$104,2,FALSE)</f>
        <v>COSTO SOPRAVVIVENZA</v>
      </c>
      <c r="I1539" s="59">
        <v>0.4</v>
      </c>
      <c r="J1539" s="940"/>
      <c r="K1539" s="59"/>
      <c r="L1539" s="59"/>
    </row>
    <row r="1540" spans="1:12" ht="16.5" customHeight="1">
      <c r="A1540" s="57" t="s">
        <v>92</v>
      </c>
      <c r="B1540" s="57" t="s">
        <v>90</v>
      </c>
      <c r="C1540" s="57">
        <v>2024</v>
      </c>
      <c r="D1540" s="58">
        <f>MATCH(B1540,{"GENNAIO","FEBBRAIO","MARZO","APRILE","MAGGIO","GIUGNO","LUGLIO","AGOSTO","SETTEMBRE","OTTOBRE","NOVEMBRE","DICEMBRE"},0)</f>
        <v>3</v>
      </c>
      <c r="E1540" s="57" t="str">
        <f t="shared" si="1734"/>
        <v>MARZO 2024</v>
      </c>
      <c r="F1540" s="57" t="str">
        <f t="shared" si="1735"/>
        <v>3 MARZO 2024</v>
      </c>
      <c r="G1540" s="1309" t="s">
        <v>93</v>
      </c>
      <c r="H1540" s="1309" t="str">
        <f>VLOOKUP(G1540,CATEGORIE!$H$3:$I$104,2,FALSE)</f>
        <v>COSTO SOPRAVVIVENZA</v>
      </c>
      <c r="I1540" s="59">
        <v>5</v>
      </c>
      <c r="J1540" s="940"/>
      <c r="K1540" s="59"/>
      <c r="L1540" s="59"/>
    </row>
    <row r="1541" spans="1:12" ht="18.600000000000001" customHeight="1">
      <c r="A1541" s="57" t="s">
        <v>101</v>
      </c>
      <c r="B1541" s="57" t="s">
        <v>90</v>
      </c>
      <c r="C1541" s="57">
        <v>2024</v>
      </c>
      <c r="D1541" s="58">
        <f>MATCH(B1541,{"GENNAIO","FEBBRAIO","MARZO","APRILE","MAGGIO","GIUGNO","LUGLIO","AGOSTO","SETTEMBRE","OTTOBRE","NOVEMBRE","DICEMBRE"},0)</f>
        <v>3</v>
      </c>
      <c r="E1541" s="57" t="str">
        <f t="shared" si="1734"/>
        <v>MARZO 2024</v>
      </c>
      <c r="F1541" s="57" t="str">
        <f t="shared" si="1735"/>
        <v>3 MARZO 2024</v>
      </c>
      <c r="G1541" s="1309" t="s">
        <v>91</v>
      </c>
      <c r="H1541" s="1309" t="str">
        <f>VLOOKUP(G1541,CATEGORIE!$H$3:$I$104,2,FALSE)</f>
        <v>COSTO SOPRAVVIVENZA</v>
      </c>
      <c r="I1541" s="59">
        <v>0.4</v>
      </c>
      <c r="J1541" s="940"/>
      <c r="K1541" s="59"/>
      <c r="L1541" s="59"/>
    </row>
    <row r="1542" spans="1:12" ht="16.5" customHeight="1">
      <c r="A1542" s="57" t="s">
        <v>101</v>
      </c>
      <c r="B1542" s="57" t="s">
        <v>90</v>
      </c>
      <c r="C1542" s="57">
        <v>2024</v>
      </c>
      <c r="D1542" s="58">
        <f>MATCH(B1542,{"GENNAIO","FEBBRAIO","MARZO","APRILE","MAGGIO","GIUGNO","LUGLIO","AGOSTO","SETTEMBRE","OTTOBRE","NOVEMBRE","DICEMBRE"},0)</f>
        <v>3</v>
      </c>
      <c r="E1542" s="57" t="str">
        <f t="shared" si="1734"/>
        <v>MARZO 2024</v>
      </c>
      <c r="F1542" s="57" t="str">
        <f t="shared" si="1735"/>
        <v>3 MARZO 2024</v>
      </c>
      <c r="G1542" s="1309" t="s">
        <v>91</v>
      </c>
      <c r="H1542" s="1309" t="str">
        <f>VLOOKUP(G1542,CATEGORIE!$H$3:$I$104,2,FALSE)</f>
        <v>COSTO SOPRAVVIVENZA</v>
      </c>
      <c r="I1542" s="59">
        <v>0.4</v>
      </c>
      <c r="J1542" s="940"/>
      <c r="K1542" s="59"/>
      <c r="L1542" s="59"/>
    </row>
    <row r="1543" spans="1:12" ht="18.600000000000001" customHeight="1">
      <c r="A1543" s="57" t="s">
        <v>101</v>
      </c>
      <c r="B1543" s="57" t="s">
        <v>90</v>
      </c>
      <c r="C1543" s="57">
        <v>2024</v>
      </c>
      <c r="D1543" s="58">
        <f>MATCH(B1543,{"GENNAIO","FEBBRAIO","MARZO","APRILE","MAGGIO","GIUGNO","LUGLIO","AGOSTO","SETTEMBRE","OTTOBRE","NOVEMBRE","DICEMBRE"},0)</f>
        <v>3</v>
      </c>
      <c r="E1543" s="57" t="str">
        <f t="shared" si="1734"/>
        <v>MARZO 2024</v>
      </c>
      <c r="F1543" s="57" t="str">
        <f t="shared" si="1735"/>
        <v>3 MARZO 2024</v>
      </c>
      <c r="G1543" s="1309" t="s">
        <v>91</v>
      </c>
      <c r="H1543" s="1309" t="str">
        <f>VLOOKUP(G1543,CATEGORIE!$H$3:$I$104,2,FALSE)</f>
        <v>COSTO SOPRAVVIVENZA</v>
      </c>
      <c r="I1543" s="59">
        <v>0.4</v>
      </c>
      <c r="J1543" s="940"/>
      <c r="K1543" s="59"/>
      <c r="L1543" s="59"/>
    </row>
    <row r="1544" spans="1:12" ht="16.5" customHeight="1">
      <c r="A1544" s="57" t="s">
        <v>357</v>
      </c>
      <c r="B1544" s="57" t="s">
        <v>90</v>
      </c>
      <c r="C1544" s="57">
        <v>2024</v>
      </c>
      <c r="D1544" s="58">
        <f>MATCH(B1544,{"GENNAIO","FEBBRAIO","MARZO","APRILE","MAGGIO","GIUGNO","LUGLIO","AGOSTO","SETTEMBRE","OTTOBRE","NOVEMBRE","DICEMBRE"},0)</f>
        <v>3</v>
      </c>
      <c r="E1544" s="57" t="str">
        <f t="shared" si="1734"/>
        <v>MARZO 2024</v>
      </c>
      <c r="F1544" s="57" t="str">
        <f t="shared" si="1735"/>
        <v>3 MARZO 2024</v>
      </c>
      <c r="G1544" s="1309" t="s">
        <v>96</v>
      </c>
      <c r="H1544" s="1309" t="str">
        <f>VLOOKUP(G1544,CATEGORIE!$H$3:$I$104,2,FALSE)</f>
        <v>COSTO SOPRAVVIVENZA</v>
      </c>
      <c r="I1544" s="59">
        <v>15.48</v>
      </c>
      <c r="J1544" s="940"/>
      <c r="K1544" s="59"/>
      <c r="L1544" s="59"/>
    </row>
    <row r="1545" spans="1:12" ht="16.5" customHeight="1">
      <c r="A1545" s="57" t="s">
        <v>99</v>
      </c>
      <c r="B1545" s="57" t="s">
        <v>90</v>
      </c>
      <c r="C1545" s="57">
        <v>2024</v>
      </c>
      <c r="D1545" s="58">
        <f>MATCH(B1545,{"GENNAIO","FEBBRAIO","MARZO","APRILE","MAGGIO","GIUGNO","LUGLIO","AGOSTO","SETTEMBRE","OTTOBRE","NOVEMBRE","DICEMBRE"},0)</f>
        <v>3</v>
      </c>
      <c r="E1545" s="57" t="str">
        <f t="shared" si="1734"/>
        <v>MARZO 2024</v>
      </c>
      <c r="F1545" s="57" t="str">
        <f t="shared" si="1735"/>
        <v>3 MARZO 2024</v>
      </c>
      <c r="G1545" s="1309" t="s">
        <v>100</v>
      </c>
      <c r="H1545" s="1309" t="str">
        <f>VLOOKUP(G1545,CATEGORIE!$H$3:$I$104,2,FALSE)</f>
        <v>COSTO SFIZI</v>
      </c>
      <c r="I1545" s="59">
        <v>24.68</v>
      </c>
      <c r="J1545" s="940"/>
      <c r="K1545" s="57" t="s">
        <v>99</v>
      </c>
      <c r="L1545" s="59"/>
    </row>
    <row r="1546" spans="1:12" ht="16.5" customHeight="1">
      <c r="A1546" s="57" t="s">
        <v>102</v>
      </c>
      <c r="B1546" s="57" t="s">
        <v>90</v>
      </c>
      <c r="C1546" s="57">
        <v>2024</v>
      </c>
      <c r="D1546" s="58">
        <f>MATCH(B1546,{"GENNAIO","FEBBRAIO","MARZO","APRILE","MAGGIO","GIUGNO","LUGLIO","AGOSTO","SETTEMBRE","OTTOBRE","NOVEMBRE","DICEMBRE"},0)</f>
        <v>3</v>
      </c>
      <c r="E1546" s="57" t="str">
        <f t="shared" si="1734"/>
        <v>MARZO 2024</v>
      </c>
      <c r="F1546" s="57" t="str">
        <f t="shared" si="1735"/>
        <v>3 MARZO 2024</v>
      </c>
      <c r="G1546" s="1309" t="s">
        <v>96</v>
      </c>
      <c r="H1546" s="1309" t="str">
        <f>VLOOKUP(G1546,CATEGORIE!$H$3:$I$104,2,FALSE)</f>
        <v>COSTO SOPRAVVIVENZA</v>
      </c>
      <c r="I1546" s="59">
        <v>5.13</v>
      </c>
      <c r="J1546" s="940"/>
      <c r="K1546" s="59"/>
      <c r="L1546" s="59"/>
    </row>
    <row r="1547" spans="1:12">
      <c r="A1547" s="57" t="s">
        <v>101</v>
      </c>
      <c r="B1547" s="57" t="s">
        <v>90</v>
      </c>
      <c r="C1547" s="57">
        <v>2024</v>
      </c>
      <c r="D1547" s="58">
        <f>MATCH(B1547,{"GENNAIO","FEBBRAIO","MARZO","APRILE","MAGGIO","GIUGNO","LUGLIO","AGOSTO","SETTEMBRE","OTTOBRE","NOVEMBRE","DICEMBRE"},0)</f>
        <v>3</v>
      </c>
      <c r="E1547" s="57" t="str">
        <f t="shared" si="1734"/>
        <v>MARZO 2024</v>
      </c>
      <c r="F1547" s="57" t="str">
        <f t="shared" si="1735"/>
        <v>3 MARZO 2024</v>
      </c>
      <c r="G1547" s="1309" t="s">
        <v>91</v>
      </c>
      <c r="H1547" s="1309" t="str">
        <f>VLOOKUP(G1547,CATEGORIE!$H$3:$I$104,2,FALSE)</f>
        <v>COSTO SOPRAVVIVENZA</v>
      </c>
      <c r="I1547" s="59">
        <v>0.4</v>
      </c>
      <c r="J1547" s="940"/>
      <c r="K1547" s="59"/>
      <c r="L1547" s="59"/>
    </row>
    <row r="1548" spans="1:12" ht="16.5" customHeight="1">
      <c r="A1548" s="57" t="s">
        <v>101</v>
      </c>
      <c r="B1548" s="57" t="s">
        <v>90</v>
      </c>
      <c r="C1548" s="57">
        <v>2024</v>
      </c>
      <c r="D1548" s="58">
        <f>MATCH(B1548,{"GENNAIO","FEBBRAIO","MARZO","APRILE","MAGGIO","GIUGNO","LUGLIO","AGOSTO","SETTEMBRE","OTTOBRE","NOVEMBRE","DICEMBRE"},0)</f>
        <v>3</v>
      </c>
      <c r="E1548" s="57" t="str">
        <f t="shared" si="1734"/>
        <v>MARZO 2024</v>
      </c>
      <c r="F1548" s="57" t="str">
        <f t="shared" si="1735"/>
        <v>3 MARZO 2024</v>
      </c>
      <c r="G1548" s="1309" t="s">
        <v>91</v>
      </c>
      <c r="H1548" s="1309" t="str">
        <f>VLOOKUP(G1548,CATEGORIE!$H$3:$I$104,2,FALSE)</f>
        <v>COSTO SOPRAVVIVENZA</v>
      </c>
      <c r="I1548" s="59">
        <v>0.4</v>
      </c>
      <c r="J1548" s="940"/>
      <c r="K1548" s="59"/>
      <c r="L1548" s="59"/>
    </row>
    <row r="1549" spans="1:12" ht="16.5" customHeight="1">
      <c r="A1549" s="57" t="s">
        <v>101</v>
      </c>
      <c r="B1549" s="57" t="s">
        <v>90</v>
      </c>
      <c r="C1549" s="57">
        <v>2024</v>
      </c>
      <c r="D1549" s="58">
        <f>MATCH(B1549,{"GENNAIO","FEBBRAIO","MARZO","APRILE","MAGGIO","GIUGNO","LUGLIO","AGOSTO","SETTEMBRE","OTTOBRE","NOVEMBRE","DICEMBRE"},0)</f>
        <v>3</v>
      </c>
      <c r="E1549" s="57" t="str">
        <f t="shared" si="1734"/>
        <v>MARZO 2024</v>
      </c>
      <c r="F1549" s="57" t="str">
        <f t="shared" si="1735"/>
        <v>3 MARZO 2024</v>
      </c>
      <c r="G1549" s="1309" t="s">
        <v>91</v>
      </c>
      <c r="H1549" s="1309" t="str">
        <f>VLOOKUP(G1549,CATEGORIE!$H$3:$I$104,2,FALSE)</f>
        <v>COSTO SOPRAVVIVENZA</v>
      </c>
      <c r="I1549" s="59">
        <v>0.4</v>
      </c>
      <c r="J1549" s="940"/>
      <c r="K1549" s="59"/>
      <c r="L1549" s="59"/>
    </row>
    <row r="1550" spans="1:12">
      <c r="A1550" s="57" t="s">
        <v>499</v>
      </c>
      <c r="B1550" s="57" t="s">
        <v>90</v>
      </c>
      <c r="C1550" s="57">
        <v>2024</v>
      </c>
      <c r="D1550" s="58">
        <f>MATCH(B1550,{"GENNAIO","FEBBRAIO","MARZO","APRILE","MAGGIO","GIUGNO","LUGLIO","AGOSTO","SETTEMBRE","OTTOBRE","NOVEMBRE","DICEMBRE"},0)</f>
        <v>3</v>
      </c>
      <c r="E1550" s="57" t="str">
        <f t="shared" si="1734"/>
        <v>MARZO 2024</v>
      </c>
      <c r="F1550" s="57" t="str">
        <f t="shared" si="1735"/>
        <v>3 MARZO 2024</v>
      </c>
      <c r="G1550" s="1309" t="s">
        <v>94</v>
      </c>
      <c r="H1550" s="1309" t="str">
        <f>VLOOKUP(G1550,CATEGORIE!$H$3:$I$104,2,FALSE)</f>
        <v>COSTO SVAGHI</v>
      </c>
      <c r="I1550" s="59">
        <v>2.39</v>
      </c>
      <c r="J1550" s="940"/>
      <c r="K1550" s="59"/>
      <c r="L1550" s="59"/>
    </row>
    <row r="1551" spans="1:12">
      <c r="A1551" s="57" t="s">
        <v>99</v>
      </c>
      <c r="B1551" s="57" t="s">
        <v>90</v>
      </c>
      <c r="C1551" s="57">
        <v>2024</v>
      </c>
      <c r="D1551" s="58">
        <f>MATCH(B1551,{"GENNAIO","FEBBRAIO","MARZO","APRILE","MAGGIO","GIUGNO","LUGLIO","AGOSTO","SETTEMBRE","OTTOBRE","NOVEMBRE","DICEMBRE"},0)</f>
        <v>3</v>
      </c>
      <c r="E1551" s="57" t="str">
        <f t="shared" si="1734"/>
        <v>MARZO 2024</v>
      </c>
      <c r="F1551" s="57" t="str">
        <f t="shared" si="1735"/>
        <v>3 MARZO 2024</v>
      </c>
      <c r="G1551" s="1309" t="s">
        <v>100</v>
      </c>
      <c r="H1551" s="1309" t="str">
        <f>VLOOKUP(G1551,CATEGORIE!$H$3:$I$104,2,FALSE)</f>
        <v>COSTO SFIZI</v>
      </c>
      <c r="I1551" s="59">
        <v>15</v>
      </c>
      <c r="J1551" s="940" t="s">
        <v>138</v>
      </c>
      <c r="K1551" s="57" t="s">
        <v>99</v>
      </c>
      <c r="L1551" s="59" t="s">
        <v>483</v>
      </c>
    </row>
    <row r="1552" spans="1:12">
      <c r="A1552" s="57" t="s">
        <v>101</v>
      </c>
      <c r="B1552" s="57" t="s">
        <v>90</v>
      </c>
      <c r="C1552" s="57">
        <v>2024</v>
      </c>
      <c r="D1552" s="58">
        <f>MATCH(B1552,{"GENNAIO","FEBBRAIO","MARZO","APRILE","MAGGIO","GIUGNO","LUGLIO","AGOSTO","SETTEMBRE","OTTOBRE","NOVEMBRE","DICEMBRE"},0)</f>
        <v>3</v>
      </c>
      <c r="E1552" s="57" t="str">
        <f t="shared" si="1734"/>
        <v>MARZO 2024</v>
      </c>
      <c r="F1552" s="57" t="str">
        <f t="shared" si="1735"/>
        <v>3 MARZO 2024</v>
      </c>
      <c r="G1552" s="1309" t="s">
        <v>91</v>
      </c>
      <c r="H1552" s="1309" t="str">
        <f>VLOOKUP(G1552,CATEGORIE!$H$3:$I$104,2,FALSE)</f>
        <v>COSTO SOPRAVVIVENZA</v>
      </c>
      <c r="I1552" s="59">
        <v>0.4</v>
      </c>
      <c r="J1552" s="940"/>
      <c r="K1552" s="59"/>
      <c r="L1552" s="59"/>
    </row>
    <row r="1553" spans="1:12" ht="16.5" customHeight="1">
      <c r="A1553" s="57" t="s">
        <v>110</v>
      </c>
      <c r="B1553" s="57" t="s">
        <v>90</v>
      </c>
      <c r="C1553" s="57">
        <v>2024</v>
      </c>
      <c r="D1553" s="58">
        <f>MATCH(B1553,{"GENNAIO","FEBBRAIO","MARZO","APRILE","MAGGIO","GIUGNO","LUGLIO","AGOSTO","SETTEMBRE","OTTOBRE","NOVEMBRE","DICEMBRE"},0)</f>
        <v>3</v>
      </c>
      <c r="E1553" s="57" t="str">
        <f t="shared" si="1734"/>
        <v>MARZO 2024</v>
      </c>
      <c r="F1553" s="57" t="str">
        <f t="shared" si="1735"/>
        <v>3 MARZO 2024</v>
      </c>
      <c r="G1553" s="1309" t="s">
        <v>111</v>
      </c>
      <c r="H1553" s="1309" t="str">
        <f>VLOOKUP(G1553,CATEGORIE!$H$3:$I$104,2,FALSE)</f>
        <v>COSTO MOBILITA'</v>
      </c>
      <c r="I1553" s="59">
        <v>6.3</v>
      </c>
      <c r="J1553" s="940"/>
      <c r="K1553" s="59" t="s">
        <v>112</v>
      </c>
      <c r="L1553" s="59"/>
    </row>
    <row r="1554" spans="1:12" ht="16.5" customHeight="1">
      <c r="A1554" s="57" t="s">
        <v>95</v>
      </c>
      <c r="B1554" s="57" t="s">
        <v>90</v>
      </c>
      <c r="C1554" s="57">
        <v>2024</v>
      </c>
      <c r="D1554" s="58">
        <f>MATCH(B1554,{"GENNAIO","FEBBRAIO","MARZO","APRILE","MAGGIO","GIUGNO","LUGLIO","AGOSTO","SETTEMBRE","OTTOBRE","NOVEMBRE","DICEMBRE"},0)</f>
        <v>3</v>
      </c>
      <c r="E1554" s="57" t="str">
        <f t="shared" si="1734"/>
        <v>MARZO 2024</v>
      </c>
      <c r="F1554" s="57" t="str">
        <f t="shared" si="1735"/>
        <v>3 MARZO 2024</v>
      </c>
      <c r="G1554" s="1309" t="s">
        <v>96</v>
      </c>
      <c r="H1554" s="1309" t="str">
        <f>VLOOKUP(G1554,CATEGORIE!$H$3:$I$104,2,FALSE)</f>
        <v>COSTO SOPRAVVIVENZA</v>
      </c>
      <c r="I1554" s="59">
        <v>10.82</v>
      </c>
      <c r="J1554" s="940"/>
      <c r="K1554" s="59"/>
      <c r="L1554" s="59"/>
    </row>
    <row r="1555" spans="1:12">
      <c r="A1555" s="57" t="s">
        <v>398</v>
      </c>
      <c r="B1555" s="57" t="s">
        <v>90</v>
      </c>
      <c r="C1555" s="57">
        <v>2024</v>
      </c>
      <c r="D1555" s="58">
        <f>MATCH(B1555,{"GENNAIO","FEBBRAIO","MARZO","APRILE","MAGGIO","GIUGNO","LUGLIO","AGOSTO","SETTEMBRE","OTTOBRE","NOVEMBRE","DICEMBRE"},0)</f>
        <v>3</v>
      </c>
      <c r="E1555" s="57" t="str">
        <f t="shared" si="1734"/>
        <v>MARZO 2024</v>
      </c>
      <c r="F1555" s="57" t="str">
        <f t="shared" si="1735"/>
        <v>3 MARZO 2024</v>
      </c>
      <c r="G1555" s="1309" t="s">
        <v>94</v>
      </c>
      <c r="H1555" s="1309" t="str">
        <f>VLOOKUP(G1555,CATEGORIE!$H$3:$I$104,2,FALSE)</f>
        <v>COSTO SVAGHI</v>
      </c>
      <c r="I1555" s="59">
        <v>7.5</v>
      </c>
      <c r="J1555" s="940"/>
      <c r="K1555" s="59"/>
      <c r="L1555" s="59"/>
    </row>
    <row r="1556" spans="1:12">
      <c r="A1556" s="57" t="s">
        <v>130</v>
      </c>
      <c r="B1556" s="57" t="s">
        <v>90</v>
      </c>
      <c r="C1556" s="57">
        <v>2024</v>
      </c>
      <c r="D1556" s="58">
        <f>MATCH(B1556,{"GENNAIO","FEBBRAIO","MARZO","APRILE","MAGGIO","GIUGNO","LUGLIO","AGOSTO","SETTEMBRE","OTTOBRE","NOVEMBRE","DICEMBRE"},0)</f>
        <v>3</v>
      </c>
      <c r="E1556" s="57" t="str">
        <f t="shared" si="1734"/>
        <v>MARZO 2024</v>
      </c>
      <c r="F1556" s="57" t="str">
        <f t="shared" si="1735"/>
        <v>3 MARZO 2024</v>
      </c>
      <c r="G1556" s="1309" t="s">
        <v>94</v>
      </c>
      <c r="H1556" s="1309" t="str">
        <f>VLOOKUP(G1556,CATEGORIE!$H$3:$I$104,2,FALSE)</f>
        <v>COSTO SVAGHI</v>
      </c>
      <c r="I1556" s="59">
        <v>33</v>
      </c>
      <c r="J1556" s="940"/>
      <c r="K1556" s="59"/>
      <c r="L1556" s="59"/>
    </row>
    <row r="1557" spans="1:12" ht="16.5" customHeight="1">
      <c r="A1557" s="57" t="s">
        <v>99</v>
      </c>
      <c r="B1557" s="57" t="s">
        <v>90</v>
      </c>
      <c r="C1557" s="57">
        <v>2024</v>
      </c>
      <c r="D1557" s="58">
        <f>MATCH(B1557,{"GENNAIO","FEBBRAIO","MARZO","APRILE","MAGGIO","GIUGNO","LUGLIO","AGOSTO","SETTEMBRE","OTTOBRE","NOVEMBRE","DICEMBRE"},0)</f>
        <v>3</v>
      </c>
      <c r="E1557" s="57" t="str">
        <f t="shared" si="1734"/>
        <v>MARZO 2024</v>
      </c>
      <c r="F1557" s="57" t="str">
        <f t="shared" si="1735"/>
        <v>3 MARZO 2024</v>
      </c>
      <c r="G1557" s="1309" t="s">
        <v>100</v>
      </c>
      <c r="H1557" s="1309" t="str">
        <f>VLOOKUP(G1557,CATEGORIE!$H$3:$I$104,2,FALSE)</f>
        <v>COSTO SFIZI</v>
      </c>
      <c r="I1557" s="59">
        <v>50</v>
      </c>
      <c r="J1557" s="940"/>
      <c r="K1557" s="57" t="s">
        <v>99</v>
      </c>
      <c r="L1557" s="59"/>
    </row>
    <row r="1558" spans="1:12" ht="16.5" customHeight="1">
      <c r="A1558" s="57" t="s">
        <v>106</v>
      </c>
      <c r="B1558" s="57" t="s">
        <v>90</v>
      </c>
      <c r="C1558" s="57">
        <v>2024</v>
      </c>
      <c r="D1558" s="58">
        <f>MATCH(B1558,{"GENNAIO","FEBBRAIO","MARZO","APRILE","MAGGIO","GIUGNO","LUGLIO","AGOSTO","SETTEMBRE","OTTOBRE","NOVEMBRE","DICEMBRE"},0)</f>
        <v>3</v>
      </c>
      <c r="E1558" s="57" t="str">
        <f t="shared" si="1734"/>
        <v>MARZO 2024</v>
      </c>
      <c r="F1558" s="57" t="str">
        <f t="shared" si="1735"/>
        <v>3 MARZO 2024</v>
      </c>
      <c r="G1558" s="1309" t="s">
        <v>107</v>
      </c>
      <c r="H1558" s="1309" t="str">
        <f>VLOOKUP(G1558,CATEGORIE!$H$3:$I$104,2,FALSE)</f>
        <v>COSTO SOPRAVVIVENZA</v>
      </c>
      <c r="I1558" s="59">
        <v>33</v>
      </c>
      <c r="J1558" s="940"/>
      <c r="K1558" s="59"/>
      <c r="L1558" s="59"/>
    </row>
    <row r="1559" spans="1:12">
      <c r="A1559" s="57" t="s">
        <v>92</v>
      </c>
      <c r="B1559" s="57" t="s">
        <v>90</v>
      </c>
      <c r="C1559" s="57">
        <v>2024</v>
      </c>
      <c r="D1559" s="58">
        <f>MATCH(B1559,{"GENNAIO","FEBBRAIO","MARZO","APRILE","MAGGIO","GIUGNO","LUGLIO","AGOSTO","SETTEMBRE","OTTOBRE","NOVEMBRE","DICEMBRE"},0)</f>
        <v>3</v>
      </c>
      <c r="E1559" s="57" t="str">
        <f t="shared" si="1734"/>
        <v>MARZO 2024</v>
      </c>
      <c r="F1559" s="57" t="str">
        <f t="shared" si="1735"/>
        <v>3 MARZO 2024</v>
      </c>
      <c r="G1559" s="1309" t="s">
        <v>94</v>
      </c>
      <c r="H1559" s="1309" t="str">
        <f>VLOOKUP(G1559,CATEGORIE!$H$3:$I$104,2,FALSE)</f>
        <v>COSTO SVAGHI</v>
      </c>
      <c r="I1559" s="59">
        <v>2.6</v>
      </c>
      <c r="J1559" s="940"/>
      <c r="K1559" s="59"/>
      <c r="L1559" s="59"/>
    </row>
    <row r="1560" spans="1:12">
      <c r="A1560" s="57" t="s">
        <v>101</v>
      </c>
      <c r="B1560" s="57" t="s">
        <v>90</v>
      </c>
      <c r="C1560" s="57">
        <v>2024</v>
      </c>
      <c r="D1560" s="58">
        <f>MATCH(B1560,{"GENNAIO","FEBBRAIO","MARZO","APRILE","MAGGIO","GIUGNO","LUGLIO","AGOSTO","SETTEMBRE","OTTOBRE","NOVEMBRE","DICEMBRE"},0)</f>
        <v>3</v>
      </c>
      <c r="E1560" s="57" t="str">
        <f t="shared" si="1734"/>
        <v>MARZO 2024</v>
      </c>
      <c r="F1560" s="57" t="str">
        <f t="shared" si="1735"/>
        <v>3 MARZO 2024</v>
      </c>
      <c r="G1560" s="1309" t="s">
        <v>91</v>
      </c>
      <c r="H1560" s="1309" t="str">
        <f>VLOOKUP(G1560,CATEGORIE!$H$3:$I$104,2,FALSE)</f>
        <v>COSTO SOPRAVVIVENZA</v>
      </c>
      <c r="I1560" s="59">
        <v>0.4</v>
      </c>
      <c r="J1560" s="940"/>
      <c r="K1560" s="59"/>
      <c r="L1560" s="59"/>
    </row>
    <row r="1561" spans="1:12" ht="16.5" customHeight="1">
      <c r="A1561" s="57" t="s">
        <v>101</v>
      </c>
      <c r="B1561" s="57" t="s">
        <v>90</v>
      </c>
      <c r="C1561" s="57">
        <v>2024</v>
      </c>
      <c r="D1561" s="58">
        <f>MATCH(B1561,{"GENNAIO","FEBBRAIO","MARZO","APRILE","MAGGIO","GIUGNO","LUGLIO","AGOSTO","SETTEMBRE","OTTOBRE","NOVEMBRE","DICEMBRE"},0)</f>
        <v>3</v>
      </c>
      <c r="E1561" s="57" t="str">
        <f t="shared" si="1734"/>
        <v>MARZO 2024</v>
      </c>
      <c r="F1561" s="57" t="str">
        <f t="shared" si="1735"/>
        <v>3 MARZO 2024</v>
      </c>
      <c r="G1561" s="1309" t="s">
        <v>91</v>
      </c>
      <c r="H1561" s="1309" t="str">
        <f>VLOOKUP(G1561,CATEGORIE!$H$3:$I$104,2,FALSE)</f>
        <v>COSTO SOPRAVVIVENZA</v>
      </c>
      <c r="I1561" s="59">
        <v>0.4</v>
      </c>
      <c r="J1561" s="940"/>
      <c r="K1561" s="59"/>
      <c r="L1561" s="59"/>
    </row>
    <row r="1562" spans="1:12" ht="18.600000000000001" customHeight="1">
      <c r="A1562" s="57" t="s">
        <v>95</v>
      </c>
      <c r="B1562" s="57" t="s">
        <v>90</v>
      </c>
      <c r="C1562" s="57">
        <v>2024</v>
      </c>
      <c r="D1562" s="58">
        <f>MATCH(B1562,{"GENNAIO","FEBBRAIO","MARZO","APRILE","MAGGIO","GIUGNO","LUGLIO","AGOSTO","SETTEMBRE","OTTOBRE","NOVEMBRE","DICEMBRE"},0)</f>
        <v>3</v>
      </c>
      <c r="E1562" s="57" t="str">
        <f t="shared" si="1734"/>
        <v>MARZO 2024</v>
      </c>
      <c r="F1562" s="57" t="str">
        <f t="shared" si="1735"/>
        <v>3 MARZO 2024</v>
      </c>
      <c r="G1562" s="1309" t="s">
        <v>96</v>
      </c>
      <c r="H1562" s="1309" t="str">
        <f>VLOOKUP(G1562,CATEGORIE!$H$3:$I$104,2,FALSE)</f>
        <v>COSTO SOPRAVVIVENZA</v>
      </c>
      <c r="I1562" s="59">
        <v>7.67</v>
      </c>
      <c r="J1562" s="940"/>
      <c r="K1562" s="59"/>
      <c r="L1562" s="59"/>
    </row>
    <row r="1563" spans="1:12">
      <c r="A1563" s="57" t="s">
        <v>131</v>
      </c>
      <c r="B1563" s="57" t="s">
        <v>90</v>
      </c>
      <c r="C1563" s="57">
        <v>2024</v>
      </c>
      <c r="D1563" s="58">
        <f>MATCH(B1563,{"GENNAIO","FEBBRAIO","MARZO","APRILE","MAGGIO","GIUGNO","LUGLIO","AGOSTO","SETTEMBRE","OTTOBRE","NOVEMBRE","DICEMBRE"},0)</f>
        <v>3</v>
      </c>
      <c r="E1563" s="57" t="str">
        <f t="shared" si="1734"/>
        <v>MARZO 2024</v>
      </c>
      <c r="F1563" s="57" t="str">
        <f t="shared" si="1735"/>
        <v>3 MARZO 2024</v>
      </c>
      <c r="G1563" s="1309" t="s">
        <v>132</v>
      </c>
      <c r="H1563" s="1309" t="str">
        <f>VLOOKUP(G1563,CATEGORIE!$H$3:$I$104,2,FALSE)</f>
        <v>COSTO CASA</v>
      </c>
      <c r="I1563" s="59">
        <v>43.85</v>
      </c>
      <c r="J1563" s="940"/>
      <c r="K1563" s="59"/>
      <c r="L1563" s="59"/>
    </row>
    <row r="1564" spans="1:12" ht="16.5" customHeight="1">
      <c r="A1564" s="57" t="s">
        <v>130</v>
      </c>
      <c r="B1564" s="57" t="s">
        <v>90</v>
      </c>
      <c r="C1564" s="57">
        <v>2024</v>
      </c>
      <c r="D1564" s="58">
        <f>MATCH(B1564,{"GENNAIO","FEBBRAIO","MARZO","APRILE","MAGGIO","GIUGNO","LUGLIO","AGOSTO","SETTEMBRE","OTTOBRE","NOVEMBRE","DICEMBRE"},0)</f>
        <v>3</v>
      </c>
      <c r="E1564" s="57" t="str">
        <f t="shared" si="1734"/>
        <v>MARZO 2024</v>
      </c>
      <c r="F1564" s="57" t="str">
        <f t="shared" si="1735"/>
        <v>3 MARZO 2024</v>
      </c>
      <c r="G1564" s="1309" t="s">
        <v>94</v>
      </c>
      <c r="H1564" s="1309" t="str">
        <f>VLOOKUP(G1564,CATEGORIE!$H$3:$I$104,2,FALSE)</f>
        <v>COSTO SVAGHI</v>
      </c>
      <c r="I1564" s="59">
        <v>9</v>
      </c>
      <c r="J1564" s="940"/>
      <c r="K1564" s="59"/>
      <c r="L1564" s="59"/>
    </row>
    <row r="1565" spans="1:12">
      <c r="A1565" s="57" t="s">
        <v>102</v>
      </c>
      <c r="B1565" s="57" t="s">
        <v>90</v>
      </c>
      <c r="C1565" s="57">
        <v>2024</v>
      </c>
      <c r="D1565" s="58">
        <f>MATCH(B1565,{"GENNAIO","FEBBRAIO","MARZO","APRILE","MAGGIO","GIUGNO","LUGLIO","AGOSTO","SETTEMBRE","OTTOBRE","NOVEMBRE","DICEMBRE"},0)</f>
        <v>3</v>
      </c>
      <c r="E1565" s="57" t="str">
        <f t="shared" si="1734"/>
        <v>MARZO 2024</v>
      </c>
      <c r="F1565" s="57" t="str">
        <f t="shared" si="1735"/>
        <v>3 MARZO 2024</v>
      </c>
      <c r="G1565" s="1309" t="s">
        <v>96</v>
      </c>
      <c r="H1565" s="1309" t="str">
        <f>VLOOKUP(G1565,CATEGORIE!$H$3:$I$104,2,FALSE)</f>
        <v>COSTO SOPRAVVIVENZA</v>
      </c>
      <c r="I1565" s="59">
        <v>5.4</v>
      </c>
      <c r="J1565" s="940"/>
      <c r="K1565" s="59"/>
      <c r="L1565" s="59"/>
    </row>
    <row r="1566" spans="1:12">
      <c r="A1566" s="57" t="s">
        <v>105</v>
      </c>
      <c r="B1566" s="57" t="s">
        <v>90</v>
      </c>
      <c r="C1566" s="57">
        <v>2024</v>
      </c>
      <c r="D1566" s="58">
        <f>MATCH(B1566,{"GENNAIO","FEBBRAIO","MARZO","APRILE","MAGGIO","GIUGNO","LUGLIO","AGOSTO","SETTEMBRE","OTTOBRE","NOVEMBRE","DICEMBRE"},0)</f>
        <v>3</v>
      </c>
      <c r="E1566" s="57" t="str">
        <f t="shared" si="1734"/>
        <v>MARZO 2024</v>
      </c>
      <c r="F1566" s="57" t="str">
        <f t="shared" si="1735"/>
        <v>3 MARZO 2024</v>
      </c>
      <c r="G1566" s="1309" t="s">
        <v>96</v>
      </c>
      <c r="H1566" s="1309" t="str">
        <f>VLOOKUP(G1566,CATEGORIE!$H$3:$I$104,2,FALSE)</f>
        <v>COSTO SOPRAVVIVENZA</v>
      </c>
      <c r="I1566" s="59">
        <v>11.06</v>
      </c>
      <c r="J1566" s="940"/>
      <c r="K1566" s="59"/>
      <c r="L1566" s="59"/>
    </row>
    <row r="1567" spans="1:12" ht="16.5" customHeight="1">
      <c r="A1567" s="57" t="s">
        <v>500</v>
      </c>
      <c r="B1567" s="57" t="s">
        <v>90</v>
      </c>
      <c r="C1567" s="57">
        <v>2024</v>
      </c>
      <c r="D1567" s="58">
        <f>MATCH(B1567,{"GENNAIO","FEBBRAIO","MARZO","APRILE","MAGGIO","GIUGNO","LUGLIO","AGOSTO","SETTEMBRE","OTTOBRE","NOVEMBRE","DICEMBRE"},0)</f>
        <v>3</v>
      </c>
      <c r="E1567" s="57" t="str">
        <f t="shared" si="1734"/>
        <v>MARZO 2024</v>
      </c>
      <c r="F1567" s="57" t="str">
        <f t="shared" si="1735"/>
        <v>3 MARZO 2024</v>
      </c>
      <c r="G1567" s="1309" t="s">
        <v>94</v>
      </c>
      <c r="H1567" s="1309" t="str">
        <f>VLOOKUP(G1567,CATEGORIE!$H$3:$I$104,2,FALSE)</f>
        <v>COSTO SVAGHI</v>
      </c>
      <c r="I1567" s="59">
        <v>46</v>
      </c>
      <c r="J1567" s="940"/>
      <c r="K1567" s="59"/>
      <c r="L1567" s="59"/>
    </row>
    <row r="1568" spans="1:12" ht="18" customHeight="1">
      <c r="A1568" s="57" t="s">
        <v>92</v>
      </c>
      <c r="B1568" s="57" t="s">
        <v>90</v>
      </c>
      <c r="C1568" s="57">
        <v>2024</v>
      </c>
      <c r="D1568" s="58">
        <f>MATCH(B1568,{"GENNAIO","FEBBRAIO","MARZO","APRILE","MAGGIO","GIUGNO","LUGLIO","AGOSTO","SETTEMBRE","OTTOBRE","NOVEMBRE","DICEMBRE"},0)</f>
        <v>3</v>
      </c>
      <c r="E1568" s="57" t="str">
        <f t="shared" si="1734"/>
        <v>MARZO 2024</v>
      </c>
      <c r="F1568" s="57" t="str">
        <f t="shared" si="1735"/>
        <v>3 MARZO 2024</v>
      </c>
      <c r="G1568" s="1309" t="s">
        <v>93</v>
      </c>
      <c r="H1568" s="1309" t="str">
        <f>VLOOKUP(G1568,CATEGORIE!$H$3:$I$104,2,FALSE)</f>
        <v>COSTO SOPRAVVIVENZA</v>
      </c>
      <c r="I1568" s="59">
        <v>5</v>
      </c>
      <c r="J1568" s="940"/>
      <c r="K1568" s="59"/>
      <c r="L1568" s="59"/>
    </row>
    <row r="1569" spans="1:12" ht="18.600000000000001" customHeight="1">
      <c r="A1569" s="57" t="s">
        <v>92</v>
      </c>
      <c r="B1569" s="57" t="s">
        <v>90</v>
      </c>
      <c r="C1569" s="57">
        <v>2024</v>
      </c>
      <c r="D1569" s="58">
        <f>MATCH(B1569,{"GENNAIO","FEBBRAIO","MARZO","APRILE","MAGGIO","GIUGNO","LUGLIO","AGOSTO","SETTEMBRE","OTTOBRE","NOVEMBRE","DICEMBRE"},0)</f>
        <v>3</v>
      </c>
      <c r="E1569" s="57" t="str">
        <f t="shared" si="1734"/>
        <v>MARZO 2024</v>
      </c>
      <c r="F1569" s="57" t="str">
        <f t="shared" si="1735"/>
        <v>3 MARZO 2024</v>
      </c>
      <c r="G1569" s="1309" t="s">
        <v>94</v>
      </c>
      <c r="H1569" s="1309" t="str">
        <f>VLOOKUP(G1569,CATEGORIE!$H$3:$I$104,2,FALSE)</f>
        <v>COSTO SVAGHI</v>
      </c>
      <c r="I1569" s="59">
        <v>3.9</v>
      </c>
      <c r="J1569" s="940"/>
      <c r="K1569" s="59"/>
      <c r="L1569" s="59"/>
    </row>
    <row r="1570" spans="1:12">
      <c r="A1570" s="57" t="s">
        <v>101</v>
      </c>
      <c r="B1570" s="57" t="s">
        <v>90</v>
      </c>
      <c r="C1570" s="57">
        <v>2024</v>
      </c>
      <c r="D1570" s="58">
        <f>MATCH(B1570,{"GENNAIO","FEBBRAIO","MARZO","APRILE","MAGGIO","GIUGNO","LUGLIO","AGOSTO","SETTEMBRE","OTTOBRE","NOVEMBRE","DICEMBRE"},0)</f>
        <v>3</v>
      </c>
      <c r="E1570" s="57" t="str">
        <f t="shared" si="1734"/>
        <v>MARZO 2024</v>
      </c>
      <c r="F1570" s="57" t="str">
        <f t="shared" si="1735"/>
        <v>3 MARZO 2024</v>
      </c>
      <c r="G1570" s="1309" t="s">
        <v>91</v>
      </c>
      <c r="H1570" s="1309" t="str">
        <f>VLOOKUP(G1570,CATEGORIE!$H$3:$I$104,2,FALSE)</f>
        <v>COSTO SOPRAVVIVENZA</v>
      </c>
      <c r="I1570" s="59">
        <v>0.4</v>
      </c>
      <c r="J1570" s="940"/>
      <c r="K1570" s="59"/>
      <c r="L1570" s="59"/>
    </row>
    <row r="1571" spans="1:12" ht="18" customHeight="1">
      <c r="A1571" s="57" t="s">
        <v>229</v>
      </c>
      <c r="B1571" s="57" t="s">
        <v>90</v>
      </c>
      <c r="C1571" s="57">
        <v>2024</v>
      </c>
      <c r="D1571" s="58">
        <f>MATCH(B1571,{"GENNAIO","FEBBRAIO","MARZO","APRILE","MAGGIO","GIUGNO","LUGLIO","AGOSTO","SETTEMBRE","OTTOBRE","NOVEMBRE","DICEMBRE"},0)</f>
        <v>3</v>
      </c>
      <c r="E1571" s="57" t="str">
        <f t="shared" si="1734"/>
        <v>MARZO 2024</v>
      </c>
      <c r="F1571" s="57" t="str">
        <f t="shared" si="1735"/>
        <v>3 MARZO 2024</v>
      </c>
      <c r="G1571" s="1309" t="s">
        <v>163</v>
      </c>
      <c r="H1571" s="1309" t="str">
        <f>VLOOKUP(G1571,CATEGORIE!$H$3:$I$104,2,FALSE)</f>
        <v>COSTO SVAGHI</v>
      </c>
      <c r="I1571" s="59">
        <v>31.08</v>
      </c>
      <c r="J1571" s="940" t="s">
        <v>215</v>
      </c>
      <c r="K1571" s="59" t="s">
        <v>112</v>
      </c>
      <c r="L1571" s="59"/>
    </row>
    <row r="1572" spans="1:12">
      <c r="A1572" s="57" t="s">
        <v>102</v>
      </c>
      <c r="B1572" s="57" t="s">
        <v>90</v>
      </c>
      <c r="C1572" s="57">
        <v>2024</v>
      </c>
      <c r="D1572" s="58">
        <f>MATCH(B1572,{"GENNAIO","FEBBRAIO","MARZO","APRILE","MAGGIO","GIUGNO","LUGLIO","AGOSTO","SETTEMBRE","OTTOBRE","NOVEMBRE","DICEMBRE"},0)</f>
        <v>3</v>
      </c>
      <c r="E1572" s="57" t="str">
        <f t="shared" si="1734"/>
        <v>MARZO 2024</v>
      </c>
      <c r="F1572" s="57" t="str">
        <f t="shared" si="1735"/>
        <v>3 MARZO 2024</v>
      </c>
      <c r="G1572" s="1309" t="s">
        <v>96</v>
      </c>
      <c r="H1572" s="1309" t="str">
        <f>VLOOKUP(G1572,CATEGORIE!$H$3:$I$104,2,FALSE)</f>
        <v>COSTO SOPRAVVIVENZA</v>
      </c>
      <c r="I1572" s="59">
        <v>11.69</v>
      </c>
      <c r="J1572" s="940"/>
      <c r="K1572" s="59"/>
      <c r="L1572" s="59"/>
    </row>
    <row r="1573" spans="1:12" ht="16.5" customHeight="1">
      <c r="A1573" s="57" t="s">
        <v>95</v>
      </c>
      <c r="B1573" s="57" t="s">
        <v>90</v>
      </c>
      <c r="C1573" s="57">
        <v>2024</v>
      </c>
      <c r="D1573" s="58">
        <f>MATCH(B1573,{"GENNAIO","FEBBRAIO","MARZO","APRILE","MAGGIO","GIUGNO","LUGLIO","AGOSTO","SETTEMBRE","OTTOBRE","NOVEMBRE","DICEMBRE"},0)</f>
        <v>3</v>
      </c>
      <c r="E1573" s="57" t="str">
        <f t="shared" si="1734"/>
        <v>MARZO 2024</v>
      </c>
      <c r="F1573" s="57" t="str">
        <f t="shared" si="1735"/>
        <v>3 MARZO 2024</v>
      </c>
      <c r="G1573" s="1309" t="s">
        <v>96</v>
      </c>
      <c r="H1573" s="1309" t="str">
        <f>VLOOKUP(G1573,CATEGORIE!$H$3:$I$104,2,FALSE)</f>
        <v>COSTO SOPRAVVIVENZA</v>
      </c>
      <c r="I1573" s="59">
        <v>7.66</v>
      </c>
      <c r="J1573" s="940"/>
      <c r="K1573" s="59"/>
      <c r="L1573" s="59"/>
    </row>
    <row r="1574" spans="1:12" ht="18.600000000000001" customHeight="1">
      <c r="A1574" s="57" t="s">
        <v>97</v>
      </c>
      <c r="B1574" s="57" t="s">
        <v>90</v>
      </c>
      <c r="C1574" s="57">
        <v>2024</v>
      </c>
      <c r="D1574" s="58">
        <f>MATCH(B1574,{"GENNAIO","FEBBRAIO","MARZO","APRILE","MAGGIO","GIUGNO","LUGLIO","AGOSTO","SETTEMBRE","OTTOBRE","NOVEMBRE","DICEMBRE"},0)</f>
        <v>3</v>
      </c>
      <c r="E1574" s="57" t="str">
        <f t="shared" si="1734"/>
        <v>MARZO 2024</v>
      </c>
      <c r="F1574" s="57" t="str">
        <f t="shared" si="1735"/>
        <v>3 MARZO 2024</v>
      </c>
      <c r="G1574" s="1309" t="s">
        <v>100</v>
      </c>
      <c r="H1574" s="1309" t="str">
        <f>VLOOKUP(G1574,CATEGORIE!$H$3:$I$104,2,FALSE)</f>
        <v>COSTO SFIZI</v>
      </c>
      <c r="I1574" s="59">
        <v>6.99</v>
      </c>
      <c r="J1574" s="943"/>
      <c r="K1574" s="59" t="s">
        <v>97</v>
      </c>
      <c r="L1574" s="59"/>
    </row>
    <row r="1575" spans="1:12" ht="18.600000000000001" customHeight="1">
      <c r="A1575" s="57" t="s">
        <v>105</v>
      </c>
      <c r="B1575" s="57" t="s">
        <v>90</v>
      </c>
      <c r="C1575" s="57">
        <v>2024</v>
      </c>
      <c r="D1575" s="58">
        <f>MATCH(B1575,{"GENNAIO","FEBBRAIO","MARZO","APRILE","MAGGIO","GIUGNO","LUGLIO","AGOSTO","SETTEMBRE","OTTOBRE","NOVEMBRE","DICEMBRE"},0)</f>
        <v>3</v>
      </c>
      <c r="E1575" s="57" t="str">
        <f t="shared" si="1734"/>
        <v>MARZO 2024</v>
      </c>
      <c r="F1575" s="57" t="str">
        <f t="shared" si="1735"/>
        <v>3 MARZO 2024</v>
      </c>
      <c r="G1575" s="1309" t="s">
        <v>96</v>
      </c>
      <c r="H1575" s="1309" t="str">
        <f>VLOOKUP(G1575,CATEGORIE!$H$3:$I$104,2,FALSE)</f>
        <v>COSTO SOPRAVVIVENZA</v>
      </c>
      <c r="I1575" s="59">
        <v>14.12</v>
      </c>
      <c r="J1575" s="940"/>
      <c r="K1575" s="59"/>
      <c r="L1575" s="59"/>
    </row>
    <row r="1576" spans="1:12" ht="16.5" customHeight="1">
      <c r="A1576" s="57" t="s">
        <v>99</v>
      </c>
      <c r="B1576" s="57" t="s">
        <v>90</v>
      </c>
      <c r="C1576" s="57">
        <v>2024</v>
      </c>
      <c r="D1576" s="58">
        <f>MATCH(B1576,{"GENNAIO","FEBBRAIO","MARZO","APRILE","MAGGIO","GIUGNO","LUGLIO","AGOSTO","SETTEMBRE","OTTOBRE","NOVEMBRE","DICEMBRE"},0)</f>
        <v>3</v>
      </c>
      <c r="E1576" s="57" t="str">
        <f t="shared" si="1734"/>
        <v>MARZO 2024</v>
      </c>
      <c r="F1576" s="57" t="str">
        <f t="shared" si="1735"/>
        <v>3 MARZO 2024</v>
      </c>
      <c r="G1576" s="1309" t="s">
        <v>100</v>
      </c>
      <c r="H1576" s="1309" t="str">
        <f>VLOOKUP(G1576,CATEGORIE!$H$3:$I$104,2,FALSE)</f>
        <v>COSTO SFIZI</v>
      </c>
      <c r="I1576" s="59">
        <v>0.99</v>
      </c>
      <c r="J1576" s="940"/>
      <c r="K1576" s="57" t="s">
        <v>99</v>
      </c>
      <c r="L1576" s="59"/>
    </row>
    <row r="1577" spans="1:12" ht="16.5" customHeight="1">
      <c r="A1577" s="57" t="s">
        <v>135</v>
      </c>
      <c r="B1577" s="57" t="s">
        <v>90</v>
      </c>
      <c r="C1577" s="57">
        <v>2024</v>
      </c>
      <c r="D1577" s="58">
        <f>MATCH(B1577,{"GENNAIO","FEBBRAIO","MARZO","APRILE","MAGGIO","GIUGNO","LUGLIO","AGOSTO","SETTEMBRE","OTTOBRE","NOVEMBRE","DICEMBRE"},0)</f>
        <v>3</v>
      </c>
      <c r="E1577" s="57" t="str">
        <f t="shared" si="1734"/>
        <v>MARZO 2024</v>
      </c>
      <c r="F1577" s="57" t="str">
        <f t="shared" si="1735"/>
        <v>3 MARZO 2024</v>
      </c>
      <c r="G1577" s="1309" t="s">
        <v>132</v>
      </c>
      <c r="H1577" s="1309" t="str">
        <f>VLOOKUP(G1577,CATEGORIE!$H$3:$I$104,2,FALSE)</f>
        <v>COSTO CASA</v>
      </c>
      <c r="I1577" s="59">
        <v>15.93</v>
      </c>
      <c r="J1577" s="940"/>
      <c r="K1577" s="59"/>
      <c r="L1577" s="59"/>
    </row>
    <row r="1578" spans="1:12" ht="16.5" customHeight="1">
      <c r="A1578" s="57" t="s">
        <v>102</v>
      </c>
      <c r="B1578" s="57" t="s">
        <v>90</v>
      </c>
      <c r="C1578" s="57">
        <v>2024</v>
      </c>
      <c r="D1578" s="58">
        <f>MATCH(B1578,{"GENNAIO","FEBBRAIO","MARZO","APRILE","MAGGIO","GIUGNO","LUGLIO","AGOSTO","SETTEMBRE","OTTOBRE","NOVEMBRE","DICEMBRE"},0)</f>
        <v>3</v>
      </c>
      <c r="E1578" s="57" t="str">
        <f t="shared" si="1734"/>
        <v>MARZO 2024</v>
      </c>
      <c r="F1578" s="57" t="str">
        <f t="shared" si="1735"/>
        <v>3 MARZO 2024</v>
      </c>
      <c r="G1578" s="1309" t="s">
        <v>96</v>
      </c>
      <c r="H1578" s="1309" t="str">
        <f>VLOOKUP(G1578,CATEGORIE!$H$3:$I$104,2,FALSE)</f>
        <v>COSTO SOPRAVVIVENZA</v>
      </c>
      <c r="I1578" s="59">
        <v>8.65</v>
      </c>
      <c r="J1578" s="940"/>
      <c r="K1578" s="59"/>
      <c r="L1578" s="59"/>
    </row>
    <row r="1579" spans="1:12" ht="16.5" customHeight="1">
      <c r="A1579" s="57" t="s">
        <v>101</v>
      </c>
      <c r="B1579" s="57" t="s">
        <v>90</v>
      </c>
      <c r="C1579" s="57">
        <v>2024</v>
      </c>
      <c r="D1579" s="58">
        <f>MATCH(B1579,{"GENNAIO","FEBBRAIO","MARZO","APRILE","MAGGIO","GIUGNO","LUGLIO","AGOSTO","SETTEMBRE","OTTOBRE","NOVEMBRE","DICEMBRE"},0)</f>
        <v>3</v>
      </c>
      <c r="E1579" s="57" t="str">
        <f t="shared" si="1734"/>
        <v>MARZO 2024</v>
      </c>
      <c r="F1579" s="57" t="str">
        <f t="shared" si="1735"/>
        <v>3 MARZO 2024</v>
      </c>
      <c r="G1579" s="1309" t="s">
        <v>91</v>
      </c>
      <c r="H1579" s="1309" t="str">
        <f>VLOOKUP(G1579,CATEGORIE!$H$3:$I$104,2,FALSE)</f>
        <v>COSTO SOPRAVVIVENZA</v>
      </c>
      <c r="I1579" s="59">
        <v>0.4</v>
      </c>
      <c r="J1579" s="940"/>
      <c r="K1579" s="59"/>
      <c r="L1579" s="59"/>
    </row>
    <row r="1580" spans="1:12">
      <c r="A1580" s="57" t="s">
        <v>101</v>
      </c>
      <c r="B1580" s="57" t="s">
        <v>90</v>
      </c>
      <c r="C1580" s="57">
        <v>2024</v>
      </c>
      <c r="D1580" s="58">
        <f>MATCH(B1580,{"GENNAIO","FEBBRAIO","MARZO","APRILE","MAGGIO","GIUGNO","LUGLIO","AGOSTO","SETTEMBRE","OTTOBRE","NOVEMBRE","DICEMBRE"},0)</f>
        <v>3</v>
      </c>
      <c r="E1580" s="57" t="str">
        <f t="shared" si="1734"/>
        <v>MARZO 2024</v>
      </c>
      <c r="F1580" s="57" t="str">
        <f t="shared" si="1735"/>
        <v>3 MARZO 2024</v>
      </c>
      <c r="G1580" s="1309" t="s">
        <v>91</v>
      </c>
      <c r="H1580" s="1309" t="str">
        <f>VLOOKUP(G1580,CATEGORIE!$H$3:$I$104,2,FALSE)</f>
        <v>COSTO SOPRAVVIVENZA</v>
      </c>
      <c r="I1580" s="59">
        <v>0.4</v>
      </c>
      <c r="J1580" s="940"/>
      <c r="K1580" s="59"/>
      <c r="L1580" s="59"/>
    </row>
    <row r="1581" spans="1:12">
      <c r="A1581" s="57" t="s">
        <v>101</v>
      </c>
      <c r="B1581" s="57" t="s">
        <v>90</v>
      </c>
      <c r="C1581" s="57">
        <v>2024</v>
      </c>
      <c r="D1581" s="58">
        <f>MATCH(B1581,{"GENNAIO","FEBBRAIO","MARZO","APRILE","MAGGIO","GIUGNO","LUGLIO","AGOSTO","SETTEMBRE","OTTOBRE","NOVEMBRE","DICEMBRE"},0)</f>
        <v>3</v>
      </c>
      <c r="E1581" s="57" t="str">
        <f t="shared" si="1734"/>
        <v>MARZO 2024</v>
      </c>
      <c r="F1581" s="57" t="str">
        <f t="shared" si="1735"/>
        <v>3 MARZO 2024</v>
      </c>
      <c r="G1581" s="1309" t="s">
        <v>91</v>
      </c>
      <c r="H1581" s="1309" t="str">
        <f>VLOOKUP(G1581,CATEGORIE!$H$3:$I$104,2,FALSE)</f>
        <v>COSTO SOPRAVVIVENZA</v>
      </c>
      <c r="I1581" s="59">
        <v>0.4</v>
      </c>
      <c r="J1581" s="940"/>
      <c r="K1581" s="59"/>
      <c r="L1581" s="59"/>
    </row>
    <row r="1582" spans="1:12" ht="16.5" customHeight="1">
      <c r="A1582" s="57" t="s">
        <v>101</v>
      </c>
      <c r="B1582" s="57" t="s">
        <v>90</v>
      </c>
      <c r="C1582" s="57">
        <v>2024</v>
      </c>
      <c r="D1582" s="58">
        <f>MATCH(B1582,{"GENNAIO","FEBBRAIO","MARZO","APRILE","MAGGIO","GIUGNO","LUGLIO","AGOSTO","SETTEMBRE","OTTOBRE","NOVEMBRE","DICEMBRE"},0)</f>
        <v>3</v>
      </c>
      <c r="E1582" s="57" t="str">
        <f t="shared" si="1734"/>
        <v>MARZO 2024</v>
      </c>
      <c r="F1582" s="57" t="str">
        <f t="shared" si="1735"/>
        <v>3 MARZO 2024</v>
      </c>
      <c r="G1582" s="1309" t="s">
        <v>91</v>
      </c>
      <c r="H1582" s="1309" t="str">
        <f>VLOOKUP(G1582,CATEGORIE!$H$3:$I$104,2,FALSE)</f>
        <v>COSTO SOPRAVVIVENZA</v>
      </c>
      <c r="I1582" s="59">
        <v>0.4</v>
      </c>
      <c r="J1582" s="940"/>
      <c r="K1582" s="59"/>
      <c r="L1582" s="59"/>
    </row>
    <row r="1583" spans="1:12">
      <c r="A1583" s="57" t="s">
        <v>501</v>
      </c>
      <c r="B1583" s="57" t="s">
        <v>90</v>
      </c>
      <c r="C1583" s="57">
        <v>2024</v>
      </c>
      <c r="D1583" s="58">
        <f>MATCH(B1583,{"GENNAIO","FEBBRAIO","MARZO","APRILE","MAGGIO","GIUGNO","LUGLIO","AGOSTO","SETTEMBRE","OTTOBRE","NOVEMBRE","DICEMBRE"},0)</f>
        <v>3</v>
      </c>
      <c r="E1583" s="57" t="str">
        <f t="shared" si="1734"/>
        <v>MARZO 2024</v>
      </c>
      <c r="F1583" s="57" t="str">
        <f t="shared" si="1735"/>
        <v>3 MARZO 2024</v>
      </c>
      <c r="G1583" s="1309" t="s">
        <v>163</v>
      </c>
      <c r="H1583" s="1309" t="str">
        <f>VLOOKUP(G1583,CATEGORIE!$H$3:$I$104,2,FALSE)</f>
        <v>COSTO SVAGHI</v>
      </c>
      <c r="I1583" s="59">
        <v>7.9</v>
      </c>
      <c r="J1583" s="940"/>
      <c r="K1583" s="59"/>
      <c r="L1583" s="59"/>
    </row>
    <row r="1584" spans="1:12" ht="16.5" customHeight="1">
      <c r="A1584" s="57" t="s">
        <v>501</v>
      </c>
      <c r="B1584" s="57" t="s">
        <v>90</v>
      </c>
      <c r="C1584" s="57">
        <v>2024</v>
      </c>
      <c r="D1584" s="58">
        <f>MATCH(B1584,{"GENNAIO","FEBBRAIO","MARZO","APRILE","MAGGIO","GIUGNO","LUGLIO","AGOSTO","SETTEMBRE","OTTOBRE","NOVEMBRE","DICEMBRE"},0)</f>
        <v>3</v>
      </c>
      <c r="E1584" s="57" t="str">
        <f t="shared" si="1734"/>
        <v>MARZO 2024</v>
      </c>
      <c r="F1584" s="57" t="str">
        <f t="shared" si="1735"/>
        <v>3 MARZO 2024</v>
      </c>
      <c r="G1584" s="1309" t="s">
        <v>163</v>
      </c>
      <c r="H1584" s="1309" t="str">
        <f>VLOOKUP(G1584,CATEGORIE!$H$3:$I$104,2,FALSE)</f>
        <v>COSTO SVAGHI</v>
      </c>
      <c r="I1584" s="59">
        <v>18.8</v>
      </c>
      <c r="J1584" s="940"/>
      <c r="K1584" s="59"/>
      <c r="L1584" s="59"/>
    </row>
    <row r="1585" spans="1:12" ht="16.5" customHeight="1">
      <c r="A1585" s="57" t="s">
        <v>99</v>
      </c>
      <c r="B1585" s="57" t="s">
        <v>129</v>
      </c>
      <c r="C1585" s="57">
        <v>2024</v>
      </c>
      <c r="D1585" s="58">
        <f>MATCH(B1585,{"GENNAIO","FEBBRAIO","MARZO","APRILE","MAGGIO","GIUGNO","LUGLIO","AGOSTO","SETTEMBRE","OTTOBRE","NOVEMBRE","DICEMBRE"},0)</f>
        <v>2</v>
      </c>
      <c r="E1585" s="57" t="str">
        <f t="shared" si="1734"/>
        <v>FEBBRAIO 2024</v>
      </c>
      <c r="F1585" s="57" t="str">
        <f t="shared" si="1735"/>
        <v>2 FEBBRAIO 2024</v>
      </c>
      <c r="G1585" s="1309" t="s">
        <v>100</v>
      </c>
      <c r="H1585" s="1309" t="str">
        <f>VLOOKUP(G1585,CATEGORIE!$H$3:$I$104,2,FALSE)</f>
        <v>COSTO SFIZI</v>
      </c>
      <c r="I1585" s="59">
        <v>0.99</v>
      </c>
      <c r="J1585" s="940"/>
      <c r="K1585" s="57" t="s">
        <v>99</v>
      </c>
      <c r="L1585" s="59"/>
    </row>
    <row r="1586" spans="1:12" ht="16.5" customHeight="1">
      <c r="A1586" s="57" t="s">
        <v>95</v>
      </c>
      <c r="B1586" s="57" t="s">
        <v>129</v>
      </c>
      <c r="C1586" s="57">
        <v>2024</v>
      </c>
      <c r="D1586" s="58">
        <f>MATCH(B1586,{"GENNAIO","FEBBRAIO","MARZO","APRILE","MAGGIO","GIUGNO","LUGLIO","AGOSTO","SETTEMBRE","OTTOBRE","NOVEMBRE","DICEMBRE"},0)</f>
        <v>2</v>
      </c>
      <c r="E1586" s="57" t="str">
        <f t="shared" si="1734"/>
        <v>FEBBRAIO 2024</v>
      </c>
      <c r="F1586" s="57" t="str">
        <f t="shared" si="1735"/>
        <v>2 FEBBRAIO 2024</v>
      </c>
      <c r="G1586" s="1309" t="s">
        <v>96</v>
      </c>
      <c r="H1586" s="1309" t="str">
        <f>VLOOKUP(G1586,CATEGORIE!$H$3:$I$104,2,FALSE)</f>
        <v>COSTO SOPRAVVIVENZA</v>
      </c>
      <c r="I1586" s="59">
        <v>12.91</v>
      </c>
      <c r="J1586" s="940"/>
      <c r="K1586" s="59"/>
      <c r="L1586" s="59"/>
    </row>
    <row r="1587" spans="1:12" ht="16.5" customHeight="1">
      <c r="A1587" s="57" t="s">
        <v>221</v>
      </c>
      <c r="B1587" s="57" t="s">
        <v>129</v>
      </c>
      <c r="C1587" s="57">
        <v>2024</v>
      </c>
      <c r="D1587" s="58">
        <f>MATCH(B1587,{"GENNAIO","FEBBRAIO","MARZO","APRILE","MAGGIO","GIUGNO","LUGLIO","AGOSTO","SETTEMBRE","OTTOBRE","NOVEMBRE","DICEMBRE"},0)</f>
        <v>2</v>
      </c>
      <c r="E1587" s="57" t="str">
        <f t="shared" si="1734"/>
        <v>FEBBRAIO 2024</v>
      </c>
      <c r="F1587" s="57" t="str">
        <f t="shared" si="1735"/>
        <v>2 FEBBRAIO 2024</v>
      </c>
      <c r="G1587" s="1309" t="s">
        <v>94</v>
      </c>
      <c r="H1587" s="1309" t="str">
        <f>VLOOKUP(G1587,CATEGORIE!$H$3:$I$104,2,FALSE)</f>
        <v>COSTO SVAGHI</v>
      </c>
      <c r="I1587" s="59">
        <f>37.94*2</f>
        <v>75.88</v>
      </c>
      <c r="J1587" s="940"/>
      <c r="K1587" s="59"/>
      <c r="L1587" s="59"/>
    </row>
    <row r="1588" spans="1:12" ht="16.5" customHeight="1">
      <c r="A1588" s="57" t="s">
        <v>130</v>
      </c>
      <c r="B1588" s="57" t="s">
        <v>129</v>
      </c>
      <c r="C1588" s="57">
        <v>2024</v>
      </c>
      <c r="D1588" s="58">
        <f>MATCH(B1588,{"GENNAIO","FEBBRAIO","MARZO","APRILE","MAGGIO","GIUGNO","LUGLIO","AGOSTO","SETTEMBRE","OTTOBRE","NOVEMBRE","DICEMBRE"},0)</f>
        <v>2</v>
      </c>
      <c r="E1588" s="57" t="str">
        <f t="shared" si="1734"/>
        <v>FEBBRAIO 2024</v>
      </c>
      <c r="F1588" s="57" t="str">
        <f t="shared" si="1735"/>
        <v>2 FEBBRAIO 2024</v>
      </c>
      <c r="G1588" s="1309" t="s">
        <v>94</v>
      </c>
      <c r="H1588" s="1309" t="str">
        <f>VLOOKUP(G1588,CATEGORIE!$H$3:$I$104,2,FALSE)</f>
        <v>COSTO SVAGHI</v>
      </c>
      <c r="I1588" s="59">
        <v>18</v>
      </c>
      <c r="J1588" s="940"/>
      <c r="K1588" s="59"/>
      <c r="L1588" s="59"/>
    </row>
    <row r="1589" spans="1:12" ht="18.600000000000001" customHeight="1">
      <c r="A1589" s="57" t="s">
        <v>394</v>
      </c>
      <c r="B1589" s="57" t="s">
        <v>129</v>
      </c>
      <c r="C1589" s="57">
        <v>2024</v>
      </c>
      <c r="D1589" s="58">
        <f>MATCH(B1589,{"GENNAIO","FEBBRAIO","MARZO","APRILE","MAGGIO","GIUGNO","LUGLIO","AGOSTO","SETTEMBRE","OTTOBRE","NOVEMBRE","DICEMBRE"},0)</f>
        <v>2</v>
      </c>
      <c r="E1589" s="57" t="str">
        <f t="shared" si="1734"/>
        <v>FEBBRAIO 2024</v>
      </c>
      <c r="F1589" s="57" t="str">
        <f t="shared" si="1735"/>
        <v>2 FEBBRAIO 2024</v>
      </c>
      <c r="G1589" s="1309" t="s">
        <v>94</v>
      </c>
      <c r="H1589" s="1309" t="str">
        <f>VLOOKUP(G1589,CATEGORIE!$H$3:$I$104,2,FALSE)</f>
        <v>COSTO SVAGHI</v>
      </c>
      <c r="I1589" s="59">
        <v>15</v>
      </c>
      <c r="J1589" s="940"/>
      <c r="K1589" s="59"/>
      <c r="L1589" s="59"/>
    </row>
    <row r="1590" spans="1:12">
      <c r="A1590" s="57" t="s">
        <v>502</v>
      </c>
      <c r="B1590" s="57" t="s">
        <v>129</v>
      </c>
      <c r="C1590" s="57">
        <v>2024</v>
      </c>
      <c r="D1590" s="58">
        <f>MATCH(B1590,{"GENNAIO","FEBBRAIO","MARZO","APRILE","MAGGIO","GIUGNO","LUGLIO","AGOSTO","SETTEMBRE","OTTOBRE","NOVEMBRE","DICEMBRE"},0)</f>
        <v>2</v>
      </c>
      <c r="E1590" s="57" t="str">
        <f t="shared" si="1734"/>
        <v>FEBBRAIO 2024</v>
      </c>
      <c r="F1590" s="57" t="str">
        <f t="shared" si="1735"/>
        <v>2 FEBBRAIO 2024</v>
      </c>
      <c r="G1590" s="1309" t="s">
        <v>94</v>
      </c>
      <c r="H1590" s="1309" t="str">
        <f>VLOOKUP(G1590,CATEGORIE!$H$3:$I$104,2,FALSE)</f>
        <v>COSTO SVAGHI</v>
      </c>
      <c r="I1590" s="59">
        <v>82.6</v>
      </c>
      <c r="J1590" s="940"/>
      <c r="K1590" s="59"/>
      <c r="L1590" s="59"/>
    </row>
    <row r="1591" spans="1:12" ht="16.5" customHeight="1">
      <c r="A1591" s="57" t="s">
        <v>130</v>
      </c>
      <c r="B1591" s="57" t="s">
        <v>129</v>
      </c>
      <c r="C1591" s="57">
        <v>2024</v>
      </c>
      <c r="D1591" s="58">
        <f>MATCH(B1591,{"GENNAIO","FEBBRAIO","MARZO","APRILE","MAGGIO","GIUGNO","LUGLIO","AGOSTO","SETTEMBRE","OTTOBRE","NOVEMBRE","DICEMBRE"},0)</f>
        <v>2</v>
      </c>
      <c r="E1591" s="57" t="str">
        <f t="shared" si="1734"/>
        <v>FEBBRAIO 2024</v>
      </c>
      <c r="F1591" s="57" t="str">
        <f t="shared" si="1735"/>
        <v>2 FEBBRAIO 2024</v>
      </c>
      <c r="G1591" s="1309" t="s">
        <v>94</v>
      </c>
      <c r="H1591" s="1309" t="str">
        <f>VLOOKUP(G1591,CATEGORIE!$H$3:$I$104,2,FALSE)</f>
        <v>COSTO SVAGHI</v>
      </c>
      <c r="I1591" s="59">
        <v>15.5</v>
      </c>
      <c r="J1591" s="940"/>
      <c r="K1591" s="59"/>
      <c r="L1591" s="59"/>
    </row>
    <row r="1592" spans="1:12">
      <c r="A1592" s="57" t="s">
        <v>102</v>
      </c>
      <c r="B1592" s="57" t="s">
        <v>129</v>
      </c>
      <c r="C1592" s="57">
        <v>2024</v>
      </c>
      <c r="D1592" s="58">
        <f>MATCH(B1592,{"GENNAIO","FEBBRAIO","MARZO","APRILE","MAGGIO","GIUGNO","LUGLIO","AGOSTO","SETTEMBRE","OTTOBRE","NOVEMBRE","DICEMBRE"},0)</f>
        <v>2</v>
      </c>
      <c r="E1592" s="57" t="str">
        <f t="shared" si="1734"/>
        <v>FEBBRAIO 2024</v>
      </c>
      <c r="F1592" s="57" t="str">
        <f t="shared" si="1735"/>
        <v>2 FEBBRAIO 2024</v>
      </c>
      <c r="G1592" s="1309" t="s">
        <v>96</v>
      </c>
      <c r="H1592" s="1309" t="str">
        <f>VLOOKUP(G1592,CATEGORIE!$H$3:$I$104,2,FALSE)</f>
        <v>COSTO SOPRAVVIVENZA</v>
      </c>
      <c r="I1592" s="59">
        <v>6.46</v>
      </c>
      <c r="J1592" s="940"/>
      <c r="K1592" s="59"/>
      <c r="L1592" s="59"/>
    </row>
    <row r="1593" spans="1:12" ht="14.25" customHeight="1">
      <c r="A1593" s="57" t="s">
        <v>105</v>
      </c>
      <c r="B1593" s="57" t="s">
        <v>129</v>
      </c>
      <c r="C1593" s="57">
        <v>2024</v>
      </c>
      <c r="D1593" s="58">
        <f>MATCH(B1593,{"GENNAIO","FEBBRAIO","MARZO","APRILE","MAGGIO","GIUGNO","LUGLIO","AGOSTO","SETTEMBRE","OTTOBRE","NOVEMBRE","DICEMBRE"},0)</f>
        <v>2</v>
      </c>
      <c r="E1593" s="57" t="str">
        <f t="shared" ref="E1593:E1656" si="1736">CONCATENATE(,B1593," ",C1593)</f>
        <v>FEBBRAIO 2024</v>
      </c>
      <c r="F1593" s="57" t="str">
        <f t="shared" ref="F1593:F1656" si="1737">CONCATENATE(D1593," ",E1593)</f>
        <v>2 FEBBRAIO 2024</v>
      </c>
      <c r="G1593" s="1309" t="s">
        <v>96</v>
      </c>
      <c r="H1593" s="1309" t="str">
        <f>VLOOKUP(G1593,CATEGORIE!$H$3:$I$104,2,FALSE)</f>
        <v>COSTO SOPRAVVIVENZA</v>
      </c>
      <c r="I1593" s="59">
        <v>5.86</v>
      </c>
      <c r="J1593" s="940"/>
      <c r="K1593" s="59"/>
      <c r="L1593" s="59"/>
    </row>
    <row r="1594" spans="1:12">
      <c r="A1594" s="57" t="s">
        <v>92</v>
      </c>
      <c r="B1594" s="57" t="s">
        <v>129</v>
      </c>
      <c r="C1594" s="57">
        <v>2024</v>
      </c>
      <c r="D1594" s="58">
        <f>MATCH(B1594,{"GENNAIO","FEBBRAIO","MARZO","APRILE","MAGGIO","GIUGNO","LUGLIO","AGOSTO","SETTEMBRE","OTTOBRE","NOVEMBRE","DICEMBRE"},0)</f>
        <v>2</v>
      </c>
      <c r="E1594" s="57" t="str">
        <f t="shared" si="1736"/>
        <v>FEBBRAIO 2024</v>
      </c>
      <c r="F1594" s="57" t="str">
        <f t="shared" si="1737"/>
        <v>2 FEBBRAIO 2024</v>
      </c>
      <c r="G1594" s="1309" t="s">
        <v>93</v>
      </c>
      <c r="H1594" s="1309" t="str">
        <f>VLOOKUP(G1594,CATEGORIE!$H$3:$I$104,2,FALSE)</f>
        <v>COSTO SOPRAVVIVENZA</v>
      </c>
      <c r="I1594" s="59">
        <v>5</v>
      </c>
      <c r="J1594" s="940"/>
      <c r="K1594" s="59"/>
      <c r="L1594" s="59"/>
    </row>
    <row r="1595" spans="1:12" ht="16.5" customHeight="1">
      <c r="A1595" s="57" t="s">
        <v>479</v>
      </c>
      <c r="B1595" s="57" t="s">
        <v>129</v>
      </c>
      <c r="C1595" s="57">
        <v>2024</v>
      </c>
      <c r="D1595" s="58">
        <f>MATCH(B1595,{"GENNAIO","FEBBRAIO","MARZO","APRILE","MAGGIO","GIUGNO","LUGLIO","AGOSTO","SETTEMBRE","OTTOBRE","NOVEMBRE","DICEMBRE"},0)</f>
        <v>2</v>
      </c>
      <c r="E1595" s="57" t="str">
        <f t="shared" si="1736"/>
        <v>FEBBRAIO 2024</v>
      </c>
      <c r="F1595" s="57" t="str">
        <f t="shared" si="1737"/>
        <v>2 FEBBRAIO 2024</v>
      </c>
      <c r="G1595" s="1309" t="s">
        <v>94</v>
      </c>
      <c r="H1595" s="1309" t="str">
        <f>VLOOKUP(G1595,CATEGORIE!$H$3:$I$104,2,FALSE)</f>
        <v>COSTO SVAGHI</v>
      </c>
      <c r="I1595" s="59">
        <v>18</v>
      </c>
      <c r="J1595" s="940"/>
      <c r="K1595" s="59"/>
      <c r="L1595" s="59"/>
    </row>
    <row r="1596" spans="1:12" ht="16.5" customHeight="1">
      <c r="A1596" s="57" t="s">
        <v>503</v>
      </c>
      <c r="B1596" s="57" t="s">
        <v>129</v>
      </c>
      <c r="C1596" s="57">
        <v>2024</v>
      </c>
      <c r="D1596" s="58">
        <f>MATCH(B1596,{"GENNAIO","FEBBRAIO","MARZO","APRILE","MAGGIO","GIUGNO","LUGLIO","AGOSTO","SETTEMBRE","OTTOBRE","NOVEMBRE","DICEMBRE"},0)</f>
        <v>2</v>
      </c>
      <c r="E1596" s="57" t="str">
        <f t="shared" si="1736"/>
        <v>FEBBRAIO 2024</v>
      </c>
      <c r="F1596" s="57" t="str">
        <f t="shared" si="1737"/>
        <v>2 FEBBRAIO 2024</v>
      </c>
      <c r="G1596" s="1309" t="s">
        <v>100</v>
      </c>
      <c r="H1596" s="1309" t="str">
        <f>VLOOKUP(G1596,CATEGORIE!$H$3:$I$104,2,FALSE)</f>
        <v>COSTO SFIZI</v>
      </c>
      <c r="I1596" s="59">
        <v>1</v>
      </c>
      <c r="J1596" s="940"/>
      <c r="K1596" s="59"/>
      <c r="L1596" s="59"/>
    </row>
    <row r="1597" spans="1:12" ht="18.600000000000001" customHeight="1">
      <c r="A1597" s="57" t="s">
        <v>95</v>
      </c>
      <c r="B1597" s="57" t="s">
        <v>129</v>
      </c>
      <c r="C1597" s="57">
        <v>2024</v>
      </c>
      <c r="D1597" s="58">
        <f>MATCH(B1597,{"GENNAIO","FEBBRAIO","MARZO","APRILE","MAGGIO","GIUGNO","LUGLIO","AGOSTO","SETTEMBRE","OTTOBRE","NOVEMBRE","DICEMBRE"},0)</f>
        <v>2</v>
      </c>
      <c r="E1597" s="57" t="str">
        <f t="shared" si="1736"/>
        <v>FEBBRAIO 2024</v>
      </c>
      <c r="F1597" s="57" t="str">
        <f t="shared" si="1737"/>
        <v>2 FEBBRAIO 2024</v>
      </c>
      <c r="G1597" s="1309" t="s">
        <v>96</v>
      </c>
      <c r="H1597" s="1309" t="str">
        <f>VLOOKUP(G1597,CATEGORIE!$H$3:$I$104,2,FALSE)</f>
        <v>COSTO SOPRAVVIVENZA</v>
      </c>
      <c r="I1597" s="59">
        <v>8.06</v>
      </c>
      <c r="J1597" s="940"/>
      <c r="K1597" s="59"/>
      <c r="L1597" s="59"/>
    </row>
    <row r="1598" spans="1:12" ht="16.5" customHeight="1">
      <c r="A1598" s="57" t="s">
        <v>99</v>
      </c>
      <c r="B1598" s="57" t="s">
        <v>129</v>
      </c>
      <c r="C1598" s="57">
        <v>2024</v>
      </c>
      <c r="D1598" s="58">
        <f>MATCH(B1598,{"GENNAIO","FEBBRAIO","MARZO","APRILE","MAGGIO","GIUGNO","LUGLIO","AGOSTO","SETTEMBRE","OTTOBRE","NOVEMBRE","DICEMBRE"},0)</f>
        <v>2</v>
      </c>
      <c r="E1598" s="57" t="str">
        <f t="shared" si="1736"/>
        <v>FEBBRAIO 2024</v>
      </c>
      <c r="F1598" s="57" t="str">
        <f t="shared" si="1737"/>
        <v>2 FEBBRAIO 2024</v>
      </c>
      <c r="G1598" s="1309" t="s">
        <v>100</v>
      </c>
      <c r="H1598" s="1309" t="str">
        <f>VLOOKUP(G1598,CATEGORIE!$H$3:$I$104,2,FALSE)</f>
        <v>COSTO SFIZI</v>
      </c>
      <c r="I1598" s="59">
        <v>29.99</v>
      </c>
      <c r="J1598" s="940"/>
      <c r="K1598" s="57" t="s">
        <v>99</v>
      </c>
      <c r="L1598" s="59"/>
    </row>
    <row r="1599" spans="1:12" ht="16.5" customHeight="1">
      <c r="A1599" s="57" t="s">
        <v>504</v>
      </c>
      <c r="B1599" s="57" t="s">
        <v>129</v>
      </c>
      <c r="C1599" s="57">
        <v>2024</v>
      </c>
      <c r="D1599" s="58">
        <f>MATCH(B1599,{"GENNAIO","FEBBRAIO","MARZO","APRILE","MAGGIO","GIUGNO","LUGLIO","AGOSTO","SETTEMBRE","OTTOBRE","NOVEMBRE","DICEMBRE"},0)</f>
        <v>2</v>
      </c>
      <c r="E1599" s="57" t="str">
        <f t="shared" si="1736"/>
        <v>FEBBRAIO 2024</v>
      </c>
      <c r="F1599" s="57" t="str">
        <f t="shared" si="1737"/>
        <v>2 FEBBRAIO 2024</v>
      </c>
      <c r="G1599" s="1309" t="s">
        <v>94</v>
      </c>
      <c r="H1599" s="1309" t="str">
        <f>VLOOKUP(G1599,CATEGORIE!$H$3:$I$104,2,FALSE)</f>
        <v>COSTO SVAGHI</v>
      </c>
      <c r="I1599" s="59">
        <v>35</v>
      </c>
      <c r="J1599" s="940"/>
      <c r="K1599" s="59"/>
      <c r="L1599" s="59"/>
    </row>
    <row r="1600" spans="1:12">
      <c r="A1600" s="57" t="s">
        <v>102</v>
      </c>
      <c r="B1600" s="57" t="s">
        <v>129</v>
      </c>
      <c r="C1600" s="57">
        <v>2024</v>
      </c>
      <c r="D1600" s="58">
        <f>MATCH(B1600,{"GENNAIO","FEBBRAIO","MARZO","APRILE","MAGGIO","GIUGNO","LUGLIO","AGOSTO","SETTEMBRE","OTTOBRE","NOVEMBRE","DICEMBRE"},0)</f>
        <v>2</v>
      </c>
      <c r="E1600" s="57" t="str">
        <f t="shared" si="1736"/>
        <v>FEBBRAIO 2024</v>
      </c>
      <c r="F1600" s="57" t="str">
        <f t="shared" si="1737"/>
        <v>2 FEBBRAIO 2024</v>
      </c>
      <c r="G1600" s="1309" t="s">
        <v>96</v>
      </c>
      <c r="H1600" s="1309" t="str">
        <f>VLOOKUP(G1600,CATEGORIE!$H$3:$I$104,2,FALSE)</f>
        <v>COSTO SOPRAVVIVENZA</v>
      </c>
      <c r="I1600" s="59">
        <v>3.4</v>
      </c>
      <c r="J1600" s="940"/>
      <c r="K1600" s="59"/>
      <c r="L1600" s="59"/>
    </row>
    <row r="1601" spans="1:12" ht="16.5" customHeight="1">
      <c r="A1601" s="57" t="s">
        <v>92</v>
      </c>
      <c r="B1601" s="57" t="s">
        <v>129</v>
      </c>
      <c r="C1601" s="57">
        <v>2024</v>
      </c>
      <c r="D1601" s="58">
        <f>MATCH(B1601,{"GENNAIO","FEBBRAIO","MARZO","APRILE","MAGGIO","GIUGNO","LUGLIO","AGOSTO","SETTEMBRE","OTTOBRE","NOVEMBRE","DICEMBRE"},0)</f>
        <v>2</v>
      </c>
      <c r="E1601" s="57" t="str">
        <f t="shared" si="1736"/>
        <v>FEBBRAIO 2024</v>
      </c>
      <c r="F1601" s="57" t="str">
        <f t="shared" si="1737"/>
        <v>2 FEBBRAIO 2024</v>
      </c>
      <c r="G1601" s="1309" t="s">
        <v>94</v>
      </c>
      <c r="H1601" s="1309" t="str">
        <f>VLOOKUP(G1601,CATEGORIE!$H$3:$I$104,2,FALSE)</f>
        <v>COSTO SVAGHI</v>
      </c>
      <c r="I1601" s="59">
        <v>3.9</v>
      </c>
      <c r="J1601" s="940"/>
      <c r="K1601" s="59"/>
      <c r="L1601" s="59"/>
    </row>
    <row r="1602" spans="1:12" ht="16.5" customHeight="1">
      <c r="A1602" s="57" t="s">
        <v>505</v>
      </c>
      <c r="B1602" s="57" t="s">
        <v>129</v>
      </c>
      <c r="C1602" s="57">
        <v>2024</v>
      </c>
      <c r="D1602" s="58">
        <f>MATCH(B1602,{"GENNAIO","FEBBRAIO","MARZO","APRILE","MAGGIO","GIUGNO","LUGLIO","AGOSTO","SETTEMBRE","OTTOBRE","NOVEMBRE","DICEMBRE"},0)</f>
        <v>2</v>
      </c>
      <c r="E1602" s="57" t="str">
        <f t="shared" si="1736"/>
        <v>FEBBRAIO 2024</v>
      </c>
      <c r="F1602" s="57" t="str">
        <f t="shared" si="1737"/>
        <v>2 FEBBRAIO 2024</v>
      </c>
      <c r="G1602" s="1309" t="s">
        <v>94</v>
      </c>
      <c r="H1602" s="1309" t="str">
        <f>VLOOKUP(G1602,CATEGORIE!$H$3:$I$104,2,FALSE)</f>
        <v>COSTO SVAGHI</v>
      </c>
      <c r="I1602" s="59">
        <v>16</v>
      </c>
      <c r="J1602" s="940"/>
      <c r="K1602" s="59"/>
      <c r="L1602" s="59"/>
    </row>
    <row r="1603" spans="1:12" ht="18.600000000000001" customHeight="1">
      <c r="A1603" s="57" t="s">
        <v>95</v>
      </c>
      <c r="B1603" s="57" t="s">
        <v>129</v>
      </c>
      <c r="C1603" s="57">
        <v>2024</v>
      </c>
      <c r="D1603" s="58">
        <f>MATCH(B1603,{"GENNAIO","FEBBRAIO","MARZO","APRILE","MAGGIO","GIUGNO","LUGLIO","AGOSTO","SETTEMBRE","OTTOBRE","NOVEMBRE","DICEMBRE"},0)</f>
        <v>2</v>
      </c>
      <c r="E1603" s="57" t="str">
        <f t="shared" si="1736"/>
        <v>FEBBRAIO 2024</v>
      </c>
      <c r="F1603" s="57" t="str">
        <f t="shared" si="1737"/>
        <v>2 FEBBRAIO 2024</v>
      </c>
      <c r="G1603" s="1309" t="s">
        <v>96</v>
      </c>
      <c r="H1603" s="1309" t="str">
        <f>VLOOKUP(G1603,CATEGORIE!$H$3:$I$104,2,FALSE)</f>
        <v>COSTO SOPRAVVIVENZA</v>
      </c>
      <c r="I1603" s="59">
        <v>13.78</v>
      </c>
      <c r="J1603" s="940"/>
      <c r="K1603" s="59"/>
      <c r="L1603" s="59"/>
    </row>
    <row r="1604" spans="1:12" ht="16.5" customHeight="1">
      <c r="A1604" s="57" t="s">
        <v>506</v>
      </c>
      <c r="B1604" s="57" t="s">
        <v>129</v>
      </c>
      <c r="C1604" s="57">
        <v>2024</v>
      </c>
      <c r="D1604" s="58">
        <f>MATCH(B1604,{"GENNAIO","FEBBRAIO","MARZO","APRILE","MAGGIO","GIUGNO","LUGLIO","AGOSTO","SETTEMBRE","OTTOBRE","NOVEMBRE","DICEMBRE"},0)</f>
        <v>2</v>
      </c>
      <c r="E1604" s="57" t="str">
        <f t="shared" si="1736"/>
        <v>FEBBRAIO 2024</v>
      </c>
      <c r="F1604" s="57" t="str">
        <f t="shared" si="1737"/>
        <v>2 FEBBRAIO 2024</v>
      </c>
      <c r="G1604" s="1309" t="s">
        <v>94</v>
      </c>
      <c r="H1604" s="1309" t="str">
        <f>VLOOKUP(G1604,CATEGORIE!$H$3:$I$104,2,FALSE)</f>
        <v>COSTO SVAGHI</v>
      </c>
      <c r="I1604" s="59">
        <v>20</v>
      </c>
      <c r="J1604" s="940"/>
      <c r="K1604" s="59"/>
      <c r="L1604" s="59"/>
    </row>
    <row r="1605" spans="1:12" ht="16.5" customHeight="1">
      <c r="A1605" s="57" t="s">
        <v>338</v>
      </c>
      <c r="B1605" s="57" t="s">
        <v>129</v>
      </c>
      <c r="C1605" s="57">
        <v>2024</v>
      </c>
      <c r="D1605" s="58">
        <f>MATCH(B1605,{"GENNAIO","FEBBRAIO","MARZO","APRILE","MAGGIO","GIUGNO","LUGLIO","AGOSTO","SETTEMBRE","OTTOBRE","NOVEMBRE","DICEMBRE"},0)</f>
        <v>2</v>
      </c>
      <c r="E1605" s="57" t="str">
        <f t="shared" si="1736"/>
        <v>FEBBRAIO 2024</v>
      </c>
      <c r="F1605" s="57" t="str">
        <f t="shared" si="1737"/>
        <v>2 FEBBRAIO 2024</v>
      </c>
      <c r="G1605" s="1309" t="s">
        <v>94</v>
      </c>
      <c r="H1605" s="1309" t="str">
        <f>VLOOKUP(G1605,CATEGORIE!$H$3:$I$104,2,FALSE)</f>
        <v>COSTO SVAGHI</v>
      </c>
      <c r="I1605" s="59">
        <v>22</v>
      </c>
      <c r="J1605" s="940"/>
      <c r="K1605" s="59"/>
      <c r="L1605" s="59"/>
    </row>
    <row r="1606" spans="1:12" ht="16.5" customHeight="1">
      <c r="A1606" s="57" t="s">
        <v>135</v>
      </c>
      <c r="B1606" s="57" t="s">
        <v>129</v>
      </c>
      <c r="C1606" s="57">
        <v>2024</v>
      </c>
      <c r="D1606" s="58">
        <f>MATCH(B1606,{"GENNAIO","FEBBRAIO","MARZO","APRILE","MAGGIO","GIUGNO","LUGLIO","AGOSTO","SETTEMBRE","OTTOBRE","NOVEMBRE","DICEMBRE"},0)</f>
        <v>2</v>
      </c>
      <c r="E1606" s="57" t="str">
        <f t="shared" si="1736"/>
        <v>FEBBRAIO 2024</v>
      </c>
      <c r="F1606" s="57" t="str">
        <f t="shared" si="1737"/>
        <v>2 FEBBRAIO 2024</v>
      </c>
      <c r="G1606" s="1309" t="s">
        <v>132</v>
      </c>
      <c r="H1606" s="1309" t="str">
        <f>VLOOKUP(G1606,CATEGORIE!$H$3:$I$104,2,FALSE)</f>
        <v>COSTO CASA</v>
      </c>
      <c r="I1606" s="59">
        <v>4.99</v>
      </c>
      <c r="J1606" s="940"/>
      <c r="K1606" s="59"/>
      <c r="L1606" s="59"/>
    </row>
    <row r="1607" spans="1:12" ht="16.5" customHeight="1">
      <c r="A1607" s="57" t="s">
        <v>101</v>
      </c>
      <c r="B1607" s="57" t="s">
        <v>129</v>
      </c>
      <c r="C1607" s="57">
        <v>2024</v>
      </c>
      <c r="D1607" s="58">
        <f>MATCH(B1607,{"GENNAIO","FEBBRAIO","MARZO","APRILE","MAGGIO","GIUGNO","LUGLIO","AGOSTO","SETTEMBRE","OTTOBRE","NOVEMBRE","DICEMBRE"},0)</f>
        <v>2</v>
      </c>
      <c r="E1607" s="57" t="str">
        <f t="shared" si="1736"/>
        <v>FEBBRAIO 2024</v>
      </c>
      <c r="F1607" s="57" t="str">
        <f t="shared" si="1737"/>
        <v>2 FEBBRAIO 2024</v>
      </c>
      <c r="G1607" s="1309" t="s">
        <v>91</v>
      </c>
      <c r="H1607" s="1309" t="str">
        <f>VLOOKUP(G1607,CATEGORIE!$H$3:$I$104,2,FALSE)</f>
        <v>COSTO SOPRAVVIVENZA</v>
      </c>
      <c r="I1607" s="59">
        <v>0.4</v>
      </c>
      <c r="J1607" s="940"/>
      <c r="K1607" s="59"/>
      <c r="L1607" s="59"/>
    </row>
    <row r="1608" spans="1:12">
      <c r="A1608" s="57" t="s">
        <v>101</v>
      </c>
      <c r="B1608" s="57" t="s">
        <v>129</v>
      </c>
      <c r="C1608" s="57">
        <v>2024</v>
      </c>
      <c r="D1608" s="58">
        <f>MATCH(B1608,{"GENNAIO","FEBBRAIO","MARZO","APRILE","MAGGIO","GIUGNO","LUGLIO","AGOSTO","SETTEMBRE","OTTOBRE","NOVEMBRE","DICEMBRE"},0)</f>
        <v>2</v>
      </c>
      <c r="E1608" s="57" t="str">
        <f t="shared" si="1736"/>
        <v>FEBBRAIO 2024</v>
      </c>
      <c r="F1608" s="57" t="str">
        <f t="shared" si="1737"/>
        <v>2 FEBBRAIO 2024</v>
      </c>
      <c r="G1608" s="1309" t="s">
        <v>91</v>
      </c>
      <c r="H1608" s="1309" t="str">
        <f>VLOOKUP(G1608,CATEGORIE!$H$3:$I$104,2,FALSE)</f>
        <v>COSTO SOPRAVVIVENZA</v>
      </c>
      <c r="I1608" s="59">
        <v>0.4</v>
      </c>
      <c r="J1608" s="940"/>
      <c r="K1608" s="59"/>
      <c r="L1608" s="59"/>
    </row>
    <row r="1609" spans="1:12" ht="18" customHeight="1">
      <c r="A1609" s="57" t="s">
        <v>101</v>
      </c>
      <c r="B1609" s="57" t="s">
        <v>129</v>
      </c>
      <c r="C1609" s="57">
        <v>2024</v>
      </c>
      <c r="D1609" s="58">
        <f>MATCH(B1609,{"GENNAIO","FEBBRAIO","MARZO","APRILE","MAGGIO","GIUGNO","LUGLIO","AGOSTO","SETTEMBRE","OTTOBRE","NOVEMBRE","DICEMBRE"},0)</f>
        <v>2</v>
      </c>
      <c r="E1609" s="57" t="str">
        <f t="shared" si="1736"/>
        <v>FEBBRAIO 2024</v>
      </c>
      <c r="F1609" s="57" t="str">
        <f t="shared" si="1737"/>
        <v>2 FEBBRAIO 2024</v>
      </c>
      <c r="G1609" s="1309" t="s">
        <v>91</v>
      </c>
      <c r="H1609" s="1309" t="str">
        <f>VLOOKUP(G1609,CATEGORIE!$H$3:$I$104,2,FALSE)</f>
        <v>COSTO SOPRAVVIVENZA</v>
      </c>
      <c r="I1609" s="59">
        <v>0.4</v>
      </c>
      <c r="J1609" s="940"/>
      <c r="K1609" s="59"/>
      <c r="L1609" s="59"/>
    </row>
    <row r="1610" spans="1:12">
      <c r="A1610" s="57" t="s">
        <v>101</v>
      </c>
      <c r="B1610" s="57" t="s">
        <v>129</v>
      </c>
      <c r="C1610" s="57">
        <v>2024</v>
      </c>
      <c r="D1610" s="58">
        <f>MATCH(B1610,{"GENNAIO","FEBBRAIO","MARZO","APRILE","MAGGIO","GIUGNO","LUGLIO","AGOSTO","SETTEMBRE","OTTOBRE","NOVEMBRE","DICEMBRE"},0)</f>
        <v>2</v>
      </c>
      <c r="E1610" s="57" t="str">
        <f t="shared" si="1736"/>
        <v>FEBBRAIO 2024</v>
      </c>
      <c r="F1610" s="57" t="str">
        <f t="shared" si="1737"/>
        <v>2 FEBBRAIO 2024</v>
      </c>
      <c r="G1610" s="1309" t="s">
        <v>91</v>
      </c>
      <c r="H1610" s="1309" t="str">
        <f>VLOOKUP(G1610,CATEGORIE!$H$3:$I$104,2,FALSE)</f>
        <v>COSTO SOPRAVVIVENZA</v>
      </c>
      <c r="I1610" s="59">
        <v>0.4</v>
      </c>
      <c r="J1610" s="940"/>
      <c r="K1610" s="59"/>
      <c r="L1610" s="59"/>
    </row>
    <row r="1611" spans="1:12" ht="18.600000000000001" customHeight="1">
      <c r="A1611" s="57" t="s">
        <v>106</v>
      </c>
      <c r="B1611" s="57" t="s">
        <v>129</v>
      </c>
      <c r="C1611" s="57">
        <v>2024</v>
      </c>
      <c r="D1611" s="58">
        <f>MATCH(B1611,{"GENNAIO","FEBBRAIO","MARZO","APRILE","MAGGIO","GIUGNO","LUGLIO","AGOSTO","SETTEMBRE","OTTOBRE","NOVEMBRE","DICEMBRE"},0)</f>
        <v>2</v>
      </c>
      <c r="E1611" s="57" t="str">
        <f t="shared" si="1736"/>
        <v>FEBBRAIO 2024</v>
      </c>
      <c r="F1611" s="57" t="str">
        <f t="shared" si="1737"/>
        <v>2 FEBBRAIO 2024</v>
      </c>
      <c r="G1611" s="1309" t="s">
        <v>107</v>
      </c>
      <c r="H1611" s="1309" t="str">
        <f>VLOOKUP(G1611,CATEGORIE!$H$3:$I$104,2,FALSE)</f>
        <v>COSTO SOPRAVVIVENZA</v>
      </c>
      <c r="I1611" s="59">
        <v>33</v>
      </c>
      <c r="J1611" s="940"/>
      <c r="K1611" s="59"/>
      <c r="L1611" s="59"/>
    </row>
    <row r="1612" spans="1:12">
      <c r="A1612" s="57" t="s">
        <v>229</v>
      </c>
      <c r="B1612" s="57" t="s">
        <v>129</v>
      </c>
      <c r="C1612" s="57">
        <v>2024</v>
      </c>
      <c r="D1612" s="58">
        <f>MATCH(B1612,{"GENNAIO","FEBBRAIO","MARZO","APRILE","MAGGIO","GIUGNO","LUGLIO","AGOSTO","SETTEMBRE","OTTOBRE","NOVEMBRE","DICEMBRE"},0)</f>
        <v>2</v>
      </c>
      <c r="E1612" s="57" t="str">
        <f t="shared" si="1736"/>
        <v>FEBBRAIO 2024</v>
      </c>
      <c r="F1612" s="57" t="str">
        <f t="shared" si="1737"/>
        <v>2 FEBBRAIO 2024</v>
      </c>
      <c r="G1612" s="1309" t="s">
        <v>163</v>
      </c>
      <c r="H1612" s="1309" t="str">
        <f>VLOOKUP(G1612,CATEGORIE!$H$3:$I$104,2,FALSE)</f>
        <v>COSTO SVAGHI</v>
      </c>
      <c r="I1612" s="59">
        <v>31.09</v>
      </c>
      <c r="J1612" s="940" t="s">
        <v>124</v>
      </c>
      <c r="K1612" s="59" t="s">
        <v>112</v>
      </c>
      <c r="L1612" s="59"/>
    </row>
    <row r="1613" spans="1:12">
      <c r="A1613" s="57" t="s">
        <v>131</v>
      </c>
      <c r="B1613" s="57" t="s">
        <v>129</v>
      </c>
      <c r="C1613" s="57">
        <v>2024</v>
      </c>
      <c r="D1613" s="58">
        <f>MATCH(B1613,{"GENNAIO","FEBBRAIO","MARZO","APRILE","MAGGIO","GIUGNO","LUGLIO","AGOSTO","SETTEMBRE","OTTOBRE","NOVEMBRE","DICEMBRE"},0)</f>
        <v>2</v>
      </c>
      <c r="E1613" s="57" t="str">
        <f t="shared" si="1736"/>
        <v>FEBBRAIO 2024</v>
      </c>
      <c r="F1613" s="57" t="str">
        <f t="shared" si="1737"/>
        <v>2 FEBBRAIO 2024</v>
      </c>
      <c r="G1613" s="1309" t="s">
        <v>132</v>
      </c>
      <c r="H1613" s="1309" t="str">
        <f>VLOOKUP(G1613,CATEGORIE!$H$3:$I$104,2,FALSE)</f>
        <v>COSTO CASA</v>
      </c>
      <c r="I1613" s="59">
        <v>22.16</v>
      </c>
      <c r="J1613" s="940"/>
      <c r="K1613" s="59"/>
      <c r="L1613" s="59"/>
    </row>
    <row r="1614" spans="1:12" ht="18.600000000000001" customHeight="1">
      <c r="A1614" s="57" t="s">
        <v>135</v>
      </c>
      <c r="B1614" s="57" t="s">
        <v>129</v>
      </c>
      <c r="C1614" s="57">
        <v>2024</v>
      </c>
      <c r="D1614" s="58">
        <f>MATCH(B1614,{"GENNAIO","FEBBRAIO","MARZO","APRILE","MAGGIO","GIUGNO","LUGLIO","AGOSTO","SETTEMBRE","OTTOBRE","NOVEMBRE","DICEMBRE"},0)</f>
        <v>2</v>
      </c>
      <c r="E1614" s="57" t="str">
        <f t="shared" si="1736"/>
        <v>FEBBRAIO 2024</v>
      </c>
      <c r="F1614" s="57" t="str">
        <f t="shared" si="1737"/>
        <v>2 FEBBRAIO 2024</v>
      </c>
      <c r="G1614" s="1309" t="s">
        <v>132</v>
      </c>
      <c r="H1614" s="1309" t="str">
        <f>VLOOKUP(G1614,CATEGORIE!$H$3:$I$104,2,FALSE)</f>
        <v>COSTO CASA</v>
      </c>
      <c r="I1614" s="59">
        <v>19.690000000000001</v>
      </c>
      <c r="J1614" s="940"/>
      <c r="K1614" s="59"/>
      <c r="L1614" s="59"/>
    </row>
    <row r="1615" spans="1:12" ht="16.5" customHeight="1">
      <c r="A1615" s="57" t="s">
        <v>105</v>
      </c>
      <c r="B1615" s="57" t="s">
        <v>129</v>
      </c>
      <c r="C1615" s="57">
        <v>2024</v>
      </c>
      <c r="D1615" s="58">
        <f>MATCH(B1615,{"GENNAIO","FEBBRAIO","MARZO","APRILE","MAGGIO","GIUGNO","LUGLIO","AGOSTO","SETTEMBRE","OTTOBRE","NOVEMBRE","DICEMBRE"},0)</f>
        <v>2</v>
      </c>
      <c r="E1615" s="57" t="str">
        <f t="shared" si="1736"/>
        <v>FEBBRAIO 2024</v>
      </c>
      <c r="F1615" s="57" t="str">
        <f t="shared" si="1737"/>
        <v>2 FEBBRAIO 2024</v>
      </c>
      <c r="G1615" s="1309" t="s">
        <v>96</v>
      </c>
      <c r="H1615" s="1309" t="str">
        <f>VLOOKUP(G1615,CATEGORIE!$H$3:$I$104,2,FALSE)</f>
        <v>COSTO SOPRAVVIVENZA</v>
      </c>
      <c r="I1615" s="59">
        <v>20.73</v>
      </c>
      <c r="J1615" s="940"/>
      <c r="K1615" s="59"/>
      <c r="L1615" s="59"/>
    </row>
    <row r="1616" spans="1:12" ht="16.5" customHeight="1">
      <c r="A1616" s="57" t="s">
        <v>95</v>
      </c>
      <c r="B1616" s="57" t="s">
        <v>129</v>
      </c>
      <c r="C1616" s="57">
        <v>2024</v>
      </c>
      <c r="D1616" s="58">
        <f>MATCH(B1616,{"GENNAIO","FEBBRAIO","MARZO","APRILE","MAGGIO","GIUGNO","LUGLIO","AGOSTO","SETTEMBRE","OTTOBRE","NOVEMBRE","DICEMBRE"},0)</f>
        <v>2</v>
      </c>
      <c r="E1616" s="57" t="str">
        <f t="shared" si="1736"/>
        <v>FEBBRAIO 2024</v>
      </c>
      <c r="F1616" s="57" t="str">
        <f t="shared" si="1737"/>
        <v>2 FEBBRAIO 2024</v>
      </c>
      <c r="G1616" s="1309" t="s">
        <v>96</v>
      </c>
      <c r="H1616" s="1309" t="str">
        <f>VLOOKUP(G1616,CATEGORIE!$H$3:$I$104,2,FALSE)</f>
        <v>COSTO SOPRAVVIVENZA</v>
      </c>
      <c r="I1616" s="59">
        <v>8.76</v>
      </c>
      <c r="J1616" s="940"/>
      <c r="K1616" s="59"/>
      <c r="L1616" s="59"/>
    </row>
    <row r="1617" spans="1:12" ht="16.5" customHeight="1">
      <c r="A1617" s="57" t="s">
        <v>102</v>
      </c>
      <c r="B1617" s="57" t="s">
        <v>129</v>
      </c>
      <c r="C1617" s="57">
        <v>2024</v>
      </c>
      <c r="D1617" s="58">
        <f>MATCH(B1617,{"GENNAIO","FEBBRAIO","MARZO","APRILE","MAGGIO","GIUGNO","LUGLIO","AGOSTO","SETTEMBRE","OTTOBRE","NOVEMBRE","DICEMBRE"},0)</f>
        <v>2</v>
      </c>
      <c r="E1617" s="57" t="str">
        <f t="shared" si="1736"/>
        <v>FEBBRAIO 2024</v>
      </c>
      <c r="F1617" s="57" t="str">
        <f t="shared" si="1737"/>
        <v>2 FEBBRAIO 2024</v>
      </c>
      <c r="G1617" s="1309" t="s">
        <v>96</v>
      </c>
      <c r="H1617" s="1309" t="str">
        <f>VLOOKUP(G1617,CATEGORIE!$H$3:$I$104,2,FALSE)</f>
        <v>COSTO SOPRAVVIVENZA</v>
      </c>
      <c r="I1617" s="59">
        <v>11.15</v>
      </c>
      <c r="J1617" s="940"/>
      <c r="K1617" s="59"/>
      <c r="L1617" s="59"/>
    </row>
    <row r="1618" spans="1:12" ht="16.5" customHeight="1">
      <c r="A1618" s="57" t="s">
        <v>101</v>
      </c>
      <c r="B1618" s="57" t="s">
        <v>129</v>
      </c>
      <c r="C1618" s="57">
        <v>2024</v>
      </c>
      <c r="D1618" s="58">
        <f>MATCH(B1618,{"GENNAIO","FEBBRAIO","MARZO","APRILE","MAGGIO","GIUGNO","LUGLIO","AGOSTO","SETTEMBRE","OTTOBRE","NOVEMBRE","DICEMBRE"},0)</f>
        <v>2</v>
      </c>
      <c r="E1618" s="57" t="str">
        <f t="shared" si="1736"/>
        <v>FEBBRAIO 2024</v>
      </c>
      <c r="F1618" s="57" t="str">
        <f t="shared" si="1737"/>
        <v>2 FEBBRAIO 2024</v>
      </c>
      <c r="G1618" s="1309" t="s">
        <v>91</v>
      </c>
      <c r="H1618" s="1309" t="str">
        <f>VLOOKUP(G1618,CATEGORIE!$H$3:$I$104,2,FALSE)</f>
        <v>COSTO SOPRAVVIVENZA</v>
      </c>
      <c r="I1618" s="59">
        <v>1.5</v>
      </c>
      <c r="J1618" s="940"/>
      <c r="K1618" s="59"/>
      <c r="L1618" s="59"/>
    </row>
    <row r="1619" spans="1:12" ht="16.5" customHeight="1">
      <c r="A1619" s="57" t="s">
        <v>101</v>
      </c>
      <c r="B1619" s="57" t="s">
        <v>129</v>
      </c>
      <c r="C1619" s="57">
        <v>2024</v>
      </c>
      <c r="D1619" s="58">
        <f>MATCH(B1619,{"GENNAIO","FEBBRAIO","MARZO","APRILE","MAGGIO","GIUGNO","LUGLIO","AGOSTO","SETTEMBRE","OTTOBRE","NOVEMBRE","DICEMBRE"},0)</f>
        <v>2</v>
      </c>
      <c r="E1619" s="57" t="str">
        <f t="shared" si="1736"/>
        <v>FEBBRAIO 2024</v>
      </c>
      <c r="F1619" s="57" t="str">
        <f t="shared" si="1737"/>
        <v>2 FEBBRAIO 2024</v>
      </c>
      <c r="G1619" s="1309" t="s">
        <v>91</v>
      </c>
      <c r="H1619" s="1309" t="str">
        <f>VLOOKUP(G1619,CATEGORIE!$H$3:$I$104,2,FALSE)</f>
        <v>COSTO SOPRAVVIVENZA</v>
      </c>
      <c r="I1619" s="59">
        <v>1.3</v>
      </c>
      <c r="J1619" s="940"/>
      <c r="K1619" s="59"/>
      <c r="L1619" s="59"/>
    </row>
    <row r="1620" spans="1:12" ht="16.5" customHeight="1">
      <c r="A1620" s="57" t="s">
        <v>101</v>
      </c>
      <c r="B1620" s="57" t="s">
        <v>129</v>
      </c>
      <c r="C1620" s="57">
        <v>2024</v>
      </c>
      <c r="D1620" s="58">
        <f>MATCH(B1620,{"GENNAIO","FEBBRAIO","MARZO","APRILE","MAGGIO","GIUGNO","LUGLIO","AGOSTO","SETTEMBRE","OTTOBRE","NOVEMBRE","DICEMBRE"},0)</f>
        <v>2</v>
      </c>
      <c r="E1620" s="57" t="str">
        <f t="shared" si="1736"/>
        <v>FEBBRAIO 2024</v>
      </c>
      <c r="F1620" s="57" t="str">
        <f t="shared" si="1737"/>
        <v>2 FEBBRAIO 2024</v>
      </c>
      <c r="G1620" s="1309" t="s">
        <v>91</v>
      </c>
      <c r="H1620" s="1309" t="str">
        <f>VLOOKUP(G1620,CATEGORIE!$H$3:$I$104,2,FALSE)</f>
        <v>COSTO SOPRAVVIVENZA</v>
      </c>
      <c r="I1620" s="59">
        <v>0.4</v>
      </c>
      <c r="J1620" s="940"/>
      <c r="K1620" s="59"/>
      <c r="L1620" s="59"/>
    </row>
    <row r="1621" spans="1:12" ht="16.5" customHeight="1">
      <c r="A1621" s="57" t="s">
        <v>101</v>
      </c>
      <c r="B1621" s="57" t="s">
        <v>154</v>
      </c>
      <c r="C1621" s="57">
        <v>2024</v>
      </c>
      <c r="D1621" s="58">
        <f>MATCH(B1621,{"GENNAIO","FEBBRAIO","MARZO","APRILE","MAGGIO","GIUGNO","LUGLIO","AGOSTO","SETTEMBRE","OTTOBRE","NOVEMBRE","DICEMBRE"},0)</f>
        <v>1</v>
      </c>
      <c r="E1621" s="57" t="str">
        <f t="shared" si="1736"/>
        <v>GENNAIO 2024</v>
      </c>
      <c r="F1621" s="57" t="str">
        <f t="shared" si="1737"/>
        <v>1 GENNAIO 2024</v>
      </c>
      <c r="G1621" s="1309" t="s">
        <v>91</v>
      </c>
      <c r="H1621" s="1309" t="str">
        <f>VLOOKUP(G1621,CATEGORIE!$H$3:$I$104,2,FALSE)</f>
        <v>COSTO SOPRAVVIVENZA</v>
      </c>
      <c r="I1621" s="59">
        <v>0.4</v>
      </c>
      <c r="J1621" s="940"/>
      <c r="K1621" s="59"/>
      <c r="L1621" s="59"/>
    </row>
    <row r="1622" spans="1:12">
      <c r="A1622" s="57" t="s">
        <v>101</v>
      </c>
      <c r="B1622" s="57" t="s">
        <v>154</v>
      </c>
      <c r="C1622" s="57">
        <v>2024</v>
      </c>
      <c r="D1622" s="58">
        <f>MATCH(B1622,{"GENNAIO","FEBBRAIO","MARZO","APRILE","MAGGIO","GIUGNO","LUGLIO","AGOSTO","SETTEMBRE","OTTOBRE","NOVEMBRE","DICEMBRE"},0)</f>
        <v>1</v>
      </c>
      <c r="E1622" s="57" t="str">
        <f t="shared" si="1736"/>
        <v>GENNAIO 2024</v>
      </c>
      <c r="F1622" s="57" t="str">
        <f t="shared" si="1737"/>
        <v>1 GENNAIO 2024</v>
      </c>
      <c r="G1622" s="1309" t="s">
        <v>91</v>
      </c>
      <c r="H1622" s="1309" t="str">
        <f>VLOOKUP(G1622,CATEGORIE!$H$3:$I$104,2,FALSE)</f>
        <v>COSTO SOPRAVVIVENZA</v>
      </c>
      <c r="I1622" s="59">
        <v>0.4</v>
      </c>
      <c r="J1622" s="940"/>
      <c r="K1622" s="59"/>
      <c r="L1622" s="59"/>
    </row>
    <row r="1623" spans="1:12" ht="16.5" customHeight="1">
      <c r="A1623" s="57" t="s">
        <v>101</v>
      </c>
      <c r="B1623" s="57" t="s">
        <v>154</v>
      </c>
      <c r="C1623" s="57">
        <v>2024</v>
      </c>
      <c r="D1623" s="58">
        <f>MATCH(B1623,{"GENNAIO","FEBBRAIO","MARZO","APRILE","MAGGIO","GIUGNO","LUGLIO","AGOSTO","SETTEMBRE","OTTOBRE","NOVEMBRE","DICEMBRE"},0)</f>
        <v>1</v>
      </c>
      <c r="E1623" s="57" t="str">
        <f t="shared" si="1736"/>
        <v>GENNAIO 2024</v>
      </c>
      <c r="F1623" s="57" t="str">
        <f t="shared" si="1737"/>
        <v>1 GENNAIO 2024</v>
      </c>
      <c r="G1623" s="1309" t="s">
        <v>91</v>
      </c>
      <c r="H1623" s="1309" t="str">
        <f>VLOOKUP(G1623,CATEGORIE!$H$3:$I$104,2,FALSE)</f>
        <v>COSTO SOPRAVVIVENZA</v>
      </c>
      <c r="I1623" s="59">
        <v>0.4</v>
      </c>
      <c r="J1623" s="940"/>
      <c r="K1623" s="59"/>
      <c r="L1623" s="59"/>
    </row>
    <row r="1624" spans="1:12" ht="16.5" customHeight="1">
      <c r="A1624" s="57" t="s">
        <v>101</v>
      </c>
      <c r="B1624" s="57" t="s">
        <v>154</v>
      </c>
      <c r="C1624" s="57">
        <v>2024</v>
      </c>
      <c r="D1624" s="58">
        <f>MATCH(B1624,{"GENNAIO","FEBBRAIO","MARZO","APRILE","MAGGIO","GIUGNO","LUGLIO","AGOSTO","SETTEMBRE","OTTOBRE","NOVEMBRE","DICEMBRE"},0)</f>
        <v>1</v>
      </c>
      <c r="E1624" s="57" t="str">
        <f t="shared" si="1736"/>
        <v>GENNAIO 2024</v>
      </c>
      <c r="F1624" s="57" t="str">
        <f t="shared" si="1737"/>
        <v>1 GENNAIO 2024</v>
      </c>
      <c r="G1624" s="1309" t="s">
        <v>91</v>
      </c>
      <c r="H1624" s="1309" t="str">
        <f>VLOOKUP(G1624,CATEGORIE!$H$3:$I$104,2,FALSE)</f>
        <v>COSTO SOPRAVVIVENZA</v>
      </c>
      <c r="I1624" s="59">
        <v>0.4</v>
      </c>
      <c r="J1624" s="940"/>
      <c r="K1624" s="59"/>
      <c r="L1624" s="59"/>
    </row>
    <row r="1625" spans="1:12" ht="16.5" customHeight="1">
      <c r="A1625" s="57" t="s">
        <v>95</v>
      </c>
      <c r="B1625" s="57" t="s">
        <v>154</v>
      </c>
      <c r="C1625" s="57">
        <v>2024</v>
      </c>
      <c r="D1625" s="58">
        <f>MATCH(B1625,{"GENNAIO","FEBBRAIO","MARZO","APRILE","MAGGIO","GIUGNO","LUGLIO","AGOSTO","SETTEMBRE","OTTOBRE","NOVEMBRE","DICEMBRE"},0)</f>
        <v>1</v>
      </c>
      <c r="E1625" s="57" t="str">
        <f t="shared" si="1736"/>
        <v>GENNAIO 2024</v>
      </c>
      <c r="F1625" s="57" t="str">
        <f t="shared" si="1737"/>
        <v>1 GENNAIO 2024</v>
      </c>
      <c r="G1625" s="1309" t="s">
        <v>96</v>
      </c>
      <c r="H1625" s="1309" t="str">
        <f>VLOOKUP(G1625,CATEGORIE!$H$3:$I$104,2,FALSE)</f>
        <v>COSTO SOPRAVVIVENZA</v>
      </c>
      <c r="I1625" s="59">
        <v>11.69</v>
      </c>
      <c r="J1625" s="940"/>
      <c r="K1625" s="59"/>
      <c r="L1625" s="59"/>
    </row>
    <row r="1626" spans="1:12" ht="16.5" customHeight="1">
      <c r="A1626" s="57" t="s">
        <v>92</v>
      </c>
      <c r="B1626" s="57" t="s">
        <v>154</v>
      </c>
      <c r="C1626" s="57">
        <v>2024</v>
      </c>
      <c r="D1626" s="58">
        <f>MATCH(B1626,{"GENNAIO","FEBBRAIO","MARZO","APRILE","MAGGIO","GIUGNO","LUGLIO","AGOSTO","SETTEMBRE","OTTOBRE","NOVEMBRE","DICEMBRE"},0)</f>
        <v>1</v>
      </c>
      <c r="E1626" s="57" t="str">
        <f t="shared" si="1736"/>
        <v>GENNAIO 2024</v>
      </c>
      <c r="F1626" s="57" t="str">
        <f t="shared" si="1737"/>
        <v>1 GENNAIO 2024</v>
      </c>
      <c r="G1626" s="1309" t="s">
        <v>93</v>
      </c>
      <c r="H1626" s="1309" t="str">
        <f>VLOOKUP(G1626,CATEGORIE!$H$3:$I$104,2,FALSE)</f>
        <v>COSTO SOPRAVVIVENZA</v>
      </c>
      <c r="I1626" s="59">
        <v>5</v>
      </c>
      <c r="J1626" s="940"/>
      <c r="K1626" s="59"/>
      <c r="L1626" s="59"/>
    </row>
    <row r="1627" spans="1:12" ht="16.5" customHeight="1">
      <c r="A1627" s="57" t="s">
        <v>101</v>
      </c>
      <c r="B1627" s="57" t="s">
        <v>154</v>
      </c>
      <c r="C1627" s="57">
        <v>2024</v>
      </c>
      <c r="D1627" s="58">
        <f>MATCH(B1627,{"GENNAIO","FEBBRAIO","MARZO","APRILE","MAGGIO","GIUGNO","LUGLIO","AGOSTO","SETTEMBRE","OTTOBRE","NOVEMBRE","DICEMBRE"},0)</f>
        <v>1</v>
      </c>
      <c r="E1627" s="57" t="str">
        <f t="shared" si="1736"/>
        <v>GENNAIO 2024</v>
      </c>
      <c r="F1627" s="57" t="str">
        <f t="shared" si="1737"/>
        <v>1 GENNAIO 2024</v>
      </c>
      <c r="G1627" s="1309" t="s">
        <v>91</v>
      </c>
      <c r="H1627" s="1309" t="str">
        <f>VLOOKUP(G1627,CATEGORIE!$H$3:$I$104,2,FALSE)</f>
        <v>COSTO SOPRAVVIVENZA</v>
      </c>
      <c r="I1627" s="59">
        <v>0.4</v>
      </c>
      <c r="J1627" s="940"/>
      <c r="K1627" s="59"/>
      <c r="L1627" s="59"/>
    </row>
    <row r="1628" spans="1:12">
      <c r="A1628" s="57" t="s">
        <v>101</v>
      </c>
      <c r="B1628" s="57" t="s">
        <v>154</v>
      </c>
      <c r="C1628" s="57">
        <v>2024</v>
      </c>
      <c r="D1628" s="58">
        <f>MATCH(B1628,{"GENNAIO","FEBBRAIO","MARZO","APRILE","MAGGIO","GIUGNO","LUGLIO","AGOSTO","SETTEMBRE","OTTOBRE","NOVEMBRE","DICEMBRE"},0)</f>
        <v>1</v>
      </c>
      <c r="E1628" s="57" t="str">
        <f t="shared" si="1736"/>
        <v>GENNAIO 2024</v>
      </c>
      <c r="F1628" s="57" t="str">
        <f t="shared" si="1737"/>
        <v>1 GENNAIO 2024</v>
      </c>
      <c r="G1628" s="1309" t="s">
        <v>91</v>
      </c>
      <c r="H1628" s="1309" t="str">
        <f>VLOOKUP(G1628,CATEGORIE!$H$3:$I$104,2,FALSE)</f>
        <v>COSTO SOPRAVVIVENZA</v>
      </c>
      <c r="I1628" s="59">
        <v>0.4</v>
      </c>
      <c r="J1628" s="940"/>
      <c r="K1628" s="59"/>
      <c r="L1628" s="59"/>
    </row>
    <row r="1629" spans="1:12" ht="16.5" customHeight="1">
      <c r="A1629" s="57" t="s">
        <v>101</v>
      </c>
      <c r="B1629" s="57" t="s">
        <v>154</v>
      </c>
      <c r="C1629" s="57">
        <v>2024</v>
      </c>
      <c r="D1629" s="58">
        <f>MATCH(B1629,{"GENNAIO","FEBBRAIO","MARZO","APRILE","MAGGIO","GIUGNO","LUGLIO","AGOSTO","SETTEMBRE","OTTOBRE","NOVEMBRE","DICEMBRE"},0)</f>
        <v>1</v>
      </c>
      <c r="E1629" s="57" t="str">
        <f t="shared" si="1736"/>
        <v>GENNAIO 2024</v>
      </c>
      <c r="F1629" s="57" t="str">
        <f t="shared" si="1737"/>
        <v>1 GENNAIO 2024</v>
      </c>
      <c r="G1629" s="1309" t="s">
        <v>91</v>
      </c>
      <c r="H1629" s="1309" t="str">
        <f>VLOOKUP(G1629,CATEGORIE!$H$3:$I$104,2,FALSE)</f>
        <v>COSTO SOPRAVVIVENZA</v>
      </c>
      <c r="I1629" s="59">
        <v>0.4</v>
      </c>
      <c r="J1629" s="940"/>
      <c r="K1629" s="59"/>
      <c r="L1629" s="59"/>
    </row>
    <row r="1630" spans="1:12" ht="16.5" customHeight="1">
      <c r="A1630" s="57" t="s">
        <v>101</v>
      </c>
      <c r="B1630" s="57" t="s">
        <v>154</v>
      </c>
      <c r="C1630" s="57">
        <v>2024</v>
      </c>
      <c r="D1630" s="58">
        <f>MATCH(B1630,{"GENNAIO","FEBBRAIO","MARZO","APRILE","MAGGIO","GIUGNO","LUGLIO","AGOSTO","SETTEMBRE","OTTOBRE","NOVEMBRE","DICEMBRE"},0)</f>
        <v>1</v>
      </c>
      <c r="E1630" s="57" t="str">
        <f t="shared" si="1736"/>
        <v>GENNAIO 2024</v>
      </c>
      <c r="F1630" s="57" t="str">
        <f t="shared" si="1737"/>
        <v>1 GENNAIO 2024</v>
      </c>
      <c r="G1630" s="1309" t="s">
        <v>91</v>
      </c>
      <c r="H1630" s="1309" t="str">
        <f>VLOOKUP(G1630,CATEGORIE!$H$3:$I$104,2,FALSE)</f>
        <v>COSTO SOPRAVVIVENZA</v>
      </c>
      <c r="I1630" s="59">
        <v>0.4</v>
      </c>
      <c r="J1630" s="940"/>
      <c r="K1630" s="59"/>
      <c r="L1630" s="59"/>
    </row>
    <row r="1631" spans="1:12">
      <c r="A1631" s="57" t="s">
        <v>105</v>
      </c>
      <c r="B1631" s="57" t="s">
        <v>154</v>
      </c>
      <c r="C1631" s="57">
        <v>2024</v>
      </c>
      <c r="D1631" s="58">
        <f>MATCH(B1631,{"GENNAIO","FEBBRAIO","MARZO","APRILE","MAGGIO","GIUGNO","LUGLIO","AGOSTO","SETTEMBRE","OTTOBRE","NOVEMBRE","DICEMBRE"},0)</f>
        <v>1</v>
      </c>
      <c r="E1631" s="57" t="str">
        <f t="shared" si="1736"/>
        <v>GENNAIO 2024</v>
      </c>
      <c r="F1631" s="57" t="str">
        <f t="shared" si="1737"/>
        <v>1 GENNAIO 2024</v>
      </c>
      <c r="G1631" s="1309" t="s">
        <v>96</v>
      </c>
      <c r="H1631" s="1309" t="str">
        <f>VLOOKUP(G1631,CATEGORIE!$H$3:$I$104,2,FALSE)</f>
        <v>COSTO SOPRAVVIVENZA</v>
      </c>
      <c r="I1631" s="59">
        <v>8.33</v>
      </c>
      <c r="J1631" s="940"/>
      <c r="K1631" s="59"/>
      <c r="L1631" s="59"/>
    </row>
    <row r="1632" spans="1:12" ht="16.5" customHeight="1">
      <c r="A1632" s="57" t="s">
        <v>92</v>
      </c>
      <c r="B1632" s="57" t="s">
        <v>154</v>
      </c>
      <c r="C1632" s="57">
        <v>2024</v>
      </c>
      <c r="D1632" s="58">
        <f>MATCH(B1632,{"GENNAIO","FEBBRAIO","MARZO","APRILE","MAGGIO","GIUGNO","LUGLIO","AGOSTO","SETTEMBRE","OTTOBRE","NOVEMBRE","DICEMBRE"},0)</f>
        <v>1</v>
      </c>
      <c r="E1632" s="57" t="str">
        <f t="shared" si="1736"/>
        <v>GENNAIO 2024</v>
      </c>
      <c r="F1632" s="57" t="str">
        <f t="shared" si="1737"/>
        <v>1 GENNAIO 2024</v>
      </c>
      <c r="G1632" s="1309" t="s">
        <v>94</v>
      </c>
      <c r="H1632" s="1309" t="str">
        <f>VLOOKUP(G1632,CATEGORIE!$H$3:$I$104,2,FALSE)</f>
        <v>COSTO SVAGHI</v>
      </c>
      <c r="I1632" s="59">
        <v>3.9</v>
      </c>
      <c r="J1632" s="940"/>
      <c r="K1632" s="59"/>
      <c r="L1632" s="59"/>
    </row>
    <row r="1633" spans="1:12">
      <c r="A1633" s="57" t="s">
        <v>394</v>
      </c>
      <c r="B1633" s="57" t="s">
        <v>154</v>
      </c>
      <c r="C1633" s="57">
        <v>2024</v>
      </c>
      <c r="D1633" s="58">
        <f>MATCH(B1633,{"GENNAIO","FEBBRAIO","MARZO","APRILE","MAGGIO","GIUGNO","LUGLIO","AGOSTO","SETTEMBRE","OTTOBRE","NOVEMBRE","DICEMBRE"},0)</f>
        <v>1</v>
      </c>
      <c r="E1633" s="57" t="str">
        <f t="shared" si="1736"/>
        <v>GENNAIO 2024</v>
      </c>
      <c r="F1633" s="57" t="str">
        <f t="shared" si="1737"/>
        <v>1 GENNAIO 2024</v>
      </c>
      <c r="G1633" s="1309" t="s">
        <v>94</v>
      </c>
      <c r="H1633" s="1309" t="str">
        <f>VLOOKUP(G1633,CATEGORIE!$H$3:$I$104,2,FALSE)</f>
        <v>COSTO SVAGHI</v>
      </c>
      <c r="I1633" s="59">
        <v>16</v>
      </c>
      <c r="J1633" s="940"/>
      <c r="K1633" s="59"/>
      <c r="L1633" s="59"/>
    </row>
    <row r="1634" spans="1:12" ht="18.600000000000001" customHeight="1">
      <c r="A1634" s="57" t="s">
        <v>507</v>
      </c>
      <c r="B1634" s="57" t="s">
        <v>154</v>
      </c>
      <c r="C1634" s="57">
        <v>2024</v>
      </c>
      <c r="D1634" s="58">
        <f>MATCH(B1634,{"GENNAIO","FEBBRAIO","MARZO","APRILE","MAGGIO","GIUGNO","LUGLIO","AGOSTO","SETTEMBRE","OTTOBRE","NOVEMBRE","DICEMBRE"},0)</f>
        <v>1</v>
      </c>
      <c r="E1634" s="57" t="str">
        <f t="shared" si="1736"/>
        <v>GENNAIO 2024</v>
      </c>
      <c r="F1634" s="57" t="str">
        <f t="shared" si="1737"/>
        <v>1 GENNAIO 2024</v>
      </c>
      <c r="G1634" s="1309" t="s">
        <v>94</v>
      </c>
      <c r="H1634" s="1309" t="str">
        <f>VLOOKUP(G1634,CATEGORIE!$H$3:$I$104,2,FALSE)</f>
        <v>COSTO SVAGHI</v>
      </c>
      <c r="I1634" s="59">
        <v>56</v>
      </c>
      <c r="J1634" s="940"/>
      <c r="K1634" s="59"/>
      <c r="L1634" s="59"/>
    </row>
    <row r="1635" spans="1:12">
      <c r="A1635" s="57" t="s">
        <v>99</v>
      </c>
      <c r="B1635" s="57" t="s">
        <v>154</v>
      </c>
      <c r="C1635" s="57">
        <v>2024</v>
      </c>
      <c r="D1635" s="58">
        <f>MATCH(B1635,{"GENNAIO","FEBBRAIO","MARZO","APRILE","MAGGIO","GIUGNO","LUGLIO","AGOSTO","SETTEMBRE","OTTOBRE","NOVEMBRE","DICEMBRE"},0)</f>
        <v>1</v>
      </c>
      <c r="E1635" s="57" t="str">
        <f t="shared" si="1736"/>
        <v>GENNAIO 2024</v>
      </c>
      <c r="F1635" s="57" t="str">
        <f t="shared" si="1737"/>
        <v>1 GENNAIO 2024</v>
      </c>
      <c r="G1635" s="1309" t="s">
        <v>100</v>
      </c>
      <c r="H1635" s="1309" t="str">
        <f>VLOOKUP(G1635,CATEGORIE!$H$3:$I$104,2,FALSE)</f>
        <v>COSTO SFIZI</v>
      </c>
      <c r="I1635" s="59">
        <v>30.1</v>
      </c>
      <c r="J1635" s="940"/>
      <c r="K1635" s="57" t="s">
        <v>99</v>
      </c>
      <c r="L1635" s="59"/>
    </row>
    <row r="1636" spans="1:12" ht="18.600000000000001" customHeight="1">
      <c r="A1636" s="57" t="s">
        <v>131</v>
      </c>
      <c r="B1636" s="57" t="s">
        <v>154</v>
      </c>
      <c r="C1636" s="57">
        <v>2024</v>
      </c>
      <c r="D1636" s="58">
        <f>MATCH(B1636,{"GENNAIO","FEBBRAIO","MARZO","APRILE","MAGGIO","GIUGNO","LUGLIO","AGOSTO","SETTEMBRE","OTTOBRE","NOVEMBRE","DICEMBRE"},0)</f>
        <v>1</v>
      </c>
      <c r="E1636" s="57" t="str">
        <f t="shared" si="1736"/>
        <v>GENNAIO 2024</v>
      </c>
      <c r="F1636" s="57" t="str">
        <f t="shared" si="1737"/>
        <v>1 GENNAIO 2024</v>
      </c>
      <c r="G1636" s="1309" t="s">
        <v>132</v>
      </c>
      <c r="H1636" s="1309" t="str">
        <f>VLOOKUP(G1636,CATEGORIE!$H$3:$I$104,2,FALSE)</f>
        <v>COSTO CASA</v>
      </c>
      <c r="I1636" s="59">
        <v>13.7</v>
      </c>
      <c r="J1636" s="940"/>
      <c r="K1636" s="59"/>
      <c r="L1636" s="59"/>
    </row>
    <row r="1637" spans="1:12" ht="18" customHeight="1">
      <c r="A1637" s="57" t="s">
        <v>102</v>
      </c>
      <c r="B1637" s="57" t="s">
        <v>154</v>
      </c>
      <c r="C1637" s="57">
        <v>2024</v>
      </c>
      <c r="D1637" s="58">
        <f>MATCH(B1637,{"GENNAIO","FEBBRAIO","MARZO","APRILE","MAGGIO","GIUGNO","LUGLIO","AGOSTO","SETTEMBRE","OTTOBRE","NOVEMBRE","DICEMBRE"},0)</f>
        <v>1</v>
      </c>
      <c r="E1637" s="57" t="str">
        <f t="shared" si="1736"/>
        <v>GENNAIO 2024</v>
      </c>
      <c r="F1637" s="57" t="str">
        <f t="shared" si="1737"/>
        <v>1 GENNAIO 2024</v>
      </c>
      <c r="G1637" s="1309" t="s">
        <v>96</v>
      </c>
      <c r="H1637" s="1309" t="str">
        <f>VLOOKUP(G1637,CATEGORIE!$H$3:$I$104,2,FALSE)</f>
        <v>COSTO SOPRAVVIVENZA</v>
      </c>
      <c r="I1637" s="59">
        <v>21.23</v>
      </c>
      <c r="J1637" s="940"/>
      <c r="K1637" s="59"/>
      <c r="L1637" s="59"/>
    </row>
    <row r="1638" spans="1:12">
      <c r="A1638" s="57" t="s">
        <v>479</v>
      </c>
      <c r="B1638" s="57" t="s">
        <v>154</v>
      </c>
      <c r="C1638" s="57">
        <v>2024</v>
      </c>
      <c r="D1638" s="58">
        <f>MATCH(B1638,{"GENNAIO","FEBBRAIO","MARZO","APRILE","MAGGIO","GIUGNO","LUGLIO","AGOSTO","SETTEMBRE","OTTOBRE","NOVEMBRE","DICEMBRE"},0)</f>
        <v>1</v>
      </c>
      <c r="E1638" s="57" t="str">
        <f t="shared" si="1736"/>
        <v>GENNAIO 2024</v>
      </c>
      <c r="F1638" s="57" t="str">
        <f t="shared" si="1737"/>
        <v>1 GENNAIO 2024</v>
      </c>
      <c r="G1638" s="1309" t="s">
        <v>94</v>
      </c>
      <c r="H1638" s="1309" t="str">
        <f>VLOOKUP(G1638,CATEGORIE!$H$3:$I$104,2,FALSE)</f>
        <v>COSTO SVAGHI</v>
      </c>
      <c r="I1638" s="59">
        <v>19</v>
      </c>
      <c r="J1638" s="940"/>
      <c r="K1638" s="59"/>
      <c r="L1638" s="59"/>
    </row>
    <row r="1639" spans="1:12" ht="16.5" customHeight="1">
      <c r="A1639" s="57" t="s">
        <v>135</v>
      </c>
      <c r="B1639" s="57" t="s">
        <v>154</v>
      </c>
      <c r="C1639" s="57">
        <v>2024</v>
      </c>
      <c r="D1639" s="58">
        <f>MATCH(B1639,{"GENNAIO","FEBBRAIO","MARZO","APRILE","MAGGIO","GIUGNO","LUGLIO","AGOSTO","SETTEMBRE","OTTOBRE","NOVEMBRE","DICEMBRE"},0)</f>
        <v>1</v>
      </c>
      <c r="E1639" s="57" t="str">
        <f t="shared" si="1736"/>
        <v>GENNAIO 2024</v>
      </c>
      <c r="F1639" s="57" t="str">
        <f t="shared" si="1737"/>
        <v>1 GENNAIO 2024</v>
      </c>
      <c r="G1639" s="1309" t="s">
        <v>132</v>
      </c>
      <c r="H1639" s="1309" t="str">
        <f>VLOOKUP(G1639,CATEGORIE!$H$3:$I$104,2,FALSE)</f>
        <v>COSTO CASA</v>
      </c>
      <c r="I1639" s="59">
        <v>12.69</v>
      </c>
      <c r="J1639" s="940"/>
      <c r="K1639" s="59"/>
      <c r="L1639" s="59"/>
    </row>
    <row r="1640" spans="1:12" ht="14.25" customHeight="1">
      <c r="A1640" s="57" t="s">
        <v>229</v>
      </c>
      <c r="B1640" s="57" t="s">
        <v>154</v>
      </c>
      <c r="C1640" s="57">
        <v>2024</v>
      </c>
      <c r="D1640" s="58">
        <f>MATCH(B1640,{"GENNAIO","FEBBRAIO","MARZO","APRILE","MAGGIO","GIUGNO","LUGLIO","AGOSTO","SETTEMBRE","OTTOBRE","NOVEMBRE","DICEMBRE"},0)</f>
        <v>1</v>
      </c>
      <c r="E1640" s="57" t="str">
        <f t="shared" si="1736"/>
        <v>GENNAIO 2024</v>
      </c>
      <c r="F1640" s="57" t="str">
        <f t="shared" si="1737"/>
        <v>1 GENNAIO 2024</v>
      </c>
      <c r="G1640" s="1309" t="s">
        <v>163</v>
      </c>
      <c r="H1640" s="1309" t="str">
        <f>VLOOKUP(G1640,CATEGORIE!$H$3:$I$104,2,FALSE)</f>
        <v>COSTO SVAGHI</v>
      </c>
      <c r="I1640" s="59">
        <v>31.09</v>
      </c>
      <c r="J1640" s="940" t="s">
        <v>138</v>
      </c>
      <c r="K1640" s="59" t="s">
        <v>112</v>
      </c>
      <c r="L1640" s="59"/>
    </row>
    <row r="1641" spans="1:12">
      <c r="A1641" s="57" t="s">
        <v>433</v>
      </c>
      <c r="B1641" s="57" t="s">
        <v>154</v>
      </c>
      <c r="C1641" s="57">
        <v>2024</v>
      </c>
      <c r="D1641" s="58">
        <f>MATCH(B1641,{"GENNAIO","FEBBRAIO","MARZO","APRILE","MAGGIO","GIUGNO","LUGLIO","AGOSTO","SETTEMBRE","OTTOBRE","NOVEMBRE","DICEMBRE"},0)</f>
        <v>1</v>
      </c>
      <c r="E1641" s="57" t="str">
        <f t="shared" si="1736"/>
        <v>GENNAIO 2024</v>
      </c>
      <c r="F1641" s="57" t="str">
        <f t="shared" si="1737"/>
        <v>1 GENNAIO 2024</v>
      </c>
      <c r="G1641" s="1309" t="s">
        <v>385</v>
      </c>
      <c r="H1641" s="1309" t="str">
        <f>VLOOKUP(G1641,CATEGORIE!$H$3:$I$104,2,FALSE)</f>
        <v>COSTO SFIZI</v>
      </c>
      <c r="I1641" s="59">
        <v>23.32</v>
      </c>
      <c r="J1641" s="940" t="s">
        <v>215</v>
      </c>
      <c r="K1641" s="59" t="s">
        <v>112</v>
      </c>
      <c r="L1641" s="59"/>
    </row>
    <row r="1642" spans="1:12">
      <c r="A1642" s="57" t="s">
        <v>221</v>
      </c>
      <c r="B1642" s="57" t="s">
        <v>154</v>
      </c>
      <c r="C1642" s="57">
        <v>2024</v>
      </c>
      <c r="D1642" s="58">
        <f>MATCH(B1642,{"GENNAIO","FEBBRAIO","MARZO","APRILE","MAGGIO","GIUGNO","LUGLIO","AGOSTO","SETTEMBRE","OTTOBRE","NOVEMBRE","DICEMBRE"},0)</f>
        <v>1</v>
      </c>
      <c r="E1642" s="57" t="str">
        <f t="shared" si="1736"/>
        <v>GENNAIO 2024</v>
      </c>
      <c r="F1642" s="57" t="str">
        <f t="shared" si="1737"/>
        <v>1 GENNAIO 2024</v>
      </c>
      <c r="G1642" s="1309" t="s">
        <v>94</v>
      </c>
      <c r="H1642" s="1309" t="str">
        <f>VLOOKUP(G1642,CATEGORIE!$H$3:$I$104,2,FALSE)</f>
        <v>COSTO SVAGHI</v>
      </c>
      <c r="I1642" s="59">
        <v>59</v>
      </c>
      <c r="J1642" s="940"/>
      <c r="K1642" s="59"/>
      <c r="L1642" s="59"/>
    </row>
    <row r="1643" spans="1:12">
      <c r="A1643" s="57" t="s">
        <v>120</v>
      </c>
      <c r="B1643" s="57" t="s">
        <v>154</v>
      </c>
      <c r="C1643" s="57">
        <v>2024</v>
      </c>
      <c r="D1643" s="58">
        <f>MATCH(B1643,{"GENNAIO","FEBBRAIO","MARZO","APRILE","MAGGIO","GIUGNO","LUGLIO","AGOSTO","SETTEMBRE","OTTOBRE","NOVEMBRE","DICEMBRE"},0)</f>
        <v>1</v>
      </c>
      <c r="E1643" s="57" t="str">
        <f t="shared" si="1736"/>
        <v>GENNAIO 2024</v>
      </c>
      <c r="F1643" s="57" t="str">
        <f t="shared" si="1737"/>
        <v>1 GENNAIO 2024</v>
      </c>
      <c r="G1643" s="1309" t="s">
        <v>121</v>
      </c>
      <c r="H1643" s="1309" t="str">
        <f>VLOOKUP(G1643,CATEGORIE!$H$3:$I$104,2,FALSE)</f>
        <v>COSTO MOBILITA'</v>
      </c>
      <c r="I1643" s="59">
        <v>27</v>
      </c>
      <c r="J1643" s="940"/>
      <c r="K1643" s="59"/>
      <c r="L1643" s="59"/>
    </row>
    <row r="1644" spans="1:12" ht="18" customHeight="1">
      <c r="A1644" s="57" t="s">
        <v>508</v>
      </c>
      <c r="B1644" s="57" t="s">
        <v>154</v>
      </c>
      <c r="C1644" s="57">
        <v>2024</v>
      </c>
      <c r="D1644" s="58">
        <f>MATCH(B1644,{"GENNAIO","FEBBRAIO","MARZO","APRILE","MAGGIO","GIUGNO","LUGLIO","AGOSTO","SETTEMBRE","OTTOBRE","NOVEMBRE","DICEMBRE"},0)</f>
        <v>1</v>
      </c>
      <c r="E1644" s="57" t="str">
        <f t="shared" si="1736"/>
        <v>GENNAIO 2024</v>
      </c>
      <c r="F1644" s="57" t="str">
        <f t="shared" si="1737"/>
        <v>1 GENNAIO 2024</v>
      </c>
      <c r="G1644" s="1309" t="s">
        <v>94</v>
      </c>
      <c r="H1644" s="1309" t="str">
        <f>VLOOKUP(G1644,CATEGORIE!$H$3:$I$104,2,FALSE)</f>
        <v>COSTO SVAGHI</v>
      </c>
      <c r="I1644" s="59">
        <v>24.2</v>
      </c>
      <c r="J1644" s="940"/>
      <c r="K1644" s="59"/>
      <c r="L1644" s="59"/>
    </row>
    <row r="1645" spans="1:12" ht="18.600000000000001" customHeight="1">
      <c r="A1645" s="57" t="s">
        <v>211</v>
      </c>
      <c r="B1645" s="57" t="s">
        <v>154</v>
      </c>
      <c r="C1645" s="57">
        <v>2024</v>
      </c>
      <c r="D1645" s="58">
        <f>MATCH(B1645,{"GENNAIO","FEBBRAIO","MARZO","APRILE","MAGGIO","GIUGNO","LUGLIO","AGOSTO","SETTEMBRE","OTTOBRE","NOVEMBRE","DICEMBRE"},0)</f>
        <v>1</v>
      </c>
      <c r="E1645" s="57" t="str">
        <f t="shared" si="1736"/>
        <v>GENNAIO 2024</v>
      </c>
      <c r="F1645" s="57" t="str">
        <f t="shared" si="1737"/>
        <v>1 GENNAIO 2024</v>
      </c>
      <c r="G1645" s="1309" t="s">
        <v>94</v>
      </c>
      <c r="H1645" s="1309" t="str">
        <f>VLOOKUP(G1645,CATEGORIE!$H$3:$I$104,2,FALSE)</f>
        <v>COSTO SVAGHI</v>
      </c>
      <c r="I1645" s="59">
        <v>25.2</v>
      </c>
      <c r="J1645" s="940"/>
      <c r="K1645" s="59"/>
      <c r="L1645" s="59"/>
    </row>
    <row r="1646" spans="1:12" ht="18" customHeight="1">
      <c r="A1646" s="57" t="s">
        <v>105</v>
      </c>
      <c r="B1646" s="57" t="s">
        <v>154</v>
      </c>
      <c r="C1646" s="57">
        <v>2024</v>
      </c>
      <c r="D1646" s="58">
        <f>MATCH(B1646,{"GENNAIO","FEBBRAIO","MARZO","APRILE","MAGGIO","GIUGNO","LUGLIO","AGOSTO","SETTEMBRE","OTTOBRE","NOVEMBRE","DICEMBRE"},0)</f>
        <v>1</v>
      </c>
      <c r="E1646" s="57" t="str">
        <f t="shared" si="1736"/>
        <v>GENNAIO 2024</v>
      </c>
      <c r="F1646" s="57" t="str">
        <f t="shared" si="1737"/>
        <v>1 GENNAIO 2024</v>
      </c>
      <c r="G1646" s="1309" t="s">
        <v>96</v>
      </c>
      <c r="H1646" s="1309" t="str">
        <f>VLOOKUP(G1646,CATEGORIE!$H$3:$I$104,2,FALSE)</f>
        <v>COSTO SOPRAVVIVENZA</v>
      </c>
      <c r="I1646" s="59">
        <v>26.56</v>
      </c>
      <c r="J1646" s="940"/>
      <c r="K1646" s="59"/>
      <c r="L1646" s="59"/>
    </row>
    <row r="1647" spans="1:12">
      <c r="A1647" s="57" t="s">
        <v>509</v>
      </c>
      <c r="B1647" s="57" t="s">
        <v>154</v>
      </c>
      <c r="C1647" s="57">
        <v>2024</v>
      </c>
      <c r="D1647" s="58">
        <f>MATCH(B1647,{"GENNAIO","FEBBRAIO","MARZO","APRILE","MAGGIO","GIUGNO","LUGLIO","AGOSTO","SETTEMBRE","OTTOBRE","NOVEMBRE","DICEMBRE"},0)</f>
        <v>1</v>
      </c>
      <c r="E1647" s="57" t="str">
        <f t="shared" si="1736"/>
        <v>GENNAIO 2024</v>
      </c>
      <c r="F1647" s="57" t="str">
        <f t="shared" si="1737"/>
        <v>1 GENNAIO 2024</v>
      </c>
      <c r="G1647" s="1309" t="s">
        <v>132</v>
      </c>
      <c r="H1647" s="1309" t="str">
        <f>VLOOKUP(G1647,CATEGORIE!$H$3:$I$104,2,FALSE)</f>
        <v>COSTO CASA</v>
      </c>
      <c r="I1647" s="59">
        <v>43.27</v>
      </c>
      <c r="J1647" s="940" t="s">
        <v>215</v>
      </c>
      <c r="K1647" s="59" t="s">
        <v>112</v>
      </c>
      <c r="L1647" s="59"/>
    </row>
    <row r="1648" spans="1:12">
      <c r="A1648" s="57" t="s">
        <v>102</v>
      </c>
      <c r="B1648" s="57" t="s">
        <v>154</v>
      </c>
      <c r="C1648" s="57">
        <v>2024</v>
      </c>
      <c r="D1648" s="58">
        <f>MATCH(B1648,{"GENNAIO","FEBBRAIO","MARZO","APRILE","MAGGIO","GIUGNO","LUGLIO","AGOSTO","SETTEMBRE","OTTOBRE","NOVEMBRE","DICEMBRE"},0)</f>
        <v>1</v>
      </c>
      <c r="E1648" s="57" t="str">
        <f t="shared" si="1736"/>
        <v>GENNAIO 2024</v>
      </c>
      <c r="F1648" s="57" t="str">
        <f t="shared" si="1737"/>
        <v>1 GENNAIO 2024</v>
      </c>
      <c r="G1648" s="1309" t="s">
        <v>96</v>
      </c>
      <c r="H1648" s="1309" t="str">
        <f>VLOOKUP(G1648,CATEGORIE!$H$3:$I$104,2,FALSE)</f>
        <v>COSTO SOPRAVVIVENZA</v>
      </c>
      <c r="I1648" s="59">
        <v>4.4000000000000004</v>
      </c>
      <c r="J1648" s="940"/>
      <c r="K1648" s="59"/>
      <c r="L1648" s="59"/>
    </row>
    <row r="1649" spans="1:12">
      <c r="A1649" s="57" t="s">
        <v>510</v>
      </c>
      <c r="B1649" s="57" t="s">
        <v>173</v>
      </c>
      <c r="C1649" s="57">
        <v>2023</v>
      </c>
      <c r="D1649" s="58">
        <f>MATCH(B1649,{"GENNAIO","FEBBRAIO","MARZO","APRILE","MAGGIO","GIUGNO","LUGLIO","AGOSTO","SETTEMBRE","OTTOBRE","NOVEMBRE","DICEMBRE"},0)</f>
        <v>12</v>
      </c>
      <c r="E1649" s="57" t="str">
        <f t="shared" si="1736"/>
        <v>DICEMBRE 2023</v>
      </c>
      <c r="F1649" s="57" t="str">
        <f t="shared" si="1737"/>
        <v>12 DICEMBRE 2023</v>
      </c>
      <c r="G1649" s="1309" t="s">
        <v>185</v>
      </c>
      <c r="H1649" s="1309" t="str">
        <f>VLOOKUP(G1649,CATEGORIE!$H$3:$I$104,2,FALSE)</f>
        <v>COSTO SFIZI</v>
      </c>
      <c r="I1649" s="59">
        <v>11</v>
      </c>
      <c r="J1649" s="940"/>
      <c r="K1649" s="59"/>
      <c r="L1649" s="59" t="s">
        <v>511</v>
      </c>
    </row>
    <row r="1650" spans="1:12">
      <c r="A1650" s="57" t="s">
        <v>226</v>
      </c>
      <c r="B1650" s="57" t="s">
        <v>173</v>
      </c>
      <c r="C1650" s="57">
        <v>2023</v>
      </c>
      <c r="D1650" s="58">
        <f>MATCH(B1650,{"GENNAIO","FEBBRAIO","MARZO","APRILE","MAGGIO","GIUGNO","LUGLIO","AGOSTO","SETTEMBRE","OTTOBRE","NOVEMBRE","DICEMBRE"},0)</f>
        <v>12</v>
      </c>
      <c r="E1650" s="57" t="str">
        <f t="shared" si="1736"/>
        <v>DICEMBRE 2023</v>
      </c>
      <c r="F1650" s="57" t="str">
        <f t="shared" si="1737"/>
        <v>12 DICEMBRE 2023</v>
      </c>
      <c r="G1650" s="1309" t="s">
        <v>185</v>
      </c>
      <c r="H1650" s="1309" t="str">
        <f>VLOOKUP(G1650,CATEGORIE!$H$3:$I$104,2,FALSE)</f>
        <v>COSTO SFIZI</v>
      </c>
      <c r="I1650" s="59">
        <v>44.99</v>
      </c>
      <c r="J1650" s="940"/>
      <c r="K1650" s="59"/>
      <c r="L1650" s="59" t="s">
        <v>511</v>
      </c>
    </row>
    <row r="1651" spans="1:12" ht="16.5" customHeight="1">
      <c r="A1651" s="57" t="s">
        <v>224</v>
      </c>
      <c r="B1651" s="57" t="s">
        <v>173</v>
      </c>
      <c r="C1651" s="57">
        <v>2023</v>
      </c>
      <c r="D1651" s="58">
        <f>MATCH(B1651,{"GENNAIO","FEBBRAIO","MARZO","APRILE","MAGGIO","GIUGNO","LUGLIO","AGOSTO","SETTEMBRE","OTTOBRE","NOVEMBRE","DICEMBRE"},0)</f>
        <v>12</v>
      </c>
      <c r="E1651" s="57" t="str">
        <f t="shared" si="1736"/>
        <v>DICEMBRE 2023</v>
      </c>
      <c r="F1651" s="57" t="str">
        <f t="shared" si="1737"/>
        <v>12 DICEMBRE 2023</v>
      </c>
      <c r="G1651" s="1309" t="s">
        <v>402</v>
      </c>
      <c r="H1651" s="1309" t="str">
        <f>VLOOKUP(G1651,CATEGORIE!$H$3:$I$104,2,FALSE)</f>
        <v>COSTO SFIZI</v>
      </c>
      <c r="I1651" s="59">
        <v>15.9</v>
      </c>
      <c r="J1651" s="940"/>
      <c r="K1651" s="59"/>
      <c r="L1651" s="59" t="s">
        <v>511</v>
      </c>
    </row>
    <row r="1652" spans="1:12">
      <c r="A1652" s="57" t="s">
        <v>512</v>
      </c>
      <c r="B1652" s="57" t="s">
        <v>173</v>
      </c>
      <c r="C1652" s="57">
        <v>2023</v>
      </c>
      <c r="D1652" s="58">
        <f>MATCH(B1652,{"GENNAIO","FEBBRAIO","MARZO","APRILE","MAGGIO","GIUGNO","LUGLIO","AGOSTO","SETTEMBRE","OTTOBRE","NOVEMBRE","DICEMBRE"},0)</f>
        <v>12</v>
      </c>
      <c r="E1652" s="57" t="str">
        <f t="shared" si="1736"/>
        <v>DICEMBRE 2023</v>
      </c>
      <c r="F1652" s="57" t="str">
        <f t="shared" si="1737"/>
        <v>12 DICEMBRE 2023</v>
      </c>
      <c r="G1652" s="1309" t="s">
        <v>185</v>
      </c>
      <c r="H1652" s="1309" t="str">
        <f>VLOOKUP(G1652,CATEGORIE!$H$3:$I$104,2,FALSE)</f>
        <v>COSTO SFIZI</v>
      </c>
      <c r="I1652" s="60">
        <v>67</v>
      </c>
      <c r="J1652" s="940"/>
      <c r="K1652" s="59"/>
      <c r="L1652" s="59" t="s">
        <v>511</v>
      </c>
    </row>
    <row r="1653" spans="1:12" ht="16.5" customHeight="1">
      <c r="A1653" s="57" t="s">
        <v>345</v>
      </c>
      <c r="B1653" s="57" t="s">
        <v>173</v>
      </c>
      <c r="C1653" s="57">
        <v>2023</v>
      </c>
      <c r="D1653" s="58">
        <f>MATCH(B1653,{"GENNAIO","FEBBRAIO","MARZO","APRILE","MAGGIO","GIUGNO","LUGLIO","AGOSTO","SETTEMBRE","OTTOBRE","NOVEMBRE","DICEMBRE"},0)</f>
        <v>12</v>
      </c>
      <c r="E1653" s="57" t="str">
        <f t="shared" si="1736"/>
        <v>DICEMBRE 2023</v>
      </c>
      <c r="F1653" s="57" t="str">
        <f t="shared" si="1737"/>
        <v>12 DICEMBRE 2023</v>
      </c>
      <c r="G1653" s="1309" t="s">
        <v>185</v>
      </c>
      <c r="H1653" s="1309" t="str">
        <f>VLOOKUP(G1653,CATEGORIE!$H$3:$I$104,2,FALSE)</f>
        <v>COSTO SFIZI</v>
      </c>
      <c r="I1653" s="59">
        <v>37.9</v>
      </c>
      <c r="J1653" s="940"/>
      <c r="K1653" s="59"/>
      <c r="L1653" s="59" t="s">
        <v>511</v>
      </c>
    </row>
    <row r="1654" spans="1:12" ht="16.5" customHeight="1">
      <c r="A1654" s="57" t="s">
        <v>92</v>
      </c>
      <c r="B1654" s="57" t="s">
        <v>173</v>
      </c>
      <c r="C1654" s="57">
        <v>2023</v>
      </c>
      <c r="D1654" s="58">
        <f>MATCH(B1654,{"GENNAIO","FEBBRAIO","MARZO","APRILE","MAGGIO","GIUGNO","LUGLIO","AGOSTO","SETTEMBRE","OTTOBRE","NOVEMBRE","DICEMBRE"},0)</f>
        <v>12</v>
      </c>
      <c r="E1654" s="57" t="str">
        <f t="shared" si="1736"/>
        <v>DICEMBRE 2023</v>
      </c>
      <c r="F1654" s="57" t="str">
        <f t="shared" si="1737"/>
        <v>12 DICEMBRE 2023</v>
      </c>
      <c r="G1654" s="1309" t="s">
        <v>94</v>
      </c>
      <c r="H1654" s="1309" t="str">
        <f>VLOOKUP(G1654,CATEGORIE!$H$3:$I$104,2,FALSE)</f>
        <v>COSTO SVAGHI</v>
      </c>
      <c r="I1654" s="59">
        <v>23</v>
      </c>
      <c r="J1654" s="940"/>
      <c r="K1654" s="59"/>
      <c r="L1654" s="59"/>
    </row>
    <row r="1655" spans="1:12" ht="16.5" customHeight="1">
      <c r="A1655" s="57" t="s">
        <v>105</v>
      </c>
      <c r="B1655" s="57" t="s">
        <v>173</v>
      </c>
      <c r="C1655" s="57">
        <v>2023</v>
      </c>
      <c r="D1655" s="58">
        <f>MATCH(B1655,{"GENNAIO","FEBBRAIO","MARZO","APRILE","MAGGIO","GIUGNO","LUGLIO","AGOSTO","SETTEMBRE","OTTOBRE","NOVEMBRE","DICEMBRE"},0)</f>
        <v>12</v>
      </c>
      <c r="E1655" s="57" t="str">
        <f t="shared" si="1736"/>
        <v>DICEMBRE 2023</v>
      </c>
      <c r="F1655" s="57" t="str">
        <f t="shared" si="1737"/>
        <v>12 DICEMBRE 2023</v>
      </c>
      <c r="G1655" s="1309" t="s">
        <v>96</v>
      </c>
      <c r="H1655" s="1309" t="str">
        <f>VLOOKUP(G1655,CATEGORIE!$H$3:$I$104,2,FALSE)</f>
        <v>COSTO SOPRAVVIVENZA</v>
      </c>
      <c r="I1655" s="59">
        <v>9.0399999999999991</v>
      </c>
      <c r="J1655" s="940"/>
      <c r="K1655" s="59"/>
      <c r="L1655" s="59"/>
    </row>
    <row r="1656" spans="1:12" ht="16.5" customHeight="1">
      <c r="A1656" s="57" t="s">
        <v>101</v>
      </c>
      <c r="B1656" s="57" t="s">
        <v>173</v>
      </c>
      <c r="C1656" s="57">
        <v>2023</v>
      </c>
      <c r="D1656" s="58">
        <f>MATCH(B1656,{"GENNAIO","FEBBRAIO","MARZO","APRILE","MAGGIO","GIUGNO","LUGLIO","AGOSTO","SETTEMBRE","OTTOBRE","NOVEMBRE","DICEMBRE"},0)</f>
        <v>12</v>
      </c>
      <c r="E1656" s="57" t="str">
        <f t="shared" si="1736"/>
        <v>DICEMBRE 2023</v>
      </c>
      <c r="F1656" s="57" t="str">
        <f t="shared" si="1737"/>
        <v>12 DICEMBRE 2023</v>
      </c>
      <c r="G1656" s="1309" t="s">
        <v>91</v>
      </c>
      <c r="H1656" s="1309" t="str">
        <f>VLOOKUP(G1656,CATEGORIE!$H$3:$I$104,2,FALSE)</f>
        <v>COSTO SOPRAVVIVENZA</v>
      </c>
      <c r="I1656" s="59">
        <v>0.4</v>
      </c>
      <c r="J1656" s="940"/>
      <c r="K1656" s="59"/>
      <c r="L1656" s="59"/>
    </row>
    <row r="1657" spans="1:12">
      <c r="A1657" s="57" t="s">
        <v>101</v>
      </c>
      <c r="B1657" s="57" t="s">
        <v>173</v>
      </c>
      <c r="C1657" s="57">
        <v>2023</v>
      </c>
      <c r="D1657" s="58">
        <f>MATCH(B1657,{"GENNAIO","FEBBRAIO","MARZO","APRILE","MAGGIO","GIUGNO","LUGLIO","AGOSTO","SETTEMBRE","OTTOBRE","NOVEMBRE","DICEMBRE"},0)</f>
        <v>12</v>
      </c>
      <c r="E1657" s="57" t="str">
        <f t="shared" ref="E1657:E1720" si="1738">CONCATENATE(,B1657," ",C1657)</f>
        <v>DICEMBRE 2023</v>
      </c>
      <c r="F1657" s="57" t="str">
        <f t="shared" ref="F1657:F1720" si="1739">CONCATENATE(D1657," ",E1657)</f>
        <v>12 DICEMBRE 2023</v>
      </c>
      <c r="G1657" s="1309" t="s">
        <v>91</v>
      </c>
      <c r="H1657" s="1309" t="str">
        <f>VLOOKUP(G1657,CATEGORIE!$H$3:$I$104,2,FALSE)</f>
        <v>COSTO SOPRAVVIVENZA</v>
      </c>
      <c r="I1657" s="59">
        <v>0.4</v>
      </c>
      <c r="J1657" s="940"/>
      <c r="K1657" s="59"/>
      <c r="L1657" s="59"/>
    </row>
    <row r="1658" spans="1:12" ht="18.600000000000001" customHeight="1">
      <c r="A1658" s="57" t="s">
        <v>101</v>
      </c>
      <c r="B1658" s="57" t="s">
        <v>173</v>
      </c>
      <c r="C1658" s="57">
        <v>2023</v>
      </c>
      <c r="D1658" s="58">
        <f>MATCH(B1658,{"GENNAIO","FEBBRAIO","MARZO","APRILE","MAGGIO","GIUGNO","LUGLIO","AGOSTO","SETTEMBRE","OTTOBRE","NOVEMBRE","DICEMBRE"},0)</f>
        <v>12</v>
      </c>
      <c r="E1658" s="57" t="str">
        <f t="shared" si="1738"/>
        <v>DICEMBRE 2023</v>
      </c>
      <c r="F1658" s="57" t="str">
        <f t="shared" si="1739"/>
        <v>12 DICEMBRE 2023</v>
      </c>
      <c r="G1658" s="1309" t="s">
        <v>91</v>
      </c>
      <c r="H1658" s="1309" t="str">
        <f>VLOOKUP(G1658,CATEGORIE!$H$3:$I$104,2,FALSE)</f>
        <v>COSTO SOPRAVVIVENZA</v>
      </c>
      <c r="I1658" s="59">
        <v>0.4</v>
      </c>
      <c r="J1658" s="940"/>
      <c r="K1658" s="59"/>
      <c r="L1658" s="59"/>
    </row>
    <row r="1659" spans="1:12" ht="16.5" customHeight="1">
      <c r="A1659" s="57" t="s">
        <v>99</v>
      </c>
      <c r="B1659" s="57" t="s">
        <v>173</v>
      </c>
      <c r="C1659" s="57">
        <v>2023</v>
      </c>
      <c r="D1659" s="58">
        <f>MATCH(B1659,{"GENNAIO","FEBBRAIO","MARZO","APRILE","MAGGIO","GIUGNO","LUGLIO","AGOSTO","SETTEMBRE","OTTOBRE","NOVEMBRE","DICEMBRE"},0)</f>
        <v>12</v>
      </c>
      <c r="E1659" s="57" t="str">
        <f t="shared" si="1738"/>
        <v>DICEMBRE 2023</v>
      </c>
      <c r="F1659" s="57" t="str">
        <f t="shared" si="1739"/>
        <v>12 DICEMBRE 2023</v>
      </c>
      <c r="G1659" s="1309" t="s">
        <v>185</v>
      </c>
      <c r="H1659" s="1309" t="str">
        <f>VLOOKUP(G1659,CATEGORIE!$H$3:$I$104,2,FALSE)</f>
        <v>COSTO SFIZI</v>
      </c>
      <c r="I1659" s="59">
        <f>22.49</f>
        <v>22.49</v>
      </c>
      <c r="J1659" s="940"/>
      <c r="K1659" s="57" t="s">
        <v>99</v>
      </c>
      <c r="L1659" s="59" t="s">
        <v>511</v>
      </c>
    </row>
    <row r="1660" spans="1:12" ht="16.5" customHeight="1">
      <c r="A1660" s="57" t="s">
        <v>211</v>
      </c>
      <c r="B1660" s="57" t="s">
        <v>173</v>
      </c>
      <c r="C1660" s="57">
        <v>2023</v>
      </c>
      <c r="D1660" s="58">
        <f>MATCH(B1660,{"GENNAIO","FEBBRAIO","MARZO","APRILE","MAGGIO","GIUGNO","LUGLIO","AGOSTO","SETTEMBRE","OTTOBRE","NOVEMBRE","DICEMBRE"},0)</f>
        <v>12</v>
      </c>
      <c r="E1660" s="57" t="str">
        <f t="shared" si="1738"/>
        <v>DICEMBRE 2023</v>
      </c>
      <c r="F1660" s="57" t="str">
        <f t="shared" si="1739"/>
        <v>12 DICEMBRE 2023</v>
      </c>
      <c r="G1660" s="1309" t="s">
        <v>94</v>
      </c>
      <c r="H1660" s="1309" t="str">
        <f>VLOOKUP(G1660,CATEGORIE!$H$3:$I$104,2,FALSE)</f>
        <v>COSTO SVAGHI</v>
      </c>
      <c r="I1660" s="59">
        <v>26.2</v>
      </c>
      <c r="J1660" s="940"/>
      <c r="K1660" s="59"/>
      <c r="L1660" s="59"/>
    </row>
    <row r="1661" spans="1:12" ht="16.5" customHeight="1">
      <c r="A1661" s="57" t="s">
        <v>513</v>
      </c>
      <c r="B1661" s="57" t="s">
        <v>173</v>
      </c>
      <c r="C1661" s="57">
        <v>2023</v>
      </c>
      <c r="D1661" s="58">
        <f>MATCH(B1661,{"GENNAIO","FEBBRAIO","MARZO","APRILE","MAGGIO","GIUGNO","LUGLIO","AGOSTO","SETTEMBRE","OTTOBRE","NOVEMBRE","DICEMBRE"},0)</f>
        <v>12</v>
      </c>
      <c r="E1661" s="57" t="str">
        <f t="shared" si="1738"/>
        <v>DICEMBRE 2023</v>
      </c>
      <c r="F1661" s="57" t="str">
        <f t="shared" si="1739"/>
        <v>12 DICEMBRE 2023</v>
      </c>
      <c r="G1661" s="1309" t="s">
        <v>96</v>
      </c>
      <c r="H1661" s="1309" t="str">
        <f>VLOOKUP(G1661,CATEGORIE!$H$3:$I$104,2,FALSE)</f>
        <v>COSTO SOPRAVVIVENZA</v>
      </c>
      <c r="I1661" s="59">
        <v>6.78</v>
      </c>
      <c r="J1661" s="940"/>
      <c r="K1661" s="59"/>
      <c r="L1661" s="59" t="s">
        <v>514</v>
      </c>
    </row>
    <row r="1662" spans="1:12" ht="16.5" customHeight="1">
      <c r="A1662" s="57" t="s">
        <v>92</v>
      </c>
      <c r="B1662" s="57" t="s">
        <v>173</v>
      </c>
      <c r="C1662" s="57">
        <v>2023</v>
      </c>
      <c r="D1662" s="58">
        <f>MATCH(B1662,{"GENNAIO","FEBBRAIO","MARZO","APRILE","MAGGIO","GIUGNO","LUGLIO","AGOSTO","SETTEMBRE","OTTOBRE","NOVEMBRE","DICEMBRE"},0)</f>
        <v>12</v>
      </c>
      <c r="E1662" s="57" t="str">
        <f t="shared" si="1738"/>
        <v>DICEMBRE 2023</v>
      </c>
      <c r="F1662" s="57" t="str">
        <f t="shared" si="1739"/>
        <v>12 DICEMBRE 2023</v>
      </c>
      <c r="G1662" s="1309" t="s">
        <v>93</v>
      </c>
      <c r="H1662" s="1309" t="str">
        <f>VLOOKUP(G1662,CATEGORIE!$H$3:$I$104,2,FALSE)</f>
        <v>COSTO SOPRAVVIVENZA</v>
      </c>
      <c r="I1662" s="59">
        <v>5</v>
      </c>
      <c r="J1662" s="940"/>
      <c r="K1662" s="59"/>
      <c r="L1662" s="59"/>
    </row>
    <row r="1663" spans="1:12" ht="16.5" customHeight="1">
      <c r="A1663" s="57" t="s">
        <v>101</v>
      </c>
      <c r="B1663" s="57" t="s">
        <v>173</v>
      </c>
      <c r="C1663" s="57">
        <v>2023</v>
      </c>
      <c r="D1663" s="58">
        <f>MATCH(B1663,{"GENNAIO","FEBBRAIO","MARZO","APRILE","MAGGIO","GIUGNO","LUGLIO","AGOSTO","SETTEMBRE","OTTOBRE","NOVEMBRE","DICEMBRE"},0)</f>
        <v>12</v>
      </c>
      <c r="E1663" s="57" t="str">
        <f t="shared" si="1738"/>
        <v>DICEMBRE 2023</v>
      </c>
      <c r="F1663" s="57" t="str">
        <f t="shared" si="1739"/>
        <v>12 DICEMBRE 2023</v>
      </c>
      <c r="G1663" s="1309" t="s">
        <v>91</v>
      </c>
      <c r="H1663" s="1309" t="str">
        <f>VLOOKUP(G1663,CATEGORIE!$H$3:$I$104,2,FALSE)</f>
        <v>COSTO SOPRAVVIVENZA</v>
      </c>
      <c r="I1663" s="59">
        <v>0.4</v>
      </c>
      <c r="J1663" s="940"/>
      <c r="K1663" s="59"/>
      <c r="L1663" s="59"/>
    </row>
    <row r="1664" spans="1:12" ht="16.5" customHeight="1">
      <c r="A1664" s="57" t="s">
        <v>101</v>
      </c>
      <c r="B1664" s="57" t="s">
        <v>173</v>
      </c>
      <c r="C1664" s="57">
        <v>2023</v>
      </c>
      <c r="D1664" s="58">
        <f>MATCH(B1664,{"GENNAIO","FEBBRAIO","MARZO","APRILE","MAGGIO","GIUGNO","LUGLIO","AGOSTO","SETTEMBRE","OTTOBRE","NOVEMBRE","DICEMBRE"},0)</f>
        <v>12</v>
      </c>
      <c r="E1664" s="57" t="str">
        <f t="shared" si="1738"/>
        <v>DICEMBRE 2023</v>
      </c>
      <c r="F1664" s="57" t="str">
        <f t="shared" si="1739"/>
        <v>12 DICEMBRE 2023</v>
      </c>
      <c r="G1664" s="1309" t="s">
        <v>91</v>
      </c>
      <c r="H1664" s="1309" t="str">
        <f>VLOOKUP(G1664,CATEGORIE!$H$3:$I$104,2,FALSE)</f>
        <v>COSTO SOPRAVVIVENZA</v>
      </c>
      <c r="I1664" s="59">
        <v>0.4</v>
      </c>
      <c r="J1664" s="940"/>
      <c r="K1664" s="59"/>
      <c r="L1664" s="59"/>
    </row>
    <row r="1665" spans="1:12" ht="16.5" customHeight="1">
      <c r="A1665" s="57" t="s">
        <v>101</v>
      </c>
      <c r="B1665" s="57" t="s">
        <v>173</v>
      </c>
      <c r="C1665" s="57">
        <v>2023</v>
      </c>
      <c r="D1665" s="58">
        <f>MATCH(B1665,{"GENNAIO","FEBBRAIO","MARZO","APRILE","MAGGIO","GIUGNO","LUGLIO","AGOSTO","SETTEMBRE","OTTOBRE","NOVEMBRE","DICEMBRE"},0)</f>
        <v>12</v>
      </c>
      <c r="E1665" s="57" t="str">
        <f t="shared" si="1738"/>
        <v>DICEMBRE 2023</v>
      </c>
      <c r="F1665" s="57" t="str">
        <f t="shared" si="1739"/>
        <v>12 DICEMBRE 2023</v>
      </c>
      <c r="G1665" s="1309" t="s">
        <v>91</v>
      </c>
      <c r="H1665" s="1309" t="str">
        <f>VLOOKUP(G1665,CATEGORIE!$H$3:$I$104,2,FALSE)</f>
        <v>COSTO SOPRAVVIVENZA</v>
      </c>
      <c r="I1665" s="59">
        <v>0.4</v>
      </c>
      <c r="J1665" s="940"/>
      <c r="K1665" s="59"/>
      <c r="L1665" s="59"/>
    </row>
    <row r="1666" spans="1:12" ht="16.5" customHeight="1">
      <c r="A1666" s="57" t="s">
        <v>101</v>
      </c>
      <c r="B1666" s="57" t="s">
        <v>173</v>
      </c>
      <c r="C1666" s="57">
        <v>2023</v>
      </c>
      <c r="D1666" s="58">
        <f>MATCH(B1666,{"GENNAIO","FEBBRAIO","MARZO","APRILE","MAGGIO","GIUGNO","LUGLIO","AGOSTO","SETTEMBRE","OTTOBRE","NOVEMBRE","DICEMBRE"},0)</f>
        <v>12</v>
      </c>
      <c r="E1666" s="57" t="str">
        <f t="shared" si="1738"/>
        <v>DICEMBRE 2023</v>
      </c>
      <c r="F1666" s="57" t="str">
        <f t="shared" si="1739"/>
        <v>12 DICEMBRE 2023</v>
      </c>
      <c r="G1666" s="1309" t="s">
        <v>91</v>
      </c>
      <c r="H1666" s="1309" t="str">
        <f>VLOOKUP(G1666,CATEGORIE!$H$3:$I$104,2,FALSE)</f>
        <v>COSTO SOPRAVVIVENZA</v>
      </c>
      <c r="I1666" s="59">
        <v>0.4</v>
      </c>
      <c r="J1666" s="940"/>
      <c r="K1666" s="59"/>
      <c r="L1666" s="59"/>
    </row>
    <row r="1667" spans="1:12" ht="18.600000000000001" customHeight="1">
      <c r="A1667" s="57" t="s">
        <v>101</v>
      </c>
      <c r="B1667" s="57" t="s">
        <v>173</v>
      </c>
      <c r="C1667" s="57">
        <v>2023</v>
      </c>
      <c r="D1667" s="58">
        <f>MATCH(B1667,{"GENNAIO","FEBBRAIO","MARZO","APRILE","MAGGIO","GIUGNO","LUGLIO","AGOSTO","SETTEMBRE","OTTOBRE","NOVEMBRE","DICEMBRE"},0)</f>
        <v>12</v>
      </c>
      <c r="E1667" s="57" t="str">
        <f t="shared" si="1738"/>
        <v>DICEMBRE 2023</v>
      </c>
      <c r="F1667" s="57" t="str">
        <f t="shared" si="1739"/>
        <v>12 DICEMBRE 2023</v>
      </c>
      <c r="G1667" s="1309" t="s">
        <v>91</v>
      </c>
      <c r="H1667" s="1309" t="str">
        <f>VLOOKUP(G1667,CATEGORIE!$H$3:$I$104,2,FALSE)</f>
        <v>COSTO SOPRAVVIVENZA</v>
      </c>
      <c r="I1667" s="59">
        <v>0.4</v>
      </c>
      <c r="J1667" s="940"/>
      <c r="K1667" s="59"/>
      <c r="L1667" s="59"/>
    </row>
    <row r="1668" spans="1:12" ht="18.600000000000001" customHeight="1">
      <c r="A1668" s="57" t="s">
        <v>101</v>
      </c>
      <c r="B1668" s="57" t="s">
        <v>173</v>
      </c>
      <c r="C1668" s="57">
        <v>2023</v>
      </c>
      <c r="D1668" s="58">
        <f>MATCH(B1668,{"GENNAIO","FEBBRAIO","MARZO","APRILE","MAGGIO","GIUGNO","LUGLIO","AGOSTO","SETTEMBRE","OTTOBRE","NOVEMBRE","DICEMBRE"},0)</f>
        <v>12</v>
      </c>
      <c r="E1668" s="57" t="str">
        <f t="shared" si="1738"/>
        <v>DICEMBRE 2023</v>
      </c>
      <c r="F1668" s="57" t="str">
        <f t="shared" si="1739"/>
        <v>12 DICEMBRE 2023</v>
      </c>
      <c r="G1668" s="1309" t="s">
        <v>91</v>
      </c>
      <c r="H1668" s="1309" t="str">
        <f>VLOOKUP(G1668,CATEGORIE!$H$3:$I$104,2,FALSE)</f>
        <v>COSTO SOPRAVVIVENZA</v>
      </c>
      <c r="I1668" s="59">
        <v>0.4</v>
      </c>
      <c r="J1668" s="940"/>
      <c r="K1668" s="59"/>
      <c r="L1668" s="59"/>
    </row>
    <row r="1669" spans="1:12" ht="18.600000000000001" customHeight="1">
      <c r="A1669" s="57" t="s">
        <v>101</v>
      </c>
      <c r="B1669" s="57" t="s">
        <v>173</v>
      </c>
      <c r="C1669" s="57">
        <v>2023</v>
      </c>
      <c r="D1669" s="58">
        <f>MATCH(B1669,{"GENNAIO","FEBBRAIO","MARZO","APRILE","MAGGIO","GIUGNO","LUGLIO","AGOSTO","SETTEMBRE","OTTOBRE","NOVEMBRE","DICEMBRE"},0)</f>
        <v>12</v>
      </c>
      <c r="E1669" s="57" t="str">
        <f t="shared" si="1738"/>
        <v>DICEMBRE 2023</v>
      </c>
      <c r="F1669" s="57" t="str">
        <f t="shared" si="1739"/>
        <v>12 DICEMBRE 2023</v>
      </c>
      <c r="G1669" s="1309" t="s">
        <v>91</v>
      </c>
      <c r="H1669" s="1309" t="str">
        <f>VLOOKUP(G1669,CATEGORIE!$H$3:$I$104,2,FALSE)</f>
        <v>COSTO SOPRAVVIVENZA</v>
      </c>
      <c r="I1669" s="59">
        <v>0.4</v>
      </c>
      <c r="J1669" s="940"/>
      <c r="K1669" s="59"/>
      <c r="L1669" s="59"/>
    </row>
    <row r="1670" spans="1:12">
      <c r="A1670" s="57" t="s">
        <v>401</v>
      </c>
      <c r="B1670" s="57" t="s">
        <v>173</v>
      </c>
      <c r="C1670" s="57">
        <v>2023</v>
      </c>
      <c r="D1670" s="58">
        <f>MATCH(B1670,{"GENNAIO","FEBBRAIO","MARZO","APRILE","MAGGIO","GIUGNO","LUGLIO","AGOSTO","SETTEMBRE","OTTOBRE","NOVEMBRE","DICEMBRE"},0)</f>
        <v>12</v>
      </c>
      <c r="E1670" s="57" t="str">
        <f t="shared" si="1738"/>
        <v>DICEMBRE 2023</v>
      </c>
      <c r="F1670" s="57" t="str">
        <f t="shared" si="1739"/>
        <v>12 DICEMBRE 2023</v>
      </c>
      <c r="G1670" s="1309" t="s">
        <v>96</v>
      </c>
      <c r="H1670" s="1309" t="str">
        <f>VLOOKUP(G1670,CATEGORIE!$H$3:$I$104,2,FALSE)</f>
        <v>COSTO SOPRAVVIVENZA</v>
      </c>
      <c r="I1670" s="59">
        <v>34</v>
      </c>
      <c r="J1670" s="940"/>
      <c r="K1670" s="59"/>
      <c r="L1670" s="59" t="s">
        <v>514</v>
      </c>
    </row>
    <row r="1671" spans="1:12" ht="16.5" customHeight="1">
      <c r="A1671" s="57" t="s">
        <v>135</v>
      </c>
      <c r="B1671" s="57" t="s">
        <v>173</v>
      </c>
      <c r="C1671" s="57">
        <v>2023</v>
      </c>
      <c r="D1671" s="58">
        <f>MATCH(B1671,{"GENNAIO","FEBBRAIO","MARZO","APRILE","MAGGIO","GIUGNO","LUGLIO","AGOSTO","SETTEMBRE","OTTOBRE","NOVEMBRE","DICEMBRE"},0)</f>
        <v>12</v>
      </c>
      <c r="E1671" s="57" t="str">
        <f t="shared" si="1738"/>
        <v>DICEMBRE 2023</v>
      </c>
      <c r="F1671" s="57" t="str">
        <f t="shared" si="1739"/>
        <v>12 DICEMBRE 2023</v>
      </c>
      <c r="G1671" s="1309" t="s">
        <v>132</v>
      </c>
      <c r="H1671" s="1309" t="str">
        <f>VLOOKUP(G1671,CATEGORIE!$H$3:$I$104,2,FALSE)</f>
        <v>COSTO CASA</v>
      </c>
      <c r="I1671" s="59">
        <v>5.98</v>
      </c>
      <c r="J1671" s="940"/>
      <c r="K1671" s="59"/>
      <c r="L1671" s="59"/>
    </row>
    <row r="1672" spans="1:12" ht="16.5" customHeight="1">
      <c r="A1672" s="57" t="s">
        <v>176</v>
      </c>
      <c r="B1672" s="57" t="s">
        <v>173</v>
      </c>
      <c r="C1672" s="57">
        <v>2023</v>
      </c>
      <c r="D1672" s="58">
        <f>MATCH(B1672,{"GENNAIO","FEBBRAIO","MARZO","APRILE","MAGGIO","GIUGNO","LUGLIO","AGOSTO","SETTEMBRE","OTTOBRE","NOVEMBRE","DICEMBRE"},0)</f>
        <v>12</v>
      </c>
      <c r="E1672" s="57" t="str">
        <f t="shared" si="1738"/>
        <v>DICEMBRE 2023</v>
      </c>
      <c r="F1672" s="57" t="str">
        <f t="shared" si="1739"/>
        <v>12 DICEMBRE 2023</v>
      </c>
      <c r="G1672" s="1309" t="s">
        <v>96</v>
      </c>
      <c r="H1672" s="1309" t="str">
        <f>VLOOKUP(G1672,CATEGORIE!$H$3:$I$104,2,FALSE)</f>
        <v>COSTO SOPRAVVIVENZA</v>
      </c>
      <c r="I1672" s="59">
        <v>22.36</v>
      </c>
      <c r="J1672" s="940"/>
      <c r="K1672" s="59"/>
      <c r="L1672" s="59" t="s">
        <v>514</v>
      </c>
    </row>
    <row r="1673" spans="1:12" ht="16.5" customHeight="1">
      <c r="A1673" s="57" t="s">
        <v>105</v>
      </c>
      <c r="B1673" s="57" t="s">
        <v>173</v>
      </c>
      <c r="C1673" s="57">
        <v>2023</v>
      </c>
      <c r="D1673" s="58">
        <f>MATCH(B1673,{"GENNAIO","FEBBRAIO","MARZO","APRILE","MAGGIO","GIUGNO","LUGLIO","AGOSTO","SETTEMBRE","OTTOBRE","NOVEMBRE","DICEMBRE"},0)</f>
        <v>12</v>
      </c>
      <c r="E1673" s="57" t="str">
        <f t="shared" si="1738"/>
        <v>DICEMBRE 2023</v>
      </c>
      <c r="F1673" s="57" t="str">
        <f t="shared" si="1739"/>
        <v>12 DICEMBRE 2023</v>
      </c>
      <c r="G1673" s="1309" t="s">
        <v>96</v>
      </c>
      <c r="H1673" s="1309" t="str">
        <f>VLOOKUP(G1673,CATEGORIE!$H$3:$I$104,2,FALSE)</f>
        <v>COSTO SOPRAVVIVENZA</v>
      </c>
      <c r="I1673" s="59">
        <v>24.35</v>
      </c>
      <c r="J1673" s="940"/>
      <c r="K1673" s="59"/>
      <c r="L1673" s="59" t="s">
        <v>514</v>
      </c>
    </row>
    <row r="1674" spans="1:12" ht="16.5" customHeight="1">
      <c r="A1674" s="57" t="s">
        <v>99</v>
      </c>
      <c r="B1674" s="57" t="s">
        <v>173</v>
      </c>
      <c r="C1674" s="57">
        <v>2023</v>
      </c>
      <c r="D1674" s="58">
        <f>MATCH(B1674,{"GENNAIO","FEBBRAIO","MARZO","APRILE","MAGGIO","GIUGNO","LUGLIO","AGOSTO","SETTEMBRE","OTTOBRE","NOVEMBRE","DICEMBRE"},0)</f>
        <v>12</v>
      </c>
      <c r="E1674" s="57" t="str">
        <f t="shared" si="1738"/>
        <v>DICEMBRE 2023</v>
      </c>
      <c r="F1674" s="57" t="str">
        <f t="shared" si="1739"/>
        <v>12 DICEMBRE 2023</v>
      </c>
      <c r="G1674" s="1309" t="s">
        <v>185</v>
      </c>
      <c r="H1674" s="1309" t="str">
        <f>VLOOKUP(G1674,CATEGORIE!$H$3:$I$104,2,FALSE)</f>
        <v>COSTO SFIZI</v>
      </c>
      <c r="I1674" s="59">
        <v>56.91</v>
      </c>
      <c r="J1674" s="940"/>
      <c r="K1674" s="57" t="s">
        <v>99</v>
      </c>
      <c r="L1674" s="59" t="s">
        <v>511</v>
      </c>
    </row>
    <row r="1675" spans="1:12">
      <c r="A1675" s="57" t="s">
        <v>515</v>
      </c>
      <c r="B1675" s="57" t="s">
        <v>173</v>
      </c>
      <c r="C1675" s="57">
        <v>2023</v>
      </c>
      <c r="D1675" s="58">
        <f>MATCH(B1675,{"GENNAIO","FEBBRAIO","MARZO","APRILE","MAGGIO","GIUGNO","LUGLIO","AGOSTO","SETTEMBRE","OTTOBRE","NOVEMBRE","DICEMBRE"},0)</f>
        <v>12</v>
      </c>
      <c r="E1675" s="57" t="str">
        <f t="shared" si="1738"/>
        <v>DICEMBRE 2023</v>
      </c>
      <c r="F1675" s="57" t="str">
        <f t="shared" si="1739"/>
        <v>12 DICEMBRE 2023</v>
      </c>
      <c r="G1675" s="1309" t="s">
        <v>94</v>
      </c>
      <c r="H1675" s="1309" t="str">
        <f>VLOOKUP(G1675,CATEGORIE!$H$3:$I$104,2,FALSE)</f>
        <v>COSTO SVAGHI</v>
      </c>
      <c r="I1675" s="59">
        <v>6</v>
      </c>
      <c r="J1675" s="940"/>
      <c r="K1675" s="59"/>
      <c r="L1675" s="59"/>
    </row>
    <row r="1676" spans="1:12" ht="16.5" customHeight="1">
      <c r="A1676" s="57" t="s">
        <v>516</v>
      </c>
      <c r="B1676" s="57" t="s">
        <v>173</v>
      </c>
      <c r="C1676" s="57">
        <v>2023</v>
      </c>
      <c r="D1676" s="58">
        <f>MATCH(B1676,{"GENNAIO","FEBBRAIO","MARZO","APRILE","MAGGIO","GIUGNO","LUGLIO","AGOSTO","SETTEMBRE","OTTOBRE","NOVEMBRE","DICEMBRE"},0)</f>
        <v>12</v>
      </c>
      <c r="E1676" s="57" t="str">
        <f t="shared" si="1738"/>
        <v>DICEMBRE 2023</v>
      </c>
      <c r="F1676" s="57" t="str">
        <f t="shared" si="1739"/>
        <v>12 DICEMBRE 2023</v>
      </c>
      <c r="G1676" s="1309" t="s">
        <v>94</v>
      </c>
      <c r="H1676" s="1309" t="str">
        <f>VLOOKUP(G1676,CATEGORIE!$H$3:$I$104,2,FALSE)</f>
        <v>COSTO SVAGHI</v>
      </c>
      <c r="I1676" s="59">
        <v>69</v>
      </c>
      <c r="J1676" s="940"/>
      <c r="K1676" s="59"/>
      <c r="L1676" s="59"/>
    </row>
    <row r="1677" spans="1:12" ht="16.5" customHeight="1">
      <c r="A1677" s="57" t="s">
        <v>517</v>
      </c>
      <c r="B1677" s="57" t="s">
        <v>173</v>
      </c>
      <c r="C1677" s="57">
        <v>2023</v>
      </c>
      <c r="D1677" s="58">
        <f>MATCH(B1677,{"GENNAIO","FEBBRAIO","MARZO","APRILE","MAGGIO","GIUGNO","LUGLIO","AGOSTO","SETTEMBRE","OTTOBRE","NOVEMBRE","DICEMBRE"},0)</f>
        <v>12</v>
      </c>
      <c r="E1677" s="57" t="str">
        <f t="shared" si="1738"/>
        <v>DICEMBRE 2023</v>
      </c>
      <c r="F1677" s="57" t="str">
        <f t="shared" si="1739"/>
        <v>12 DICEMBRE 2023</v>
      </c>
      <c r="G1677" s="1309" t="s">
        <v>94</v>
      </c>
      <c r="H1677" s="1309" t="str">
        <f>VLOOKUP(G1677,CATEGORIE!$H$3:$I$104,2,FALSE)</f>
        <v>COSTO SVAGHI</v>
      </c>
      <c r="I1677" s="59">
        <v>12</v>
      </c>
      <c r="J1677" s="940"/>
      <c r="K1677" s="59"/>
      <c r="L1677" s="59"/>
    </row>
    <row r="1678" spans="1:12" ht="16.5" customHeight="1">
      <c r="A1678" s="57" t="s">
        <v>106</v>
      </c>
      <c r="B1678" s="57" t="s">
        <v>173</v>
      </c>
      <c r="C1678" s="57">
        <v>2023</v>
      </c>
      <c r="D1678" s="58">
        <f>MATCH(B1678,{"GENNAIO","FEBBRAIO","MARZO","APRILE","MAGGIO","GIUGNO","LUGLIO","AGOSTO","SETTEMBRE","OTTOBRE","NOVEMBRE","DICEMBRE"},0)</f>
        <v>12</v>
      </c>
      <c r="E1678" s="57" t="str">
        <f t="shared" si="1738"/>
        <v>DICEMBRE 2023</v>
      </c>
      <c r="F1678" s="57" t="str">
        <f t="shared" si="1739"/>
        <v>12 DICEMBRE 2023</v>
      </c>
      <c r="G1678" s="1309" t="s">
        <v>107</v>
      </c>
      <c r="H1678" s="1309" t="str">
        <f>VLOOKUP(G1678,CATEGORIE!$H$3:$I$104,2,FALSE)</f>
        <v>COSTO SOPRAVVIVENZA</v>
      </c>
      <c r="I1678" s="59">
        <v>33</v>
      </c>
      <c r="J1678" s="940"/>
      <c r="K1678" s="59"/>
      <c r="L1678" s="59"/>
    </row>
    <row r="1679" spans="1:12">
      <c r="A1679" s="57" t="s">
        <v>99</v>
      </c>
      <c r="B1679" s="57" t="s">
        <v>173</v>
      </c>
      <c r="C1679" s="57">
        <v>2023</v>
      </c>
      <c r="D1679" s="58">
        <f>MATCH(B1679,{"GENNAIO","FEBBRAIO","MARZO","APRILE","MAGGIO","GIUGNO","LUGLIO","AGOSTO","SETTEMBRE","OTTOBRE","NOVEMBRE","DICEMBRE"},0)</f>
        <v>12</v>
      </c>
      <c r="E1679" s="57" t="str">
        <f t="shared" si="1738"/>
        <v>DICEMBRE 2023</v>
      </c>
      <c r="F1679" s="57" t="str">
        <f t="shared" si="1739"/>
        <v>12 DICEMBRE 2023</v>
      </c>
      <c r="G1679" s="1309" t="s">
        <v>100</v>
      </c>
      <c r="H1679" s="1309" t="str">
        <f>VLOOKUP(G1679,CATEGORIE!$H$3:$I$104,2,FALSE)</f>
        <v>COSTO SFIZI</v>
      </c>
      <c r="I1679" s="59">
        <v>18.989999999999998</v>
      </c>
      <c r="J1679" s="940"/>
      <c r="K1679" s="57" t="s">
        <v>99</v>
      </c>
      <c r="L1679" s="59"/>
    </row>
    <row r="1680" spans="1:12" ht="16.5" customHeight="1">
      <c r="A1680" s="57" t="s">
        <v>187</v>
      </c>
      <c r="B1680" s="57" t="s">
        <v>173</v>
      </c>
      <c r="C1680" s="57">
        <v>2023</v>
      </c>
      <c r="D1680" s="58">
        <f>MATCH(B1680,{"GENNAIO","FEBBRAIO","MARZO","APRILE","MAGGIO","GIUGNO","LUGLIO","AGOSTO","SETTEMBRE","OTTOBRE","NOVEMBRE","DICEMBRE"},0)</f>
        <v>12</v>
      </c>
      <c r="E1680" s="57" t="str">
        <f t="shared" si="1738"/>
        <v>DICEMBRE 2023</v>
      </c>
      <c r="F1680" s="57" t="str">
        <f t="shared" si="1739"/>
        <v>12 DICEMBRE 2023</v>
      </c>
      <c r="G1680" s="1309" t="s">
        <v>188</v>
      </c>
      <c r="H1680" s="1309" t="str">
        <f>VLOOKUP(G1680,CATEGORIE!$H$3:$I$104,2,FALSE)</f>
        <v>COSTO VACANZE</v>
      </c>
      <c r="I1680" s="59">
        <v>350.78</v>
      </c>
      <c r="J1680" s="940"/>
      <c r="K1680" s="59"/>
      <c r="L1680" s="59"/>
    </row>
    <row r="1681" spans="1:12" ht="16.5" customHeight="1">
      <c r="A1681" s="57" t="s">
        <v>99</v>
      </c>
      <c r="B1681" s="57" t="s">
        <v>173</v>
      </c>
      <c r="C1681" s="57">
        <v>2023</v>
      </c>
      <c r="D1681" s="58">
        <f>MATCH(B1681,{"GENNAIO","FEBBRAIO","MARZO","APRILE","MAGGIO","GIUGNO","LUGLIO","AGOSTO","SETTEMBRE","OTTOBRE","NOVEMBRE","DICEMBRE"},0)</f>
        <v>12</v>
      </c>
      <c r="E1681" s="57" t="str">
        <f t="shared" si="1738"/>
        <v>DICEMBRE 2023</v>
      </c>
      <c r="F1681" s="57" t="str">
        <f t="shared" si="1739"/>
        <v>12 DICEMBRE 2023</v>
      </c>
      <c r="G1681" s="1309" t="s">
        <v>100</v>
      </c>
      <c r="H1681" s="1309" t="str">
        <f>VLOOKUP(G1681,CATEGORIE!$H$3:$I$104,2,FALSE)</f>
        <v>COSTO SFIZI</v>
      </c>
      <c r="I1681" s="59">
        <v>20.99</v>
      </c>
      <c r="J1681" s="940"/>
      <c r="K1681" s="57" t="s">
        <v>99</v>
      </c>
      <c r="L1681" s="59"/>
    </row>
    <row r="1682" spans="1:12" ht="18.600000000000001" customHeight="1">
      <c r="A1682" s="57" t="s">
        <v>95</v>
      </c>
      <c r="B1682" s="57" t="s">
        <v>173</v>
      </c>
      <c r="C1682" s="57">
        <v>2023</v>
      </c>
      <c r="D1682" s="58">
        <f>MATCH(B1682,{"GENNAIO","FEBBRAIO","MARZO","APRILE","MAGGIO","GIUGNO","LUGLIO","AGOSTO","SETTEMBRE","OTTOBRE","NOVEMBRE","DICEMBRE"},0)</f>
        <v>12</v>
      </c>
      <c r="E1682" s="57" t="str">
        <f t="shared" si="1738"/>
        <v>DICEMBRE 2023</v>
      </c>
      <c r="F1682" s="57" t="str">
        <f t="shared" si="1739"/>
        <v>12 DICEMBRE 2023</v>
      </c>
      <c r="G1682" s="1309" t="s">
        <v>96</v>
      </c>
      <c r="H1682" s="1309" t="str">
        <f>VLOOKUP(G1682,CATEGORIE!$H$3:$I$104,2,FALSE)</f>
        <v>COSTO SOPRAVVIVENZA</v>
      </c>
      <c r="I1682" s="59">
        <v>16.84</v>
      </c>
      <c r="J1682" s="940"/>
      <c r="K1682" s="59"/>
      <c r="L1682" s="59"/>
    </row>
    <row r="1683" spans="1:12">
      <c r="A1683" s="57" t="s">
        <v>518</v>
      </c>
      <c r="B1683" s="57" t="s">
        <v>173</v>
      </c>
      <c r="C1683" s="57">
        <v>2023</v>
      </c>
      <c r="D1683" s="58">
        <f>MATCH(B1683,{"GENNAIO","FEBBRAIO","MARZO","APRILE","MAGGIO","GIUGNO","LUGLIO","AGOSTO","SETTEMBRE","OTTOBRE","NOVEMBRE","DICEMBRE"},0)</f>
        <v>12</v>
      </c>
      <c r="E1683" s="57" t="str">
        <f t="shared" si="1738"/>
        <v>DICEMBRE 2023</v>
      </c>
      <c r="F1683" s="57" t="str">
        <f t="shared" si="1739"/>
        <v>12 DICEMBRE 2023</v>
      </c>
      <c r="G1683" s="1309" t="s">
        <v>108</v>
      </c>
      <c r="H1683" s="1309" t="str">
        <f>VLOOKUP(G1683,CATEGORIE!$H$3:$I$104,2,FALSE)</f>
        <v>COSTO SFIZI</v>
      </c>
      <c r="I1683" s="59">
        <v>27.19</v>
      </c>
      <c r="J1683" s="940"/>
      <c r="K1683" s="59"/>
      <c r="L1683" s="59"/>
    </row>
    <row r="1684" spans="1:12" ht="16.5" customHeight="1">
      <c r="A1684" s="57" t="s">
        <v>289</v>
      </c>
      <c r="B1684" s="57" t="s">
        <v>173</v>
      </c>
      <c r="C1684" s="57">
        <v>2023</v>
      </c>
      <c r="D1684" s="58">
        <f>MATCH(B1684,{"GENNAIO","FEBBRAIO","MARZO","APRILE","MAGGIO","GIUGNO","LUGLIO","AGOSTO","SETTEMBRE","OTTOBRE","NOVEMBRE","DICEMBRE"},0)</f>
        <v>12</v>
      </c>
      <c r="E1684" s="57" t="str">
        <f t="shared" si="1738"/>
        <v>DICEMBRE 2023</v>
      </c>
      <c r="F1684" s="57" t="str">
        <f t="shared" si="1739"/>
        <v>12 DICEMBRE 2023</v>
      </c>
      <c r="G1684" s="1309" t="s">
        <v>108</v>
      </c>
      <c r="H1684" s="1309" t="str">
        <f>VLOOKUP(G1684,CATEGORIE!$H$3:$I$104,2,FALSE)</f>
        <v>COSTO SFIZI</v>
      </c>
      <c r="I1684" s="59">
        <v>21.63</v>
      </c>
      <c r="J1684" s="940"/>
      <c r="K1684" s="59"/>
      <c r="L1684" s="59"/>
    </row>
    <row r="1685" spans="1:12">
      <c r="A1685" s="57" t="s">
        <v>135</v>
      </c>
      <c r="B1685" s="57" t="s">
        <v>173</v>
      </c>
      <c r="C1685" s="57">
        <v>2023</v>
      </c>
      <c r="D1685" s="58">
        <f>MATCH(B1685,{"GENNAIO","FEBBRAIO","MARZO","APRILE","MAGGIO","GIUGNO","LUGLIO","AGOSTO","SETTEMBRE","OTTOBRE","NOVEMBRE","DICEMBRE"},0)</f>
        <v>12</v>
      </c>
      <c r="E1685" s="57" t="str">
        <f t="shared" si="1738"/>
        <v>DICEMBRE 2023</v>
      </c>
      <c r="F1685" s="57" t="str">
        <f t="shared" si="1739"/>
        <v>12 DICEMBRE 2023</v>
      </c>
      <c r="G1685" s="1309" t="s">
        <v>132</v>
      </c>
      <c r="H1685" s="1309" t="str">
        <f>VLOOKUP(G1685,CATEGORIE!$H$3:$I$104,2,FALSE)</f>
        <v>COSTO CASA</v>
      </c>
      <c r="I1685" s="59">
        <v>15.57</v>
      </c>
      <c r="J1685" s="940"/>
      <c r="K1685" s="59"/>
      <c r="L1685" s="59"/>
    </row>
    <row r="1686" spans="1:12" ht="18" customHeight="1">
      <c r="A1686" s="57" t="s">
        <v>105</v>
      </c>
      <c r="B1686" s="57" t="s">
        <v>173</v>
      </c>
      <c r="C1686" s="57">
        <v>2023</v>
      </c>
      <c r="D1686" s="58">
        <f>MATCH(B1686,{"GENNAIO","FEBBRAIO","MARZO","APRILE","MAGGIO","GIUGNO","LUGLIO","AGOSTO","SETTEMBRE","OTTOBRE","NOVEMBRE","DICEMBRE"},0)</f>
        <v>12</v>
      </c>
      <c r="E1686" s="57" t="str">
        <f t="shared" si="1738"/>
        <v>DICEMBRE 2023</v>
      </c>
      <c r="F1686" s="57" t="str">
        <f t="shared" si="1739"/>
        <v>12 DICEMBRE 2023</v>
      </c>
      <c r="G1686" s="1309" t="s">
        <v>96</v>
      </c>
      <c r="H1686" s="1309" t="str">
        <f>VLOOKUP(G1686,CATEGORIE!$H$3:$I$104,2,FALSE)</f>
        <v>COSTO SOPRAVVIVENZA</v>
      </c>
      <c r="I1686" s="59">
        <v>26.62</v>
      </c>
      <c r="J1686" s="940"/>
      <c r="K1686" s="59"/>
      <c r="L1686" s="59"/>
    </row>
    <row r="1687" spans="1:12" ht="16.5" customHeight="1">
      <c r="A1687" s="57" t="s">
        <v>519</v>
      </c>
      <c r="B1687" s="57" t="s">
        <v>173</v>
      </c>
      <c r="C1687" s="57">
        <v>2023</v>
      </c>
      <c r="D1687" s="58">
        <f>MATCH(B1687,{"GENNAIO","FEBBRAIO","MARZO","APRILE","MAGGIO","GIUGNO","LUGLIO","AGOSTO","SETTEMBRE","OTTOBRE","NOVEMBRE","DICEMBRE"},0)</f>
        <v>12</v>
      </c>
      <c r="E1687" s="57" t="str">
        <f t="shared" si="1738"/>
        <v>DICEMBRE 2023</v>
      </c>
      <c r="F1687" s="57" t="str">
        <f t="shared" si="1739"/>
        <v>12 DICEMBRE 2023</v>
      </c>
      <c r="G1687" s="1309" t="s">
        <v>188</v>
      </c>
      <c r="H1687" s="1309" t="str">
        <f>VLOOKUP(G1687,CATEGORIE!$H$3:$I$104,2,FALSE)</f>
        <v>COSTO VACANZE</v>
      </c>
      <c r="I1687" s="59">
        <v>2</v>
      </c>
      <c r="J1687" s="940"/>
      <c r="K1687" s="59"/>
      <c r="L1687" s="59"/>
    </row>
    <row r="1688" spans="1:12" ht="16.5" customHeight="1">
      <c r="A1688" s="57" t="s">
        <v>433</v>
      </c>
      <c r="B1688" s="57" t="s">
        <v>173</v>
      </c>
      <c r="C1688" s="57">
        <v>2023</v>
      </c>
      <c r="D1688" s="58">
        <f>MATCH(B1688,{"GENNAIO","FEBBRAIO","MARZO","APRILE","MAGGIO","GIUGNO","LUGLIO","AGOSTO","SETTEMBRE","OTTOBRE","NOVEMBRE","DICEMBRE"},0)</f>
        <v>12</v>
      </c>
      <c r="E1688" s="57" t="str">
        <f t="shared" si="1738"/>
        <v>DICEMBRE 2023</v>
      </c>
      <c r="F1688" s="57" t="str">
        <f t="shared" si="1739"/>
        <v>12 DICEMBRE 2023</v>
      </c>
      <c r="G1688" s="1309" t="s">
        <v>385</v>
      </c>
      <c r="H1688" s="1309" t="str">
        <f>VLOOKUP(G1688,CATEGORIE!$H$3:$I$104,2,FALSE)</f>
        <v>COSTO SFIZI</v>
      </c>
      <c r="I1688" s="59">
        <v>23.33</v>
      </c>
      <c r="J1688" s="940" t="s">
        <v>124</v>
      </c>
      <c r="K1688" s="59" t="s">
        <v>112</v>
      </c>
      <c r="L1688" s="59"/>
    </row>
    <row r="1689" spans="1:12" ht="16.5" customHeight="1">
      <c r="A1689" s="57" t="s">
        <v>509</v>
      </c>
      <c r="B1689" s="57" t="s">
        <v>173</v>
      </c>
      <c r="C1689" s="57">
        <v>2023</v>
      </c>
      <c r="D1689" s="58">
        <f>MATCH(B1689,{"GENNAIO","FEBBRAIO","MARZO","APRILE","MAGGIO","GIUGNO","LUGLIO","AGOSTO","SETTEMBRE","OTTOBRE","NOVEMBRE","DICEMBRE"},0)</f>
        <v>12</v>
      </c>
      <c r="E1689" s="57" t="str">
        <f t="shared" si="1738"/>
        <v>DICEMBRE 2023</v>
      </c>
      <c r="F1689" s="57" t="str">
        <f t="shared" si="1739"/>
        <v>12 DICEMBRE 2023</v>
      </c>
      <c r="G1689" s="1309" t="s">
        <v>132</v>
      </c>
      <c r="H1689" s="1309" t="str">
        <f>VLOOKUP(G1689,CATEGORIE!$H$3:$I$104,2,FALSE)</f>
        <v>COSTO CASA</v>
      </c>
      <c r="I1689" s="59">
        <v>43.27</v>
      </c>
      <c r="J1689" s="940" t="s">
        <v>124</v>
      </c>
      <c r="K1689" s="59" t="s">
        <v>112</v>
      </c>
      <c r="L1689" s="59"/>
    </row>
    <row r="1690" spans="1:12" ht="16.5" customHeight="1">
      <c r="A1690" s="57" t="s">
        <v>520</v>
      </c>
      <c r="B1690" s="57" t="s">
        <v>173</v>
      </c>
      <c r="C1690" s="57">
        <v>2023</v>
      </c>
      <c r="D1690" s="58">
        <f>MATCH(B1690,{"GENNAIO","FEBBRAIO","MARZO","APRILE","MAGGIO","GIUGNO","LUGLIO","AGOSTO","SETTEMBRE","OTTOBRE","NOVEMBRE","DICEMBRE"},0)</f>
        <v>12</v>
      </c>
      <c r="E1690" s="57" t="str">
        <f t="shared" si="1738"/>
        <v>DICEMBRE 2023</v>
      </c>
      <c r="F1690" s="57" t="str">
        <f t="shared" si="1739"/>
        <v>12 DICEMBRE 2023</v>
      </c>
      <c r="G1690" s="1309" t="s">
        <v>94</v>
      </c>
      <c r="H1690" s="1309" t="str">
        <f>VLOOKUP(G1690,CATEGORIE!$H$3:$I$104,2,FALSE)</f>
        <v>COSTO SVAGHI</v>
      </c>
      <c r="I1690" s="59">
        <v>1.7</v>
      </c>
      <c r="J1690" s="940"/>
      <c r="K1690" s="59"/>
      <c r="L1690" s="59"/>
    </row>
    <row r="1691" spans="1:12" ht="16.5" customHeight="1">
      <c r="A1691" s="57" t="s">
        <v>521</v>
      </c>
      <c r="B1691" s="57" t="s">
        <v>173</v>
      </c>
      <c r="C1691" s="57">
        <v>2023</v>
      </c>
      <c r="D1691" s="58">
        <f>MATCH(B1691,{"GENNAIO","FEBBRAIO","MARZO","APRILE","MAGGIO","GIUGNO","LUGLIO","AGOSTO","SETTEMBRE","OTTOBRE","NOVEMBRE","DICEMBRE"},0)</f>
        <v>12</v>
      </c>
      <c r="E1691" s="57" t="str">
        <f t="shared" si="1738"/>
        <v>DICEMBRE 2023</v>
      </c>
      <c r="F1691" s="57" t="str">
        <f t="shared" si="1739"/>
        <v>12 DICEMBRE 2023</v>
      </c>
      <c r="G1691" s="1309" t="s">
        <v>402</v>
      </c>
      <c r="H1691" s="1309" t="str">
        <f>VLOOKUP(G1691,CATEGORIE!$H$3:$I$104,2,FALSE)</f>
        <v>COSTO SFIZI</v>
      </c>
      <c r="I1691" s="59">
        <v>30.45</v>
      </c>
      <c r="J1691" s="940"/>
      <c r="K1691" s="59"/>
      <c r="L1691" s="59"/>
    </row>
    <row r="1692" spans="1:12" ht="16.5" customHeight="1">
      <c r="A1692" s="57" t="s">
        <v>522</v>
      </c>
      <c r="B1692" s="57" t="s">
        <v>173</v>
      </c>
      <c r="C1692" s="57">
        <v>2023</v>
      </c>
      <c r="D1692" s="58">
        <f>MATCH(B1692,{"GENNAIO","FEBBRAIO","MARZO","APRILE","MAGGIO","GIUGNO","LUGLIO","AGOSTO","SETTEMBRE","OTTOBRE","NOVEMBRE","DICEMBRE"},0)</f>
        <v>12</v>
      </c>
      <c r="E1692" s="57" t="str">
        <f t="shared" si="1738"/>
        <v>DICEMBRE 2023</v>
      </c>
      <c r="F1692" s="57" t="str">
        <f t="shared" si="1739"/>
        <v>12 DICEMBRE 2023</v>
      </c>
      <c r="G1692" s="1309" t="s">
        <v>402</v>
      </c>
      <c r="H1692" s="1309" t="str">
        <f>VLOOKUP(G1692,CATEGORIE!$H$3:$I$104,2,FALSE)</f>
        <v>COSTO SFIZI</v>
      </c>
      <c r="I1692" s="59">
        <v>20.399999999999999</v>
      </c>
      <c r="J1692" s="940"/>
      <c r="K1692" s="59"/>
      <c r="L1692" s="59"/>
    </row>
    <row r="1693" spans="1:12" ht="16.5" customHeight="1">
      <c r="A1693" s="57" t="s">
        <v>101</v>
      </c>
      <c r="B1693" s="57" t="s">
        <v>200</v>
      </c>
      <c r="C1693" s="57">
        <v>2023</v>
      </c>
      <c r="D1693" s="58">
        <f>MATCH(B1693,{"GENNAIO","FEBBRAIO","MARZO","APRILE","MAGGIO","GIUGNO","LUGLIO","AGOSTO","SETTEMBRE","OTTOBRE","NOVEMBRE","DICEMBRE"},0)</f>
        <v>11</v>
      </c>
      <c r="E1693" s="57" t="str">
        <f t="shared" si="1738"/>
        <v>NOVEMBRE 2023</v>
      </c>
      <c r="F1693" s="57" t="str">
        <f t="shared" si="1739"/>
        <v>11 NOVEMBRE 2023</v>
      </c>
      <c r="G1693" s="1309" t="s">
        <v>91</v>
      </c>
      <c r="H1693" s="1309" t="str">
        <f>VLOOKUP(G1693,CATEGORIE!$H$3:$I$104,2,FALSE)</f>
        <v>COSTO SOPRAVVIVENZA</v>
      </c>
      <c r="I1693" s="59">
        <v>0.4</v>
      </c>
      <c r="J1693" s="940"/>
      <c r="K1693" s="59"/>
      <c r="L1693" s="59"/>
    </row>
    <row r="1694" spans="1:12" ht="16.5" customHeight="1">
      <c r="A1694" s="57" t="s">
        <v>101</v>
      </c>
      <c r="B1694" s="57" t="s">
        <v>200</v>
      </c>
      <c r="C1694" s="57">
        <v>2023</v>
      </c>
      <c r="D1694" s="58">
        <f>MATCH(B1694,{"GENNAIO","FEBBRAIO","MARZO","APRILE","MAGGIO","GIUGNO","LUGLIO","AGOSTO","SETTEMBRE","OTTOBRE","NOVEMBRE","DICEMBRE"},0)</f>
        <v>11</v>
      </c>
      <c r="E1694" s="57" t="str">
        <f t="shared" si="1738"/>
        <v>NOVEMBRE 2023</v>
      </c>
      <c r="F1694" s="57" t="str">
        <f t="shared" si="1739"/>
        <v>11 NOVEMBRE 2023</v>
      </c>
      <c r="G1694" s="1309" t="s">
        <v>91</v>
      </c>
      <c r="H1694" s="1309" t="str">
        <f>VLOOKUP(G1694,CATEGORIE!$H$3:$I$104,2,FALSE)</f>
        <v>COSTO SOPRAVVIVENZA</v>
      </c>
      <c r="I1694" s="59">
        <v>0.4</v>
      </c>
      <c r="J1694" s="940"/>
      <c r="K1694" s="59"/>
      <c r="L1694" s="59"/>
    </row>
    <row r="1695" spans="1:12">
      <c r="A1695" s="57" t="s">
        <v>101</v>
      </c>
      <c r="B1695" s="57" t="s">
        <v>200</v>
      </c>
      <c r="C1695" s="57">
        <v>2023</v>
      </c>
      <c r="D1695" s="58">
        <f>MATCH(B1695,{"GENNAIO","FEBBRAIO","MARZO","APRILE","MAGGIO","GIUGNO","LUGLIO","AGOSTO","SETTEMBRE","OTTOBRE","NOVEMBRE","DICEMBRE"},0)</f>
        <v>11</v>
      </c>
      <c r="E1695" s="57" t="str">
        <f t="shared" si="1738"/>
        <v>NOVEMBRE 2023</v>
      </c>
      <c r="F1695" s="57" t="str">
        <f t="shared" si="1739"/>
        <v>11 NOVEMBRE 2023</v>
      </c>
      <c r="G1695" s="1309" t="s">
        <v>91</v>
      </c>
      <c r="H1695" s="1309" t="str">
        <f>VLOOKUP(G1695,CATEGORIE!$H$3:$I$104,2,FALSE)</f>
        <v>COSTO SOPRAVVIVENZA</v>
      </c>
      <c r="I1695" s="59">
        <v>0.4</v>
      </c>
      <c r="J1695" s="940"/>
      <c r="K1695" s="59"/>
      <c r="L1695" s="59"/>
    </row>
    <row r="1696" spans="1:12" ht="16.5" customHeight="1">
      <c r="A1696" s="57" t="s">
        <v>101</v>
      </c>
      <c r="B1696" s="57" t="s">
        <v>200</v>
      </c>
      <c r="C1696" s="57">
        <v>2023</v>
      </c>
      <c r="D1696" s="58">
        <f>MATCH(B1696,{"GENNAIO","FEBBRAIO","MARZO","APRILE","MAGGIO","GIUGNO","LUGLIO","AGOSTO","SETTEMBRE","OTTOBRE","NOVEMBRE","DICEMBRE"},0)</f>
        <v>11</v>
      </c>
      <c r="E1696" s="57" t="str">
        <f t="shared" si="1738"/>
        <v>NOVEMBRE 2023</v>
      </c>
      <c r="F1696" s="57" t="str">
        <f t="shared" si="1739"/>
        <v>11 NOVEMBRE 2023</v>
      </c>
      <c r="G1696" s="1309" t="s">
        <v>91</v>
      </c>
      <c r="H1696" s="1309" t="str">
        <f>VLOOKUP(G1696,CATEGORIE!$H$3:$I$104,2,FALSE)</f>
        <v>COSTO SOPRAVVIVENZA</v>
      </c>
      <c r="I1696" s="59">
        <v>0.4</v>
      </c>
      <c r="J1696" s="940"/>
      <c r="K1696" s="59"/>
      <c r="L1696" s="59"/>
    </row>
    <row r="1697" spans="1:12" ht="16.5" customHeight="1">
      <c r="A1697" s="57" t="s">
        <v>92</v>
      </c>
      <c r="B1697" s="57" t="s">
        <v>200</v>
      </c>
      <c r="C1697" s="57">
        <v>2023</v>
      </c>
      <c r="D1697" s="58">
        <f>MATCH(B1697,{"GENNAIO","FEBBRAIO","MARZO","APRILE","MAGGIO","GIUGNO","LUGLIO","AGOSTO","SETTEMBRE","OTTOBRE","NOVEMBRE","DICEMBRE"},0)</f>
        <v>11</v>
      </c>
      <c r="E1697" s="57" t="str">
        <f t="shared" si="1738"/>
        <v>NOVEMBRE 2023</v>
      </c>
      <c r="F1697" s="57" t="str">
        <f t="shared" si="1739"/>
        <v>11 NOVEMBRE 2023</v>
      </c>
      <c r="G1697" s="1309" t="s">
        <v>93</v>
      </c>
      <c r="H1697" s="1309" t="str">
        <f>VLOOKUP(G1697,CATEGORIE!$H$3:$I$104,2,FALSE)</f>
        <v>COSTO SOPRAVVIVENZA</v>
      </c>
      <c r="I1697" s="59">
        <v>5</v>
      </c>
      <c r="J1697" s="940"/>
      <c r="K1697" s="59"/>
      <c r="L1697" s="59"/>
    </row>
    <row r="1698" spans="1:12" ht="16.5" customHeight="1">
      <c r="A1698" s="57" t="s">
        <v>211</v>
      </c>
      <c r="B1698" s="57" t="s">
        <v>200</v>
      </c>
      <c r="C1698" s="57">
        <v>2023</v>
      </c>
      <c r="D1698" s="58">
        <f>MATCH(B1698,{"GENNAIO","FEBBRAIO","MARZO","APRILE","MAGGIO","GIUGNO","LUGLIO","AGOSTO","SETTEMBRE","OTTOBRE","NOVEMBRE","DICEMBRE"},0)</f>
        <v>11</v>
      </c>
      <c r="E1698" s="57" t="str">
        <f t="shared" si="1738"/>
        <v>NOVEMBRE 2023</v>
      </c>
      <c r="F1698" s="57" t="str">
        <f t="shared" si="1739"/>
        <v>11 NOVEMBRE 2023</v>
      </c>
      <c r="G1698" s="1309" t="s">
        <v>94</v>
      </c>
      <c r="H1698" s="1309" t="str">
        <f>VLOOKUP(G1698,CATEGORIE!$H$3:$I$104,2,FALSE)</f>
        <v>COSTO SVAGHI</v>
      </c>
      <c r="I1698" s="59">
        <v>28.3</v>
      </c>
      <c r="J1698" s="940"/>
      <c r="K1698" s="59"/>
      <c r="L1698" s="59"/>
    </row>
    <row r="1699" spans="1:12" ht="16.5" customHeight="1">
      <c r="A1699" s="57" t="s">
        <v>92</v>
      </c>
      <c r="B1699" s="57" t="s">
        <v>200</v>
      </c>
      <c r="C1699" s="57">
        <v>2023</v>
      </c>
      <c r="D1699" s="58">
        <f>MATCH(B1699,{"GENNAIO","FEBBRAIO","MARZO","APRILE","MAGGIO","GIUGNO","LUGLIO","AGOSTO","SETTEMBRE","OTTOBRE","NOVEMBRE","DICEMBRE"},0)</f>
        <v>11</v>
      </c>
      <c r="E1699" s="57" t="str">
        <f t="shared" si="1738"/>
        <v>NOVEMBRE 2023</v>
      </c>
      <c r="F1699" s="57" t="str">
        <f t="shared" si="1739"/>
        <v>11 NOVEMBRE 2023</v>
      </c>
      <c r="G1699" s="1309" t="s">
        <v>93</v>
      </c>
      <c r="H1699" s="1309" t="str">
        <f>VLOOKUP(G1699,CATEGORIE!$H$3:$I$104,2,FALSE)</f>
        <v>COSTO SOPRAVVIVENZA</v>
      </c>
      <c r="I1699" s="59">
        <v>5</v>
      </c>
      <c r="J1699" s="940"/>
      <c r="K1699" s="59"/>
      <c r="L1699" s="59"/>
    </row>
    <row r="1700" spans="1:12">
      <c r="A1700" s="57" t="s">
        <v>101</v>
      </c>
      <c r="B1700" s="57" t="s">
        <v>200</v>
      </c>
      <c r="C1700" s="57">
        <v>2023</v>
      </c>
      <c r="D1700" s="58">
        <f>MATCH(B1700,{"GENNAIO","FEBBRAIO","MARZO","APRILE","MAGGIO","GIUGNO","LUGLIO","AGOSTO","SETTEMBRE","OTTOBRE","NOVEMBRE","DICEMBRE"},0)</f>
        <v>11</v>
      </c>
      <c r="E1700" s="57" t="str">
        <f t="shared" si="1738"/>
        <v>NOVEMBRE 2023</v>
      </c>
      <c r="F1700" s="57" t="str">
        <f t="shared" si="1739"/>
        <v>11 NOVEMBRE 2023</v>
      </c>
      <c r="G1700" s="1309" t="s">
        <v>91</v>
      </c>
      <c r="H1700" s="1309" t="str">
        <f>VLOOKUP(G1700,CATEGORIE!$H$3:$I$104,2,FALSE)</f>
        <v>COSTO SOPRAVVIVENZA</v>
      </c>
      <c r="I1700" s="59">
        <v>0.4</v>
      </c>
      <c r="J1700" s="940"/>
      <c r="K1700" s="59"/>
      <c r="L1700" s="59"/>
    </row>
    <row r="1701" spans="1:12" ht="16.5" customHeight="1">
      <c r="A1701" s="57" t="s">
        <v>101</v>
      </c>
      <c r="B1701" s="57" t="s">
        <v>200</v>
      </c>
      <c r="C1701" s="57">
        <v>2023</v>
      </c>
      <c r="D1701" s="58">
        <f>MATCH(B1701,{"GENNAIO","FEBBRAIO","MARZO","APRILE","MAGGIO","GIUGNO","LUGLIO","AGOSTO","SETTEMBRE","OTTOBRE","NOVEMBRE","DICEMBRE"},0)</f>
        <v>11</v>
      </c>
      <c r="E1701" s="57" t="str">
        <f t="shared" si="1738"/>
        <v>NOVEMBRE 2023</v>
      </c>
      <c r="F1701" s="57" t="str">
        <f t="shared" si="1739"/>
        <v>11 NOVEMBRE 2023</v>
      </c>
      <c r="G1701" s="1309" t="s">
        <v>91</v>
      </c>
      <c r="H1701" s="1309" t="str">
        <f>VLOOKUP(G1701,CATEGORIE!$H$3:$I$104,2,FALSE)</f>
        <v>COSTO SOPRAVVIVENZA</v>
      </c>
      <c r="I1701" s="59">
        <v>0.4</v>
      </c>
      <c r="J1701" s="940"/>
      <c r="K1701" s="59"/>
      <c r="L1701" s="59"/>
    </row>
    <row r="1702" spans="1:12">
      <c r="A1702" s="57" t="s">
        <v>99</v>
      </c>
      <c r="B1702" s="57" t="s">
        <v>200</v>
      </c>
      <c r="C1702" s="57">
        <v>2023</v>
      </c>
      <c r="D1702" s="58">
        <f>MATCH(B1702,{"GENNAIO","FEBBRAIO","MARZO","APRILE","MAGGIO","GIUGNO","LUGLIO","AGOSTO","SETTEMBRE","OTTOBRE","NOVEMBRE","DICEMBRE"},0)</f>
        <v>11</v>
      </c>
      <c r="E1702" s="57" t="str">
        <f t="shared" si="1738"/>
        <v>NOVEMBRE 2023</v>
      </c>
      <c r="F1702" s="57" t="str">
        <f t="shared" si="1739"/>
        <v>11 NOVEMBRE 2023</v>
      </c>
      <c r="G1702" s="1309" t="s">
        <v>100</v>
      </c>
      <c r="H1702" s="1309" t="str">
        <f>VLOOKUP(G1702,CATEGORIE!$H$3:$I$104,2,FALSE)</f>
        <v>COSTO SFIZI</v>
      </c>
      <c r="I1702" s="59">
        <v>1.26</v>
      </c>
      <c r="J1702" s="940"/>
      <c r="K1702" s="57" t="s">
        <v>99</v>
      </c>
      <c r="L1702" s="59"/>
    </row>
    <row r="1703" spans="1:12">
      <c r="A1703" s="57" t="s">
        <v>131</v>
      </c>
      <c r="B1703" s="57" t="s">
        <v>200</v>
      </c>
      <c r="C1703" s="57">
        <v>2023</v>
      </c>
      <c r="D1703" s="58">
        <f>MATCH(B1703,{"GENNAIO","FEBBRAIO","MARZO","APRILE","MAGGIO","GIUGNO","LUGLIO","AGOSTO","SETTEMBRE","OTTOBRE","NOVEMBRE","DICEMBRE"},0)</f>
        <v>11</v>
      </c>
      <c r="E1703" s="57" t="str">
        <f t="shared" si="1738"/>
        <v>NOVEMBRE 2023</v>
      </c>
      <c r="F1703" s="57" t="str">
        <f t="shared" si="1739"/>
        <v>11 NOVEMBRE 2023</v>
      </c>
      <c r="G1703" s="1309" t="s">
        <v>132</v>
      </c>
      <c r="H1703" s="1309" t="str">
        <f>VLOOKUP(G1703,CATEGORIE!$H$3:$I$104,2,FALSE)</f>
        <v>COSTO CASA</v>
      </c>
      <c r="I1703" s="59">
        <f>9.9</f>
        <v>9.9</v>
      </c>
      <c r="J1703" s="940"/>
      <c r="K1703" s="59"/>
      <c r="L1703" s="59"/>
    </row>
    <row r="1704" spans="1:12">
      <c r="A1704" s="57" t="s">
        <v>99</v>
      </c>
      <c r="B1704" s="57" t="s">
        <v>200</v>
      </c>
      <c r="C1704" s="57">
        <v>2023</v>
      </c>
      <c r="D1704" s="58">
        <f>MATCH(B1704,{"GENNAIO","FEBBRAIO","MARZO","APRILE","MAGGIO","GIUGNO","LUGLIO","AGOSTO","SETTEMBRE","OTTOBRE","NOVEMBRE","DICEMBRE"},0)</f>
        <v>11</v>
      </c>
      <c r="E1704" s="57" t="str">
        <f t="shared" si="1738"/>
        <v>NOVEMBRE 2023</v>
      </c>
      <c r="F1704" s="57" t="str">
        <f t="shared" si="1739"/>
        <v>11 NOVEMBRE 2023</v>
      </c>
      <c r="G1704" s="1309" t="s">
        <v>108</v>
      </c>
      <c r="H1704" s="1309" t="str">
        <f>VLOOKUP(G1704,CATEGORIE!$H$3:$I$104,2,FALSE)</f>
        <v>COSTO SFIZI</v>
      </c>
      <c r="I1704" s="59">
        <v>23</v>
      </c>
      <c r="J1704" s="940"/>
      <c r="K1704" s="57" t="s">
        <v>99</v>
      </c>
      <c r="L1704" s="59"/>
    </row>
    <row r="1705" spans="1:12">
      <c r="A1705" s="57" t="s">
        <v>105</v>
      </c>
      <c r="B1705" s="57" t="s">
        <v>200</v>
      </c>
      <c r="C1705" s="57">
        <v>2023</v>
      </c>
      <c r="D1705" s="58">
        <f>MATCH(B1705,{"GENNAIO","FEBBRAIO","MARZO","APRILE","MAGGIO","GIUGNO","LUGLIO","AGOSTO","SETTEMBRE","OTTOBRE","NOVEMBRE","DICEMBRE"},0)</f>
        <v>11</v>
      </c>
      <c r="E1705" s="57" t="str">
        <f t="shared" si="1738"/>
        <v>NOVEMBRE 2023</v>
      </c>
      <c r="F1705" s="57" t="str">
        <f t="shared" si="1739"/>
        <v>11 NOVEMBRE 2023</v>
      </c>
      <c r="G1705" s="1309" t="s">
        <v>96</v>
      </c>
      <c r="H1705" s="1309" t="str">
        <f>VLOOKUP(G1705,CATEGORIE!$H$3:$I$104,2,FALSE)</f>
        <v>COSTO SOPRAVVIVENZA</v>
      </c>
      <c r="I1705" s="59">
        <v>9.0399999999999991</v>
      </c>
      <c r="J1705" s="940"/>
      <c r="K1705" s="59"/>
      <c r="L1705" s="59"/>
    </row>
    <row r="1706" spans="1:12" ht="16.5" customHeight="1">
      <c r="A1706" s="57" t="s">
        <v>433</v>
      </c>
      <c r="B1706" s="57" t="s">
        <v>200</v>
      </c>
      <c r="C1706" s="57">
        <v>2023</v>
      </c>
      <c r="D1706" s="58">
        <f>MATCH(B1706,{"GENNAIO","FEBBRAIO","MARZO","APRILE","MAGGIO","GIUGNO","LUGLIO","AGOSTO","SETTEMBRE","OTTOBRE","NOVEMBRE","DICEMBRE"},0)</f>
        <v>11</v>
      </c>
      <c r="E1706" s="57" t="str">
        <f t="shared" si="1738"/>
        <v>NOVEMBRE 2023</v>
      </c>
      <c r="F1706" s="57" t="str">
        <f t="shared" si="1739"/>
        <v>11 NOVEMBRE 2023</v>
      </c>
      <c r="G1706" s="1309" t="s">
        <v>385</v>
      </c>
      <c r="H1706" s="1309" t="str">
        <f>VLOOKUP(G1706,CATEGORIE!$H$3:$I$104,2,FALSE)</f>
        <v>COSTO SFIZI</v>
      </c>
      <c r="I1706" s="59">
        <v>23.32</v>
      </c>
      <c r="J1706" s="940" t="s">
        <v>138</v>
      </c>
      <c r="K1706" s="59" t="s">
        <v>112</v>
      </c>
      <c r="L1706" s="59"/>
    </row>
    <row r="1707" spans="1:12">
      <c r="A1707" s="57" t="s">
        <v>503</v>
      </c>
      <c r="B1707" s="57" t="s">
        <v>200</v>
      </c>
      <c r="C1707" s="57">
        <v>2023</v>
      </c>
      <c r="D1707" s="58">
        <f>MATCH(B1707,{"GENNAIO","FEBBRAIO","MARZO","APRILE","MAGGIO","GIUGNO","LUGLIO","AGOSTO","SETTEMBRE","OTTOBRE","NOVEMBRE","DICEMBRE"},0)</f>
        <v>11</v>
      </c>
      <c r="E1707" s="57" t="str">
        <f t="shared" si="1738"/>
        <v>NOVEMBRE 2023</v>
      </c>
      <c r="F1707" s="57" t="str">
        <f t="shared" si="1739"/>
        <v>11 NOVEMBRE 2023</v>
      </c>
      <c r="G1707" s="1309" t="s">
        <v>385</v>
      </c>
      <c r="H1707" s="1309" t="str">
        <f>VLOOKUP(G1707,CATEGORIE!$H$3:$I$104,2,FALSE)</f>
        <v>COSTO SFIZI</v>
      </c>
      <c r="I1707" s="59">
        <v>9.99</v>
      </c>
      <c r="J1707" s="940"/>
      <c r="K1707" s="59" t="s">
        <v>112</v>
      </c>
      <c r="L1707" s="59"/>
    </row>
    <row r="1708" spans="1:12">
      <c r="A1708" s="57" t="s">
        <v>131</v>
      </c>
      <c r="B1708" s="57" t="s">
        <v>200</v>
      </c>
      <c r="C1708" s="57">
        <v>2023</v>
      </c>
      <c r="D1708" s="58">
        <f>MATCH(B1708,{"GENNAIO","FEBBRAIO","MARZO","APRILE","MAGGIO","GIUGNO","LUGLIO","AGOSTO","SETTEMBRE","OTTOBRE","NOVEMBRE","DICEMBRE"},0)</f>
        <v>11</v>
      </c>
      <c r="E1708" s="57" t="str">
        <f t="shared" si="1738"/>
        <v>NOVEMBRE 2023</v>
      </c>
      <c r="F1708" s="57" t="str">
        <f t="shared" si="1739"/>
        <v>11 NOVEMBRE 2023</v>
      </c>
      <c r="G1708" s="1309" t="s">
        <v>132</v>
      </c>
      <c r="H1708" s="1309" t="str">
        <f>VLOOKUP(G1708,CATEGORIE!$H$3:$I$104,2,FALSE)</f>
        <v>COSTO CASA</v>
      </c>
      <c r="I1708" s="59">
        <v>27.25</v>
      </c>
      <c r="J1708" s="940"/>
      <c r="K1708" s="59"/>
      <c r="L1708" s="59"/>
    </row>
    <row r="1709" spans="1:12">
      <c r="A1709" s="57" t="s">
        <v>523</v>
      </c>
      <c r="B1709" s="57" t="s">
        <v>200</v>
      </c>
      <c r="C1709" s="57">
        <v>2023</v>
      </c>
      <c r="D1709" s="58">
        <f>MATCH(B1709,{"GENNAIO","FEBBRAIO","MARZO","APRILE","MAGGIO","GIUGNO","LUGLIO","AGOSTO","SETTEMBRE","OTTOBRE","NOVEMBRE","DICEMBRE"},0)</f>
        <v>11</v>
      </c>
      <c r="E1709" s="57" t="str">
        <f t="shared" si="1738"/>
        <v>NOVEMBRE 2023</v>
      </c>
      <c r="F1709" s="57" t="str">
        <f t="shared" si="1739"/>
        <v>11 NOVEMBRE 2023</v>
      </c>
      <c r="G1709" s="1309" t="s">
        <v>94</v>
      </c>
      <c r="H1709" s="1309" t="str">
        <f>VLOOKUP(G1709,CATEGORIE!$H$3:$I$104,2,FALSE)</f>
        <v>COSTO SVAGHI</v>
      </c>
      <c r="I1709" s="59">
        <v>36.1</v>
      </c>
      <c r="J1709" s="940"/>
      <c r="K1709" s="59"/>
      <c r="L1709" s="59"/>
    </row>
    <row r="1710" spans="1:12">
      <c r="A1710" s="57" t="s">
        <v>512</v>
      </c>
      <c r="B1710" s="57" t="s">
        <v>200</v>
      </c>
      <c r="C1710" s="57">
        <v>2023</v>
      </c>
      <c r="D1710" s="58">
        <f>MATCH(B1710,{"GENNAIO","FEBBRAIO","MARZO","APRILE","MAGGIO","GIUGNO","LUGLIO","AGOSTO","SETTEMBRE","OTTOBRE","NOVEMBRE","DICEMBRE"},0)</f>
        <v>11</v>
      </c>
      <c r="E1710" s="57" t="str">
        <f t="shared" si="1738"/>
        <v>NOVEMBRE 2023</v>
      </c>
      <c r="F1710" s="57" t="str">
        <f t="shared" si="1739"/>
        <v>11 NOVEMBRE 2023</v>
      </c>
      <c r="G1710" s="1309" t="s">
        <v>418</v>
      </c>
      <c r="H1710" s="1309" t="str">
        <f>VLOOKUP(G1710,CATEGORIE!$H$3:$I$104,2,FALSE)</f>
        <v>COSTO SOPRAVVIVENZA</v>
      </c>
      <c r="I1710" s="60">
        <v>30</v>
      </c>
      <c r="J1710" s="940"/>
      <c r="K1710" s="59"/>
      <c r="L1710" s="59"/>
    </row>
    <row r="1711" spans="1:12" ht="18.600000000000001" customHeight="1">
      <c r="A1711" s="57" t="s">
        <v>512</v>
      </c>
      <c r="B1711" s="57" t="s">
        <v>200</v>
      </c>
      <c r="C1711" s="57">
        <v>2023</v>
      </c>
      <c r="D1711" s="58">
        <f>MATCH(B1711,{"GENNAIO","FEBBRAIO","MARZO","APRILE","MAGGIO","GIUGNO","LUGLIO","AGOSTO","SETTEMBRE","OTTOBRE","NOVEMBRE","DICEMBRE"},0)</f>
        <v>11</v>
      </c>
      <c r="E1711" s="57" t="str">
        <f t="shared" si="1738"/>
        <v>NOVEMBRE 2023</v>
      </c>
      <c r="F1711" s="57" t="str">
        <f t="shared" si="1739"/>
        <v>11 NOVEMBRE 2023</v>
      </c>
      <c r="G1711" s="1309" t="s">
        <v>418</v>
      </c>
      <c r="H1711" s="1309" t="str">
        <f>VLOOKUP(G1711,CATEGORIE!$H$3:$I$104,2,FALSE)</f>
        <v>COSTO SOPRAVVIVENZA</v>
      </c>
      <c r="I1711" s="60">
        <v>10</v>
      </c>
      <c r="J1711" s="940"/>
      <c r="K1711" s="59"/>
      <c r="L1711" s="59"/>
    </row>
    <row r="1712" spans="1:12" ht="16.5" customHeight="1">
      <c r="A1712" s="57" t="s">
        <v>105</v>
      </c>
      <c r="B1712" s="57" t="s">
        <v>200</v>
      </c>
      <c r="C1712" s="57">
        <v>2023</v>
      </c>
      <c r="D1712" s="58">
        <f>MATCH(B1712,{"GENNAIO","FEBBRAIO","MARZO","APRILE","MAGGIO","GIUGNO","LUGLIO","AGOSTO","SETTEMBRE","OTTOBRE","NOVEMBRE","DICEMBRE"},0)</f>
        <v>11</v>
      </c>
      <c r="E1712" s="57" t="str">
        <f t="shared" si="1738"/>
        <v>NOVEMBRE 2023</v>
      </c>
      <c r="F1712" s="57" t="str">
        <f t="shared" si="1739"/>
        <v>11 NOVEMBRE 2023</v>
      </c>
      <c r="G1712" s="1309" t="s">
        <v>96</v>
      </c>
      <c r="H1712" s="1309" t="str">
        <f>VLOOKUP(G1712,CATEGORIE!$H$3:$I$104,2,FALSE)</f>
        <v>COSTO SOPRAVVIVENZA</v>
      </c>
      <c r="I1712" s="59">
        <v>2.48</v>
      </c>
      <c r="J1712" s="940"/>
      <c r="K1712" s="59"/>
      <c r="L1712" s="59"/>
    </row>
    <row r="1713" spans="1:12" ht="16.5" customHeight="1">
      <c r="A1713" s="57" t="s">
        <v>105</v>
      </c>
      <c r="B1713" s="57" t="s">
        <v>200</v>
      </c>
      <c r="C1713" s="57">
        <v>2023</v>
      </c>
      <c r="D1713" s="58">
        <f>MATCH(B1713,{"GENNAIO","FEBBRAIO","MARZO","APRILE","MAGGIO","GIUGNO","LUGLIO","AGOSTO","SETTEMBRE","OTTOBRE","NOVEMBRE","DICEMBRE"},0)</f>
        <v>11</v>
      </c>
      <c r="E1713" s="57" t="str">
        <f t="shared" si="1738"/>
        <v>NOVEMBRE 2023</v>
      </c>
      <c r="F1713" s="57" t="str">
        <f t="shared" si="1739"/>
        <v>11 NOVEMBRE 2023</v>
      </c>
      <c r="G1713" s="1309" t="s">
        <v>96</v>
      </c>
      <c r="H1713" s="1309" t="str">
        <f>VLOOKUP(G1713,CATEGORIE!$H$3:$I$104,2,FALSE)</f>
        <v>COSTO SOPRAVVIVENZA</v>
      </c>
      <c r="I1713" s="59">
        <v>0.99</v>
      </c>
      <c r="J1713" s="940"/>
      <c r="K1713" s="59"/>
      <c r="L1713" s="59"/>
    </row>
    <row r="1714" spans="1:12">
      <c r="A1714" s="57" t="s">
        <v>135</v>
      </c>
      <c r="B1714" s="57" t="s">
        <v>200</v>
      </c>
      <c r="C1714" s="57">
        <v>2023</v>
      </c>
      <c r="D1714" s="58">
        <f>MATCH(B1714,{"GENNAIO","FEBBRAIO","MARZO","APRILE","MAGGIO","GIUGNO","LUGLIO","AGOSTO","SETTEMBRE","OTTOBRE","NOVEMBRE","DICEMBRE"},0)</f>
        <v>11</v>
      </c>
      <c r="E1714" s="57" t="str">
        <f t="shared" si="1738"/>
        <v>NOVEMBRE 2023</v>
      </c>
      <c r="F1714" s="57" t="str">
        <f t="shared" si="1739"/>
        <v>11 NOVEMBRE 2023</v>
      </c>
      <c r="G1714" s="1309" t="s">
        <v>132</v>
      </c>
      <c r="H1714" s="1309" t="str">
        <f>VLOOKUP(G1714,CATEGORIE!$H$3:$I$104,2,FALSE)</f>
        <v>COSTO CASA</v>
      </c>
      <c r="I1714" s="59">
        <v>8.3000000000000007</v>
      </c>
      <c r="J1714" s="940"/>
      <c r="K1714" s="59"/>
      <c r="L1714" s="59"/>
    </row>
    <row r="1715" spans="1:12" ht="16.5" customHeight="1">
      <c r="A1715" s="57" t="s">
        <v>92</v>
      </c>
      <c r="B1715" s="57" t="s">
        <v>200</v>
      </c>
      <c r="C1715" s="57">
        <v>2023</v>
      </c>
      <c r="D1715" s="58">
        <f>MATCH(B1715,{"GENNAIO","FEBBRAIO","MARZO","APRILE","MAGGIO","GIUGNO","LUGLIO","AGOSTO","SETTEMBRE","OTTOBRE","NOVEMBRE","DICEMBRE"},0)</f>
        <v>11</v>
      </c>
      <c r="E1715" s="57" t="str">
        <f t="shared" si="1738"/>
        <v>NOVEMBRE 2023</v>
      </c>
      <c r="F1715" s="57" t="str">
        <f t="shared" si="1739"/>
        <v>11 NOVEMBRE 2023</v>
      </c>
      <c r="G1715" s="1309" t="s">
        <v>94</v>
      </c>
      <c r="H1715" s="1309" t="str">
        <f>VLOOKUP(G1715,CATEGORIE!$H$3:$I$104,2,FALSE)</f>
        <v>COSTO SVAGHI</v>
      </c>
      <c r="I1715" s="59">
        <v>3.9</v>
      </c>
      <c r="J1715" s="940"/>
      <c r="K1715" s="59"/>
      <c r="L1715" s="59"/>
    </row>
    <row r="1716" spans="1:12" ht="16.5" customHeight="1">
      <c r="A1716" s="57" t="s">
        <v>92</v>
      </c>
      <c r="B1716" s="57" t="s">
        <v>200</v>
      </c>
      <c r="C1716" s="57">
        <v>2023</v>
      </c>
      <c r="D1716" s="58">
        <f>MATCH(B1716,{"GENNAIO","FEBBRAIO","MARZO","APRILE","MAGGIO","GIUGNO","LUGLIO","AGOSTO","SETTEMBRE","OTTOBRE","NOVEMBRE","DICEMBRE"},0)</f>
        <v>11</v>
      </c>
      <c r="E1716" s="57" t="str">
        <f t="shared" si="1738"/>
        <v>NOVEMBRE 2023</v>
      </c>
      <c r="F1716" s="57" t="str">
        <f t="shared" si="1739"/>
        <v>11 NOVEMBRE 2023</v>
      </c>
      <c r="G1716" s="1309" t="s">
        <v>93</v>
      </c>
      <c r="H1716" s="1309" t="str">
        <f>VLOOKUP(G1716,CATEGORIE!$H$3:$I$104,2,FALSE)</f>
        <v>COSTO SOPRAVVIVENZA</v>
      </c>
      <c r="I1716" s="59">
        <v>5</v>
      </c>
      <c r="J1716" s="940"/>
      <c r="K1716" s="59"/>
      <c r="L1716" s="59"/>
    </row>
    <row r="1717" spans="1:12" ht="16.5" customHeight="1">
      <c r="A1717" s="57" t="s">
        <v>105</v>
      </c>
      <c r="B1717" s="57" t="s">
        <v>200</v>
      </c>
      <c r="C1717" s="57">
        <v>2023</v>
      </c>
      <c r="D1717" s="58">
        <f>MATCH(B1717,{"GENNAIO","FEBBRAIO","MARZO","APRILE","MAGGIO","GIUGNO","LUGLIO","AGOSTO","SETTEMBRE","OTTOBRE","NOVEMBRE","DICEMBRE"},0)</f>
        <v>11</v>
      </c>
      <c r="E1717" s="57" t="str">
        <f t="shared" si="1738"/>
        <v>NOVEMBRE 2023</v>
      </c>
      <c r="F1717" s="57" t="str">
        <f t="shared" si="1739"/>
        <v>11 NOVEMBRE 2023</v>
      </c>
      <c r="G1717" s="1309" t="s">
        <v>96</v>
      </c>
      <c r="H1717" s="1309" t="str">
        <f>VLOOKUP(G1717,CATEGORIE!$H$3:$I$104,2,FALSE)</f>
        <v>COSTO SOPRAVVIVENZA</v>
      </c>
      <c r="I1717" s="59">
        <v>16.72</v>
      </c>
      <c r="J1717" s="940"/>
      <c r="K1717" s="59"/>
      <c r="L1717" s="59"/>
    </row>
    <row r="1718" spans="1:12" ht="16.5" customHeight="1">
      <c r="A1718" s="57" t="s">
        <v>524</v>
      </c>
      <c r="B1718" s="57" t="s">
        <v>200</v>
      </c>
      <c r="C1718" s="57">
        <v>2023</v>
      </c>
      <c r="D1718" s="58">
        <f>MATCH(B1718,{"GENNAIO","FEBBRAIO","MARZO","APRILE","MAGGIO","GIUGNO","LUGLIO","AGOSTO","SETTEMBRE","OTTOBRE","NOVEMBRE","DICEMBRE"},0)</f>
        <v>11</v>
      </c>
      <c r="E1718" s="57" t="str">
        <f t="shared" si="1738"/>
        <v>NOVEMBRE 2023</v>
      </c>
      <c r="F1718" s="57" t="str">
        <f t="shared" si="1739"/>
        <v>11 NOVEMBRE 2023</v>
      </c>
      <c r="G1718" s="1309" t="s">
        <v>94</v>
      </c>
      <c r="H1718" s="1309" t="str">
        <f>VLOOKUP(G1718,CATEGORIE!$H$3:$I$104,2,FALSE)</f>
        <v>COSTO SVAGHI</v>
      </c>
      <c r="I1718" s="59">
        <v>18.5</v>
      </c>
      <c r="J1718" s="940"/>
      <c r="K1718" s="59"/>
      <c r="L1718" s="59"/>
    </row>
    <row r="1719" spans="1:12">
      <c r="A1719" s="57" t="s">
        <v>101</v>
      </c>
      <c r="B1719" s="57" t="s">
        <v>200</v>
      </c>
      <c r="C1719" s="57">
        <v>2023</v>
      </c>
      <c r="D1719" s="58">
        <f>MATCH(B1719,{"GENNAIO","FEBBRAIO","MARZO","APRILE","MAGGIO","GIUGNO","LUGLIO","AGOSTO","SETTEMBRE","OTTOBRE","NOVEMBRE","DICEMBRE"},0)</f>
        <v>11</v>
      </c>
      <c r="E1719" s="57" t="str">
        <f t="shared" si="1738"/>
        <v>NOVEMBRE 2023</v>
      </c>
      <c r="F1719" s="57" t="str">
        <f t="shared" si="1739"/>
        <v>11 NOVEMBRE 2023</v>
      </c>
      <c r="G1719" s="1309" t="s">
        <v>91</v>
      </c>
      <c r="H1719" s="1309" t="str">
        <f>VLOOKUP(G1719,CATEGORIE!$H$3:$I$104,2,FALSE)</f>
        <v>COSTO SOPRAVVIVENZA</v>
      </c>
      <c r="I1719" s="59">
        <v>1.5</v>
      </c>
      <c r="J1719" s="940"/>
      <c r="K1719" s="59"/>
      <c r="L1719" s="59"/>
    </row>
    <row r="1720" spans="1:12" ht="16.5" customHeight="1">
      <c r="A1720" s="57" t="s">
        <v>525</v>
      </c>
      <c r="B1720" s="57" t="s">
        <v>200</v>
      </c>
      <c r="C1720" s="57">
        <v>2023</v>
      </c>
      <c r="D1720" s="58">
        <f>MATCH(B1720,{"GENNAIO","FEBBRAIO","MARZO","APRILE","MAGGIO","GIUGNO","LUGLIO","AGOSTO","SETTEMBRE","OTTOBRE","NOVEMBRE","DICEMBRE"},0)</f>
        <v>11</v>
      </c>
      <c r="E1720" s="57" t="str">
        <f t="shared" si="1738"/>
        <v>NOVEMBRE 2023</v>
      </c>
      <c r="F1720" s="57" t="str">
        <f t="shared" si="1739"/>
        <v>11 NOVEMBRE 2023</v>
      </c>
      <c r="G1720" s="1309" t="s">
        <v>94</v>
      </c>
      <c r="H1720" s="1309" t="str">
        <f>VLOOKUP(G1720,CATEGORIE!$H$3:$I$104,2,FALSE)</f>
        <v>COSTO SVAGHI</v>
      </c>
      <c r="I1720" s="59">
        <v>10</v>
      </c>
      <c r="J1720" s="940"/>
      <c r="K1720" s="59"/>
      <c r="L1720" s="59"/>
    </row>
    <row r="1721" spans="1:12" ht="16.5" customHeight="1">
      <c r="A1721" s="57" t="s">
        <v>525</v>
      </c>
      <c r="B1721" s="57" t="s">
        <v>200</v>
      </c>
      <c r="C1721" s="57">
        <v>2023</v>
      </c>
      <c r="D1721" s="58">
        <f>MATCH(B1721,{"GENNAIO","FEBBRAIO","MARZO","APRILE","MAGGIO","GIUGNO","LUGLIO","AGOSTO","SETTEMBRE","OTTOBRE","NOVEMBRE","DICEMBRE"},0)</f>
        <v>11</v>
      </c>
      <c r="E1721" s="57" t="str">
        <f t="shared" ref="E1721:E1784" si="1740">CONCATENATE(,B1721," ",C1721)</f>
        <v>NOVEMBRE 2023</v>
      </c>
      <c r="F1721" s="57" t="str">
        <f t="shared" ref="F1721:F1784" si="1741">CONCATENATE(D1721," ",E1721)</f>
        <v>11 NOVEMBRE 2023</v>
      </c>
      <c r="G1721" s="1309" t="s">
        <v>94</v>
      </c>
      <c r="H1721" s="1309" t="str">
        <f>VLOOKUP(G1721,CATEGORIE!$H$3:$I$104,2,FALSE)</f>
        <v>COSTO SVAGHI</v>
      </c>
      <c r="I1721" s="59">
        <v>48</v>
      </c>
      <c r="J1721" s="940"/>
      <c r="K1721" s="59"/>
      <c r="L1721" s="59"/>
    </row>
    <row r="1722" spans="1:12" ht="16.5" customHeight="1">
      <c r="A1722" s="57" t="s">
        <v>210</v>
      </c>
      <c r="B1722" s="57" t="s">
        <v>200</v>
      </c>
      <c r="C1722" s="57">
        <v>2023</v>
      </c>
      <c r="D1722" s="58">
        <f>MATCH(B1722,{"GENNAIO","FEBBRAIO","MARZO","APRILE","MAGGIO","GIUGNO","LUGLIO","AGOSTO","SETTEMBRE","OTTOBRE","NOVEMBRE","DICEMBRE"},0)</f>
        <v>11</v>
      </c>
      <c r="E1722" s="57" t="str">
        <f t="shared" si="1740"/>
        <v>NOVEMBRE 2023</v>
      </c>
      <c r="F1722" s="57" t="str">
        <f t="shared" si="1741"/>
        <v>11 NOVEMBRE 2023</v>
      </c>
      <c r="G1722" s="1309" t="s">
        <v>107</v>
      </c>
      <c r="H1722" s="1309" t="str">
        <f>VLOOKUP(G1722,CATEGORIE!$H$3:$I$104,2,FALSE)</f>
        <v>COSTO SOPRAVVIVENZA</v>
      </c>
      <c r="I1722" s="59">
        <v>50</v>
      </c>
      <c r="J1722" s="940"/>
      <c r="K1722" s="59"/>
      <c r="L1722" s="59"/>
    </row>
    <row r="1723" spans="1:12" ht="16.5" customHeight="1">
      <c r="A1723" s="57" t="s">
        <v>101</v>
      </c>
      <c r="B1723" s="57" t="s">
        <v>200</v>
      </c>
      <c r="C1723" s="57">
        <v>2023</v>
      </c>
      <c r="D1723" s="58">
        <f>MATCH(B1723,{"GENNAIO","FEBBRAIO","MARZO","APRILE","MAGGIO","GIUGNO","LUGLIO","AGOSTO","SETTEMBRE","OTTOBRE","NOVEMBRE","DICEMBRE"},0)</f>
        <v>11</v>
      </c>
      <c r="E1723" s="57" t="str">
        <f t="shared" si="1740"/>
        <v>NOVEMBRE 2023</v>
      </c>
      <c r="F1723" s="57" t="str">
        <f t="shared" si="1741"/>
        <v>11 NOVEMBRE 2023</v>
      </c>
      <c r="G1723" s="1309" t="s">
        <v>91</v>
      </c>
      <c r="H1723" s="1309" t="str">
        <f>VLOOKUP(G1723,CATEGORIE!$H$3:$I$104,2,FALSE)</f>
        <v>COSTO SOPRAVVIVENZA</v>
      </c>
      <c r="I1723" s="59">
        <v>0.4</v>
      </c>
      <c r="J1723" s="940"/>
      <c r="K1723" s="59"/>
      <c r="L1723" s="59"/>
    </row>
    <row r="1724" spans="1:12" ht="16.5" customHeight="1">
      <c r="A1724" s="57" t="s">
        <v>101</v>
      </c>
      <c r="B1724" s="57" t="s">
        <v>200</v>
      </c>
      <c r="C1724" s="57">
        <v>2023</v>
      </c>
      <c r="D1724" s="58">
        <f>MATCH(B1724,{"GENNAIO","FEBBRAIO","MARZO","APRILE","MAGGIO","GIUGNO","LUGLIO","AGOSTO","SETTEMBRE","OTTOBRE","NOVEMBRE","DICEMBRE"},0)</f>
        <v>11</v>
      </c>
      <c r="E1724" s="57" t="str">
        <f t="shared" si="1740"/>
        <v>NOVEMBRE 2023</v>
      </c>
      <c r="F1724" s="57" t="str">
        <f t="shared" si="1741"/>
        <v>11 NOVEMBRE 2023</v>
      </c>
      <c r="G1724" s="1309" t="s">
        <v>91</v>
      </c>
      <c r="H1724" s="1309" t="str">
        <f>VLOOKUP(G1724,CATEGORIE!$H$3:$I$104,2,FALSE)</f>
        <v>COSTO SOPRAVVIVENZA</v>
      </c>
      <c r="I1724" s="59">
        <v>0.4</v>
      </c>
      <c r="J1724" s="940"/>
      <c r="K1724" s="59"/>
      <c r="L1724" s="59"/>
    </row>
    <row r="1725" spans="1:12" ht="16.5" customHeight="1">
      <c r="A1725" s="57" t="s">
        <v>101</v>
      </c>
      <c r="B1725" s="57" t="s">
        <v>200</v>
      </c>
      <c r="C1725" s="57">
        <v>2023</v>
      </c>
      <c r="D1725" s="58">
        <f>MATCH(B1725,{"GENNAIO","FEBBRAIO","MARZO","APRILE","MAGGIO","GIUGNO","LUGLIO","AGOSTO","SETTEMBRE","OTTOBRE","NOVEMBRE","DICEMBRE"},0)</f>
        <v>11</v>
      </c>
      <c r="E1725" s="57" t="str">
        <f t="shared" si="1740"/>
        <v>NOVEMBRE 2023</v>
      </c>
      <c r="F1725" s="57" t="str">
        <f t="shared" si="1741"/>
        <v>11 NOVEMBRE 2023</v>
      </c>
      <c r="G1725" s="1309" t="s">
        <v>91</v>
      </c>
      <c r="H1725" s="1309" t="str">
        <f>VLOOKUP(G1725,CATEGORIE!$H$3:$I$104,2,FALSE)</f>
        <v>COSTO SOPRAVVIVENZA</v>
      </c>
      <c r="I1725" s="59">
        <v>0.4</v>
      </c>
      <c r="J1725" s="940"/>
      <c r="K1725" s="59"/>
      <c r="L1725" s="59"/>
    </row>
    <row r="1726" spans="1:12" ht="18.600000000000001" customHeight="1">
      <c r="A1726" s="57" t="s">
        <v>101</v>
      </c>
      <c r="B1726" s="57" t="s">
        <v>200</v>
      </c>
      <c r="C1726" s="57">
        <v>2023</v>
      </c>
      <c r="D1726" s="58">
        <f>MATCH(B1726,{"GENNAIO","FEBBRAIO","MARZO","APRILE","MAGGIO","GIUGNO","LUGLIO","AGOSTO","SETTEMBRE","OTTOBRE","NOVEMBRE","DICEMBRE"},0)</f>
        <v>11</v>
      </c>
      <c r="E1726" s="57" t="str">
        <f t="shared" si="1740"/>
        <v>NOVEMBRE 2023</v>
      </c>
      <c r="F1726" s="57" t="str">
        <f t="shared" si="1741"/>
        <v>11 NOVEMBRE 2023</v>
      </c>
      <c r="G1726" s="1309" t="s">
        <v>91</v>
      </c>
      <c r="H1726" s="1309" t="str">
        <f>VLOOKUP(G1726,CATEGORIE!$H$3:$I$104,2,FALSE)</f>
        <v>COSTO SOPRAVVIVENZA</v>
      </c>
      <c r="I1726" s="59">
        <v>0.4</v>
      </c>
      <c r="J1726" s="940"/>
      <c r="K1726" s="59"/>
      <c r="L1726" s="59"/>
    </row>
    <row r="1727" spans="1:12" ht="16.5" customHeight="1">
      <c r="A1727" s="57" t="s">
        <v>101</v>
      </c>
      <c r="B1727" s="57" t="s">
        <v>200</v>
      </c>
      <c r="C1727" s="57">
        <v>2023</v>
      </c>
      <c r="D1727" s="58">
        <f>MATCH(B1727,{"GENNAIO","FEBBRAIO","MARZO","APRILE","MAGGIO","GIUGNO","LUGLIO","AGOSTO","SETTEMBRE","OTTOBRE","NOVEMBRE","DICEMBRE"},0)</f>
        <v>11</v>
      </c>
      <c r="E1727" s="57" t="str">
        <f t="shared" si="1740"/>
        <v>NOVEMBRE 2023</v>
      </c>
      <c r="F1727" s="57" t="str">
        <f t="shared" si="1741"/>
        <v>11 NOVEMBRE 2023</v>
      </c>
      <c r="G1727" s="1309" t="s">
        <v>91</v>
      </c>
      <c r="H1727" s="1309" t="str">
        <f>VLOOKUP(G1727,CATEGORIE!$H$3:$I$104,2,FALSE)</f>
        <v>COSTO SOPRAVVIVENZA</v>
      </c>
      <c r="I1727" s="59">
        <v>0.4</v>
      </c>
      <c r="J1727" s="940"/>
      <c r="K1727" s="59"/>
      <c r="L1727" s="59"/>
    </row>
    <row r="1728" spans="1:12" ht="16.5" customHeight="1">
      <c r="A1728" s="57" t="s">
        <v>101</v>
      </c>
      <c r="B1728" s="57" t="s">
        <v>200</v>
      </c>
      <c r="C1728" s="57">
        <v>2023</v>
      </c>
      <c r="D1728" s="58">
        <f>MATCH(B1728,{"GENNAIO","FEBBRAIO","MARZO","APRILE","MAGGIO","GIUGNO","LUGLIO","AGOSTO","SETTEMBRE","OTTOBRE","NOVEMBRE","DICEMBRE"},0)</f>
        <v>11</v>
      </c>
      <c r="E1728" s="57" t="str">
        <f t="shared" si="1740"/>
        <v>NOVEMBRE 2023</v>
      </c>
      <c r="F1728" s="57" t="str">
        <f t="shared" si="1741"/>
        <v>11 NOVEMBRE 2023</v>
      </c>
      <c r="G1728" s="1309" t="s">
        <v>91</v>
      </c>
      <c r="H1728" s="1309" t="str">
        <f>VLOOKUP(G1728,CATEGORIE!$H$3:$I$104,2,FALSE)</f>
        <v>COSTO SOPRAVVIVENZA</v>
      </c>
      <c r="I1728" s="59">
        <v>0.4</v>
      </c>
      <c r="J1728" s="940"/>
      <c r="K1728" s="59"/>
      <c r="L1728" s="59"/>
    </row>
    <row r="1729" spans="1:12" ht="16.5" customHeight="1">
      <c r="A1729" s="57" t="s">
        <v>135</v>
      </c>
      <c r="B1729" s="57" t="s">
        <v>200</v>
      </c>
      <c r="C1729" s="57">
        <v>2023</v>
      </c>
      <c r="D1729" s="58">
        <f>MATCH(B1729,{"GENNAIO","FEBBRAIO","MARZO","APRILE","MAGGIO","GIUGNO","LUGLIO","AGOSTO","SETTEMBRE","OTTOBRE","NOVEMBRE","DICEMBRE"},0)</f>
        <v>11</v>
      </c>
      <c r="E1729" s="57" t="str">
        <f t="shared" si="1740"/>
        <v>NOVEMBRE 2023</v>
      </c>
      <c r="F1729" s="57" t="str">
        <f t="shared" si="1741"/>
        <v>11 NOVEMBRE 2023</v>
      </c>
      <c r="G1729" s="1309" t="s">
        <v>132</v>
      </c>
      <c r="H1729" s="1309" t="str">
        <f>VLOOKUP(G1729,CATEGORIE!$H$3:$I$104,2,FALSE)</f>
        <v>COSTO CASA</v>
      </c>
      <c r="I1729" s="59">
        <v>4.3899999999999997</v>
      </c>
      <c r="J1729" s="940"/>
      <c r="K1729" s="59"/>
      <c r="L1729" s="59"/>
    </row>
    <row r="1730" spans="1:12" ht="16.5" customHeight="1">
      <c r="A1730" s="57" t="s">
        <v>101</v>
      </c>
      <c r="B1730" s="57" t="s">
        <v>200</v>
      </c>
      <c r="C1730" s="57">
        <v>2023</v>
      </c>
      <c r="D1730" s="58">
        <f>MATCH(B1730,{"GENNAIO","FEBBRAIO","MARZO","APRILE","MAGGIO","GIUGNO","LUGLIO","AGOSTO","SETTEMBRE","OTTOBRE","NOVEMBRE","DICEMBRE"},0)</f>
        <v>11</v>
      </c>
      <c r="E1730" s="57" t="str">
        <f t="shared" si="1740"/>
        <v>NOVEMBRE 2023</v>
      </c>
      <c r="F1730" s="57" t="str">
        <f t="shared" si="1741"/>
        <v>11 NOVEMBRE 2023</v>
      </c>
      <c r="G1730" s="1309" t="s">
        <v>91</v>
      </c>
      <c r="H1730" s="1309" t="str">
        <f>VLOOKUP(G1730,CATEGORIE!$H$3:$I$104,2,FALSE)</f>
        <v>COSTO SOPRAVVIVENZA</v>
      </c>
      <c r="I1730" s="59">
        <v>0.4</v>
      </c>
      <c r="J1730" s="940"/>
      <c r="K1730" s="59"/>
      <c r="L1730" s="59"/>
    </row>
    <row r="1731" spans="1:12" ht="16.5" customHeight="1">
      <c r="A1731" s="57" t="s">
        <v>101</v>
      </c>
      <c r="B1731" s="57" t="s">
        <v>200</v>
      </c>
      <c r="C1731" s="57">
        <v>2023</v>
      </c>
      <c r="D1731" s="58">
        <f>MATCH(B1731,{"GENNAIO","FEBBRAIO","MARZO","APRILE","MAGGIO","GIUGNO","LUGLIO","AGOSTO","SETTEMBRE","OTTOBRE","NOVEMBRE","DICEMBRE"},0)</f>
        <v>11</v>
      </c>
      <c r="E1731" s="57" t="str">
        <f t="shared" si="1740"/>
        <v>NOVEMBRE 2023</v>
      </c>
      <c r="F1731" s="57" t="str">
        <f t="shared" si="1741"/>
        <v>11 NOVEMBRE 2023</v>
      </c>
      <c r="G1731" s="1309" t="s">
        <v>91</v>
      </c>
      <c r="H1731" s="1309" t="str">
        <f>VLOOKUP(G1731,CATEGORIE!$H$3:$I$104,2,FALSE)</f>
        <v>COSTO SOPRAVVIVENZA</v>
      </c>
      <c r="I1731" s="59">
        <v>0.4</v>
      </c>
      <c r="J1731" s="940"/>
      <c r="K1731" s="59"/>
      <c r="L1731" s="59"/>
    </row>
    <row r="1732" spans="1:12">
      <c r="A1732" s="57" t="s">
        <v>101</v>
      </c>
      <c r="B1732" s="57" t="s">
        <v>200</v>
      </c>
      <c r="C1732" s="57">
        <v>2023</v>
      </c>
      <c r="D1732" s="58">
        <f>MATCH(B1732,{"GENNAIO","FEBBRAIO","MARZO","APRILE","MAGGIO","GIUGNO","LUGLIO","AGOSTO","SETTEMBRE","OTTOBRE","NOVEMBRE","DICEMBRE"},0)</f>
        <v>11</v>
      </c>
      <c r="E1732" s="57" t="str">
        <f t="shared" si="1740"/>
        <v>NOVEMBRE 2023</v>
      </c>
      <c r="F1732" s="57" t="str">
        <f t="shared" si="1741"/>
        <v>11 NOVEMBRE 2023</v>
      </c>
      <c r="G1732" s="1309" t="s">
        <v>91</v>
      </c>
      <c r="H1732" s="1309" t="str">
        <f>VLOOKUP(G1732,CATEGORIE!$H$3:$I$104,2,FALSE)</f>
        <v>COSTO SOPRAVVIVENZA</v>
      </c>
      <c r="I1732" s="59">
        <v>0.4</v>
      </c>
      <c r="J1732" s="940"/>
      <c r="K1732" s="59"/>
      <c r="L1732" s="59"/>
    </row>
    <row r="1733" spans="1:12">
      <c r="A1733" s="57" t="s">
        <v>101</v>
      </c>
      <c r="B1733" s="57" t="s">
        <v>200</v>
      </c>
      <c r="C1733" s="57">
        <v>2023</v>
      </c>
      <c r="D1733" s="58">
        <f>MATCH(B1733,{"GENNAIO","FEBBRAIO","MARZO","APRILE","MAGGIO","GIUGNO","LUGLIO","AGOSTO","SETTEMBRE","OTTOBRE","NOVEMBRE","DICEMBRE"},0)</f>
        <v>11</v>
      </c>
      <c r="E1733" s="57" t="str">
        <f t="shared" si="1740"/>
        <v>NOVEMBRE 2023</v>
      </c>
      <c r="F1733" s="57" t="str">
        <f t="shared" si="1741"/>
        <v>11 NOVEMBRE 2023</v>
      </c>
      <c r="G1733" s="1309" t="s">
        <v>91</v>
      </c>
      <c r="H1733" s="1309" t="str">
        <f>VLOOKUP(G1733,CATEGORIE!$H$3:$I$104,2,FALSE)</f>
        <v>COSTO SOPRAVVIVENZA</v>
      </c>
      <c r="I1733" s="59">
        <v>0.4</v>
      </c>
      <c r="J1733" s="940"/>
      <c r="K1733" s="59"/>
      <c r="L1733" s="59"/>
    </row>
    <row r="1734" spans="1:12" ht="18" customHeight="1">
      <c r="A1734" s="57" t="s">
        <v>101</v>
      </c>
      <c r="B1734" s="57" t="s">
        <v>200</v>
      </c>
      <c r="C1734" s="57">
        <v>2023</v>
      </c>
      <c r="D1734" s="58">
        <f>MATCH(B1734,{"GENNAIO","FEBBRAIO","MARZO","APRILE","MAGGIO","GIUGNO","LUGLIO","AGOSTO","SETTEMBRE","OTTOBRE","NOVEMBRE","DICEMBRE"},0)</f>
        <v>11</v>
      </c>
      <c r="E1734" s="57" t="str">
        <f t="shared" si="1740"/>
        <v>NOVEMBRE 2023</v>
      </c>
      <c r="F1734" s="57" t="str">
        <f t="shared" si="1741"/>
        <v>11 NOVEMBRE 2023</v>
      </c>
      <c r="G1734" s="1309" t="s">
        <v>91</v>
      </c>
      <c r="H1734" s="1309" t="str">
        <f>VLOOKUP(G1734,CATEGORIE!$H$3:$I$104,2,FALSE)</f>
        <v>COSTO SOPRAVVIVENZA</v>
      </c>
      <c r="I1734" s="59">
        <v>0.4</v>
      </c>
      <c r="J1734" s="940"/>
      <c r="K1734" s="59"/>
      <c r="L1734" s="59"/>
    </row>
    <row r="1735" spans="1:12" ht="16.5" customHeight="1">
      <c r="A1735" s="57" t="s">
        <v>105</v>
      </c>
      <c r="B1735" s="57" t="s">
        <v>200</v>
      </c>
      <c r="C1735" s="57">
        <v>2023</v>
      </c>
      <c r="D1735" s="58">
        <f>MATCH(B1735,{"GENNAIO","FEBBRAIO","MARZO","APRILE","MAGGIO","GIUGNO","LUGLIO","AGOSTO","SETTEMBRE","OTTOBRE","NOVEMBRE","DICEMBRE"},0)</f>
        <v>11</v>
      </c>
      <c r="E1735" s="57" t="str">
        <f t="shared" si="1740"/>
        <v>NOVEMBRE 2023</v>
      </c>
      <c r="F1735" s="57" t="str">
        <f t="shared" si="1741"/>
        <v>11 NOVEMBRE 2023</v>
      </c>
      <c r="G1735" s="1309" t="s">
        <v>96</v>
      </c>
      <c r="H1735" s="1309" t="str">
        <f>VLOOKUP(G1735,CATEGORIE!$H$3:$I$104,2,FALSE)</f>
        <v>COSTO SOPRAVVIVENZA</v>
      </c>
      <c r="I1735" s="59">
        <v>9.82</v>
      </c>
      <c r="J1735" s="940"/>
      <c r="K1735" s="59"/>
      <c r="L1735" s="59"/>
    </row>
    <row r="1736" spans="1:12" ht="18.75" customHeight="1">
      <c r="A1736" s="57" t="s">
        <v>95</v>
      </c>
      <c r="B1736" s="57" t="s">
        <v>200</v>
      </c>
      <c r="C1736" s="57">
        <v>2023</v>
      </c>
      <c r="D1736" s="58">
        <f>MATCH(B1736,{"GENNAIO","FEBBRAIO","MARZO","APRILE","MAGGIO","GIUGNO","LUGLIO","AGOSTO","SETTEMBRE","OTTOBRE","NOVEMBRE","DICEMBRE"},0)</f>
        <v>11</v>
      </c>
      <c r="E1736" s="57" t="str">
        <f t="shared" si="1740"/>
        <v>NOVEMBRE 2023</v>
      </c>
      <c r="F1736" s="57" t="str">
        <f t="shared" si="1741"/>
        <v>11 NOVEMBRE 2023</v>
      </c>
      <c r="G1736" s="1309" t="s">
        <v>96</v>
      </c>
      <c r="H1736" s="1309" t="str">
        <f>VLOOKUP(G1736,CATEGORIE!$H$3:$I$104,2,FALSE)</f>
        <v>COSTO SOPRAVVIVENZA</v>
      </c>
      <c r="I1736" s="59">
        <v>12.75</v>
      </c>
      <c r="J1736" s="940"/>
      <c r="K1736" s="59"/>
      <c r="L1736" s="59"/>
    </row>
    <row r="1737" spans="1:12" ht="16.5" customHeight="1">
      <c r="A1737" s="57" t="s">
        <v>510</v>
      </c>
      <c r="B1737" s="57" t="s">
        <v>200</v>
      </c>
      <c r="C1737" s="57">
        <v>2023</v>
      </c>
      <c r="D1737" s="58">
        <f>MATCH(B1737,{"GENNAIO","FEBBRAIO","MARZO","APRILE","MAGGIO","GIUGNO","LUGLIO","AGOSTO","SETTEMBRE","OTTOBRE","NOVEMBRE","DICEMBRE"},0)</f>
        <v>11</v>
      </c>
      <c r="E1737" s="57" t="str">
        <f t="shared" si="1740"/>
        <v>NOVEMBRE 2023</v>
      </c>
      <c r="F1737" s="57" t="str">
        <f t="shared" si="1741"/>
        <v>11 NOVEMBRE 2023</v>
      </c>
      <c r="G1737" s="1309" t="s">
        <v>132</v>
      </c>
      <c r="H1737" s="1309" t="str">
        <f>VLOOKUP(G1737,CATEGORIE!$H$3:$I$104,2,FALSE)</f>
        <v>COSTO CASA</v>
      </c>
      <c r="I1737" s="59">
        <v>16</v>
      </c>
      <c r="J1737" s="940"/>
      <c r="K1737" s="59"/>
      <c r="L1737" s="59"/>
    </row>
    <row r="1738" spans="1:12" ht="16.5" customHeight="1">
      <c r="A1738" s="57" t="s">
        <v>101</v>
      </c>
      <c r="B1738" s="57" t="s">
        <v>200</v>
      </c>
      <c r="C1738" s="57">
        <v>2023</v>
      </c>
      <c r="D1738" s="58">
        <f>MATCH(B1738,{"GENNAIO","FEBBRAIO","MARZO","APRILE","MAGGIO","GIUGNO","LUGLIO","AGOSTO","SETTEMBRE","OTTOBRE","NOVEMBRE","DICEMBRE"},0)</f>
        <v>11</v>
      </c>
      <c r="E1738" s="57" t="str">
        <f t="shared" si="1740"/>
        <v>NOVEMBRE 2023</v>
      </c>
      <c r="F1738" s="57" t="str">
        <f t="shared" si="1741"/>
        <v>11 NOVEMBRE 2023</v>
      </c>
      <c r="G1738" s="1309" t="s">
        <v>91</v>
      </c>
      <c r="H1738" s="1309" t="str">
        <f>VLOOKUP(G1738,CATEGORIE!$H$3:$I$104,2,FALSE)</f>
        <v>COSTO SOPRAVVIVENZA</v>
      </c>
      <c r="I1738" s="59">
        <v>0.4</v>
      </c>
      <c r="J1738" s="940"/>
      <c r="K1738" s="59"/>
      <c r="L1738" s="59"/>
    </row>
    <row r="1739" spans="1:12" ht="18" customHeight="1">
      <c r="A1739" s="57" t="s">
        <v>503</v>
      </c>
      <c r="B1739" s="57" t="s">
        <v>200</v>
      </c>
      <c r="C1739" s="57">
        <v>2023</v>
      </c>
      <c r="D1739" s="58">
        <f>MATCH(B1739,{"GENNAIO","FEBBRAIO","MARZO","APRILE","MAGGIO","GIUGNO","LUGLIO","AGOSTO","SETTEMBRE","OTTOBRE","NOVEMBRE","DICEMBRE"},0)</f>
        <v>11</v>
      </c>
      <c r="E1739" s="57" t="str">
        <f t="shared" si="1740"/>
        <v>NOVEMBRE 2023</v>
      </c>
      <c r="F1739" s="57" t="str">
        <f t="shared" si="1741"/>
        <v>11 NOVEMBRE 2023</v>
      </c>
      <c r="G1739" s="1309" t="s">
        <v>385</v>
      </c>
      <c r="H1739" s="1309" t="str">
        <f>VLOOKUP(G1739,CATEGORIE!$H$3:$I$104,2,FALSE)</f>
        <v>COSTO SFIZI</v>
      </c>
      <c r="I1739" s="59">
        <v>1</v>
      </c>
      <c r="J1739" s="940"/>
      <c r="K1739" s="59" t="s">
        <v>112</v>
      </c>
      <c r="L1739" s="59"/>
    </row>
    <row r="1740" spans="1:12" ht="16.5" customHeight="1">
      <c r="A1740" s="57" t="s">
        <v>101</v>
      </c>
      <c r="B1740" s="57" t="s">
        <v>200</v>
      </c>
      <c r="C1740" s="57">
        <v>2023</v>
      </c>
      <c r="D1740" s="58">
        <f>MATCH(B1740,{"GENNAIO","FEBBRAIO","MARZO","APRILE","MAGGIO","GIUGNO","LUGLIO","AGOSTO","SETTEMBRE","OTTOBRE","NOVEMBRE","DICEMBRE"},0)</f>
        <v>11</v>
      </c>
      <c r="E1740" s="57" t="str">
        <f t="shared" si="1740"/>
        <v>NOVEMBRE 2023</v>
      </c>
      <c r="F1740" s="57" t="str">
        <f t="shared" si="1741"/>
        <v>11 NOVEMBRE 2023</v>
      </c>
      <c r="G1740" s="1309" t="s">
        <v>91</v>
      </c>
      <c r="H1740" s="1309" t="str">
        <f>VLOOKUP(G1740,CATEGORIE!$H$3:$I$104,2,FALSE)</f>
        <v>COSTO SOPRAVVIVENZA</v>
      </c>
      <c r="I1740" s="59">
        <v>0.4</v>
      </c>
      <c r="J1740" s="940"/>
      <c r="K1740" s="59"/>
      <c r="L1740" s="59"/>
    </row>
    <row r="1741" spans="1:12" ht="16.5" customHeight="1">
      <c r="A1741" s="57" t="s">
        <v>526</v>
      </c>
      <c r="B1741" s="57" t="s">
        <v>200</v>
      </c>
      <c r="C1741" s="57">
        <v>2023</v>
      </c>
      <c r="D1741" s="58">
        <f>MATCH(B1741,{"GENNAIO","FEBBRAIO","MARZO","APRILE","MAGGIO","GIUGNO","LUGLIO","AGOSTO","SETTEMBRE","OTTOBRE","NOVEMBRE","DICEMBRE"},0)</f>
        <v>11</v>
      </c>
      <c r="E1741" s="57" t="str">
        <f t="shared" si="1740"/>
        <v>NOVEMBRE 2023</v>
      </c>
      <c r="F1741" s="57" t="str">
        <f t="shared" si="1741"/>
        <v>11 NOVEMBRE 2023</v>
      </c>
      <c r="G1741" s="1309" t="s">
        <v>94</v>
      </c>
      <c r="H1741" s="1309" t="str">
        <f>VLOOKUP(G1741,CATEGORIE!$H$3:$I$104,2,FALSE)</f>
        <v>COSTO SVAGHI</v>
      </c>
      <c r="I1741" s="59">
        <v>25</v>
      </c>
      <c r="J1741" s="940"/>
      <c r="K1741" s="59"/>
      <c r="L1741" s="59"/>
    </row>
    <row r="1742" spans="1:12" ht="16.5" customHeight="1">
      <c r="A1742" s="57" t="s">
        <v>527</v>
      </c>
      <c r="B1742" s="57" t="s">
        <v>200</v>
      </c>
      <c r="C1742" s="57">
        <v>2023</v>
      </c>
      <c r="D1742" s="58">
        <f>MATCH(B1742,{"GENNAIO","FEBBRAIO","MARZO","APRILE","MAGGIO","GIUGNO","LUGLIO","AGOSTO","SETTEMBRE","OTTOBRE","NOVEMBRE","DICEMBRE"},0)</f>
        <v>11</v>
      </c>
      <c r="E1742" s="57" t="str">
        <f t="shared" si="1740"/>
        <v>NOVEMBRE 2023</v>
      </c>
      <c r="F1742" s="57" t="str">
        <f t="shared" si="1741"/>
        <v>11 NOVEMBRE 2023</v>
      </c>
      <c r="G1742" s="1309" t="s">
        <v>132</v>
      </c>
      <c r="H1742" s="1309" t="str">
        <f>VLOOKUP(G1742,CATEGORIE!$H$3:$I$104,2,FALSE)</f>
        <v>COSTO CASA</v>
      </c>
      <c r="I1742" s="59">
        <v>30.19</v>
      </c>
      <c r="J1742" s="940"/>
      <c r="K1742" s="59"/>
      <c r="L1742" s="59"/>
    </row>
    <row r="1743" spans="1:12" ht="16.5" customHeight="1">
      <c r="A1743" s="57" t="s">
        <v>101</v>
      </c>
      <c r="B1743" s="57" t="s">
        <v>200</v>
      </c>
      <c r="C1743" s="57">
        <v>2023</v>
      </c>
      <c r="D1743" s="58">
        <f>MATCH(B1743,{"GENNAIO","FEBBRAIO","MARZO","APRILE","MAGGIO","GIUGNO","LUGLIO","AGOSTO","SETTEMBRE","OTTOBRE","NOVEMBRE","DICEMBRE"},0)</f>
        <v>11</v>
      </c>
      <c r="E1743" s="57" t="str">
        <f t="shared" si="1740"/>
        <v>NOVEMBRE 2023</v>
      </c>
      <c r="F1743" s="57" t="str">
        <f t="shared" si="1741"/>
        <v>11 NOVEMBRE 2023</v>
      </c>
      <c r="G1743" s="1309" t="s">
        <v>91</v>
      </c>
      <c r="H1743" s="1309" t="str">
        <f>VLOOKUP(G1743,CATEGORIE!$H$3:$I$104,2,FALSE)</f>
        <v>COSTO SOPRAVVIVENZA</v>
      </c>
      <c r="I1743" s="59">
        <v>0.4</v>
      </c>
      <c r="J1743" s="940"/>
      <c r="K1743" s="59"/>
      <c r="L1743" s="59"/>
    </row>
    <row r="1744" spans="1:12" ht="16.5" customHeight="1">
      <c r="A1744" s="57" t="s">
        <v>101</v>
      </c>
      <c r="B1744" s="57" t="s">
        <v>200</v>
      </c>
      <c r="C1744" s="57">
        <v>2023</v>
      </c>
      <c r="D1744" s="58">
        <f>MATCH(B1744,{"GENNAIO","FEBBRAIO","MARZO","APRILE","MAGGIO","GIUGNO","LUGLIO","AGOSTO","SETTEMBRE","OTTOBRE","NOVEMBRE","DICEMBRE"},0)</f>
        <v>11</v>
      </c>
      <c r="E1744" s="57" t="str">
        <f t="shared" si="1740"/>
        <v>NOVEMBRE 2023</v>
      </c>
      <c r="F1744" s="57" t="str">
        <f t="shared" si="1741"/>
        <v>11 NOVEMBRE 2023</v>
      </c>
      <c r="G1744" s="1309" t="s">
        <v>91</v>
      </c>
      <c r="H1744" s="1309" t="str">
        <f>VLOOKUP(G1744,CATEGORIE!$H$3:$I$104,2,FALSE)</f>
        <v>COSTO SOPRAVVIVENZA</v>
      </c>
      <c r="I1744" s="59">
        <v>0.4</v>
      </c>
      <c r="J1744" s="940"/>
      <c r="K1744" s="59"/>
      <c r="L1744" s="59"/>
    </row>
    <row r="1745" spans="1:12">
      <c r="A1745" s="57" t="s">
        <v>101</v>
      </c>
      <c r="B1745" s="57" t="s">
        <v>200</v>
      </c>
      <c r="C1745" s="57">
        <v>2023</v>
      </c>
      <c r="D1745" s="58">
        <f>MATCH(B1745,{"GENNAIO","FEBBRAIO","MARZO","APRILE","MAGGIO","GIUGNO","LUGLIO","AGOSTO","SETTEMBRE","OTTOBRE","NOVEMBRE","DICEMBRE"},0)</f>
        <v>11</v>
      </c>
      <c r="E1745" s="57" t="str">
        <f t="shared" si="1740"/>
        <v>NOVEMBRE 2023</v>
      </c>
      <c r="F1745" s="57" t="str">
        <f t="shared" si="1741"/>
        <v>11 NOVEMBRE 2023</v>
      </c>
      <c r="G1745" s="1309" t="s">
        <v>91</v>
      </c>
      <c r="H1745" s="1309" t="str">
        <f>VLOOKUP(G1745,CATEGORIE!$H$3:$I$104,2,FALSE)</f>
        <v>COSTO SOPRAVVIVENZA</v>
      </c>
      <c r="I1745" s="59">
        <v>0.4</v>
      </c>
      <c r="J1745" s="940"/>
      <c r="K1745" s="59"/>
      <c r="L1745" s="59"/>
    </row>
    <row r="1746" spans="1:12" ht="18" customHeight="1">
      <c r="A1746" s="57" t="s">
        <v>101</v>
      </c>
      <c r="B1746" s="57" t="s">
        <v>200</v>
      </c>
      <c r="C1746" s="57">
        <v>2023</v>
      </c>
      <c r="D1746" s="58">
        <f>MATCH(B1746,{"GENNAIO","FEBBRAIO","MARZO","APRILE","MAGGIO","GIUGNO","LUGLIO","AGOSTO","SETTEMBRE","OTTOBRE","NOVEMBRE","DICEMBRE"},0)</f>
        <v>11</v>
      </c>
      <c r="E1746" s="57" t="str">
        <f t="shared" si="1740"/>
        <v>NOVEMBRE 2023</v>
      </c>
      <c r="F1746" s="57" t="str">
        <f t="shared" si="1741"/>
        <v>11 NOVEMBRE 2023</v>
      </c>
      <c r="G1746" s="1309" t="s">
        <v>91</v>
      </c>
      <c r="H1746" s="1309" t="str">
        <f>VLOOKUP(G1746,CATEGORIE!$H$3:$I$104,2,FALSE)</f>
        <v>COSTO SOPRAVVIVENZA</v>
      </c>
      <c r="I1746" s="59">
        <v>0.4</v>
      </c>
      <c r="J1746" s="940"/>
      <c r="K1746" s="59"/>
      <c r="L1746" s="59"/>
    </row>
    <row r="1747" spans="1:12" ht="16.5" customHeight="1">
      <c r="A1747" s="57" t="s">
        <v>101</v>
      </c>
      <c r="B1747" s="57" t="s">
        <v>200</v>
      </c>
      <c r="C1747" s="57">
        <v>2023</v>
      </c>
      <c r="D1747" s="58">
        <f>MATCH(B1747,{"GENNAIO","FEBBRAIO","MARZO","APRILE","MAGGIO","GIUGNO","LUGLIO","AGOSTO","SETTEMBRE","OTTOBRE","NOVEMBRE","DICEMBRE"},0)</f>
        <v>11</v>
      </c>
      <c r="E1747" s="57" t="str">
        <f t="shared" si="1740"/>
        <v>NOVEMBRE 2023</v>
      </c>
      <c r="F1747" s="57" t="str">
        <f t="shared" si="1741"/>
        <v>11 NOVEMBRE 2023</v>
      </c>
      <c r="G1747" s="1309" t="s">
        <v>91</v>
      </c>
      <c r="H1747" s="1309" t="str">
        <f>VLOOKUP(G1747,CATEGORIE!$H$3:$I$104,2,FALSE)</f>
        <v>COSTO SOPRAVVIVENZA</v>
      </c>
      <c r="I1747" s="59">
        <v>0.4</v>
      </c>
      <c r="J1747" s="940"/>
      <c r="K1747" s="59"/>
      <c r="L1747" s="59"/>
    </row>
    <row r="1748" spans="1:12" ht="18.600000000000001" customHeight="1">
      <c r="A1748" s="57" t="s">
        <v>105</v>
      </c>
      <c r="B1748" s="57" t="s">
        <v>200</v>
      </c>
      <c r="C1748" s="57">
        <v>2023</v>
      </c>
      <c r="D1748" s="58">
        <f>MATCH(B1748,{"GENNAIO","FEBBRAIO","MARZO","APRILE","MAGGIO","GIUGNO","LUGLIO","AGOSTO","SETTEMBRE","OTTOBRE","NOVEMBRE","DICEMBRE"},0)</f>
        <v>11</v>
      </c>
      <c r="E1748" s="57" t="str">
        <f t="shared" si="1740"/>
        <v>NOVEMBRE 2023</v>
      </c>
      <c r="F1748" s="57" t="str">
        <f t="shared" si="1741"/>
        <v>11 NOVEMBRE 2023</v>
      </c>
      <c r="G1748" s="1309" t="s">
        <v>96</v>
      </c>
      <c r="H1748" s="1309" t="str">
        <f>VLOOKUP(G1748,CATEGORIE!$H$3:$I$104,2,FALSE)</f>
        <v>COSTO SOPRAVVIVENZA</v>
      </c>
      <c r="I1748" s="59">
        <v>39.770000000000003</v>
      </c>
      <c r="J1748" s="940"/>
      <c r="K1748" s="59"/>
      <c r="L1748" s="59"/>
    </row>
    <row r="1749" spans="1:12" ht="18" customHeight="1">
      <c r="A1749" s="57" t="s">
        <v>509</v>
      </c>
      <c r="B1749" s="57" t="s">
        <v>200</v>
      </c>
      <c r="C1749" s="57">
        <v>2023</v>
      </c>
      <c r="D1749" s="58">
        <f>MATCH(B1749,{"GENNAIO","FEBBRAIO","MARZO","APRILE","MAGGIO","GIUGNO","LUGLIO","AGOSTO","SETTEMBRE","OTTOBRE","NOVEMBRE","DICEMBRE"},0)</f>
        <v>11</v>
      </c>
      <c r="E1749" s="57" t="str">
        <f t="shared" si="1740"/>
        <v>NOVEMBRE 2023</v>
      </c>
      <c r="F1749" s="57" t="str">
        <f t="shared" si="1741"/>
        <v>11 NOVEMBRE 2023</v>
      </c>
      <c r="G1749" s="1309" t="s">
        <v>132</v>
      </c>
      <c r="H1749" s="1309" t="str">
        <f>VLOOKUP(G1749,CATEGORIE!$H$3:$I$104,2,FALSE)</f>
        <v>COSTO CASA</v>
      </c>
      <c r="I1749" s="59">
        <v>43.27</v>
      </c>
      <c r="J1749" s="940" t="s">
        <v>138</v>
      </c>
      <c r="K1749" s="59" t="s">
        <v>112</v>
      </c>
      <c r="L1749" s="59"/>
    </row>
    <row r="1750" spans="1:12" ht="18" customHeight="1">
      <c r="A1750" s="57" t="s">
        <v>101</v>
      </c>
      <c r="B1750" s="57" t="s">
        <v>200</v>
      </c>
      <c r="C1750" s="57">
        <v>2023</v>
      </c>
      <c r="D1750" s="58">
        <f>MATCH(B1750,{"GENNAIO","FEBBRAIO","MARZO","APRILE","MAGGIO","GIUGNO","LUGLIO","AGOSTO","SETTEMBRE","OTTOBRE","NOVEMBRE","DICEMBRE"},0)</f>
        <v>11</v>
      </c>
      <c r="E1750" s="57" t="str">
        <f t="shared" si="1740"/>
        <v>NOVEMBRE 2023</v>
      </c>
      <c r="F1750" s="57" t="str">
        <f t="shared" si="1741"/>
        <v>11 NOVEMBRE 2023</v>
      </c>
      <c r="G1750" s="1309" t="s">
        <v>91</v>
      </c>
      <c r="H1750" s="1309" t="str">
        <f>VLOOKUP(G1750,CATEGORIE!$H$3:$I$104,2,FALSE)</f>
        <v>COSTO SOPRAVVIVENZA</v>
      </c>
      <c r="I1750" s="59">
        <v>0.4</v>
      </c>
      <c r="J1750" s="940"/>
      <c r="K1750" s="59"/>
      <c r="L1750" s="59"/>
    </row>
    <row r="1751" spans="1:12" ht="16.5" customHeight="1">
      <c r="A1751" s="57" t="s">
        <v>135</v>
      </c>
      <c r="B1751" s="57" t="s">
        <v>200</v>
      </c>
      <c r="C1751" s="57">
        <v>2023</v>
      </c>
      <c r="D1751" s="58">
        <f>MATCH(B1751,{"GENNAIO","FEBBRAIO","MARZO","APRILE","MAGGIO","GIUGNO","LUGLIO","AGOSTO","SETTEMBRE","OTTOBRE","NOVEMBRE","DICEMBRE"},0)</f>
        <v>11</v>
      </c>
      <c r="E1751" s="57" t="str">
        <f t="shared" si="1740"/>
        <v>NOVEMBRE 2023</v>
      </c>
      <c r="F1751" s="57" t="str">
        <f t="shared" si="1741"/>
        <v>11 NOVEMBRE 2023</v>
      </c>
      <c r="G1751" s="1309" t="s">
        <v>132</v>
      </c>
      <c r="H1751" s="1309" t="str">
        <f>VLOOKUP(G1751,CATEGORIE!$H$3:$I$104,2,FALSE)</f>
        <v>COSTO CASA</v>
      </c>
      <c r="I1751" s="59">
        <v>17.29</v>
      </c>
      <c r="J1751" s="940"/>
      <c r="K1751" s="59"/>
      <c r="L1751" s="59"/>
    </row>
    <row r="1752" spans="1:12" ht="16.5" customHeight="1">
      <c r="A1752" s="57" t="s">
        <v>347</v>
      </c>
      <c r="B1752" s="57" t="s">
        <v>200</v>
      </c>
      <c r="C1752" s="57">
        <v>2023</v>
      </c>
      <c r="D1752" s="58">
        <f>MATCH(B1752,{"GENNAIO","FEBBRAIO","MARZO","APRILE","MAGGIO","GIUGNO","LUGLIO","AGOSTO","SETTEMBRE","OTTOBRE","NOVEMBRE","DICEMBRE"},0)</f>
        <v>11</v>
      </c>
      <c r="E1752" s="57" t="str">
        <f t="shared" si="1740"/>
        <v>NOVEMBRE 2023</v>
      </c>
      <c r="F1752" s="57" t="str">
        <f t="shared" si="1741"/>
        <v>11 NOVEMBRE 2023</v>
      </c>
      <c r="G1752" s="1309" t="s">
        <v>108</v>
      </c>
      <c r="H1752" s="1309" t="str">
        <f>VLOOKUP(G1752,CATEGORIE!$H$3:$I$104,2,FALSE)</f>
        <v>COSTO SFIZI</v>
      </c>
      <c r="I1752" s="59">
        <v>30.32</v>
      </c>
      <c r="J1752" s="940" t="s">
        <v>215</v>
      </c>
      <c r="K1752" s="59" t="s">
        <v>112</v>
      </c>
      <c r="L1752" s="59"/>
    </row>
    <row r="1753" spans="1:12">
      <c r="A1753" s="57" t="s">
        <v>229</v>
      </c>
      <c r="B1753" s="57" t="s">
        <v>200</v>
      </c>
      <c r="C1753" s="57">
        <v>2023</v>
      </c>
      <c r="D1753" s="58">
        <f>MATCH(B1753,{"GENNAIO","FEBBRAIO","MARZO","APRILE","MAGGIO","GIUGNO","LUGLIO","AGOSTO","SETTEMBRE","OTTOBRE","NOVEMBRE","DICEMBRE"},0)</f>
        <v>11</v>
      </c>
      <c r="E1753" s="57" t="str">
        <f t="shared" si="1740"/>
        <v>NOVEMBRE 2023</v>
      </c>
      <c r="F1753" s="57" t="str">
        <f t="shared" si="1741"/>
        <v>11 NOVEMBRE 2023</v>
      </c>
      <c r="G1753" s="1309" t="s">
        <v>163</v>
      </c>
      <c r="H1753" s="1309" t="str">
        <f>VLOOKUP(G1753,CATEGORIE!$H$3:$I$104,2,FALSE)</f>
        <v>COSTO SVAGHI</v>
      </c>
      <c r="I1753" s="59">
        <v>34.78</v>
      </c>
      <c r="J1753" s="940" t="s">
        <v>215</v>
      </c>
      <c r="K1753" s="59" t="s">
        <v>112</v>
      </c>
      <c r="L1753" s="59"/>
    </row>
    <row r="1754" spans="1:12" ht="16.5" customHeight="1">
      <c r="A1754" s="57" t="s">
        <v>528</v>
      </c>
      <c r="B1754" s="57" t="s">
        <v>200</v>
      </c>
      <c r="C1754" s="57">
        <v>2023</v>
      </c>
      <c r="D1754" s="58">
        <f>MATCH(B1754,{"GENNAIO","FEBBRAIO","MARZO","APRILE","MAGGIO","GIUGNO","LUGLIO","AGOSTO","SETTEMBRE","OTTOBRE","NOVEMBRE","DICEMBRE"},0)</f>
        <v>11</v>
      </c>
      <c r="E1754" s="57" t="str">
        <f t="shared" si="1740"/>
        <v>NOVEMBRE 2023</v>
      </c>
      <c r="F1754" s="57" t="str">
        <f t="shared" si="1741"/>
        <v>11 NOVEMBRE 2023</v>
      </c>
      <c r="G1754" s="1309" t="s">
        <v>94</v>
      </c>
      <c r="H1754" s="1309" t="str">
        <f>VLOOKUP(G1754,CATEGORIE!$H$3:$I$104,2,FALSE)</f>
        <v>COSTO SVAGHI</v>
      </c>
      <c r="I1754" s="59">
        <v>29</v>
      </c>
      <c r="J1754" s="940"/>
      <c r="K1754" s="59"/>
      <c r="L1754" s="59"/>
    </row>
    <row r="1755" spans="1:12" ht="16.5" customHeight="1">
      <c r="A1755" s="57" t="s">
        <v>130</v>
      </c>
      <c r="B1755" s="57" t="s">
        <v>200</v>
      </c>
      <c r="C1755" s="57">
        <v>2023</v>
      </c>
      <c r="D1755" s="58">
        <f>MATCH(B1755,{"GENNAIO","FEBBRAIO","MARZO","APRILE","MAGGIO","GIUGNO","LUGLIO","AGOSTO","SETTEMBRE","OTTOBRE","NOVEMBRE","DICEMBRE"},0)</f>
        <v>11</v>
      </c>
      <c r="E1755" s="57" t="str">
        <f t="shared" si="1740"/>
        <v>NOVEMBRE 2023</v>
      </c>
      <c r="F1755" s="57" t="str">
        <f t="shared" si="1741"/>
        <v>11 NOVEMBRE 2023</v>
      </c>
      <c r="G1755" s="1309" t="s">
        <v>94</v>
      </c>
      <c r="H1755" s="1309" t="str">
        <f>VLOOKUP(G1755,CATEGORIE!$H$3:$I$104,2,FALSE)</f>
        <v>COSTO SVAGHI</v>
      </c>
      <c r="I1755" s="59">
        <v>22</v>
      </c>
      <c r="J1755" s="940"/>
      <c r="K1755" s="59"/>
      <c r="L1755" s="59"/>
    </row>
    <row r="1756" spans="1:12" ht="16.5" customHeight="1">
      <c r="A1756" s="57" t="s">
        <v>105</v>
      </c>
      <c r="B1756" s="57" t="s">
        <v>200</v>
      </c>
      <c r="C1756" s="57">
        <v>2023</v>
      </c>
      <c r="D1756" s="58">
        <f>MATCH(B1756,{"GENNAIO","FEBBRAIO","MARZO","APRILE","MAGGIO","GIUGNO","LUGLIO","AGOSTO","SETTEMBRE","OTTOBRE","NOVEMBRE","DICEMBRE"},0)</f>
        <v>11</v>
      </c>
      <c r="E1756" s="57" t="str">
        <f t="shared" si="1740"/>
        <v>NOVEMBRE 2023</v>
      </c>
      <c r="F1756" s="57" t="str">
        <f t="shared" si="1741"/>
        <v>11 NOVEMBRE 2023</v>
      </c>
      <c r="G1756" s="1309" t="s">
        <v>96</v>
      </c>
      <c r="H1756" s="1309" t="str">
        <f>VLOOKUP(G1756,CATEGORIE!$H$3:$I$104,2,FALSE)</f>
        <v>COSTO SOPRAVVIVENZA</v>
      </c>
      <c r="I1756" s="59">
        <v>8.14</v>
      </c>
      <c r="J1756" s="940"/>
      <c r="K1756" s="59"/>
      <c r="L1756" s="59"/>
    </row>
    <row r="1757" spans="1:12" ht="16.5" customHeight="1">
      <c r="A1757" s="57" t="s">
        <v>92</v>
      </c>
      <c r="B1757" s="57" t="s">
        <v>200</v>
      </c>
      <c r="C1757" s="57">
        <v>2023</v>
      </c>
      <c r="D1757" s="58">
        <f>MATCH(B1757,{"GENNAIO","FEBBRAIO","MARZO","APRILE","MAGGIO","GIUGNO","LUGLIO","AGOSTO","SETTEMBRE","OTTOBRE","NOVEMBRE","DICEMBRE"},0)</f>
        <v>11</v>
      </c>
      <c r="E1757" s="57" t="str">
        <f t="shared" si="1740"/>
        <v>NOVEMBRE 2023</v>
      </c>
      <c r="F1757" s="57" t="str">
        <f t="shared" si="1741"/>
        <v>11 NOVEMBRE 2023</v>
      </c>
      <c r="G1757" s="1309" t="s">
        <v>93</v>
      </c>
      <c r="H1757" s="1309" t="str">
        <f>VLOOKUP(G1757,CATEGORIE!$H$3:$I$104,2,FALSE)</f>
        <v>COSTO SOPRAVVIVENZA</v>
      </c>
      <c r="I1757" s="59">
        <v>5</v>
      </c>
      <c r="J1757" s="940"/>
      <c r="K1757" s="59"/>
      <c r="L1757" s="59"/>
    </row>
    <row r="1758" spans="1:12" ht="16.5" customHeight="1">
      <c r="A1758" s="57" t="s">
        <v>92</v>
      </c>
      <c r="B1758" s="57" t="s">
        <v>217</v>
      </c>
      <c r="C1758" s="57">
        <v>2023</v>
      </c>
      <c r="D1758" s="58">
        <f>MATCH(B1758,{"GENNAIO","FEBBRAIO","MARZO","APRILE","MAGGIO","GIUGNO","LUGLIO","AGOSTO","SETTEMBRE","OTTOBRE","NOVEMBRE","DICEMBRE"},0)</f>
        <v>10</v>
      </c>
      <c r="E1758" s="57" t="str">
        <f t="shared" si="1740"/>
        <v>OTTOBRE 2023</v>
      </c>
      <c r="F1758" s="57" t="str">
        <f t="shared" si="1741"/>
        <v>10 OTTOBRE 2023</v>
      </c>
      <c r="G1758" s="1309" t="s">
        <v>94</v>
      </c>
      <c r="H1758" s="1309" t="str">
        <f>VLOOKUP(G1758,CATEGORIE!$H$3:$I$104,2,FALSE)</f>
        <v>COSTO SVAGHI</v>
      </c>
      <c r="I1758" s="59">
        <v>2.6</v>
      </c>
      <c r="J1758" s="940"/>
      <c r="K1758" s="59"/>
      <c r="L1758" s="59"/>
    </row>
    <row r="1759" spans="1:12" ht="16.5" customHeight="1">
      <c r="A1759" s="57" t="s">
        <v>101</v>
      </c>
      <c r="B1759" s="57" t="s">
        <v>217</v>
      </c>
      <c r="C1759" s="57">
        <v>2023</v>
      </c>
      <c r="D1759" s="58">
        <f>MATCH(B1759,{"GENNAIO","FEBBRAIO","MARZO","APRILE","MAGGIO","GIUGNO","LUGLIO","AGOSTO","SETTEMBRE","OTTOBRE","NOVEMBRE","DICEMBRE"},0)</f>
        <v>10</v>
      </c>
      <c r="E1759" s="57" t="str">
        <f t="shared" si="1740"/>
        <v>OTTOBRE 2023</v>
      </c>
      <c r="F1759" s="57" t="str">
        <f t="shared" si="1741"/>
        <v>10 OTTOBRE 2023</v>
      </c>
      <c r="G1759" s="1309" t="s">
        <v>91</v>
      </c>
      <c r="H1759" s="1309" t="str">
        <f>VLOOKUP(G1759,CATEGORIE!$H$3:$I$104,2,FALSE)</f>
        <v>COSTO SOPRAVVIVENZA</v>
      </c>
      <c r="I1759" s="59">
        <v>0.4</v>
      </c>
      <c r="J1759" s="940"/>
      <c r="K1759" s="59"/>
      <c r="L1759" s="59"/>
    </row>
    <row r="1760" spans="1:12">
      <c r="A1760" s="57" t="s">
        <v>101</v>
      </c>
      <c r="B1760" s="57" t="s">
        <v>217</v>
      </c>
      <c r="C1760" s="57">
        <v>2023</v>
      </c>
      <c r="D1760" s="58">
        <f>MATCH(B1760,{"GENNAIO","FEBBRAIO","MARZO","APRILE","MAGGIO","GIUGNO","LUGLIO","AGOSTO","SETTEMBRE","OTTOBRE","NOVEMBRE","DICEMBRE"},0)</f>
        <v>10</v>
      </c>
      <c r="E1760" s="57" t="str">
        <f t="shared" si="1740"/>
        <v>OTTOBRE 2023</v>
      </c>
      <c r="F1760" s="57" t="str">
        <f t="shared" si="1741"/>
        <v>10 OTTOBRE 2023</v>
      </c>
      <c r="G1760" s="1309" t="s">
        <v>91</v>
      </c>
      <c r="H1760" s="1309" t="str">
        <f>VLOOKUP(G1760,CATEGORIE!$H$3:$I$104,2,FALSE)</f>
        <v>COSTO SOPRAVVIVENZA</v>
      </c>
      <c r="I1760" s="59">
        <v>0.4</v>
      </c>
      <c r="J1760" s="940"/>
      <c r="K1760" s="59"/>
      <c r="L1760" s="59"/>
    </row>
    <row r="1761" spans="1:12" ht="16.5" customHeight="1">
      <c r="A1761" s="57" t="s">
        <v>101</v>
      </c>
      <c r="B1761" s="57" t="s">
        <v>217</v>
      </c>
      <c r="C1761" s="57">
        <v>2023</v>
      </c>
      <c r="D1761" s="58">
        <f>MATCH(B1761,{"GENNAIO","FEBBRAIO","MARZO","APRILE","MAGGIO","GIUGNO","LUGLIO","AGOSTO","SETTEMBRE","OTTOBRE","NOVEMBRE","DICEMBRE"},0)</f>
        <v>10</v>
      </c>
      <c r="E1761" s="57" t="str">
        <f t="shared" si="1740"/>
        <v>OTTOBRE 2023</v>
      </c>
      <c r="F1761" s="57" t="str">
        <f t="shared" si="1741"/>
        <v>10 OTTOBRE 2023</v>
      </c>
      <c r="G1761" s="1309" t="s">
        <v>91</v>
      </c>
      <c r="H1761" s="1309" t="str">
        <f>VLOOKUP(G1761,CATEGORIE!$H$3:$I$104,2,FALSE)</f>
        <v>COSTO SOPRAVVIVENZA</v>
      </c>
      <c r="I1761" s="59">
        <v>0.4</v>
      </c>
      <c r="J1761" s="940"/>
      <c r="K1761" s="59"/>
      <c r="L1761" s="59"/>
    </row>
    <row r="1762" spans="1:12" ht="16.5" customHeight="1">
      <c r="A1762" s="57" t="s">
        <v>221</v>
      </c>
      <c r="B1762" s="57" t="s">
        <v>217</v>
      </c>
      <c r="C1762" s="57">
        <v>2023</v>
      </c>
      <c r="D1762" s="58">
        <f>MATCH(B1762,{"GENNAIO","FEBBRAIO","MARZO","APRILE","MAGGIO","GIUGNO","LUGLIO","AGOSTO","SETTEMBRE","OTTOBRE","NOVEMBRE","DICEMBRE"},0)</f>
        <v>10</v>
      </c>
      <c r="E1762" s="57" t="str">
        <f t="shared" si="1740"/>
        <v>OTTOBRE 2023</v>
      </c>
      <c r="F1762" s="57" t="str">
        <f t="shared" si="1741"/>
        <v>10 OTTOBRE 2023</v>
      </c>
      <c r="G1762" s="1309" t="s">
        <v>94</v>
      </c>
      <c r="H1762" s="1309" t="str">
        <f>VLOOKUP(G1762,CATEGORIE!$H$3:$I$104,2,FALSE)</f>
        <v>COSTO SVAGHI</v>
      </c>
      <c r="I1762" s="59">
        <v>54.3</v>
      </c>
      <c r="J1762" s="940"/>
      <c r="K1762" s="59"/>
      <c r="L1762" s="59"/>
    </row>
    <row r="1763" spans="1:12">
      <c r="A1763" s="57" t="s">
        <v>95</v>
      </c>
      <c r="B1763" s="57" t="s">
        <v>217</v>
      </c>
      <c r="C1763" s="57">
        <v>2023</v>
      </c>
      <c r="D1763" s="58">
        <f>MATCH(B1763,{"GENNAIO","FEBBRAIO","MARZO","APRILE","MAGGIO","GIUGNO","LUGLIO","AGOSTO","SETTEMBRE","OTTOBRE","NOVEMBRE","DICEMBRE"},0)</f>
        <v>10</v>
      </c>
      <c r="E1763" s="57" t="str">
        <f t="shared" si="1740"/>
        <v>OTTOBRE 2023</v>
      </c>
      <c r="F1763" s="57" t="str">
        <f t="shared" si="1741"/>
        <v>10 OTTOBRE 2023</v>
      </c>
      <c r="G1763" s="1309" t="s">
        <v>96</v>
      </c>
      <c r="H1763" s="1309" t="str">
        <f>VLOOKUP(G1763,CATEGORIE!$H$3:$I$104,2,FALSE)</f>
        <v>COSTO SOPRAVVIVENZA</v>
      </c>
      <c r="I1763" s="59">
        <v>9</v>
      </c>
      <c r="J1763" s="940"/>
      <c r="K1763" s="59"/>
      <c r="L1763" s="59"/>
    </row>
    <row r="1764" spans="1:12">
      <c r="A1764" s="57" t="s">
        <v>101</v>
      </c>
      <c r="B1764" s="57" t="s">
        <v>217</v>
      </c>
      <c r="C1764" s="57">
        <v>2023</v>
      </c>
      <c r="D1764" s="58">
        <f>MATCH(B1764,{"GENNAIO","FEBBRAIO","MARZO","APRILE","MAGGIO","GIUGNO","LUGLIO","AGOSTO","SETTEMBRE","OTTOBRE","NOVEMBRE","DICEMBRE"},0)</f>
        <v>10</v>
      </c>
      <c r="E1764" s="57" t="str">
        <f t="shared" si="1740"/>
        <v>OTTOBRE 2023</v>
      </c>
      <c r="F1764" s="57" t="str">
        <f t="shared" si="1741"/>
        <v>10 OTTOBRE 2023</v>
      </c>
      <c r="G1764" s="1309" t="s">
        <v>91</v>
      </c>
      <c r="H1764" s="1309" t="str">
        <f>VLOOKUP(G1764,CATEGORIE!$H$3:$I$104,2,FALSE)</f>
        <v>COSTO SOPRAVVIVENZA</v>
      </c>
      <c r="I1764" s="59">
        <v>0.4</v>
      </c>
      <c r="J1764" s="940"/>
      <c r="K1764" s="59"/>
      <c r="L1764" s="59"/>
    </row>
    <row r="1765" spans="1:12">
      <c r="A1765" s="57" t="s">
        <v>101</v>
      </c>
      <c r="B1765" s="57" t="s">
        <v>217</v>
      </c>
      <c r="C1765" s="57">
        <v>2023</v>
      </c>
      <c r="D1765" s="58">
        <f>MATCH(B1765,{"GENNAIO","FEBBRAIO","MARZO","APRILE","MAGGIO","GIUGNO","LUGLIO","AGOSTO","SETTEMBRE","OTTOBRE","NOVEMBRE","DICEMBRE"},0)</f>
        <v>10</v>
      </c>
      <c r="E1765" s="57" t="str">
        <f t="shared" si="1740"/>
        <v>OTTOBRE 2023</v>
      </c>
      <c r="F1765" s="57" t="str">
        <f t="shared" si="1741"/>
        <v>10 OTTOBRE 2023</v>
      </c>
      <c r="G1765" s="1309" t="s">
        <v>91</v>
      </c>
      <c r="H1765" s="1309" t="str">
        <f>VLOOKUP(G1765,CATEGORIE!$H$3:$I$104,2,FALSE)</f>
        <v>COSTO SOPRAVVIVENZA</v>
      </c>
      <c r="I1765" s="59">
        <v>0.4</v>
      </c>
      <c r="J1765" s="940"/>
      <c r="K1765" s="59"/>
      <c r="L1765" s="59"/>
    </row>
    <row r="1766" spans="1:12">
      <c r="A1766" s="57" t="s">
        <v>95</v>
      </c>
      <c r="B1766" s="57" t="s">
        <v>217</v>
      </c>
      <c r="C1766" s="57">
        <v>2023</v>
      </c>
      <c r="D1766" s="58">
        <f>MATCH(B1766,{"GENNAIO","FEBBRAIO","MARZO","APRILE","MAGGIO","GIUGNO","LUGLIO","AGOSTO","SETTEMBRE","OTTOBRE","NOVEMBRE","DICEMBRE"},0)</f>
        <v>10</v>
      </c>
      <c r="E1766" s="57" t="str">
        <f t="shared" si="1740"/>
        <v>OTTOBRE 2023</v>
      </c>
      <c r="F1766" s="57" t="str">
        <f t="shared" si="1741"/>
        <v>10 OTTOBRE 2023</v>
      </c>
      <c r="G1766" s="1309" t="s">
        <v>96</v>
      </c>
      <c r="H1766" s="1309" t="str">
        <f>VLOOKUP(G1766,CATEGORIE!$H$3:$I$104,2,FALSE)</f>
        <v>COSTO SOPRAVVIVENZA</v>
      </c>
      <c r="I1766" s="59">
        <v>26.12</v>
      </c>
      <c r="J1766" s="940"/>
      <c r="K1766" s="59"/>
      <c r="L1766" s="59"/>
    </row>
    <row r="1767" spans="1:12" ht="16.5" customHeight="1">
      <c r="A1767" s="57" t="s">
        <v>131</v>
      </c>
      <c r="B1767" s="57" t="s">
        <v>217</v>
      </c>
      <c r="C1767" s="57">
        <v>2023</v>
      </c>
      <c r="D1767" s="58">
        <f>MATCH(B1767,{"GENNAIO","FEBBRAIO","MARZO","APRILE","MAGGIO","GIUGNO","LUGLIO","AGOSTO","SETTEMBRE","OTTOBRE","NOVEMBRE","DICEMBRE"},0)</f>
        <v>10</v>
      </c>
      <c r="E1767" s="57" t="str">
        <f t="shared" si="1740"/>
        <v>OTTOBRE 2023</v>
      </c>
      <c r="F1767" s="57" t="str">
        <f t="shared" si="1741"/>
        <v>10 OTTOBRE 2023</v>
      </c>
      <c r="G1767" s="1309" t="s">
        <v>132</v>
      </c>
      <c r="H1767" s="1309" t="str">
        <f>VLOOKUP(G1767,CATEGORIE!$H$3:$I$104,2,FALSE)</f>
        <v>COSTO CASA</v>
      </c>
      <c r="I1767" s="59">
        <v>5.5</v>
      </c>
      <c r="J1767" s="940"/>
      <c r="K1767" s="59"/>
      <c r="L1767" s="59"/>
    </row>
    <row r="1768" spans="1:12" ht="16.5" customHeight="1">
      <c r="A1768" s="57" t="s">
        <v>105</v>
      </c>
      <c r="B1768" s="57" t="s">
        <v>217</v>
      </c>
      <c r="C1768" s="57">
        <v>2023</v>
      </c>
      <c r="D1768" s="58">
        <f>MATCH(B1768,{"GENNAIO","FEBBRAIO","MARZO","APRILE","MAGGIO","GIUGNO","LUGLIO","AGOSTO","SETTEMBRE","OTTOBRE","NOVEMBRE","DICEMBRE"},0)</f>
        <v>10</v>
      </c>
      <c r="E1768" s="57" t="str">
        <f t="shared" si="1740"/>
        <v>OTTOBRE 2023</v>
      </c>
      <c r="F1768" s="57" t="str">
        <f t="shared" si="1741"/>
        <v>10 OTTOBRE 2023</v>
      </c>
      <c r="G1768" s="1309" t="s">
        <v>96</v>
      </c>
      <c r="H1768" s="1309" t="str">
        <f>VLOOKUP(G1768,CATEGORIE!$H$3:$I$104,2,FALSE)</f>
        <v>COSTO SOPRAVVIVENZA</v>
      </c>
      <c r="I1768" s="59">
        <v>17.989999999999998</v>
      </c>
      <c r="J1768" s="940"/>
      <c r="K1768" s="59"/>
      <c r="L1768" s="59"/>
    </row>
    <row r="1769" spans="1:12">
      <c r="A1769" s="57" t="s">
        <v>503</v>
      </c>
      <c r="B1769" s="57" t="s">
        <v>217</v>
      </c>
      <c r="C1769" s="57">
        <v>2023</v>
      </c>
      <c r="D1769" s="58">
        <f>MATCH(B1769,{"GENNAIO","FEBBRAIO","MARZO","APRILE","MAGGIO","GIUGNO","LUGLIO","AGOSTO","SETTEMBRE","OTTOBRE","NOVEMBRE","DICEMBRE"},0)</f>
        <v>10</v>
      </c>
      <c r="E1769" s="57" t="str">
        <f t="shared" si="1740"/>
        <v>OTTOBRE 2023</v>
      </c>
      <c r="F1769" s="57" t="str">
        <f t="shared" si="1741"/>
        <v>10 OTTOBRE 2023</v>
      </c>
      <c r="G1769" s="1309" t="s">
        <v>385</v>
      </c>
      <c r="H1769" s="1309" t="str">
        <f>VLOOKUP(G1769,CATEGORIE!$H$3:$I$104,2,FALSE)</f>
        <v>COSTO SFIZI</v>
      </c>
      <c r="I1769" s="59">
        <v>9.99</v>
      </c>
      <c r="J1769" s="940"/>
      <c r="K1769" s="59" t="s">
        <v>112</v>
      </c>
      <c r="L1769" s="59"/>
    </row>
    <row r="1770" spans="1:12">
      <c r="A1770" s="57" t="s">
        <v>101</v>
      </c>
      <c r="B1770" s="57" t="s">
        <v>217</v>
      </c>
      <c r="C1770" s="57">
        <v>2023</v>
      </c>
      <c r="D1770" s="58">
        <f>MATCH(B1770,{"GENNAIO","FEBBRAIO","MARZO","APRILE","MAGGIO","GIUGNO","LUGLIO","AGOSTO","SETTEMBRE","OTTOBRE","NOVEMBRE","DICEMBRE"},0)</f>
        <v>10</v>
      </c>
      <c r="E1770" s="57" t="str">
        <f t="shared" si="1740"/>
        <v>OTTOBRE 2023</v>
      </c>
      <c r="F1770" s="57" t="str">
        <f t="shared" si="1741"/>
        <v>10 OTTOBRE 2023</v>
      </c>
      <c r="G1770" s="1309" t="s">
        <v>91</v>
      </c>
      <c r="H1770" s="1309" t="str">
        <f>VLOOKUP(G1770,CATEGORIE!$H$3:$I$104,2,FALSE)</f>
        <v>COSTO SOPRAVVIVENZA</v>
      </c>
      <c r="I1770" s="59">
        <v>0.4</v>
      </c>
      <c r="J1770" s="940"/>
      <c r="K1770" s="59"/>
      <c r="L1770" s="59"/>
    </row>
    <row r="1771" spans="1:12">
      <c r="A1771" s="57" t="s">
        <v>529</v>
      </c>
      <c r="B1771" s="57" t="s">
        <v>217</v>
      </c>
      <c r="C1771" s="57">
        <v>2023</v>
      </c>
      <c r="D1771" s="58">
        <f>MATCH(B1771,{"GENNAIO","FEBBRAIO","MARZO","APRILE","MAGGIO","GIUGNO","LUGLIO","AGOSTO","SETTEMBRE","OTTOBRE","NOVEMBRE","DICEMBRE"},0)</f>
        <v>10</v>
      </c>
      <c r="E1771" s="57" t="str">
        <f t="shared" si="1740"/>
        <v>OTTOBRE 2023</v>
      </c>
      <c r="F1771" s="57" t="str">
        <f t="shared" si="1741"/>
        <v>10 OTTOBRE 2023</v>
      </c>
      <c r="G1771" s="1309" t="s">
        <v>94</v>
      </c>
      <c r="H1771" s="1309" t="str">
        <f>VLOOKUP(G1771,CATEGORIE!$H$3:$I$104,2,FALSE)</f>
        <v>COSTO SVAGHI</v>
      </c>
      <c r="I1771" s="59">
        <v>34</v>
      </c>
      <c r="J1771" s="940"/>
      <c r="K1771" s="59"/>
      <c r="L1771" s="59"/>
    </row>
    <row r="1772" spans="1:12">
      <c r="A1772" s="57" t="s">
        <v>131</v>
      </c>
      <c r="B1772" s="57" t="s">
        <v>217</v>
      </c>
      <c r="C1772" s="57">
        <v>2023</v>
      </c>
      <c r="D1772" s="58">
        <f>MATCH(B1772,{"GENNAIO","FEBBRAIO","MARZO","APRILE","MAGGIO","GIUGNO","LUGLIO","AGOSTO","SETTEMBRE","OTTOBRE","NOVEMBRE","DICEMBRE"},0)</f>
        <v>10</v>
      </c>
      <c r="E1772" s="57" t="str">
        <f t="shared" si="1740"/>
        <v>OTTOBRE 2023</v>
      </c>
      <c r="F1772" s="57" t="str">
        <f t="shared" si="1741"/>
        <v>10 OTTOBRE 2023</v>
      </c>
      <c r="G1772" s="1309" t="s">
        <v>132</v>
      </c>
      <c r="H1772" s="1309" t="str">
        <f>VLOOKUP(G1772,CATEGORIE!$H$3:$I$104,2,FALSE)</f>
        <v>COSTO CASA</v>
      </c>
      <c r="I1772" s="59">
        <v>51.25</v>
      </c>
      <c r="J1772" s="940"/>
      <c r="K1772" s="59"/>
      <c r="L1772" s="59"/>
    </row>
    <row r="1773" spans="1:12" ht="16.5" customHeight="1">
      <c r="A1773" s="57" t="s">
        <v>530</v>
      </c>
      <c r="B1773" s="57" t="s">
        <v>217</v>
      </c>
      <c r="C1773" s="57">
        <v>2023</v>
      </c>
      <c r="D1773" s="58">
        <f>MATCH(B1773,{"GENNAIO","FEBBRAIO","MARZO","APRILE","MAGGIO","GIUGNO","LUGLIO","AGOSTO","SETTEMBRE","OTTOBRE","NOVEMBRE","DICEMBRE"},0)</f>
        <v>10</v>
      </c>
      <c r="E1773" s="57" t="str">
        <f t="shared" si="1740"/>
        <v>OTTOBRE 2023</v>
      </c>
      <c r="F1773" s="57" t="str">
        <f t="shared" si="1741"/>
        <v>10 OTTOBRE 2023</v>
      </c>
      <c r="G1773" s="1309" t="s">
        <v>108</v>
      </c>
      <c r="H1773" s="1309" t="str">
        <f>VLOOKUP(G1773,CATEGORIE!$H$3:$I$104,2,FALSE)</f>
        <v>COSTO SFIZI</v>
      </c>
      <c r="I1773" s="59">
        <v>34</v>
      </c>
      <c r="J1773" s="940"/>
      <c r="K1773" s="59"/>
      <c r="L1773" s="59"/>
    </row>
    <row r="1774" spans="1:12">
      <c r="A1774" s="57" t="s">
        <v>531</v>
      </c>
      <c r="B1774" s="57" t="s">
        <v>217</v>
      </c>
      <c r="C1774" s="57">
        <v>2023</v>
      </c>
      <c r="D1774" s="58">
        <f>MATCH(B1774,{"GENNAIO","FEBBRAIO","MARZO","APRILE","MAGGIO","GIUGNO","LUGLIO","AGOSTO","SETTEMBRE","OTTOBRE","NOVEMBRE","DICEMBRE"},0)</f>
        <v>10</v>
      </c>
      <c r="E1774" s="57" t="str">
        <f t="shared" si="1740"/>
        <v>OTTOBRE 2023</v>
      </c>
      <c r="F1774" s="57" t="str">
        <f t="shared" si="1741"/>
        <v>10 OTTOBRE 2023</v>
      </c>
      <c r="G1774" s="1309" t="s">
        <v>108</v>
      </c>
      <c r="H1774" s="1309" t="str">
        <f>VLOOKUP(G1774,CATEGORIE!$H$3:$I$104,2,FALSE)</f>
        <v>COSTO SFIZI</v>
      </c>
      <c r="I1774" s="59">
        <v>48.3</v>
      </c>
      <c r="J1774" s="940"/>
      <c r="K1774" s="59"/>
      <c r="L1774" s="59"/>
    </row>
    <row r="1775" spans="1:12">
      <c r="A1775" s="57" t="s">
        <v>131</v>
      </c>
      <c r="B1775" s="57" t="s">
        <v>217</v>
      </c>
      <c r="C1775" s="57">
        <v>2023</v>
      </c>
      <c r="D1775" s="58">
        <f>MATCH(B1775,{"GENNAIO","FEBBRAIO","MARZO","APRILE","MAGGIO","GIUGNO","LUGLIO","AGOSTO","SETTEMBRE","OTTOBRE","NOVEMBRE","DICEMBRE"},0)</f>
        <v>10</v>
      </c>
      <c r="E1775" s="57" t="str">
        <f t="shared" si="1740"/>
        <v>OTTOBRE 2023</v>
      </c>
      <c r="F1775" s="57" t="str">
        <f t="shared" si="1741"/>
        <v>10 OTTOBRE 2023</v>
      </c>
      <c r="G1775" s="1309" t="s">
        <v>132</v>
      </c>
      <c r="H1775" s="1309" t="str">
        <f>VLOOKUP(G1775,CATEGORIE!$H$3:$I$104,2,FALSE)</f>
        <v>COSTO CASA</v>
      </c>
      <c r="I1775" s="59">
        <v>25.85</v>
      </c>
      <c r="J1775" s="940"/>
      <c r="K1775" s="59"/>
      <c r="L1775" s="59"/>
    </row>
    <row r="1776" spans="1:12">
      <c r="A1776" s="57" t="s">
        <v>92</v>
      </c>
      <c r="B1776" s="57" t="s">
        <v>217</v>
      </c>
      <c r="C1776" s="57">
        <v>2023</v>
      </c>
      <c r="D1776" s="58">
        <f>MATCH(B1776,{"GENNAIO","FEBBRAIO","MARZO","APRILE","MAGGIO","GIUGNO","LUGLIO","AGOSTO","SETTEMBRE","OTTOBRE","NOVEMBRE","DICEMBRE"},0)</f>
        <v>10</v>
      </c>
      <c r="E1776" s="57" t="str">
        <f t="shared" si="1740"/>
        <v>OTTOBRE 2023</v>
      </c>
      <c r="F1776" s="57" t="str">
        <f t="shared" si="1741"/>
        <v>10 OTTOBRE 2023</v>
      </c>
      <c r="G1776" s="1309" t="s">
        <v>93</v>
      </c>
      <c r="H1776" s="1309" t="str">
        <f>VLOOKUP(G1776,CATEGORIE!$H$3:$I$104,2,FALSE)</f>
        <v>COSTO SOPRAVVIVENZA</v>
      </c>
      <c r="I1776" s="59">
        <v>7</v>
      </c>
      <c r="J1776" s="940"/>
      <c r="K1776" s="59"/>
      <c r="L1776" s="59"/>
    </row>
    <row r="1777" spans="1:12">
      <c r="A1777" s="57" t="s">
        <v>532</v>
      </c>
      <c r="B1777" s="57" t="s">
        <v>217</v>
      </c>
      <c r="C1777" s="57">
        <v>2023</v>
      </c>
      <c r="D1777" s="58">
        <f>MATCH(B1777,{"GENNAIO","FEBBRAIO","MARZO","APRILE","MAGGIO","GIUGNO","LUGLIO","AGOSTO","SETTEMBRE","OTTOBRE","NOVEMBRE","DICEMBRE"},0)</f>
        <v>10</v>
      </c>
      <c r="E1777" s="57" t="str">
        <f t="shared" si="1740"/>
        <v>OTTOBRE 2023</v>
      </c>
      <c r="F1777" s="57" t="str">
        <f t="shared" si="1741"/>
        <v>10 OTTOBRE 2023</v>
      </c>
      <c r="G1777" s="1309" t="s">
        <v>96</v>
      </c>
      <c r="H1777" s="1309" t="str">
        <f>VLOOKUP(G1777,CATEGORIE!$H$3:$I$104,2,FALSE)</f>
        <v>COSTO SOPRAVVIVENZA</v>
      </c>
      <c r="I1777" s="59">
        <v>9.81</v>
      </c>
      <c r="J1777" s="940"/>
      <c r="K1777" s="59"/>
      <c r="L1777" s="59"/>
    </row>
    <row r="1778" spans="1:12" ht="18" customHeight="1">
      <c r="A1778" s="57" t="s">
        <v>99</v>
      </c>
      <c r="B1778" s="57" t="s">
        <v>217</v>
      </c>
      <c r="C1778" s="57">
        <v>2023</v>
      </c>
      <c r="D1778" s="58">
        <f>MATCH(B1778,{"GENNAIO","FEBBRAIO","MARZO","APRILE","MAGGIO","GIUGNO","LUGLIO","AGOSTO","SETTEMBRE","OTTOBRE","NOVEMBRE","DICEMBRE"},0)</f>
        <v>10</v>
      </c>
      <c r="E1778" s="57" t="str">
        <f t="shared" si="1740"/>
        <v>OTTOBRE 2023</v>
      </c>
      <c r="F1778" s="57" t="str">
        <f t="shared" si="1741"/>
        <v>10 OTTOBRE 2023</v>
      </c>
      <c r="G1778" s="1309" t="s">
        <v>100</v>
      </c>
      <c r="H1778" s="1309" t="str">
        <f>VLOOKUP(G1778,CATEGORIE!$H$3:$I$104,2,FALSE)</f>
        <v>COSTO SFIZI</v>
      </c>
      <c r="I1778" s="59">
        <v>34.799999999999997</v>
      </c>
      <c r="J1778" s="940"/>
      <c r="K1778" s="57" t="s">
        <v>99</v>
      </c>
      <c r="L1778" s="59"/>
    </row>
    <row r="1779" spans="1:12">
      <c r="A1779" s="57" t="s">
        <v>347</v>
      </c>
      <c r="B1779" s="57" t="s">
        <v>217</v>
      </c>
      <c r="C1779" s="57">
        <v>2023</v>
      </c>
      <c r="D1779" s="58">
        <f>MATCH(B1779,{"GENNAIO","FEBBRAIO","MARZO","APRILE","MAGGIO","GIUGNO","LUGLIO","AGOSTO","SETTEMBRE","OTTOBRE","NOVEMBRE","DICEMBRE"},0)</f>
        <v>10</v>
      </c>
      <c r="E1779" s="57" t="str">
        <f t="shared" si="1740"/>
        <v>OTTOBRE 2023</v>
      </c>
      <c r="F1779" s="57" t="str">
        <f t="shared" si="1741"/>
        <v>10 OTTOBRE 2023</v>
      </c>
      <c r="G1779" s="1309" t="s">
        <v>108</v>
      </c>
      <c r="H1779" s="1309" t="str">
        <f>VLOOKUP(G1779,CATEGORIE!$H$3:$I$104,2,FALSE)</f>
        <v>COSTO SFIZI</v>
      </c>
      <c r="I1779" s="59">
        <v>19.989999999999998</v>
      </c>
      <c r="J1779" s="940"/>
      <c r="K1779" s="59" t="s">
        <v>112</v>
      </c>
      <c r="L1779" s="59"/>
    </row>
    <row r="1780" spans="1:12" ht="18.600000000000001" customHeight="1">
      <c r="A1780" s="57" t="s">
        <v>106</v>
      </c>
      <c r="B1780" s="57" t="s">
        <v>217</v>
      </c>
      <c r="C1780" s="57">
        <v>2023</v>
      </c>
      <c r="D1780" s="58">
        <f>MATCH(B1780,{"GENNAIO","FEBBRAIO","MARZO","APRILE","MAGGIO","GIUGNO","LUGLIO","AGOSTO","SETTEMBRE","OTTOBRE","NOVEMBRE","DICEMBRE"},0)</f>
        <v>10</v>
      </c>
      <c r="E1780" s="57" t="str">
        <f t="shared" si="1740"/>
        <v>OTTOBRE 2023</v>
      </c>
      <c r="F1780" s="57" t="str">
        <f t="shared" si="1741"/>
        <v>10 OTTOBRE 2023</v>
      </c>
      <c r="G1780" s="1309" t="s">
        <v>107</v>
      </c>
      <c r="H1780" s="1309" t="str">
        <f>VLOOKUP(G1780,CATEGORIE!$H$3:$I$104,2,FALSE)</f>
        <v>COSTO SOPRAVVIVENZA</v>
      </c>
      <c r="I1780" s="59">
        <v>33</v>
      </c>
      <c r="J1780" s="940"/>
      <c r="K1780" s="59"/>
      <c r="L1780" s="59"/>
    </row>
    <row r="1781" spans="1:12" ht="16.5" customHeight="1">
      <c r="A1781" s="57" t="s">
        <v>347</v>
      </c>
      <c r="B1781" s="57" t="s">
        <v>217</v>
      </c>
      <c r="C1781" s="57">
        <v>2023</v>
      </c>
      <c r="D1781" s="58">
        <f>MATCH(B1781,{"GENNAIO","FEBBRAIO","MARZO","APRILE","MAGGIO","GIUGNO","LUGLIO","AGOSTO","SETTEMBRE","OTTOBRE","NOVEMBRE","DICEMBRE"},0)</f>
        <v>10</v>
      </c>
      <c r="E1781" s="57" t="str">
        <f t="shared" si="1740"/>
        <v>OTTOBRE 2023</v>
      </c>
      <c r="F1781" s="57" t="str">
        <f t="shared" si="1741"/>
        <v>10 OTTOBRE 2023</v>
      </c>
      <c r="G1781" s="1309" t="s">
        <v>108</v>
      </c>
      <c r="H1781" s="1309" t="str">
        <f>VLOOKUP(G1781,CATEGORIE!$H$3:$I$104,2,FALSE)</f>
        <v>COSTO SFIZI</v>
      </c>
      <c r="I1781" s="59">
        <v>30.33</v>
      </c>
      <c r="J1781" s="940" t="s">
        <v>124</v>
      </c>
      <c r="K1781" s="59" t="s">
        <v>112</v>
      </c>
      <c r="L1781" s="59"/>
    </row>
    <row r="1782" spans="1:12">
      <c r="A1782" s="57" t="s">
        <v>95</v>
      </c>
      <c r="B1782" s="57" t="s">
        <v>217</v>
      </c>
      <c r="C1782" s="57">
        <v>2023</v>
      </c>
      <c r="D1782" s="58">
        <f>MATCH(B1782,{"GENNAIO","FEBBRAIO","MARZO","APRILE","MAGGIO","GIUGNO","LUGLIO","AGOSTO","SETTEMBRE","OTTOBRE","NOVEMBRE","DICEMBRE"},0)</f>
        <v>10</v>
      </c>
      <c r="E1782" s="57" t="str">
        <f t="shared" si="1740"/>
        <v>OTTOBRE 2023</v>
      </c>
      <c r="F1782" s="57" t="str">
        <f t="shared" si="1741"/>
        <v>10 OTTOBRE 2023</v>
      </c>
      <c r="G1782" s="1309" t="s">
        <v>96</v>
      </c>
      <c r="H1782" s="1309" t="str">
        <f>VLOOKUP(G1782,CATEGORIE!$H$3:$I$104,2,FALSE)</f>
        <v>COSTO SOPRAVVIVENZA</v>
      </c>
      <c r="I1782" s="59">
        <v>16.79</v>
      </c>
      <c r="J1782" s="940"/>
      <c r="K1782" s="59"/>
      <c r="L1782" s="59"/>
    </row>
    <row r="1783" spans="1:12" ht="16.5" customHeight="1">
      <c r="A1783" s="57" t="s">
        <v>135</v>
      </c>
      <c r="B1783" s="57" t="s">
        <v>217</v>
      </c>
      <c r="C1783" s="57">
        <v>2023</v>
      </c>
      <c r="D1783" s="58">
        <f>MATCH(B1783,{"GENNAIO","FEBBRAIO","MARZO","APRILE","MAGGIO","GIUGNO","LUGLIO","AGOSTO","SETTEMBRE","OTTOBRE","NOVEMBRE","DICEMBRE"},0)</f>
        <v>10</v>
      </c>
      <c r="E1783" s="57" t="str">
        <f t="shared" si="1740"/>
        <v>OTTOBRE 2023</v>
      </c>
      <c r="F1783" s="57" t="str">
        <f t="shared" si="1741"/>
        <v>10 OTTOBRE 2023</v>
      </c>
      <c r="G1783" s="1309" t="s">
        <v>132</v>
      </c>
      <c r="H1783" s="1309" t="str">
        <f>VLOOKUP(G1783,CATEGORIE!$H$3:$I$104,2,FALSE)</f>
        <v>COSTO CASA</v>
      </c>
      <c r="I1783" s="59">
        <v>26.51</v>
      </c>
      <c r="J1783" s="940"/>
      <c r="K1783" s="59"/>
      <c r="L1783" s="59"/>
    </row>
    <row r="1784" spans="1:12">
      <c r="A1784" s="57" t="s">
        <v>533</v>
      </c>
      <c r="B1784" s="57" t="s">
        <v>217</v>
      </c>
      <c r="C1784" s="57">
        <v>2023</v>
      </c>
      <c r="D1784" s="58">
        <f>MATCH(B1784,{"GENNAIO","FEBBRAIO","MARZO","APRILE","MAGGIO","GIUGNO","LUGLIO","AGOSTO","SETTEMBRE","OTTOBRE","NOVEMBRE","DICEMBRE"},0)</f>
        <v>10</v>
      </c>
      <c r="E1784" s="57" t="str">
        <f t="shared" si="1740"/>
        <v>OTTOBRE 2023</v>
      </c>
      <c r="F1784" s="57" t="str">
        <f t="shared" si="1741"/>
        <v>10 OTTOBRE 2023</v>
      </c>
      <c r="G1784" s="1309" t="s">
        <v>94</v>
      </c>
      <c r="H1784" s="1309" t="str">
        <f>VLOOKUP(G1784,CATEGORIE!$H$3:$I$104,2,FALSE)</f>
        <v>COSTO SVAGHI</v>
      </c>
      <c r="I1784" s="59">
        <v>5</v>
      </c>
      <c r="J1784" s="940"/>
      <c r="K1784" s="59"/>
      <c r="L1784" s="59"/>
    </row>
    <row r="1785" spans="1:12" ht="18" customHeight="1">
      <c r="A1785" s="57" t="s">
        <v>105</v>
      </c>
      <c r="B1785" s="57" t="s">
        <v>217</v>
      </c>
      <c r="C1785" s="57">
        <v>2023</v>
      </c>
      <c r="D1785" s="58">
        <f>MATCH(B1785,{"GENNAIO","FEBBRAIO","MARZO","APRILE","MAGGIO","GIUGNO","LUGLIO","AGOSTO","SETTEMBRE","OTTOBRE","NOVEMBRE","DICEMBRE"},0)</f>
        <v>10</v>
      </c>
      <c r="E1785" s="57" t="str">
        <f t="shared" ref="E1785:E1848" si="1742">CONCATENATE(,B1785," ",C1785)</f>
        <v>OTTOBRE 2023</v>
      </c>
      <c r="F1785" s="57" t="str">
        <f t="shared" ref="F1785:F1848" si="1743">CONCATENATE(D1785," ",E1785)</f>
        <v>10 OTTOBRE 2023</v>
      </c>
      <c r="G1785" s="1309" t="s">
        <v>96</v>
      </c>
      <c r="H1785" s="1309" t="str">
        <f>VLOOKUP(G1785,CATEGORIE!$H$3:$I$104,2,FALSE)</f>
        <v>COSTO SOPRAVVIVENZA</v>
      </c>
      <c r="I1785" s="59">
        <v>20.059999999999999</v>
      </c>
      <c r="J1785" s="940"/>
      <c r="K1785" s="59"/>
      <c r="L1785" s="59"/>
    </row>
    <row r="1786" spans="1:12">
      <c r="A1786" s="57" t="s">
        <v>92</v>
      </c>
      <c r="B1786" s="57" t="s">
        <v>217</v>
      </c>
      <c r="C1786" s="57">
        <v>2023</v>
      </c>
      <c r="D1786" s="58">
        <f>MATCH(B1786,{"GENNAIO","FEBBRAIO","MARZO","APRILE","MAGGIO","GIUGNO","LUGLIO","AGOSTO","SETTEMBRE","OTTOBRE","NOVEMBRE","DICEMBRE"},0)</f>
        <v>10</v>
      </c>
      <c r="E1786" s="57" t="str">
        <f t="shared" si="1742"/>
        <v>OTTOBRE 2023</v>
      </c>
      <c r="F1786" s="57" t="str">
        <f t="shared" si="1743"/>
        <v>10 OTTOBRE 2023</v>
      </c>
      <c r="G1786" s="1309" t="s">
        <v>93</v>
      </c>
      <c r="H1786" s="1309" t="str">
        <f>VLOOKUP(G1786,CATEGORIE!$H$3:$I$104,2,FALSE)</f>
        <v>COSTO SOPRAVVIVENZA</v>
      </c>
      <c r="I1786" s="59">
        <v>7</v>
      </c>
      <c r="J1786" s="940"/>
      <c r="K1786" s="59"/>
      <c r="L1786" s="59"/>
    </row>
    <row r="1787" spans="1:12" ht="16.5" customHeight="1">
      <c r="A1787" s="57" t="s">
        <v>99</v>
      </c>
      <c r="B1787" s="57" t="s">
        <v>217</v>
      </c>
      <c r="C1787" s="57">
        <v>2023</v>
      </c>
      <c r="D1787" s="58">
        <f>MATCH(B1787,{"GENNAIO","FEBBRAIO","MARZO","APRILE","MAGGIO","GIUGNO","LUGLIO","AGOSTO","SETTEMBRE","OTTOBRE","NOVEMBRE","DICEMBRE"},0)</f>
        <v>10</v>
      </c>
      <c r="E1787" s="57" t="str">
        <f t="shared" si="1742"/>
        <v>OTTOBRE 2023</v>
      </c>
      <c r="F1787" s="57" t="str">
        <f t="shared" si="1743"/>
        <v>10 OTTOBRE 2023</v>
      </c>
      <c r="G1787" s="1309" t="s">
        <v>100</v>
      </c>
      <c r="H1787" s="1309" t="str">
        <f>VLOOKUP(G1787,CATEGORIE!$H$3:$I$104,2,FALSE)</f>
        <v>COSTO SFIZI</v>
      </c>
      <c r="I1787" s="59">
        <v>39.9</v>
      </c>
      <c r="J1787" s="940"/>
      <c r="K1787" s="57" t="s">
        <v>99</v>
      </c>
      <c r="L1787" s="59"/>
    </row>
    <row r="1788" spans="1:12" ht="16.5" customHeight="1">
      <c r="A1788" s="57" t="s">
        <v>229</v>
      </c>
      <c r="B1788" s="57" t="s">
        <v>217</v>
      </c>
      <c r="C1788" s="57">
        <v>2023</v>
      </c>
      <c r="D1788" s="58">
        <f>MATCH(B1788,{"GENNAIO","FEBBRAIO","MARZO","APRILE","MAGGIO","GIUGNO","LUGLIO","AGOSTO","SETTEMBRE","OTTOBRE","NOVEMBRE","DICEMBRE"},0)</f>
        <v>10</v>
      </c>
      <c r="E1788" s="57" t="str">
        <f t="shared" si="1742"/>
        <v>OTTOBRE 2023</v>
      </c>
      <c r="F1788" s="57" t="str">
        <f t="shared" si="1743"/>
        <v>10 OTTOBRE 2023</v>
      </c>
      <c r="G1788" s="1309" t="s">
        <v>163</v>
      </c>
      <c r="H1788" s="1309" t="str">
        <f>VLOOKUP(G1788,CATEGORIE!$H$3:$I$104,2,FALSE)</f>
        <v>COSTO SVAGHI</v>
      </c>
      <c r="I1788" s="59">
        <v>34.78</v>
      </c>
      <c r="J1788" s="940" t="s">
        <v>124</v>
      </c>
      <c r="K1788" s="59" t="s">
        <v>112</v>
      </c>
      <c r="L1788" s="59"/>
    </row>
    <row r="1789" spans="1:12" ht="16.5" customHeight="1">
      <c r="A1789" s="57" t="s">
        <v>501</v>
      </c>
      <c r="B1789" s="57" t="s">
        <v>240</v>
      </c>
      <c r="C1789" s="57">
        <v>2023</v>
      </c>
      <c r="D1789" s="58">
        <f>MATCH(B1789,{"GENNAIO","FEBBRAIO","MARZO","APRILE","MAGGIO","GIUGNO","LUGLIO","AGOSTO","SETTEMBRE","OTTOBRE","NOVEMBRE","DICEMBRE"},0)</f>
        <v>9</v>
      </c>
      <c r="E1789" s="57" t="str">
        <f t="shared" si="1742"/>
        <v>SETTEMBRE 2023</v>
      </c>
      <c r="F1789" s="57" t="str">
        <f t="shared" si="1743"/>
        <v>9 SETTEMBRE 2023</v>
      </c>
      <c r="G1789" s="1309" t="s">
        <v>163</v>
      </c>
      <c r="H1789" s="1309" t="str">
        <f>VLOOKUP(G1789,CATEGORIE!$H$3:$I$104,2,FALSE)</f>
        <v>COSTO SVAGHI</v>
      </c>
      <c r="I1789" s="59">
        <v>9</v>
      </c>
      <c r="J1789" s="940"/>
      <c r="K1789" s="59"/>
      <c r="L1789" s="59"/>
    </row>
    <row r="1790" spans="1:12" ht="16.5" customHeight="1">
      <c r="A1790" s="57" t="s">
        <v>101</v>
      </c>
      <c r="B1790" s="57" t="s">
        <v>240</v>
      </c>
      <c r="C1790" s="57">
        <v>2023</v>
      </c>
      <c r="D1790" s="58">
        <f>MATCH(B1790,{"GENNAIO","FEBBRAIO","MARZO","APRILE","MAGGIO","GIUGNO","LUGLIO","AGOSTO","SETTEMBRE","OTTOBRE","NOVEMBRE","DICEMBRE"},0)</f>
        <v>9</v>
      </c>
      <c r="E1790" s="57" t="str">
        <f t="shared" si="1742"/>
        <v>SETTEMBRE 2023</v>
      </c>
      <c r="F1790" s="57" t="str">
        <f t="shared" si="1743"/>
        <v>9 SETTEMBRE 2023</v>
      </c>
      <c r="G1790" s="1309" t="s">
        <v>91</v>
      </c>
      <c r="H1790" s="1309" t="str">
        <f>VLOOKUP(G1790,CATEGORIE!$H$3:$I$104,2,FALSE)</f>
        <v>COSTO SOPRAVVIVENZA</v>
      </c>
      <c r="I1790" s="59">
        <v>0.7</v>
      </c>
      <c r="J1790" s="940"/>
      <c r="K1790" s="59"/>
      <c r="L1790" s="59"/>
    </row>
    <row r="1791" spans="1:12" ht="16.5" customHeight="1">
      <c r="A1791" s="57" t="s">
        <v>101</v>
      </c>
      <c r="B1791" s="57" t="s">
        <v>240</v>
      </c>
      <c r="C1791" s="57">
        <v>2023</v>
      </c>
      <c r="D1791" s="58">
        <f>MATCH(B1791,{"GENNAIO","FEBBRAIO","MARZO","APRILE","MAGGIO","GIUGNO","LUGLIO","AGOSTO","SETTEMBRE","OTTOBRE","NOVEMBRE","DICEMBRE"},0)</f>
        <v>9</v>
      </c>
      <c r="E1791" s="57" t="str">
        <f t="shared" si="1742"/>
        <v>SETTEMBRE 2023</v>
      </c>
      <c r="F1791" s="57" t="str">
        <f t="shared" si="1743"/>
        <v>9 SETTEMBRE 2023</v>
      </c>
      <c r="G1791" s="1309" t="s">
        <v>91</v>
      </c>
      <c r="H1791" s="1309" t="str">
        <f>VLOOKUP(G1791,CATEGORIE!$H$3:$I$104,2,FALSE)</f>
        <v>COSTO SOPRAVVIVENZA</v>
      </c>
      <c r="I1791" s="59">
        <v>0.4</v>
      </c>
      <c r="J1791" s="940"/>
      <c r="K1791" s="59"/>
      <c r="L1791" s="59"/>
    </row>
    <row r="1792" spans="1:12" ht="16.5" customHeight="1">
      <c r="A1792" s="57" t="s">
        <v>101</v>
      </c>
      <c r="B1792" s="57" t="s">
        <v>240</v>
      </c>
      <c r="C1792" s="57">
        <v>2023</v>
      </c>
      <c r="D1792" s="58">
        <f>MATCH(B1792,{"GENNAIO","FEBBRAIO","MARZO","APRILE","MAGGIO","GIUGNO","LUGLIO","AGOSTO","SETTEMBRE","OTTOBRE","NOVEMBRE","DICEMBRE"},0)</f>
        <v>9</v>
      </c>
      <c r="E1792" s="57" t="str">
        <f t="shared" si="1742"/>
        <v>SETTEMBRE 2023</v>
      </c>
      <c r="F1792" s="57" t="str">
        <f t="shared" si="1743"/>
        <v>9 SETTEMBRE 2023</v>
      </c>
      <c r="G1792" s="1309" t="s">
        <v>91</v>
      </c>
      <c r="H1792" s="1309" t="str">
        <f>VLOOKUP(G1792,CATEGORIE!$H$3:$I$104,2,FALSE)</f>
        <v>COSTO SOPRAVVIVENZA</v>
      </c>
      <c r="I1792" s="59">
        <v>0.4</v>
      </c>
      <c r="J1792" s="940"/>
      <c r="K1792" s="59"/>
      <c r="L1792" s="59"/>
    </row>
    <row r="1793" spans="1:12" ht="16.5" customHeight="1">
      <c r="A1793" s="57" t="s">
        <v>101</v>
      </c>
      <c r="B1793" s="57" t="s">
        <v>240</v>
      </c>
      <c r="C1793" s="57">
        <v>2023</v>
      </c>
      <c r="D1793" s="58">
        <f>MATCH(B1793,{"GENNAIO","FEBBRAIO","MARZO","APRILE","MAGGIO","GIUGNO","LUGLIO","AGOSTO","SETTEMBRE","OTTOBRE","NOVEMBRE","DICEMBRE"},0)</f>
        <v>9</v>
      </c>
      <c r="E1793" s="57" t="str">
        <f t="shared" si="1742"/>
        <v>SETTEMBRE 2023</v>
      </c>
      <c r="F1793" s="57" t="str">
        <f t="shared" si="1743"/>
        <v>9 SETTEMBRE 2023</v>
      </c>
      <c r="G1793" s="1309" t="s">
        <v>91</v>
      </c>
      <c r="H1793" s="1309" t="str">
        <f>VLOOKUP(G1793,CATEGORIE!$H$3:$I$104,2,FALSE)</f>
        <v>COSTO SOPRAVVIVENZA</v>
      </c>
      <c r="I1793" s="59">
        <v>0.4</v>
      </c>
      <c r="J1793" s="940"/>
      <c r="K1793" s="59"/>
      <c r="L1793" s="59"/>
    </row>
    <row r="1794" spans="1:12" ht="18" customHeight="1">
      <c r="A1794" s="57" t="s">
        <v>92</v>
      </c>
      <c r="B1794" s="57" t="s">
        <v>240</v>
      </c>
      <c r="C1794" s="57">
        <v>2023</v>
      </c>
      <c r="D1794" s="58">
        <f>MATCH(B1794,{"GENNAIO","FEBBRAIO","MARZO","APRILE","MAGGIO","GIUGNO","LUGLIO","AGOSTO","SETTEMBRE","OTTOBRE","NOVEMBRE","DICEMBRE"},0)</f>
        <v>9</v>
      </c>
      <c r="E1794" s="57" t="str">
        <f t="shared" si="1742"/>
        <v>SETTEMBRE 2023</v>
      </c>
      <c r="F1794" s="57" t="str">
        <f t="shared" si="1743"/>
        <v>9 SETTEMBRE 2023</v>
      </c>
      <c r="G1794" s="1309" t="s">
        <v>94</v>
      </c>
      <c r="H1794" s="1309" t="str">
        <f>VLOOKUP(G1794,CATEGORIE!$H$3:$I$104,2,FALSE)</f>
        <v>COSTO SVAGHI</v>
      </c>
      <c r="I1794" s="59">
        <v>5.2</v>
      </c>
      <c r="J1794" s="940"/>
      <c r="K1794" s="59"/>
      <c r="L1794" s="59"/>
    </row>
    <row r="1795" spans="1:12">
      <c r="A1795" s="57" t="s">
        <v>101</v>
      </c>
      <c r="B1795" s="57" t="s">
        <v>240</v>
      </c>
      <c r="C1795" s="57">
        <v>2023</v>
      </c>
      <c r="D1795" s="58">
        <f>MATCH(B1795,{"GENNAIO","FEBBRAIO","MARZO","APRILE","MAGGIO","GIUGNO","LUGLIO","AGOSTO","SETTEMBRE","OTTOBRE","NOVEMBRE","DICEMBRE"},0)</f>
        <v>9</v>
      </c>
      <c r="E1795" s="57" t="str">
        <f t="shared" si="1742"/>
        <v>SETTEMBRE 2023</v>
      </c>
      <c r="F1795" s="57" t="str">
        <f t="shared" si="1743"/>
        <v>9 SETTEMBRE 2023</v>
      </c>
      <c r="G1795" s="1309" t="s">
        <v>91</v>
      </c>
      <c r="H1795" s="1309" t="str">
        <f>VLOOKUP(G1795,CATEGORIE!$H$3:$I$104,2,FALSE)</f>
        <v>COSTO SOPRAVVIVENZA</v>
      </c>
      <c r="I1795" s="59">
        <v>0.4</v>
      </c>
      <c r="J1795" s="940"/>
      <c r="K1795" s="59"/>
      <c r="L1795" s="59"/>
    </row>
    <row r="1796" spans="1:12" ht="16.5" customHeight="1">
      <c r="A1796" s="57" t="s">
        <v>101</v>
      </c>
      <c r="B1796" s="57" t="s">
        <v>240</v>
      </c>
      <c r="C1796" s="57">
        <v>2023</v>
      </c>
      <c r="D1796" s="58">
        <f>MATCH(B1796,{"GENNAIO","FEBBRAIO","MARZO","APRILE","MAGGIO","GIUGNO","LUGLIO","AGOSTO","SETTEMBRE","OTTOBRE","NOVEMBRE","DICEMBRE"},0)</f>
        <v>9</v>
      </c>
      <c r="E1796" s="57" t="str">
        <f t="shared" si="1742"/>
        <v>SETTEMBRE 2023</v>
      </c>
      <c r="F1796" s="57" t="str">
        <f t="shared" si="1743"/>
        <v>9 SETTEMBRE 2023</v>
      </c>
      <c r="G1796" s="1309" t="s">
        <v>91</v>
      </c>
      <c r="H1796" s="1309" t="str">
        <f>VLOOKUP(G1796,CATEGORIE!$H$3:$I$104,2,FALSE)</f>
        <v>COSTO SOPRAVVIVENZA</v>
      </c>
      <c r="I1796" s="59">
        <v>0.7</v>
      </c>
      <c r="J1796" s="940"/>
      <c r="K1796" s="59"/>
      <c r="L1796" s="59"/>
    </row>
    <row r="1797" spans="1:12" ht="16.5" customHeight="1">
      <c r="A1797" s="57" t="s">
        <v>241</v>
      </c>
      <c r="B1797" s="57" t="s">
        <v>240</v>
      </c>
      <c r="C1797" s="57">
        <v>2023</v>
      </c>
      <c r="D1797" s="58">
        <f>MATCH(B1797,{"GENNAIO","FEBBRAIO","MARZO","APRILE","MAGGIO","GIUGNO","LUGLIO","AGOSTO","SETTEMBRE","OTTOBRE","NOVEMBRE","DICEMBRE"},0)</f>
        <v>9</v>
      </c>
      <c r="E1797" s="57" t="str">
        <f t="shared" si="1742"/>
        <v>SETTEMBRE 2023</v>
      </c>
      <c r="F1797" s="57" t="str">
        <f t="shared" si="1743"/>
        <v>9 SETTEMBRE 2023</v>
      </c>
      <c r="G1797" s="1309" t="s">
        <v>242</v>
      </c>
      <c r="H1797" s="1309" t="str">
        <f>VLOOKUP(G1797,CATEGORIE!$H$3:$I$104,2,FALSE)</f>
        <v>COSTO ABBONAMENTI</v>
      </c>
      <c r="I1797" s="59">
        <v>8.49</v>
      </c>
      <c r="J1797" s="940"/>
      <c r="K1797" s="59" t="s">
        <v>112</v>
      </c>
      <c r="L1797" s="59"/>
    </row>
    <row r="1798" spans="1:12">
      <c r="A1798" s="57" t="s">
        <v>105</v>
      </c>
      <c r="B1798" s="57" t="s">
        <v>240</v>
      </c>
      <c r="C1798" s="57">
        <v>2023</v>
      </c>
      <c r="D1798" s="58">
        <f>MATCH(B1798,{"GENNAIO","FEBBRAIO","MARZO","APRILE","MAGGIO","GIUGNO","LUGLIO","AGOSTO","SETTEMBRE","OTTOBRE","NOVEMBRE","DICEMBRE"},0)</f>
        <v>9</v>
      </c>
      <c r="E1798" s="57" t="str">
        <f t="shared" si="1742"/>
        <v>SETTEMBRE 2023</v>
      </c>
      <c r="F1798" s="57" t="str">
        <f t="shared" si="1743"/>
        <v>9 SETTEMBRE 2023</v>
      </c>
      <c r="G1798" s="1309" t="s">
        <v>96</v>
      </c>
      <c r="H1798" s="1309" t="str">
        <f>VLOOKUP(G1798,CATEGORIE!$H$3:$I$104,2,FALSE)</f>
        <v>COSTO SOPRAVVIVENZA</v>
      </c>
      <c r="I1798" s="59">
        <v>17.68</v>
      </c>
      <c r="J1798" s="940"/>
      <c r="K1798" s="59"/>
      <c r="L1798" s="59"/>
    </row>
    <row r="1799" spans="1:12">
      <c r="A1799" s="57" t="s">
        <v>101</v>
      </c>
      <c r="B1799" s="57" t="s">
        <v>240</v>
      </c>
      <c r="C1799" s="57">
        <v>2023</v>
      </c>
      <c r="D1799" s="58">
        <f>MATCH(B1799,{"GENNAIO","FEBBRAIO","MARZO","APRILE","MAGGIO","GIUGNO","LUGLIO","AGOSTO","SETTEMBRE","OTTOBRE","NOVEMBRE","DICEMBRE"},0)</f>
        <v>9</v>
      </c>
      <c r="E1799" s="57" t="str">
        <f t="shared" si="1742"/>
        <v>SETTEMBRE 2023</v>
      </c>
      <c r="F1799" s="57" t="str">
        <f t="shared" si="1743"/>
        <v>9 SETTEMBRE 2023</v>
      </c>
      <c r="G1799" s="1309" t="s">
        <v>91</v>
      </c>
      <c r="H1799" s="1309" t="str">
        <f>VLOOKUP(G1799,CATEGORIE!$H$3:$I$104,2,FALSE)</f>
        <v>COSTO SOPRAVVIVENZA</v>
      </c>
      <c r="I1799" s="59">
        <v>0.4</v>
      </c>
      <c r="J1799" s="940"/>
      <c r="K1799" s="59"/>
      <c r="L1799" s="59"/>
    </row>
    <row r="1800" spans="1:12" ht="16.5" customHeight="1">
      <c r="A1800" s="57" t="s">
        <v>92</v>
      </c>
      <c r="B1800" s="57" t="s">
        <v>240</v>
      </c>
      <c r="C1800" s="57">
        <v>2023</v>
      </c>
      <c r="D1800" s="58">
        <f>MATCH(B1800,{"GENNAIO","FEBBRAIO","MARZO","APRILE","MAGGIO","GIUGNO","LUGLIO","AGOSTO","SETTEMBRE","OTTOBRE","NOVEMBRE","DICEMBRE"},0)</f>
        <v>9</v>
      </c>
      <c r="E1800" s="57" t="str">
        <f t="shared" si="1742"/>
        <v>SETTEMBRE 2023</v>
      </c>
      <c r="F1800" s="57" t="str">
        <f t="shared" si="1743"/>
        <v>9 SETTEMBRE 2023</v>
      </c>
      <c r="G1800" s="1309" t="s">
        <v>93</v>
      </c>
      <c r="H1800" s="1309" t="str">
        <f>VLOOKUP(G1800,CATEGORIE!$H$3:$I$104,2,FALSE)</f>
        <v>COSTO SOPRAVVIVENZA</v>
      </c>
      <c r="I1800" s="59">
        <v>5</v>
      </c>
      <c r="J1800" s="940"/>
      <c r="K1800" s="59"/>
      <c r="L1800" s="59"/>
    </row>
    <row r="1801" spans="1:12" ht="16.5" customHeight="1">
      <c r="A1801" s="57" t="s">
        <v>105</v>
      </c>
      <c r="B1801" s="57" t="s">
        <v>240</v>
      </c>
      <c r="C1801" s="57">
        <v>2023</v>
      </c>
      <c r="D1801" s="58">
        <f>MATCH(B1801,{"GENNAIO","FEBBRAIO","MARZO","APRILE","MAGGIO","GIUGNO","LUGLIO","AGOSTO","SETTEMBRE","OTTOBRE","NOVEMBRE","DICEMBRE"},0)</f>
        <v>9</v>
      </c>
      <c r="E1801" s="57" t="str">
        <f t="shared" si="1742"/>
        <v>SETTEMBRE 2023</v>
      </c>
      <c r="F1801" s="57" t="str">
        <f t="shared" si="1743"/>
        <v>9 SETTEMBRE 2023</v>
      </c>
      <c r="G1801" s="1309" t="s">
        <v>96</v>
      </c>
      <c r="H1801" s="1309" t="str">
        <f>VLOOKUP(G1801,CATEGORIE!$H$3:$I$104,2,FALSE)</f>
        <v>COSTO SOPRAVVIVENZA</v>
      </c>
      <c r="I1801" s="59">
        <v>11.03</v>
      </c>
      <c r="J1801" s="940"/>
      <c r="K1801" s="59"/>
      <c r="L1801" s="59"/>
    </row>
    <row r="1802" spans="1:12" ht="18" customHeight="1">
      <c r="A1802" s="57" t="s">
        <v>95</v>
      </c>
      <c r="B1802" s="57" t="s">
        <v>240</v>
      </c>
      <c r="C1802" s="57">
        <v>2023</v>
      </c>
      <c r="D1802" s="58">
        <f>MATCH(B1802,{"GENNAIO","FEBBRAIO","MARZO","APRILE","MAGGIO","GIUGNO","LUGLIO","AGOSTO","SETTEMBRE","OTTOBRE","NOVEMBRE","DICEMBRE"},0)</f>
        <v>9</v>
      </c>
      <c r="E1802" s="57" t="str">
        <f t="shared" si="1742"/>
        <v>SETTEMBRE 2023</v>
      </c>
      <c r="F1802" s="57" t="str">
        <f t="shared" si="1743"/>
        <v>9 SETTEMBRE 2023</v>
      </c>
      <c r="G1802" s="1309" t="s">
        <v>96</v>
      </c>
      <c r="H1802" s="1309" t="str">
        <f>VLOOKUP(G1802,CATEGORIE!$H$3:$I$104,2,FALSE)</f>
        <v>COSTO SOPRAVVIVENZA</v>
      </c>
      <c r="I1802" s="59">
        <v>10.76</v>
      </c>
      <c r="J1802" s="940"/>
      <c r="K1802" s="59"/>
      <c r="L1802" s="59"/>
    </row>
    <row r="1803" spans="1:12" ht="16.5" customHeight="1">
      <c r="A1803" s="57" t="s">
        <v>92</v>
      </c>
      <c r="B1803" s="57" t="s">
        <v>240</v>
      </c>
      <c r="C1803" s="57">
        <v>2023</v>
      </c>
      <c r="D1803" s="58">
        <f>MATCH(B1803,{"GENNAIO","FEBBRAIO","MARZO","APRILE","MAGGIO","GIUGNO","LUGLIO","AGOSTO","SETTEMBRE","OTTOBRE","NOVEMBRE","DICEMBRE"},0)</f>
        <v>9</v>
      </c>
      <c r="E1803" s="57" t="str">
        <f t="shared" si="1742"/>
        <v>SETTEMBRE 2023</v>
      </c>
      <c r="F1803" s="57" t="str">
        <f t="shared" si="1743"/>
        <v>9 SETTEMBRE 2023</v>
      </c>
      <c r="G1803" s="1309" t="s">
        <v>94</v>
      </c>
      <c r="H1803" s="1309" t="str">
        <f>VLOOKUP(G1803,CATEGORIE!$H$3:$I$104,2,FALSE)</f>
        <v>COSTO SVAGHI</v>
      </c>
      <c r="I1803" s="59">
        <v>3.9</v>
      </c>
      <c r="J1803" s="940"/>
      <c r="K1803" s="59"/>
      <c r="L1803" s="59"/>
    </row>
    <row r="1804" spans="1:12">
      <c r="A1804" s="57" t="s">
        <v>329</v>
      </c>
      <c r="B1804" s="57" t="s">
        <v>240</v>
      </c>
      <c r="C1804" s="57">
        <v>2023</v>
      </c>
      <c r="D1804" s="58">
        <f>MATCH(B1804,{"GENNAIO","FEBBRAIO","MARZO","APRILE","MAGGIO","GIUGNO","LUGLIO","AGOSTO","SETTEMBRE","OTTOBRE","NOVEMBRE","DICEMBRE"},0)</f>
        <v>9</v>
      </c>
      <c r="E1804" s="57" t="str">
        <f t="shared" si="1742"/>
        <v>SETTEMBRE 2023</v>
      </c>
      <c r="F1804" s="57" t="str">
        <f t="shared" si="1743"/>
        <v>9 SETTEMBRE 2023</v>
      </c>
      <c r="G1804" s="1309" t="s">
        <v>94</v>
      </c>
      <c r="H1804" s="1309" t="str">
        <f>VLOOKUP(G1804,CATEGORIE!$H$3:$I$104,2,FALSE)</f>
        <v>COSTO SVAGHI</v>
      </c>
      <c r="I1804" s="59">
        <v>48</v>
      </c>
      <c r="J1804" s="940"/>
      <c r="K1804" s="59"/>
      <c r="L1804" s="59"/>
    </row>
    <row r="1805" spans="1:12" ht="16.5" customHeight="1">
      <c r="A1805" s="57" t="s">
        <v>347</v>
      </c>
      <c r="B1805" s="57" t="s">
        <v>240</v>
      </c>
      <c r="C1805" s="57">
        <v>2023</v>
      </c>
      <c r="D1805" s="58">
        <f>MATCH(B1805,{"GENNAIO","FEBBRAIO","MARZO","APRILE","MAGGIO","GIUGNO","LUGLIO","AGOSTO","SETTEMBRE","OTTOBRE","NOVEMBRE","DICEMBRE"},0)</f>
        <v>9</v>
      </c>
      <c r="E1805" s="57" t="str">
        <f t="shared" si="1742"/>
        <v>SETTEMBRE 2023</v>
      </c>
      <c r="F1805" s="57" t="str">
        <f t="shared" si="1743"/>
        <v>9 SETTEMBRE 2023</v>
      </c>
      <c r="G1805" s="1309" t="s">
        <v>108</v>
      </c>
      <c r="H1805" s="1309" t="str">
        <f>VLOOKUP(G1805,CATEGORIE!$H$3:$I$104,2,FALSE)</f>
        <v>COSTO SFIZI</v>
      </c>
      <c r="I1805" s="59">
        <v>30.32</v>
      </c>
      <c r="J1805" s="940" t="s">
        <v>138</v>
      </c>
      <c r="K1805" s="59" t="s">
        <v>112</v>
      </c>
      <c r="L1805" s="59"/>
    </row>
    <row r="1806" spans="1:12" ht="16.5" customHeight="1">
      <c r="A1806" s="57" t="s">
        <v>92</v>
      </c>
      <c r="B1806" s="57" t="s">
        <v>240</v>
      </c>
      <c r="C1806" s="57">
        <v>2023</v>
      </c>
      <c r="D1806" s="58">
        <f>MATCH(B1806,{"GENNAIO","FEBBRAIO","MARZO","APRILE","MAGGIO","GIUGNO","LUGLIO","AGOSTO","SETTEMBRE","OTTOBRE","NOVEMBRE","DICEMBRE"},0)</f>
        <v>9</v>
      </c>
      <c r="E1806" s="57" t="str">
        <f t="shared" si="1742"/>
        <v>SETTEMBRE 2023</v>
      </c>
      <c r="F1806" s="57" t="str">
        <f t="shared" si="1743"/>
        <v>9 SETTEMBRE 2023</v>
      </c>
      <c r="G1806" s="1309" t="s">
        <v>93</v>
      </c>
      <c r="H1806" s="1309" t="str">
        <f>VLOOKUP(G1806,CATEGORIE!$H$3:$I$104,2,FALSE)</f>
        <v>COSTO SOPRAVVIVENZA</v>
      </c>
      <c r="I1806" s="59">
        <v>5</v>
      </c>
      <c r="J1806" s="940"/>
      <c r="K1806" s="59"/>
      <c r="L1806" s="59"/>
    </row>
    <row r="1807" spans="1:12" ht="16.5" customHeight="1">
      <c r="A1807" s="57" t="s">
        <v>133</v>
      </c>
      <c r="B1807" s="57" t="s">
        <v>240</v>
      </c>
      <c r="C1807" s="57">
        <v>2023</v>
      </c>
      <c r="D1807" s="58">
        <f>MATCH(B1807,{"GENNAIO","FEBBRAIO","MARZO","APRILE","MAGGIO","GIUGNO","LUGLIO","AGOSTO","SETTEMBRE","OTTOBRE","NOVEMBRE","DICEMBRE"},0)</f>
        <v>9</v>
      </c>
      <c r="E1807" s="57" t="str">
        <f t="shared" si="1742"/>
        <v>SETTEMBRE 2023</v>
      </c>
      <c r="F1807" s="57" t="str">
        <f t="shared" si="1743"/>
        <v>9 SETTEMBRE 2023</v>
      </c>
      <c r="G1807" s="1309" t="s">
        <v>108</v>
      </c>
      <c r="H1807" s="1309" t="str">
        <f>VLOOKUP(G1807,CATEGORIE!$H$3:$I$104,2,FALSE)</f>
        <v>COSTO SFIZI</v>
      </c>
      <c r="I1807" s="59">
        <v>70</v>
      </c>
      <c r="J1807" s="940"/>
      <c r="K1807" s="59"/>
      <c r="L1807" s="59"/>
    </row>
    <row r="1808" spans="1:12" ht="16.5" customHeight="1">
      <c r="A1808" s="57" t="s">
        <v>101</v>
      </c>
      <c r="B1808" s="57" t="s">
        <v>240</v>
      </c>
      <c r="C1808" s="57">
        <v>2023</v>
      </c>
      <c r="D1808" s="58">
        <f>MATCH(B1808,{"GENNAIO","FEBBRAIO","MARZO","APRILE","MAGGIO","GIUGNO","LUGLIO","AGOSTO","SETTEMBRE","OTTOBRE","NOVEMBRE","DICEMBRE"},0)</f>
        <v>9</v>
      </c>
      <c r="E1808" s="57" t="str">
        <f t="shared" si="1742"/>
        <v>SETTEMBRE 2023</v>
      </c>
      <c r="F1808" s="57" t="str">
        <f t="shared" si="1743"/>
        <v>9 SETTEMBRE 2023</v>
      </c>
      <c r="G1808" s="1309" t="s">
        <v>91</v>
      </c>
      <c r="H1808" s="1309" t="str">
        <f>VLOOKUP(G1808,CATEGORIE!$H$3:$I$104,2,FALSE)</f>
        <v>COSTO SOPRAVVIVENZA</v>
      </c>
      <c r="I1808" s="59">
        <v>1</v>
      </c>
      <c r="J1808" s="940"/>
      <c r="K1808" s="59"/>
      <c r="L1808" s="59"/>
    </row>
    <row r="1809" spans="1:12" ht="16.5" customHeight="1">
      <c r="A1809" s="57" t="s">
        <v>101</v>
      </c>
      <c r="B1809" s="57" t="s">
        <v>240</v>
      </c>
      <c r="C1809" s="57">
        <v>2023</v>
      </c>
      <c r="D1809" s="58">
        <f>MATCH(B1809,{"GENNAIO","FEBBRAIO","MARZO","APRILE","MAGGIO","GIUGNO","LUGLIO","AGOSTO","SETTEMBRE","OTTOBRE","NOVEMBRE","DICEMBRE"},0)</f>
        <v>9</v>
      </c>
      <c r="E1809" s="57" t="str">
        <f t="shared" si="1742"/>
        <v>SETTEMBRE 2023</v>
      </c>
      <c r="F1809" s="57" t="str">
        <f t="shared" si="1743"/>
        <v>9 SETTEMBRE 2023</v>
      </c>
      <c r="G1809" s="1309" t="s">
        <v>91</v>
      </c>
      <c r="H1809" s="1309" t="str">
        <f>VLOOKUP(G1809,CATEGORIE!$H$3:$I$104,2,FALSE)</f>
        <v>COSTO SOPRAVVIVENZA</v>
      </c>
      <c r="I1809" s="59">
        <v>0.4</v>
      </c>
      <c r="J1809" s="940"/>
      <c r="K1809" s="59"/>
      <c r="L1809" s="59"/>
    </row>
    <row r="1810" spans="1:12" ht="16.5" customHeight="1">
      <c r="A1810" s="57" t="s">
        <v>101</v>
      </c>
      <c r="B1810" s="57" t="s">
        <v>240</v>
      </c>
      <c r="C1810" s="57">
        <v>2023</v>
      </c>
      <c r="D1810" s="58">
        <f>MATCH(B1810,{"GENNAIO","FEBBRAIO","MARZO","APRILE","MAGGIO","GIUGNO","LUGLIO","AGOSTO","SETTEMBRE","OTTOBRE","NOVEMBRE","DICEMBRE"},0)</f>
        <v>9</v>
      </c>
      <c r="E1810" s="57" t="str">
        <f t="shared" si="1742"/>
        <v>SETTEMBRE 2023</v>
      </c>
      <c r="F1810" s="57" t="str">
        <f t="shared" si="1743"/>
        <v>9 SETTEMBRE 2023</v>
      </c>
      <c r="G1810" s="1309" t="s">
        <v>91</v>
      </c>
      <c r="H1810" s="1309" t="str">
        <f>VLOOKUP(G1810,CATEGORIE!$H$3:$I$104,2,FALSE)</f>
        <v>COSTO SOPRAVVIVENZA</v>
      </c>
      <c r="I1810" s="59">
        <v>0.4</v>
      </c>
      <c r="J1810" s="940"/>
      <c r="K1810" s="59"/>
      <c r="L1810" s="59"/>
    </row>
    <row r="1811" spans="1:12">
      <c r="A1811" s="57" t="s">
        <v>101</v>
      </c>
      <c r="B1811" s="57" t="s">
        <v>240</v>
      </c>
      <c r="C1811" s="57">
        <v>2023</v>
      </c>
      <c r="D1811" s="58">
        <f>MATCH(B1811,{"GENNAIO","FEBBRAIO","MARZO","APRILE","MAGGIO","GIUGNO","LUGLIO","AGOSTO","SETTEMBRE","OTTOBRE","NOVEMBRE","DICEMBRE"},0)</f>
        <v>9</v>
      </c>
      <c r="E1811" s="57" t="str">
        <f t="shared" si="1742"/>
        <v>SETTEMBRE 2023</v>
      </c>
      <c r="F1811" s="57" t="str">
        <f t="shared" si="1743"/>
        <v>9 SETTEMBRE 2023</v>
      </c>
      <c r="G1811" s="1309" t="s">
        <v>91</v>
      </c>
      <c r="H1811" s="1309" t="str">
        <f>VLOOKUP(G1811,CATEGORIE!$H$3:$I$104,2,FALSE)</f>
        <v>COSTO SOPRAVVIVENZA</v>
      </c>
      <c r="I1811" s="59">
        <v>0.4</v>
      </c>
      <c r="J1811" s="940"/>
      <c r="K1811" s="59"/>
      <c r="L1811" s="59"/>
    </row>
    <row r="1812" spans="1:12" ht="18.600000000000001" customHeight="1">
      <c r="A1812" s="57" t="s">
        <v>101</v>
      </c>
      <c r="B1812" s="57" t="s">
        <v>240</v>
      </c>
      <c r="C1812" s="57">
        <v>2023</v>
      </c>
      <c r="D1812" s="58">
        <f>MATCH(B1812,{"GENNAIO","FEBBRAIO","MARZO","APRILE","MAGGIO","GIUGNO","LUGLIO","AGOSTO","SETTEMBRE","OTTOBRE","NOVEMBRE","DICEMBRE"},0)</f>
        <v>9</v>
      </c>
      <c r="E1812" s="57" t="str">
        <f t="shared" si="1742"/>
        <v>SETTEMBRE 2023</v>
      </c>
      <c r="F1812" s="57" t="str">
        <f t="shared" si="1743"/>
        <v>9 SETTEMBRE 2023</v>
      </c>
      <c r="G1812" s="1309" t="s">
        <v>91</v>
      </c>
      <c r="H1812" s="1309" t="str">
        <f>VLOOKUP(G1812,CATEGORIE!$H$3:$I$104,2,FALSE)</f>
        <v>COSTO SOPRAVVIVENZA</v>
      </c>
      <c r="I1812" s="59">
        <v>0.4</v>
      </c>
      <c r="J1812" s="940"/>
      <c r="K1812" s="59"/>
      <c r="L1812" s="59"/>
    </row>
    <row r="1813" spans="1:12">
      <c r="A1813" s="57" t="s">
        <v>101</v>
      </c>
      <c r="B1813" s="57" t="s">
        <v>240</v>
      </c>
      <c r="C1813" s="57">
        <v>2023</v>
      </c>
      <c r="D1813" s="58">
        <f>MATCH(B1813,{"GENNAIO","FEBBRAIO","MARZO","APRILE","MAGGIO","GIUGNO","LUGLIO","AGOSTO","SETTEMBRE","OTTOBRE","NOVEMBRE","DICEMBRE"},0)</f>
        <v>9</v>
      </c>
      <c r="E1813" s="57" t="str">
        <f t="shared" si="1742"/>
        <v>SETTEMBRE 2023</v>
      </c>
      <c r="F1813" s="57" t="str">
        <f t="shared" si="1743"/>
        <v>9 SETTEMBRE 2023</v>
      </c>
      <c r="G1813" s="1309" t="s">
        <v>91</v>
      </c>
      <c r="H1813" s="1309" t="str">
        <f>VLOOKUP(G1813,CATEGORIE!$H$3:$I$104,2,FALSE)</f>
        <v>COSTO SOPRAVVIVENZA</v>
      </c>
      <c r="I1813" s="59">
        <v>0.4</v>
      </c>
      <c r="J1813" s="940"/>
      <c r="K1813" s="59"/>
      <c r="L1813" s="59"/>
    </row>
    <row r="1814" spans="1:12" ht="16.5" customHeight="1">
      <c r="A1814" s="57" t="s">
        <v>105</v>
      </c>
      <c r="B1814" s="57" t="s">
        <v>240</v>
      </c>
      <c r="C1814" s="57">
        <v>2023</v>
      </c>
      <c r="D1814" s="58">
        <f>MATCH(B1814,{"GENNAIO","FEBBRAIO","MARZO","APRILE","MAGGIO","GIUGNO","LUGLIO","AGOSTO","SETTEMBRE","OTTOBRE","NOVEMBRE","DICEMBRE"},0)</f>
        <v>9</v>
      </c>
      <c r="E1814" s="57" t="str">
        <f t="shared" si="1742"/>
        <v>SETTEMBRE 2023</v>
      </c>
      <c r="F1814" s="57" t="str">
        <f t="shared" si="1743"/>
        <v>9 SETTEMBRE 2023</v>
      </c>
      <c r="G1814" s="1309" t="s">
        <v>96</v>
      </c>
      <c r="H1814" s="1309" t="str">
        <f>VLOOKUP(G1814,CATEGORIE!$H$3:$I$104,2,FALSE)</f>
        <v>COSTO SOPRAVVIVENZA</v>
      </c>
      <c r="I1814" s="59">
        <v>21.26</v>
      </c>
      <c r="J1814" s="940"/>
      <c r="K1814" s="59"/>
      <c r="L1814" s="59"/>
    </row>
    <row r="1815" spans="1:12">
      <c r="A1815" s="57" t="s">
        <v>135</v>
      </c>
      <c r="B1815" s="57" t="s">
        <v>240</v>
      </c>
      <c r="C1815" s="57">
        <v>2023</v>
      </c>
      <c r="D1815" s="58">
        <f>MATCH(B1815,{"GENNAIO","FEBBRAIO","MARZO","APRILE","MAGGIO","GIUGNO","LUGLIO","AGOSTO","SETTEMBRE","OTTOBRE","NOVEMBRE","DICEMBRE"},0)</f>
        <v>9</v>
      </c>
      <c r="E1815" s="57" t="str">
        <f t="shared" si="1742"/>
        <v>SETTEMBRE 2023</v>
      </c>
      <c r="F1815" s="57" t="str">
        <f t="shared" si="1743"/>
        <v>9 SETTEMBRE 2023</v>
      </c>
      <c r="G1815" s="1309" t="s">
        <v>132</v>
      </c>
      <c r="H1815" s="1309" t="str">
        <f>VLOOKUP(G1815,CATEGORIE!$H$3:$I$104,2,FALSE)</f>
        <v>COSTO CASA</v>
      </c>
      <c r="I1815" s="59">
        <v>25.52</v>
      </c>
      <c r="J1815" s="940"/>
      <c r="K1815" s="59"/>
      <c r="L1815" s="59"/>
    </row>
    <row r="1816" spans="1:12" ht="16.5" customHeight="1">
      <c r="A1816" s="57" t="s">
        <v>95</v>
      </c>
      <c r="B1816" s="57" t="s">
        <v>240</v>
      </c>
      <c r="C1816" s="57">
        <v>2023</v>
      </c>
      <c r="D1816" s="58">
        <f>MATCH(B1816,{"GENNAIO","FEBBRAIO","MARZO","APRILE","MAGGIO","GIUGNO","LUGLIO","AGOSTO","SETTEMBRE","OTTOBRE","NOVEMBRE","DICEMBRE"},0)</f>
        <v>9</v>
      </c>
      <c r="E1816" s="57" t="str">
        <f t="shared" si="1742"/>
        <v>SETTEMBRE 2023</v>
      </c>
      <c r="F1816" s="57" t="str">
        <f t="shared" si="1743"/>
        <v>9 SETTEMBRE 2023</v>
      </c>
      <c r="G1816" s="1309" t="s">
        <v>96</v>
      </c>
      <c r="H1816" s="1309" t="str">
        <f>VLOOKUP(G1816,CATEGORIE!$H$3:$I$104,2,FALSE)</f>
        <v>COSTO SOPRAVVIVENZA</v>
      </c>
      <c r="I1816" s="59">
        <v>13.52</v>
      </c>
      <c r="J1816" s="940"/>
      <c r="K1816" s="59"/>
      <c r="L1816" s="59"/>
    </row>
    <row r="1817" spans="1:12" ht="16.5" customHeight="1">
      <c r="A1817" s="57" t="s">
        <v>92</v>
      </c>
      <c r="B1817" s="57" t="s">
        <v>240</v>
      </c>
      <c r="C1817" s="57">
        <v>2023</v>
      </c>
      <c r="D1817" s="58">
        <f>MATCH(B1817,{"GENNAIO","FEBBRAIO","MARZO","APRILE","MAGGIO","GIUGNO","LUGLIO","AGOSTO","SETTEMBRE","OTTOBRE","NOVEMBRE","DICEMBRE"},0)</f>
        <v>9</v>
      </c>
      <c r="E1817" s="57" t="str">
        <f t="shared" si="1742"/>
        <v>SETTEMBRE 2023</v>
      </c>
      <c r="F1817" s="57" t="str">
        <f t="shared" si="1743"/>
        <v>9 SETTEMBRE 2023</v>
      </c>
      <c r="G1817" s="1309" t="s">
        <v>94</v>
      </c>
      <c r="H1817" s="1309" t="str">
        <f>VLOOKUP(G1817,CATEGORIE!$H$3:$I$104,2,FALSE)</f>
        <v>COSTO SVAGHI</v>
      </c>
      <c r="I1817" s="59">
        <v>3.9</v>
      </c>
      <c r="J1817" s="940"/>
      <c r="K1817" s="59"/>
      <c r="L1817" s="59"/>
    </row>
    <row r="1818" spans="1:12" ht="16.5" customHeight="1">
      <c r="A1818" s="57" t="s">
        <v>105</v>
      </c>
      <c r="B1818" s="57" t="s">
        <v>240</v>
      </c>
      <c r="C1818" s="57">
        <v>2023</v>
      </c>
      <c r="D1818" s="58">
        <f>MATCH(B1818,{"GENNAIO","FEBBRAIO","MARZO","APRILE","MAGGIO","GIUGNO","LUGLIO","AGOSTO","SETTEMBRE","OTTOBRE","NOVEMBRE","DICEMBRE"},0)</f>
        <v>9</v>
      </c>
      <c r="E1818" s="57" t="str">
        <f t="shared" si="1742"/>
        <v>SETTEMBRE 2023</v>
      </c>
      <c r="F1818" s="57" t="str">
        <f t="shared" si="1743"/>
        <v>9 SETTEMBRE 2023</v>
      </c>
      <c r="G1818" s="1309" t="s">
        <v>96</v>
      </c>
      <c r="H1818" s="1309" t="str">
        <f>VLOOKUP(G1818,CATEGORIE!$H$3:$I$104,2,FALSE)</f>
        <v>COSTO SOPRAVVIVENZA</v>
      </c>
      <c r="I1818" s="59">
        <v>7.94</v>
      </c>
      <c r="J1818" s="940"/>
      <c r="K1818" s="59"/>
      <c r="L1818" s="59"/>
    </row>
    <row r="1819" spans="1:12" ht="18" customHeight="1">
      <c r="A1819" s="57" t="s">
        <v>101</v>
      </c>
      <c r="B1819" s="57" t="s">
        <v>240</v>
      </c>
      <c r="C1819" s="57">
        <v>2023</v>
      </c>
      <c r="D1819" s="58">
        <f>MATCH(B1819,{"GENNAIO","FEBBRAIO","MARZO","APRILE","MAGGIO","GIUGNO","LUGLIO","AGOSTO","SETTEMBRE","OTTOBRE","NOVEMBRE","DICEMBRE"},0)</f>
        <v>9</v>
      </c>
      <c r="E1819" s="57" t="str">
        <f t="shared" si="1742"/>
        <v>SETTEMBRE 2023</v>
      </c>
      <c r="F1819" s="57" t="str">
        <f t="shared" si="1743"/>
        <v>9 SETTEMBRE 2023</v>
      </c>
      <c r="G1819" s="1309" t="s">
        <v>91</v>
      </c>
      <c r="H1819" s="1309" t="str">
        <f>VLOOKUP(G1819,CATEGORIE!$H$3:$I$104,2,FALSE)</f>
        <v>COSTO SOPRAVVIVENZA</v>
      </c>
      <c r="I1819" s="59">
        <v>0.4</v>
      </c>
      <c r="J1819" s="940"/>
      <c r="K1819" s="59"/>
      <c r="L1819" s="59"/>
    </row>
    <row r="1820" spans="1:12">
      <c r="A1820" s="57" t="s">
        <v>101</v>
      </c>
      <c r="B1820" s="57" t="s">
        <v>240</v>
      </c>
      <c r="C1820" s="57">
        <v>2023</v>
      </c>
      <c r="D1820" s="58">
        <f>MATCH(B1820,{"GENNAIO","FEBBRAIO","MARZO","APRILE","MAGGIO","GIUGNO","LUGLIO","AGOSTO","SETTEMBRE","OTTOBRE","NOVEMBRE","DICEMBRE"},0)</f>
        <v>9</v>
      </c>
      <c r="E1820" s="57" t="str">
        <f t="shared" si="1742"/>
        <v>SETTEMBRE 2023</v>
      </c>
      <c r="F1820" s="57" t="str">
        <f t="shared" si="1743"/>
        <v>9 SETTEMBRE 2023</v>
      </c>
      <c r="G1820" s="1309" t="s">
        <v>91</v>
      </c>
      <c r="H1820" s="1309" t="str">
        <f>VLOOKUP(G1820,CATEGORIE!$H$3:$I$104,2,FALSE)</f>
        <v>COSTO SOPRAVVIVENZA</v>
      </c>
      <c r="I1820" s="59">
        <v>0.4</v>
      </c>
      <c r="J1820" s="940"/>
      <c r="K1820" s="59"/>
      <c r="L1820" s="59"/>
    </row>
    <row r="1821" spans="1:12">
      <c r="A1821" s="57" t="s">
        <v>101</v>
      </c>
      <c r="B1821" s="57" t="s">
        <v>240</v>
      </c>
      <c r="C1821" s="57">
        <v>2023</v>
      </c>
      <c r="D1821" s="58">
        <f>MATCH(B1821,{"GENNAIO","FEBBRAIO","MARZO","APRILE","MAGGIO","GIUGNO","LUGLIO","AGOSTO","SETTEMBRE","OTTOBRE","NOVEMBRE","DICEMBRE"},0)</f>
        <v>9</v>
      </c>
      <c r="E1821" s="57" t="str">
        <f t="shared" si="1742"/>
        <v>SETTEMBRE 2023</v>
      </c>
      <c r="F1821" s="57" t="str">
        <f t="shared" si="1743"/>
        <v>9 SETTEMBRE 2023</v>
      </c>
      <c r="G1821" s="1309" t="s">
        <v>91</v>
      </c>
      <c r="H1821" s="1309" t="str">
        <f>VLOOKUP(G1821,CATEGORIE!$H$3:$I$104,2,FALSE)</f>
        <v>COSTO SOPRAVVIVENZA</v>
      </c>
      <c r="I1821" s="59">
        <v>0.4</v>
      </c>
      <c r="J1821" s="940"/>
      <c r="K1821" s="59"/>
      <c r="L1821" s="59"/>
    </row>
    <row r="1822" spans="1:12" ht="18" customHeight="1">
      <c r="A1822" s="57" t="s">
        <v>229</v>
      </c>
      <c r="B1822" s="57" t="s">
        <v>240</v>
      </c>
      <c r="C1822" s="57">
        <v>2023</v>
      </c>
      <c r="D1822" s="58">
        <f>MATCH(B1822,{"GENNAIO","FEBBRAIO","MARZO","APRILE","MAGGIO","GIUGNO","LUGLIO","AGOSTO","SETTEMBRE","OTTOBRE","NOVEMBRE","DICEMBRE"},0)</f>
        <v>9</v>
      </c>
      <c r="E1822" s="57" t="str">
        <f t="shared" si="1742"/>
        <v>SETTEMBRE 2023</v>
      </c>
      <c r="F1822" s="57" t="str">
        <f t="shared" si="1743"/>
        <v>9 SETTEMBRE 2023</v>
      </c>
      <c r="G1822" s="1309" t="s">
        <v>163</v>
      </c>
      <c r="H1822" s="1309" t="str">
        <f>VLOOKUP(G1822,CATEGORIE!$H$3:$I$104,2,FALSE)</f>
        <v>COSTO SVAGHI</v>
      </c>
      <c r="I1822" s="59">
        <v>34.78</v>
      </c>
      <c r="J1822" s="940" t="s">
        <v>138</v>
      </c>
      <c r="K1822" s="59" t="s">
        <v>112</v>
      </c>
      <c r="L1822" s="59"/>
    </row>
    <row r="1823" spans="1:12">
      <c r="A1823" s="57" t="s">
        <v>105</v>
      </c>
      <c r="B1823" s="57" t="s">
        <v>240</v>
      </c>
      <c r="C1823" s="57">
        <v>2023</v>
      </c>
      <c r="D1823" s="58">
        <f>MATCH(B1823,{"GENNAIO","FEBBRAIO","MARZO","APRILE","MAGGIO","GIUGNO","LUGLIO","AGOSTO","SETTEMBRE","OTTOBRE","NOVEMBRE","DICEMBRE"},0)</f>
        <v>9</v>
      </c>
      <c r="E1823" s="57" t="str">
        <f t="shared" si="1742"/>
        <v>SETTEMBRE 2023</v>
      </c>
      <c r="F1823" s="57" t="str">
        <f t="shared" si="1743"/>
        <v>9 SETTEMBRE 2023</v>
      </c>
      <c r="G1823" s="1309" t="s">
        <v>96</v>
      </c>
      <c r="H1823" s="1309" t="str">
        <f>VLOOKUP(G1823,CATEGORIE!$H$3:$I$104,2,FALSE)</f>
        <v>COSTO SOPRAVVIVENZA</v>
      </c>
      <c r="I1823" s="59">
        <v>17.98</v>
      </c>
      <c r="J1823" s="940"/>
      <c r="K1823" s="59"/>
      <c r="L1823" s="59"/>
    </row>
    <row r="1824" spans="1:12" ht="16.5" customHeight="1">
      <c r="A1824" s="57" t="s">
        <v>95</v>
      </c>
      <c r="B1824" s="57" t="s">
        <v>240</v>
      </c>
      <c r="C1824" s="57">
        <v>2023</v>
      </c>
      <c r="D1824" s="58">
        <f>MATCH(B1824,{"GENNAIO","FEBBRAIO","MARZO","APRILE","MAGGIO","GIUGNO","LUGLIO","AGOSTO","SETTEMBRE","OTTOBRE","NOVEMBRE","DICEMBRE"},0)</f>
        <v>9</v>
      </c>
      <c r="E1824" s="57" t="str">
        <f t="shared" si="1742"/>
        <v>SETTEMBRE 2023</v>
      </c>
      <c r="F1824" s="57" t="str">
        <f t="shared" si="1743"/>
        <v>9 SETTEMBRE 2023</v>
      </c>
      <c r="G1824" s="1309" t="s">
        <v>96</v>
      </c>
      <c r="H1824" s="1309" t="str">
        <f>VLOOKUP(G1824,CATEGORIE!$H$3:$I$104,2,FALSE)</f>
        <v>COSTO SOPRAVVIVENZA</v>
      </c>
      <c r="I1824" s="59">
        <v>20.12</v>
      </c>
      <c r="J1824" s="940"/>
      <c r="K1824" s="59"/>
      <c r="L1824" s="59"/>
    </row>
    <row r="1825" spans="1:12" ht="16.5" customHeight="1">
      <c r="A1825" s="57" t="s">
        <v>229</v>
      </c>
      <c r="B1825" s="57" t="s">
        <v>240</v>
      </c>
      <c r="C1825" s="57">
        <v>2023</v>
      </c>
      <c r="D1825" s="58">
        <f>MATCH(B1825,{"GENNAIO","FEBBRAIO","MARZO","APRILE","MAGGIO","GIUGNO","LUGLIO","AGOSTO","SETTEMBRE","OTTOBRE","NOVEMBRE","DICEMBRE"},0)</f>
        <v>9</v>
      </c>
      <c r="E1825" s="57" t="str">
        <f t="shared" si="1742"/>
        <v>SETTEMBRE 2023</v>
      </c>
      <c r="F1825" s="57" t="str">
        <f t="shared" si="1743"/>
        <v>9 SETTEMBRE 2023</v>
      </c>
      <c r="G1825" s="1309" t="s">
        <v>163</v>
      </c>
      <c r="H1825" s="1309" t="str">
        <f>VLOOKUP(G1825,CATEGORIE!$H$3:$I$104,2,FALSE)</f>
        <v>COSTO SVAGHI</v>
      </c>
      <c r="I1825" s="59">
        <v>40.9</v>
      </c>
      <c r="J1825" s="940" t="s">
        <v>215</v>
      </c>
      <c r="K1825" s="59" t="s">
        <v>112</v>
      </c>
      <c r="L1825" s="59"/>
    </row>
    <row r="1826" spans="1:12" ht="16.5" customHeight="1">
      <c r="A1826" s="57" t="s">
        <v>105</v>
      </c>
      <c r="B1826" s="57" t="s">
        <v>261</v>
      </c>
      <c r="C1826" s="57">
        <v>2023</v>
      </c>
      <c r="D1826" s="58">
        <f>MATCH(B1826,{"GENNAIO","FEBBRAIO","MARZO","APRILE","MAGGIO","GIUGNO","LUGLIO","AGOSTO","SETTEMBRE","OTTOBRE","NOVEMBRE","DICEMBRE"},0)</f>
        <v>8</v>
      </c>
      <c r="E1826" s="57" t="str">
        <f t="shared" si="1742"/>
        <v>AGOSTO 2023</v>
      </c>
      <c r="F1826" s="57" t="str">
        <f t="shared" si="1743"/>
        <v>8 AGOSTO 2023</v>
      </c>
      <c r="G1826" s="1309" t="s">
        <v>96</v>
      </c>
      <c r="H1826" s="1309" t="str">
        <f>VLOOKUP(G1826,CATEGORIE!$H$3:$I$104,2,FALSE)</f>
        <v>COSTO SOPRAVVIVENZA</v>
      </c>
      <c r="I1826" s="59">
        <v>16.899999999999999</v>
      </c>
      <c r="J1826" s="940"/>
      <c r="K1826" s="59"/>
      <c r="L1826" s="59"/>
    </row>
    <row r="1827" spans="1:12">
      <c r="A1827" s="57" t="s">
        <v>166</v>
      </c>
      <c r="B1827" s="57" t="s">
        <v>261</v>
      </c>
      <c r="C1827" s="57">
        <v>2023</v>
      </c>
      <c r="D1827" s="58">
        <f>MATCH(B1827,{"GENNAIO","FEBBRAIO","MARZO","APRILE","MAGGIO","GIUGNO","LUGLIO","AGOSTO","SETTEMBRE","OTTOBRE","NOVEMBRE","DICEMBRE"},0)</f>
        <v>8</v>
      </c>
      <c r="E1827" s="57" t="str">
        <f t="shared" si="1742"/>
        <v>AGOSTO 2023</v>
      </c>
      <c r="F1827" s="57" t="str">
        <f t="shared" si="1743"/>
        <v>8 AGOSTO 2023</v>
      </c>
      <c r="G1827" s="1309" t="s">
        <v>94</v>
      </c>
      <c r="H1827" s="1309" t="str">
        <f>VLOOKUP(G1827,CATEGORIE!$H$3:$I$104,2,FALSE)</f>
        <v>COSTO SVAGHI</v>
      </c>
      <c r="I1827" s="59">
        <v>3.2</v>
      </c>
      <c r="J1827" s="940"/>
      <c r="K1827" s="59"/>
      <c r="L1827" s="59"/>
    </row>
    <row r="1828" spans="1:12" ht="16.5" customHeight="1">
      <c r="A1828" s="57" t="s">
        <v>166</v>
      </c>
      <c r="B1828" s="57" t="s">
        <v>261</v>
      </c>
      <c r="C1828" s="57">
        <v>2023</v>
      </c>
      <c r="D1828" s="58">
        <f>MATCH(B1828,{"GENNAIO","FEBBRAIO","MARZO","APRILE","MAGGIO","GIUGNO","LUGLIO","AGOSTO","SETTEMBRE","OTTOBRE","NOVEMBRE","DICEMBRE"},0)</f>
        <v>8</v>
      </c>
      <c r="E1828" s="57" t="str">
        <f t="shared" si="1742"/>
        <v>AGOSTO 2023</v>
      </c>
      <c r="F1828" s="57" t="str">
        <f t="shared" si="1743"/>
        <v>8 AGOSTO 2023</v>
      </c>
      <c r="G1828" s="1309" t="s">
        <v>94</v>
      </c>
      <c r="H1828" s="1309" t="str">
        <f>VLOOKUP(G1828,CATEGORIE!$H$3:$I$104,2,FALSE)</f>
        <v>COSTO SVAGHI</v>
      </c>
      <c r="I1828" s="59">
        <v>6.9</v>
      </c>
      <c r="J1828" s="940"/>
      <c r="K1828" s="59"/>
      <c r="L1828" s="59"/>
    </row>
    <row r="1829" spans="1:12" ht="16.5" customHeight="1">
      <c r="A1829" s="57" t="s">
        <v>534</v>
      </c>
      <c r="B1829" s="57" t="s">
        <v>261</v>
      </c>
      <c r="C1829" s="57">
        <v>2023</v>
      </c>
      <c r="D1829" s="58">
        <f>MATCH(B1829,{"GENNAIO","FEBBRAIO","MARZO","APRILE","MAGGIO","GIUGNO","LUGLIO","AGOSTO","SETTEMBRE","OTTOBRE","NOVEMBRE","DICEMBRE"},0)</f>
        <v>8</v>
      </c>
      <c r="E1829" s="57" t="str">
        <f t="shared" si="1742"/>
        <v>AGOSTO 2023</v>
      </c>
      <c r="F1829" s="57" t="str">
        <f t="shared" si="1743"/>
        <v>8 AGOSTO 2023</v>
      </c>
      <c r="G1829" s="1309" t="s">
        <v>188</v>
      </c>
      <c r="H1829" s="1309" t="str">
        <f>VLOOKUP(G1829,CATEGORIE!$H$3:$I$104,2,FALSE)</f>
        <v>COSTO VACANZE</v>
      </c>
      <c r="I1829" s="59">
        <v>238.9</v>
      </c>
      <c r="J1829" s="940"/>
      <c r="K1829" s="59"/>
      <c r="L1829" s="59"/>
    </row>
    <row r="1830" spans="1:12" ht="16.5" customHeight="1">
      <c r="A1830" s="57" t="s">
        <v>535</v>
      </c>
      <c r="B1830" s="57" t="s">
        <v>261</v>
      </c>
      <c r="C1830" s="57">
        <v>2023</v>
      </c>
      <c r="D1830" s="58">
        <f>MATCH(B1830,{"GENNAIO","FEBBRAIO","MARZO","APRILE","MAGGIO","GIUGNO","LUGLIO","AGOSTO","SETTEMBRE","OTTOBRE","NOVEMBRE","DICEMBRE"},0)</f>
        <v>8</v>
      </c>
      <c r="E1830" s="57" t="str">
        <f t="shared" si="1742"/>
        <v>AGOSTO 2023</v>
      </c>
      <c r="F1830" s="57" t="str">
        <f t="shared" si="1743"/>
        <v>8 AGOSTO 2023</v>
      </c>
      <c r="G1830" s="1309" t="s">
        <v>111</v>
      </c>
      <c r="H1830" s="1309" t="str">
        <f>VLOOKUP(G1830,CATEGORIE!$H$3:$I$104,2,FALSE)</f>
        <v>COSTO MOBILITA'</v>
      </c>
      <c r="I1830" s="59">
        <v>5.85</v>
      </c>
      <c r="J1830" s="940"/>
      <c r="K1830" s="59"/>
      <c r="L1830" s="59"/>
    </row>
    <row r="1831" spans="1:12">
      <c r="A1831" s="57" t="s">
        <v>536</v>
      </c>
      <c r="B1831" s="57" t="s">
        <v>261</v>
      </c>
      <c r="C1831" s="57">
        <v>2023</v>
      </c>
      <c r="D1831" s="58">
        <f>MATCH(B1831,{"GENNAIO","FEBBRAIO","MARZO","APRILE","MAGGIO","GIUGNO","LUGLIO","AGOSTO","SETTEMBRE","OTTOBRE","NOVEMBRE","DICEMBRE"},0)</f>
        <v>8</v>
      </c>
      <c r="E1831" s="57" t="str">
        <f t="shared" si="1742"/>
        <v>AGOSTO 2023</v>
      </c>
      <c r="F1831" s="57" t="str">
        <f t="shared" si="1743"/>
        <v>8 AGOSTO 2023</v>
      </c>
      <c r="G1831" s="1309" t="s">
        <v>188</v>
      </c>
      <c r="H1831" s="1309" t="str">
        <f>VLOOKUP(G1831,CATEGORIE!$H$3:$I$104,2,FALSE)</f>
        <v>COSTO VACANZE</v>
      </c>
      <c r="I1831" s="59">
        <v>322</v>
      </c>
      <c r="J1831" s="940"/>
      <c r="K1831" s="59"/>
      <c r="L1831" s="59"/>
    </row>
    <row r="1832" spans="1:12" ht="18.600000000000001" customHeight="1">
      <c r="A1832" s="57" t="s">
        <v>537</v>
      </c>
      <c r="B1832" s="57" t="s">
        <v>261</v>
      </c>
      <c r="C1832" s="57">
        <v>2023</v>
      </c>
      <c r="D1832" s="58">
        <f>MATCH(B1832,{"GENNAIO","FEBBRAIO","MARZO","APRILE","MAGGIO","GIUGNO","LUGLIO","AGOSTO","SETTEMBRE","OTTOBRE","NOVEMBRE","DICEMBRE"},0)</f>
        <v>8</v>
      </c>
      <c r="E1832" s="57" t="str">
        <f t="shared" si="1742"/>
        <v>AGOSTO 2023</v>
      </c>
      <c r="F1832" s="57" t="str">
        <f t="shared" si="1743"/>
        <v>8 AGOSTO 2023</v>
      </c>
      <c r="G1832" s="1309" t="s">
        <v>94</v>
      </c>
      <c r="H1832" s="1309" t="str">
        <f>VLOOKUP(G1832,CATEGORIE!$H$3:$I$104,2,FALSE)</f>
        <v>COSTO SVAGHI</v>
      </c>
      <c r="I1832" s="59">
        <v>63.4</v>
      </c>
      <c r="J1832" s="940"/>
      <c r="K1832" s="59"/>
      <c r="L1832" s="59"/>
    </row>
    <row r="1833" spans="1:12">
      <c r="A1833" s="57" t="s">
        <v>538</v>
      </c>
      <c r="B1833" s="57" t="s">
        <v>261</v>
      </c>
      <c r="C1833" s="57">
        <v>2023</v>
      </c>
      <c r="D1833" s="58">
        <f>MATCH(B1833,{"GENNAIO","FEBBRAIO","MARZO","APRILE","MAGGIO","GIUGNO","LUGLIO","AGOSTO","SETTEMBRE","OTTOBRE","NOVEMBRE","DICEMBRE"},0)</f>
        <v>8</v>
      </c>
      <c r="E1833" s="57" t="str">
        <f t="shared" si="1742"/>
        <v>AGOSTO 2023</v>
      </c>
      <c r="F1833" s="57" t="str">
        <f t="shared" si="1743"/>
        <v>8 AGOSTO 2023</v>
      </c>
      <c r="G1833" s="1309" t="s">
        <v>94</v>
      </c>
      <c r="H1833" s="1309" t="str">
        <f>VLOOKUP(G1833,CATEGORIE!$H$3:$I$104,2,FALSE)</f>
        <v>COSTO SVAGHI</v>
      </c>
      <c r="I1833" s="59">
        <v>49.5</v>
      </c>
      <c r="J1833" s="940"/>
      <c r="K1833" s="59"/>
      <c r="L1833" s="59"/>
    </row>
    <row r="1834" spans="1:12">
      <c r="A1834" s="57" t="s">
        <v>105</v>
      </c>
      <c r="B1834" s="57" t="s">
        <v>261</v>
      </c>
      <c r="C1834" s="57">
        <v>2023</v>
      </c>
      <c r="D1834" s="58">
        <f>MATCH(B1834,{"GENNAIO","FEBBRAIO","MARZO","APRILE","MAGGIO","GIUGNO","LUGLIO","AGOSTO","SETTEMBRE","OTTOBRE","NOVEMBRE","DICEMBRE"},0)</f>
        <v>8</v>
      </c>
      <c r="E1834" s="57" t="str">
        <f t="shared" si="1742"/>
        <v>AGOSTO 2023</v>
      </c>
      <c r="F1834" s="57" t="str">
        <f t="shared" si="1743"/>
        <v>8 AGOSTO 2023</v>
      </c>
      <c r="G1834" s="1309" t="s">
        <v>96</v>
      </c>
      <c r="H1834" s="1309" t="str">
        <f>VLOOKUP(G1834,CATEGORIE!$H$3:$I$104,2,FALSE)</f>
        <v>COSTO SOPRAVVIVENZA</v>
      </c>
      <c r="I1834" s="59">
        <v>8.93</v>
      </c>
      <c r="J1834" s="940"/>
      <c r="K1834" s="59"/>
      <c r="L1834" s="59"/>
    </row>
    <row r="1835" spans="1:12" ht="16.5" customHeight="1">
      <c r="A1835" s="57" t="s">
        <v>135</v>
      </c>
      <c r="B1835" s="57" t="s">
        <v>261</v>
      </c>
      <c r="C1835" s="57">
        <v>2023</v>
      </c>
      <c r="D1835" s="58">
        <f>MATCH(B1835,{"GENNAIO","FEBBRAIO","MARZO","APRILE","MAGGIO","GIUGNO","LUGLIO","AGOSTO","SETTEMBRE","OTTOBRE","NOVEMBRE","DICEMBRE"},0)</f>
        <v>8</v>
      </c>
      <c r="E1835" s="57" t="str">
        <f t="shared" si="1742"/>
        <v>AGOSTO 2023</v>
      </c>
      <c r="F1835" s="57" t="str">
        <f t="shared" si="1743"/>
        <v>8 AGOSTO 2023</v>
      </c>
      <c r="G1835" s="1309" t="s">
        <v>132</v>
      </c>
      <c r="H1835" s="1309" t="str">
        <f>VLOOKUP(G1835,CATEGORIE!$H$3:$I$104,2,FALSE)</f>
        <v>COSTO CASA</v>
      </c>
      <c r="I1835" s="59">
        <v>8.39</v>
      </c>
      <c r="J1835" s="940"/>
      <c r="K1835" s="59"/>
      <c r="L1835" s="59"/>
    </row>
    <row r="1836" spans="1:12">
      <c r="A1836" s="57" t="s">
        <v>539</v>
      </c>
      <c r="B1836" s="57" t="s">
        <v>261</v>
      </c>
      <c r="C1836" s="57">
        <v>2023</v>
      </c>
      <c r="D1836" s="58">
        <f>MATCH(B1836,{"GENNAIO","FEBBRAIO","MARZO","APRILE","MAGGIO","GIUGNO","LUGLIO","AGOSTO","SETTEMBRE","OTTOBRE","NOVEMBRE","DICEMBRE"},0)</f>
        <v>8</v>
      </c>
      <c r="E1836" s="57" t="str">
        <f t="shared" si="1742"/>
        <v>AGOSTO 2023</v>
      </c>
      <c r="F1836" s="57" t="str">
        <f t="shared" si="1743"/>
        <v>8 AGOSTO 2023</v>
      </c>
      <c r="G1836" s="1309" t="s">
        <v>132</v>
      </c>
      <c r="H1836" s="1309" t="str">
        <f>VLOOKUP(G1836,CATEGORIE!$H$3:$I$104,2,FALSE)</f>
        <v>COSTO CASA</v>
      </c>
      <c r="I1836" s="59">
        <v>2.9</v>
      </c>
      <c r="J1836" s="940"/>
      <c r="K1836" s="59"/>
      <c r="L1836" s="59"/>
    </row>
    <row r="1837" spans="1:12" ht="16.5" customHeight="1">
      <c r="A1837" s="57" t="s">
        <v>170</v>
      </c>
      <c r="B1837" s="57" t="s">
        <v>261</v>
      </c>
      <c r="C1837" s="57">
        <v>2023</v>
      </c>
      <c r="D1837" s="58">
        <f>MATCH(B1837,{"GENNAIO","FEBBRAIO","MARZO","APRILE","MAGGIO","GIUGNO","LUGLIO","AGOSTO","SETTEMBRE","OTTOBRE","NOVEMBRE","DICEMBRE"},0)</f>
        <v>8</v>
      </c>
      <c r="E1837" s="57" t="str">
        <f t="shared" si="1742"/>
        <v>AGOSTO 2023</v>
      </c>
      <c r="F1837" s="57" t="str">
        <f t="shared" si="1743"/>
        <v>8 AGOSTO 2023</v>
      </c>
      <c r="G1837" s="1309" t="s">
        <v>132</v>
      </c>
      <c r="H1837" s="1309" t="str">
        <f>VLOOKUP(G1837,CATEGORIE!$H$3:$I$104,2,FALSE)</f>
        <v>COSTO CASA</v>
      </c>
      <c r="I1837" s="59">
        <v>10.9</v>
      </c>
      <c r="J1837" s="940"/>
      <c r="K1837" s="59"/>
      <c r="L1837" s="59"/>
    </row>
    <row r="1838" spans="1:12" ht="16.5" customHeight="1">
      <c r="A1838" s="57" t="s">
        <v>109</v>
      </c>
      <c r="B1838" s="57" t="s">
        <v>261</v>
      </c>
      <c r="C1838" s="57">
        <v>2023</v>
      </c>
      <c r="D1838" s="58">
        <f>MATCH(B1838,{"GENNAIO","FEBBRAIO","MARZO","APRILE","MAGGIO","GIUGNO","LUGLIO","AGOSTO","SETTEMBRE","OTTOBRE","NOVEMBRE","DICEMBRE"},0)</f>
        <v>8</v>
      </c>
      <c r="E1838" s="57" t="str">
        <f t="shared" si="1742"/>
        <v>AGOSTO 2023</v>
      </c>
      <c r="F1838" s="57" t="str">
        <f t="shared" si="1743"/>
        <v>8 AGOSTO 2023</v>
      </c>
      <c r="G1838" s="1309" t="s">
        <v>94</v>
      </c>
      <c r="H1838" s="1309" t="str">
        <f>VLOOKUP(G1838,CATEGORIE!$H$3:$I$104,2,FALSE)</f>
        <v>COSTO SVAGHI</v>
      </c>
      <c r="I1838" s="59">
        <v>29</v>
      </c>
      <c r="J1838" s="940"/>
      <c r="K1838" s="59"/>
      <c r="L1838" s="59"/>
    </row>
    <row r="1839" spans="1:12" ht="16.5" customHeight="1">
      <c r="A1839" s="57" t="s">
        <v>105</v>
      </c>
      <c r="B1839" s="57" t="s">
        <v>261</v>
      </c>
      <c r="C1839" s="57">
        <v>2023</v>
      </c>
      <c r="D1839" s="58">
        <f>MATCH(B1839,{"GENNAIO","FEBBRAIO","MARZO","APRILE","MAGGIO","GIUGNO","LUGLIO","AGOSTO","SETTEMBRE","OTTOBRE","NOVEMBRE","DICEMBRE"},0)</f>
        <v>8</v>
      </c>
      <c r="E1839" s="57" t="str">
        <f t="shared" si="1742"/>
        <v>AGOSTO 2023</v>
      </c>
      <c r="F1839" s="57" t="str">
        <f t="shared" si="1743"/>
        <v>8 AGOSTO 2023</v>
      </c>
      <c r="G1839" s="1309" t="s">
        <v>96</v>
      </c>
      <c r="H1839" s="1309" t="str">
        <f>VLOOKUP(G1839,CATEGORIE!$H$3:$I$104,2,FALSE)</f>
        <v>COSTO SOPRAVVIVENZA</v>
      </c>
      <c r="I1839" s="59">
        <v>4.26</v>
      </c>
      <c r="J1839" s="940"/>
      <c r="K1839" s="59"/>
      <c r="L1839" s="59"/>
    </row>
    <row r="1840" spans="1:12">
      <c r="A1840" s="57" t="s">
        <v>540</v>
      </c>
      <c r="B1840" s="57" t="s">
        <v>261</v>
      </c>
      <c r="C1840" s="57">
        <v>2023</v>
      </c>
      <c r="D1840" s="58">
        <f>MATCH(B1840,{"GENNAIO","FEBBRAIO","MARZO","APRILE","MAGGIO","GIUGNO","LUGLIO","AGOSTO","SETTEMBRE","OTTOBRE","NOVEMBRE","DICEMBRE"},0)</f>
        <v>8</v>
      </c>
      <c r="E1840" s="57" t="str">
        <f t="shared" si="1742"/>
        <v>AGOSTO 2023</v>
      </c>
      <c r="F1840" s="57" t="str">
        <f t="shared" si="1743"/>
        <v>8 AGOSTO 2023</v>
      </c>
      <c r="G1840" s="1309" t="s">
        <v>94</v>
      </c>
      <c r="H1840" s="1309" t="str">
        <f>VLOOKUP(G1840,CATEGORIE!$H$3:$I$104,2,FALSE)</f>
        <v>COSTO SVAGHI</v>
      </c>
      <c r="I1840" s="59">
        <v>79.7</v>
      </c>
      <c r="J1840" s="940"/>
      <c r="K1840" s="59"/>
      <c r="L1840" s="59"/>
    </row>
    <row r="1841" spans="1:12">
      <c r="A1841" s="57" t="s">
        <v>92</v>
      </c>
      <c r="B1841" s="57" t="s">
        <v>261</v>
      </c>
      <c r="C1841" s="57">
        <v>2023</v>
      </c>
      <c r="D1841" s="58">
        <f>MATCH(B1841,{"GENNAIO","FEBBRAIO","MARZO","APRILE","MAGGIO","GIUGNO","LUGLIO","AGOSTO","SETTEMBRE","OTTOBRE","NOVEMBRE","DICEMBRE"},0)</f>
        <v>8</v>
      </c>
      <c r="E1841" s="57" t="str">
        <f t="shared" si="1742"/>
        <v>AGOSTO 2023</v>
      </c>
      <c r="F1841" s="57" t="str">
        <f t="shared" si="1743"/>
        <v>8 AGOSTO 2023</v>
      </c>
      <c r="G1841" s="1309" t="s">
        <v>94</v>
      </c>
      <c r="H1841" s="1309" t="str">
        <f>VLOOKUP(G1841,CATEGORIE!$H$3:$I$104,2,FALSE)</f>
        <v>COSTO SVAGHI</v>
      </c>
      <c r="I1841" s="59">
        <v>16</v>
      </c>
      <c r="J1841" s="940"/>
      <c r="K1841" s="59"/>
      <c r="L1841" s="59"/>
    </row>
    <row r="1842" spans="1:12">
      <c r="A1842" s="57" t="s">
        <v>92</v>
      </c>
      <c r="B1842" s="57" t="s">
        <v>261</v>
      </c>
      <c r="C1842" s="57">
        <v>2023</v>
      </c>
      <c r="D1842" s="58">
        <f>MATCH(B1842,{"GENNAIO","FEBBRAIO","MARZO","APRILE","MAGGIO","GIUGNO","LUGLIO","AGOSTO","SETTEMBRE","OTTOBRE","NOVEMBRE","DICEMBRE"},0)</f>
        <v>8</v>
      </c>
      <c r="E1842" s="57" t="str">
        <f t="shared" si="1742"/>
        <v>AGOSTO 2023</v>
      </c>
      <c r="F1842" s="57" t="str">
        <f t="shared" si="1743"/>
        <v>8 AGOSTO 2023</v>
      </c>
      <c r="G1842" s="1309" t="s">
        <v>93</v>
      </c>
      <c r="H1842" s="1309" t="str">
        <f>VLOOKUP(G1842,CATEGORIE!$H$3:$I$104,2,FALSE)</f>
        <v>COSTO SOPRAVVIVENZA</v>
      </c>
      <c r="I1842" s="59">
        <v>5</v>
      </c>
      <c r="J1842" s="940"/>
      <c r="K1842" s="59"/>
      <c r="L1842" s="59"/>
    </row>
    <row r="1843" spans="1:12">
      <c r="A1843" s="57" t="s">
        <v>106</v>
      </c>
      <c r="B1843" s="57" t="s">
        <v>261</v>
      </c>
      <c r="C1843" s="57">
        <v>2023</v>
      </c>
      <c r="D1843" s="58">
        <f>MATCH(B1843,{"GENNAIO","FEBBRAIO","MARZO","APRILE","MAGGIO","GIUGNO","LUGLIO","AGOSTO","SETTEMBRE","OTTOBRE","NOVEMBRE","DICEMBRE"},0)</f>
        <v>8</v>
      </c>
      <c r="E1843" s="57" t="str">
        <f t="shared" si="1742"/>
        <v>AGOSTO 2023</v>
      </c>
      <c r="F1843" s="57" t="str">
        <f t="shared" si="1743"/>
        <v>8 AGOSTO 2023</v>
      </c>
      <c r="G1843" s="1309" t="s">
        <v>107</v>
      </c>
      <c r="H1843" s="1309" t="str">
        <f>VLOOKUP(G1843,CATEGORIE!$H$3:$I$104,2,FALSE)</f>
        <v>COSTO SOPRAVVIVENZA</v>
      </c>
      <c r="I1843" s="59">
        <v>33</v>
      </c>
      <c r="J1843" s="940"/>
      <c r="K1843" s="59"/>
      <c r="L1843" s="59"/>
    </row>
    <row r="1844" spans="1:12" ht="16.5" customHeight="1">
      <c r="A1844" s="57" t="s">
        <v>99</v>
      </c>
      <c r="B1844" s="57" t="s">
        <v>261</v>
      </c>
      <c r="C1844" s="57">
        <v>2023</v>
      </c>
      <c r="D1844" s="58">
        <f>MATCH(B1844,{"GENNAIO","FEBBRAIO","MARZO","APRILE","MAGGIO","GIUGNO","LUGLIO","AGOSTO","SETTEMBRE","OTTOBRE","NOVEMBRE","DICEMBRE"},0)</f>
        <v>8</v>
      </c>
      <c r="E1844" s="57" t="str">
        <f t="shared" si="1742"/>
        <v>AGOSTO 2023</v>
      </c>
      <c r="F1844" s="57" t="str">
        <f t="shared" si="1743"/>
        <v>8 AGOSTO 2023</v>
      </c>
      <c r="G1844" s="1309" t="s">
        <v>100</v>
      </c>
      <c r="H1844" s="1309" t="str">
        <f>VLOOKUP(G1844,CATEGORIE!$H$3:$I$104,2,FALSE)</f>
        <v>COSTO SFIZI</v>
      </c>
      <c r="I1844" s="59">
        <v>8.07</v>
      </c>
      <c r="J1844" s="940"/>
      <c r="K1844" s="57" t="s">
        <v>99</v>
      </c>
      <c r="L1844" s="59"/>
    </row>
    <row r="1845" spans="1:12" ht="18" customHeight="1">
      <c r="A1845" s="57" t="s">
        <v>105</v>
      </c>
      <c r="B1845" s="57" t="s">
        <v>261</v>
      </c>
      <c r="C1845" s="57">
        <v>2023</v>
      </c>
      <c r="D1845" s="58">
        <f>MATCH(B1845,{"GENNAIO","FEBBRAIO","MARZO","APRILE","MAGGIO","GIUGNO","LUGLIO","AGOSTO","SETTEMBRE","OTTOBRE","NOVEMBRE","DICEMBRE"},0)</f>
        <v>8</v>
      </c>
      <c r="E1845" s="57" t="str">
        <f t="shared" si="1742"/>
        <v>AGOSTO 2023</v>
      </c>
      <c r="F1845" s="57" t="str">
        <f t="shared" si="1743"/>
        <v>8 AGOSTO 2023</v>
      </c>
      <c r="G1845" s="1309" t="s">
        <v>96</v>
      </c>
      <c r="H1845" s="1309" t="str">
        <f>VLOOKUP(G1845,CATEGORIE!$H$3:$I$104,2,FALSE)</f>
        <v>COSTO SOPRAVVIVENZA</v>
      </c>
      <c r="I1845" s="59">
        <v>24.11</v>
      </c>
      <c r="J1845" s="940"/>
      <c r="K1845" s="59"/>
      <c r="L1845" s="59"/>
    </row>
    <row r="1846" spans="1:12" ht="18" customHeight="1">
      <c r="A1846" s="57" t="s">
        <v>95</v>
      </c>
      <c r="B1846" s="57" t="s">
        <v>261</v>
      </c>
      <c r="C1846" s="57">
        <v>2023</v>
      </c>
      <c r="D1846" s="58">
        <f>MATCH(B1846,{"GENNAIO","FEBBRAIO","MARZO","APRILE","MAGGIO","GIUGNO","LUGLIO","AGOSTO","SETTEMBRE","OTTOBRE","NOVEMBRE","DICEMBRE"},0)</f>
        <v>8</v>
      </c>
      <c r="E1846" s="57" t="str">
        <f t="shared" si="1742"/>
        <v>AGOSTO 2023</v>
      </c>
      <c r="F1846" s="57" t="str">
        <f t="shared" si="1743"/>
        <v>8 AGOSTO 2023</v>
      </c>
      <c r="G1846" s="1309" t="s">
        <v>96</v>
      </c>
      <c r="H1846" s="1309" t="str">
        <f>VLOOKUP(G1846,CATEGORIE!$H$3:$I$104,2,FALSE)</f>
        <v>COSTO SOPRAVVIVENZA</v>
      </c>
      <c r="I1846" s="59">
        <v>13.49</v>
      </c>
      <c r="J1846" s="940"/>
      <c r="K1846" s="59"/>
      <c r="L1846" s="59"/>
    </row>
    <row r="1847" spans="1:12" ht="18" customHeight="1">
      <c r="A1847" s="57" t="s">
        <v>338</v>
      </c>
      <c r="B1847" s="57" t="s">
        <v>261</v>
      </c>
      <c r="C1847" s="57">
        <v>2023</v>
      </c>
      <c r="D1847" s="58">
        <f>MATCH(B1847,{"GENNAIO","FEBBRAIO","MARZO","APRILE","MAGGIO","GIUGNO","LUGLIO","AGOSTO","SETTEMBRE","OTTOBRE","NOVEMBRE","DICEMBRE"},0)</f>
        <v>8</v>
      </c>
      <c r="E1847" s="57" t="str">
        <f t="shared" si="1742"/>
        <v>AGOSTO 2023</v>
      </c>
      <c r="F1847" s="57" t="str">
        <f t="shared" si="1743"/>
        <v>8 AGOSTO 2023</v>
      </c>
      <c r="G1847" s="1309" t="s">
        <v>94</v>
      </c>
      <c r="H1847" s="1309" t="str">
        <f>VLOOKUP(G1847,CATEGORIE!$H$3:$I$104,2,FALSE)</f>
        <v>COSTO SVAGHI</v>
      </c>
      <c r="I1847" s="59">
        <v>11.5</v>
      </c>
      <c r="J1847" s="940"/>
      <c r="K1847" s="59"/>
      <c r="L1847" s="59"/>
    </row>
    <row r="1848" spans="1:12" ht="16.5" customHeight="1">
      <c r="A1848" s="57" t="s">
        <v>541</v>
      </c>
      <c r="B1848" s="57" t="s">
        <v>261</v>
      </c>
      <c r="C1848" s="57">
        <v>2023</v>
      </c>
      <c r="D1848" s="58">
        <f>MATCH(B1848,{"GENNAIO","FEBBRAIO","MARZO","APRILE","MAGGIO","GIUGNO","LUGLIO","AGOSTO","SETTEMBRE","OTTOBRE","NOVEMBRE","DICEMBRE"},0)</f>
        <v>8</v>
      </c>
      <c r="E1848" s="57" t="str">
        <f t="shared" si="1742"/>
        <v>AGOSTO 2023</v>
      </c>
      <c r="F1848" s="57" t="str">
        <f t="shared" si="1743"/>
        <v>8 AGOSTO 2023</v>
      </c>
      <c r="G1848" s="1309" t="s">
        <v>121</v>
      </c>
      <c r="H1848" s="1309" t="str">
        <f>VLOOKUP(G1848,CATEGORIE!$H$3:$I$104,2,FALSE)</f>
        <v>COSTO MOBILITA'</v>
      </c>
      <c r="I1848" s="59">
        <v>380</v>
      </c>
      <c r="J1848" s="940"/>
      <c r="K1848" s="59"/>
      <c r="L1848" s="59"/>
    </row>
    <row r="1849" spans="1:12" ht="16.5" customHeight="1">
      <c r="A1849" s="57" t="s">
        <v>542</v>
      </c>
      <c r="B1849" s="57" t="s">
        <v>261</v>
      </c>
      <c r="C1849" s="57">
        <v>2023</v>
      </c>
      <c r="D1849" s="58">
        <f>MATCH(B1849,{"GENNAIO","FEBBRAIO","MARZO","APRILE","MAGGIO","GIUGNO","LUGLIO","AGOSTO","SETTEMBRE","OTTOBRE","NOVEMBRE","DICEMBRE"},0)</f>
        <v>8</v>
      </c>
      <c r="E1849" s="57" t="str">
        <f t="shared" ref="E1849:E1912" si="1744">CONCATENATE(,B1849," ",C1849)</f>
        <v>AGOSTO 2023</v>
      </c>
      <c r="F1849" s="57" t="str">
        <f t="shared" ref="F1849:F1912" si="1745">CONCATENATE(D1849," ",E1849)</f>
        <v>8 AGOSTO 2023</v>
      </c>
      <c r="G1849" s="1309" t="s">
        <v>365</v>
      </c>
      <c r="H1849" s="1309" t="str">
        <f>VLOOKUP(G1849,CATEGORIE!$H$3:$I$104,2,FALSE)</f>
        <v>COSTO SOPRAVVIVENZA</v>
      </c>
      <c r="I1849" s="59">
        <v>15.11</v>
      </c>
      <c r="J1849" s="940" t="s">
        <v>215</v>
      </c>
      <c r="K1849" s="59" t="s">
        <v>112</v>
      </c>
      <c r="L1849" s="59"/>
    </row>
    <row r="1850" spans="1:12" ht="16.5" customHeight="1">
      <c r="A1850" s="57" t="s">
        <v>229</v>
      </c>
      <c r="B1850" s="57" t="s">
        <v>261</v>
      </c>
      <c r="C1850" s="57">
        <v>2023</v>
      </c>
      <c r="D1850" s="58">
        <f>MATCH(B1850,{"GENNAIO","FEBBRAIO","MARZO","APRILE","MAGGIO","GIUGNO","LUGLIO","AGOSTO","SETTEMBRE","OTTOBRE","NOVEMBRE","DICEMBRE"},0)</f>
        <v>8</v>
      </c>
      <c r="E1850" s="57" t="str">
        <f t="shared" si="1744"/>
        <v>AGOSTO 2023</v>
      </c>
      <c r="F1850" s="57" t="str">
        <f t="shared" si="1745"/>
        <v>8 AGOSTO 2023</v>
      </c>
      <c r="G1850" s="1309" t="s">
        <v>163</v>
      </c>
      <c r="H1850" s="1309" t="str">
        <f>VLOOKUP(G1850,CATEGORIE!$H$3:$I$104,2,FALSE)</f>
        <v>COSTO SVAGHI</v>
      </c>
      <c r="I1850" s="59">
        <v>40.909999999999997</v>
      </c>
      <c r="J1850" s="940" t="s">
        <v>124</v>
      </c>
      <c r="K1850" s="59" t="s">
        <v>112</v>
      </c>
      <c r="L1850" s="59"/>
    </row>
    <row r="1851" spans="1:12" ht="16.5" customHeight="1">
      <c r="A1851" s="57" t="s">
        <v>300</v>
      </c>
      <c r="B1851" s="57" t="s">
        <v>288</v>
      </c>
      <c r="C1851" s="57">
        <v>2023</v>
      </c>
      <c r="D1851" s="58">
        <f>MATCH(B1851,{"GENNAIO","FEBBRAIO","MARZO","APRILE","MAGGIO","GIUGNO","LUGLIO","AGOSTO","SETTEMBRE","OTTOBRE","NOVEMBRE","DICEMBRE"},0)</f>
        <v>7</v>
      </c>
      <c r="E1851" s="57" t="str">
        <f t="shared" si="1744"/>
        <v>LUGLIO 2023</v>
      </c>
      <c r="F1851" s="57" t="str">
        <f t="shared" si="1745"/>
        <v>7 LUGLIO 2023</v>
      </c>
      <c r="G1851" s="1309" t="s">
        <v>94</v>
      </c>
      <c r="H1851" s="1309" t="str">
        <f>VLOOKUP(G1851,CATEGORIE!$H$3:$I$104,2,FALSE)</f>
        <v>COSTO SVAGHI</v>
      </c>
      <c r="I1851" s="59">
        <v>66.8</v>
      </c>
      <c r="J1851" s="940"/>
      <c r="K1851" s="59"/>
      <c r="L1851" s="59"/>
    </row>
    <row r="1852" spans="1:12" ht="18.600000000000001" customHeight="1">
      <c r="A1852" s="57" t="s">
        <v>160</v>
      </c>
      <c r="B1852" s="57" t="s">
        <v>288</v>
      </c>
      <c r="C1852" s="57">
        <v>2023</v>
      </c>
      <c r="D1852" s="58">
        <f>MATCH(B1852,{"GENNAIO","FEBBRAIO","MARZO","APRILE","MAGGIO","GIUGNO","LUGLIO","AGOSTO","SETTEMBRE","OTTOBRE","NOVEMBRE","DICEMBRE"},0)</f>
        <v>7</v>
      </c>
      <c r="E1852" s="57" t="str">
        <f t="shared" si="1744"/>
        <v>LUGLIO 2023</v>
      </c>
      <c r="F1852" s="57" t="str">
        <f t="shared" si="1745"/>
        <v>7 LUGLIO 2023</v>
      </c>
      <c r="G1852" s="1309" t="s">
        <v>111</v>
      </c>
      <c r="H1852" s="1309" t="str">
        <f>VLOOKUP(G1852,CATEGORIE!$H$3:$I$104,2,FALSE)</f>
        <v>COSTO MOBILITA'</v>
      </c>
      <c r="I1852" s="59">
        <v>1.7</v>
      </c>
      <c r="J1852" s="940"/>
      <c r="K1852" s="59"/>
      <c r="L1852" s="59"/>
    </row>
    <row r="1853" spans="1:12">
      <c r="A1853" s="57" t="s">
        <v>160</v>
      </c>
      <c r="B1853" s="57" t="s">
        <v>288</v>
      </c>
      <c r="C1853" s="57">
        <v>2023</v>
      </c>
      <c r="D1853" s="58">
        <f>MATCH(B1853,{"GENNAIO","FEBBRAIO","MARZO","APRILE","MAGGIO","GIUGNO","LUGLIO","AGOSTO","SETTEMBRE","OTTOBRE","NOVEMBRE","DICEMBRE"},0)</f>
        <v>7</v>
      </c>
      <c r="E1853" s="57" t="str">
        <f t="shared" si="1744"/>
        <v>LUGLIO 2023</v>
      </c>
      <c r="F1853" s="57" t="str">
        <f t="shared" si="1745"/>
        <v>7 LUGLIO 2023</v>
      </c>
      <c r="G1853" s="1309" t="s">
        <v>111</v>
      </c>
      <c r="H1853" s="1309" t="str">
        <f>VLOOKUP(G1853,CATEGORIE!$H$3:$I$104,2,FALSE)</f>
        <v>COSTO MOBILITA'</v>
      </c>
      <c r="I1853" s="59">
        <v>7.8</v>
      </c>
      <c r="J1853" s="940"/>
      <c r="K1853" s="59"/>
      <c r="L1853" s="59"/>
    </row>
    <row r="1854" spans="1:12">
      <c r="A1854" s="57" t="s">
        <v>160</v>
      </c>
      <c r="B1854" s="57" t="s">
        <v>288</v>
      </c>
      <c r="C1854" s="57">
        <v>2023</v>
      </c>
      <c r="D1854" s="58">
        <f>MATCH(B1854,{"GENNAIO","FEBBRAIO","MARZO","APRILE","MAGGIO","GIUGNO","LUGLIO","AGOSTO","SETTEMBRE","OTTOBRE","NOVEMBRE","DICEMBRE"},0)</f>
        <v>7</v>
      </c>
      <c r="E1854" s="57" t="str">
        <f t="shared" si="1744"/>
        <v>LUGLIO 2023</v>
      </c>
      <c r="F1854" s="57" t="str">
        <f t="shared" si="1745"/>
        <v>7 LUGLIO 2023</v>
      </c>
      <c r="G1854" s="1309" t="s">
        <v>111</v>
      </c>
      <c r="H1854" s="1309" t="str">
        <f>VLOOKUP(G1854,CATEGORIE!$H$3:$I$104,2,FALSE)</f>
        <v>COSTO MOBILITA'</v>
      </c>
      <c r="I1854" s="59">
        <v>1.7</v>
      </c>
      <c r="J1854" s="940"/>
      <c r="K1854" s="59"/>
      <c r="L1854" s="59"/>
    </row>
    <row r="1855" spans="1:12" ht="16.5" customHeight="1">
      <c r="A1855" s="57" t="s">
        <v>135</v>
      </c>
      <c r="B1855" s="57" t="s">
        <v>288</v>
      </c>
      <c r="C1855" s="57">
        <v>2023</v>
      </c>
      <c r="D1855" s="58">
        <f>MATCH(B1855,{"GENNAIO","FEBBRAIO","MARZO","APRILE","MAGGIO","GIUGNO","LUGLIO","AGOSTO","SETTEMBRE","OTTOBRE","NOVEMBRE","DICEMBRE"},0)</f>
        <v>7</v>
      </c>
      <c r="E1855" s="57" t="str">
        <f t="shared" si="1744"/>
        <v>LUGLIO 2023</v>
      </c>
      <c r="F1855" s="57" t="str">
        <f t="shared" si="1745"/>
        <v>7 LUGLIO 2023</v>
      </c>
      <c r="G1855" s="1309" t="s">
        <v>132</v>
      </c>
      <c r="H1855" s="1309" t="str">
        <f>VLOOKUP(G1855,CATEGORIE!$H$3:$I$104,2,FALSE)</f>
        <v>COSTO CASA</v>
      </c>
      <c r="I1855" s="59">
        <v>4.49</v>
      </c>
      <c r="J1855" s="940"/>
      <c r="K1855" s="59"/>
      <c r="L1855" s="59"/>
    </row>
    <row r="1856" spans="1:12" ht="16.5" customHeight="1">
      <c r="A1856" s="57" t="s">
        <v>95</v>
      </c>
      <c r="B1856" s="57" t="s">
        <v>288</v>
      </c>
      <c r="C1856" s="57">
        <v>2023</v>
      </c>
      <c r="D1856" s="58">
        <f>MATCH(B1856,{"GENNAIO","FEBBRAIO","MARZO","APRILE","MAGGIO","GIUGNO","LUGLIO","AGOSTO","SETTEMBRE","OTTOBRE","NOVEMBRE","DICEMBRE"},0)</f>
        <v>7</v>
      </c>
      <c r="E1856" s="57" t="str">
        <f t="shared" si="1744"/>
        <v>LUGLIO 2023</v>
      </c>
      <c r="F1856" s="57" t="str">
        <f t="shared" si="1745"/>
        <v>7 LUGLIO 2023</v>
      </c>
      <c r="G1856" s="1309" t="s">
        <v>96</v>
      </c>
      <c r="H1856" s="1309" t="str">
        <f>VLOOKUP(G1856,CATEGORIE!$H$3:$I$104,2,FALSE)</f>
        <v>COSTO SOPRAVVIVENZA</v>
      </c>
      <c r="I1856" s="59">
        <v>6.4</v>
      </c>
      <c r="J1856" s="940"/>
      <c r="K1856" s="59"/>
      <c r="L1856" s="59"/>
    </row>
    <row r="1857" spans="1:12">
      <c r="A1857" s="57" t="s">
        <v>105</v>
      </c>
      <c r="B1857" s="57" t="s">
        <v>288</v>
      </c>
      <c r="C1857" s="57">
        <v>2023</v>
      </c>
      <c r="D1857" s="58">
        <f>MATCH(B1857,{"GENNAIO","FEBBRAIO","MARZO","APRILE","MAGGIO","GIUGNO","LUGLIO","AGOSTO","SETTEMBRE","OTTOBRE","NOVEMBRE","DICEMBRE"},0)</f>
        <v>7</v>
      </c>
      <c r="E1857" s="57" t="str">
        <f t="shared" si="1744"/>
        <v>LUGLIO 2023</v>
      </c>
      <c r="F1857" s="57" t="str">
        <f t="shared" si="1745"/>
        <v>7 LUGLIO 2023</v>
      </c>
      <c r="G1857" s="1309" t="s">
        <v>96</v>
      </c>
      <c r="H1857" s="1309" t="str">
        <f>VLOOKUP(G1857,CATEGORIE!$H$3:$I$104,2,FALSE)</f>
        <v>COSTO SOPRAVVIVENZA</v>
      </c>
      <c r="I1857" s="59">
        <v>18.27</v>
      </c>
      <c r="J1857" s="940"/>
      <c r="K1857" s="59"/>
      <c r="L1857" s="59"/>
    </row>
    <row r="1858" spans="1:12" ht="14.25" customHeight="1">
      <c r="A1858" s="57" t="s">
        <v>92</v>
      </c>
      <c r="B1858" s="57" t="s">
        <v>288</v>
      </c>
      <c r="C1858" s="57">
        <v>2023</v>
      </c>
      <c r="D1858" s="58">
        <f>MATCH(B1858,{"GENNAIO","FEBBRAIO","MARZO","APRILE","MAGGIO","GIUGNO","LUGLIO","AGOSTO","SETTEMBRE","OTTOBRE","NOVEMBRE","DICEMBRE"},0)</f>
        <v>7</v>
      </c>
      <c r="E1858" s="57" t="str">
        <f t="shared" si="1744"/>
        <v>LUGLIO 2023</v>
      </c>
      <c r="F1858" s="57" t="str">
        <f t="shared" si="1745"/>
        <v>7 LUGLIO 2023</v>
      </c>
      <c r="G1858" s="1309" t="s">
        <v>93</v>
      </c>
      <c r="H1858" s="1309" t="str">
        <f>VLOOKUP(G1858,CATEGORIE!$H$3:$I$104,2,FALSE)</f>
        <v>COSTO SOPRAVVIVENZA</v>
      </c>
      <c r="I1858" s="59">
        <v>5</v>
      </c>
      <c r="J1858" s="940"/>
      <c r="K1858" s="59"/>
      <c r="L1858" s="59"/>
    </row>
    <row r="1859" spans="1:12" ht="18.600000000000001" customHeight="1">
      <c r="A1859" s="57" t="s">
        <v>543</v>
      </c>
      <c r="B1859" s="57" t="s">
        <v>288</v>
      </c>
      <c r="C1859" s="57">
        <v>2023</v>
      </c>
      <c r="D1859" s="58">
        <f>MATCH(B1859,{"GENNAIO","FEBBRAIO","MARZO","APRILE","MAGGIO","GIUGNO","LUGLIO","AGOSTO","SETTEMBRE","OTTOBRE","NOVEMBRE","DICEMBRE"},0)</f>
        <v>7</v>
      </c>
      <c r="E1859" s="57" t="str">
        <f t="shared" si="1744"/>
        <v>LUGLIO 2023</v>
      </c>
      <c r="F1859" s="57" t="str">
        <f t="shared" si="1745"/>
        <v>7 LUGLIO 2023</v>
      </c>
      <c r="G1859" s="1309" t="s">
        <v>365</v>
      </c>
      <c r="H1859" s="1309" t="str">
        <f>VLOOKUP(G1859,CATEGORIE!$H$3:$I$104,2,FALSE)</f>
        <v>COSTO SOPRAVVIVENZA</v>
      </c>
      <c r="I1859" s="59">
        <v>20.9</v>
      </c>
      <c r="J1859" s="940"/>
      <c r="K1859" s="59"/>
      <c r="L1859" s="59"/>
    </row>
    <row r="1860" spans="1:12">
      <c r="A1860" s="57" t="s">
        <v>99</v>
      </c>
      <c r="B1860" s="57" t="s">
        <v>288</v>
      </c>
      <c r="C1860" s="57">
        <v>2023</v>
      </c>
      <c r="D1860" s="58">
        <f>MATCH(B1860,{"GENNAIO","FEBBRAIO","MARZO","APRILE","MAGGIO","GIUGNO","LUGLIO","AGOSTO","SETTEMBRE","OTTOBRE","NOVEMBRE","DICEMBRE"},0)</f>
        <v>7</v>
      </c>
      <c r="E1860" s="57" t="str">
        <f t="shared" si="1744"/>
        <v>LUGLIO 2023</v>
      </c>
      <c r="F1860" s="57" t="str">
        <f t="shared" si="1745"/>
        <v>7 LUGLIO 2023</v>
      </c>
      <c r="G1860" s="1309" t="s">
        <v>100</v>
      </c>
      <c r="H1860" s="1309" t="str">
        <f>VLOOKUP(G1860,CATEGORIE!$H$3:$I$104,2,FALSE)</f>
        <v>COSTO SFIZI</v>
      </c>
      <c r="I1860" s="59">
        <v>20.47</v>
      </c>
      <c r="J1860" s="940"/>
      <c r="K1860" s="57" t="s">
        <v>99</v>
      </c>
      <c r="L1860" s="59"/>
    </row>
    <row r="1861" spans="1:12">
      <c r="A1861" s="57" t="s">
        <v>298</v>
      </c>
      <c r="B1861" s="57" t="s">
        <v>288</v>
      </c>
      <c r="C1861" s="57">
        <v>2023</v>
      </c>
      <c r="D1861" s="58">
        <f>MATCH(B1861,{"GENNAIO","FEBBRAIO","MARZO","APRILE","MAGGIO","GIUGNO","LUGLIO","AGOSTO","SETTEMBRE","OTTOBRE","NOVEMBRE","DICEMBRE"},0)</f>
        <v>7</v>
      </c>
      <c r="E1861" s="57" t="str">
        <f t="shared" si="1744"/>
        <v>LUGLIO 2023</v>
      </c>
      <c r="F1861" s="57" t="str">
        <f t="shared" si="1745"/>
        <v>7 LUGLIO 2023</v>
      </c>
      <c r="G1861" s="1309" t="s">
        <v>108</v>
      </c>
      <c r="H1861" s="1309" t="str">
        <f>VLOOKUP(G1861,CATEGORIE!$H$3:$I$104,2,FALSE)</f>
        <v>COSTO SFIZI</v>
      </c>
      <c r="I1861" s="59">
        <v>30.88</v>
      </c>
      <c r="J1861" s="940"/>
      <c r="K1861" s="59"/>
      <c r="L1861" s="59"/>
    </row>
    <row r="1862" spans="1:12" ht="16.5" customHeight="1">
      <c r="A1862" s="57" t="s">
        <v>135</v>
      </c>
      <c r="B1862" s="57" t="s">
        <v>288</v>
      </c>
      <c r="C1862" s="57">
        <v>2023</v>
      </c>
      <c r="D1862" s="58">
        <f>MATCH(B1862,{"GENNAIO","FEBBRAIO","MARZO","APRILE","MAGGIO","GIUGNO","LUGLIO","AGOSTO","SETTEMBRE","OTTOBRE","NOVEMBRE","DICEMBRE"},0)</f>
        <v>7</v>
      </c>
      <c r="E1862" s="57" t="str">
        <f t="shared" si="1744"/>
        <v>LUGLIO 2023</v>
      </c>
      <c r="F1862" s="57" t="str">
        <f t="shared" si="1745"/>
        <v>7 LUGLIO 2023</v>
      </c>
      <c r="G1862" s="1309" t="s">
        <v>132</v>
      </c>
      <c r="H1862" s="1309" t="str">
        <f>VLOOKUP(G1862,CATEGORIE!$H$3:$I$104,2,FALSE)</f>
        <v>COSTO CASA</v>
      </c>
      <c r="I1862" s="59">
        <v>12.86</v>
      </c>
      <c r="J1862" s="940"/>
      <c r="K1862" s="59"/>
      <c r="L1862" s="59"/>
    </row>
    <row r="1863" spans="1:12">
      <c r="A1863" s="57" t="s">
        <v>105</v>
      </c>
      <c r="B1863" s="57" t="s">
        <v>288</v>
      </c>
      <c r="C1863" s="57">
        <v>2023</v>
      </c>
      <c r="D1863" s="58">
        <f>MATCH(B1863,{"GENNAIO","FEBBRAIO","MARZO","APRILE","MAGGIO","GIUGNO","LUGLIO","AGOSTO","SETTEMBRE","OTTOBRE","NOVEMBRE","DICEMBRE"},0)</f>
        <v>7</v>
      </c>
      <c r="E1863" s="57" t="str">
        <f t="shared" si="1744"/>
        <v>LUGLIO 2023</v>
      </c>
      <c r="F1863" s="57" t="str">
        <f t="shared" si="1745"/>
        <v>7 LUGLIO 2023</v>
      </c>
      <c r="G1863" s="1309" t="s">
        <v>96</v>
      </c>
      <c r="H1863" s="1309" t="str">
        <f>VLOOKUP(G1863,CATEGORIE!$H$3:$I$104,2,FALSE)</f>
        <v>COSTO SOPRAVVIVENZA</v>
      </c>
      <c r="I1863" s="59">
        <v>18.899999999999999</v>
      </c>
      <c r="J1863" s="940"/>
      <c r="K1863" s="59"/>
      <c r="L1863" s="59"/>
    </row>
    <row r="1864" spans="1:12">
      <c r="A1864" s="57" t="s">
        <v>95</v>
      </c>
      <c r="B1864" s="57" t="s">
        <v>288</v>
      </c>
      <c r="C1864" s="57">
        <v>2023</v>
      </c>
      <c r="D1864" s="58">
        <f>MATCH(B1864,{"GENNAIO","FEBBRAIO","MARZO","APRILE","MAGGIO","GIUGNO","LUGLIO","AGOSTO","SETTEMBRE","OTTOBRE","NOVEMBRE","DICEMBRE"},0)</f>
        <v>7</v>
      </c>
      <c r="E1864" s="57" t="str">
        <f t="shared" si="1744"/>
        <v>LUGLIO 2023</v>
      </c>
      <c r="F1864" s="57" t="str">
        <f t="shared" si="1745"/>
        <v>7 LUGLIO 2023</v>
      </c>
      <c r="G1864" s="1309" t="s">
        <v>96</v>
      </c>
      <c r="H1864" s="1309" t="str">
        <f>VLOOKUP(G1864,CATEGORIE!$H$3:$I$104,2,FALSE)</f>
        <v>COSTO SOPRAVVIVENZA</v>
      </c>
      <c r="I1864" s="59">
        <v>8.41</v>
      </c>
      <c r="J1864" s="940"/>
      <c r="K1864" s="59"/>
      <c r="L1864" s="59"/>
    </row>
    <row r="1865" spans="1:12">
      <c r="A1865" s="57" t="s">
        <v>329</v>
      </c>
      <c r="B1865" s="57" t="s">
        <v>288</v>
      </c>
      <c r="C1865" s="57">
        <v>2023</v>
      </c>
      <c r="D1865" s="58">
        <f>MATCH(B1865,{"GENNAIO","FEBBRAIO","MARZO","APRILE","MAGGIO","GIUGNO","LUGLIO","AGOSTO","SETTEMBRE","OTTOBRE","NOVEMBRE","DICEMBRE"},0)</f>
        <v>7</v>
      </c>
      <c r="E1865" s="57" t="str">
        <f t="shared" si="1744"/>
        <v>LUGLIO 2023</v>
      </c>
      <c r="F1865" s="57" t="str">
        <f t="shared" si="1745"/>
        <v>7 LUGLIO 2023</v>
      </c>
      <c r="G1865" s="1309" t="s">
        <v>94</v>
      </c>
      <c r="H1865" s="1309" t="str">
        <f>VLOOKUP(G1865,CATEGORIE!$H$3:$I$104,2,FALSE)</f>
        <v>COSTO SVAGHI</v>
      </c>
      <c r="I1865" s="59">
        <v>12</v>
      </c>
      <c r="J1865" s="940"/>
      <c r="K1865" s="59"/>
      <c r="L1865" s="59"/>
    </row>
    <row r="1866" spans="1:12">
      <c r="A1866" s="57" t="s">
        <v>105</v>
      </c>
      <c r="B1866" s="57" t="s">
        <v>288</v>
      </c>
      <c r="C1866" s="57">
        <v>2023</v>
      </c>
      <c r="D1866" s="58">
        <f>MATCH(B1866,{"GENNAIO","FEBBRAIO","MARZO","APRILE","MAGGIO","GIUGNO","LUGLIO","AGOSTO","SETTEMBRE","OTTOBRE","NOVEMBRE","DICEMBRE"},0)</f>
        <v>7</v>
      </c>
      <c r="E1866" s="57" t="str">
        <f t="shared" si="1744"/>
        <v>LUGLIO 2023</v>
      </c>
      <c r="F1866" s="57" t="str">
        <f t="shared" si="1745"/>
        <v>7 LUGLIO 2023</v>
      </c>
      <c r="G1866" s="1309" t="s">
        <v>96</v>
      </c>
      <c r="H1866" s="1309" t="str">
        <f>VLOOKUP(G1866,CATEGORIE!$H$3:$I$104,2,FALSE)</f>
        <v>COSTO SOPRAVVIVENZA</v>
      </c>
      <c r="I1866" s="59">
        <v>16.38</v>
      </c>
      <c r="J1866" s="940"/>
      <c r="K1866" s="59"/>
      <c r="L1866" s="59"/>
    </row>
    <row r="1867" spans="1:12">
      <c r="A1867" s="57" t="s">
        <v>99</v>
      </c>
      <c r="B1867" s="57" t="s">
        <v>288</v>
      </c>
      <c r="C1867" s="57">
        <v>2023</v>
      </c>
      <c r="D1867" s="58">
        <f>MATCH(B1867,{"GENNAIO","FEBBRAIO","MARZO","APRILE","MAGGIO","GIUGNO","LUGLIO","AGOSTO","SETTEMBRE","OTTOBRE","NOVEMBRE","DICEMBRE"},0)</f>
        <v>7</v>
      </c>
      <c r="E1867" s="57" t="str">
        <f t="shared" si="1744"/>
        <v>LUGLIO 2023</v>
      </c>
      <c r="F1867" s="57" t="str">
        <f t="shared" si="1745"/>
        <v>7 LUGLIO 2023</v>
      </c>
      <c r="G1867" s="1309" t="s">
        <v>100</v>
      </c>
      <c r="H1867" s="1309" t="str">
        <f>VLOOKUP(G1867,CATEGORIE!$H$3:$I$104,2,FALSE)</f>
        <v>COSTO SFIZI</v>
      </c>
      <c r="I1867" s="59">
        <v>20.99</v>
      </c>
      <c r="J1867" s="940"/>
      <c r="K1867" s="57" t="s">
        <v>99</v>
      </c>
      <c r="L1867" s="59"/>
    </row>
    <row r="1868" spans="1:12">
      <c r="A1868" s="57" t="s">
        <v>497</v>
      </c>
      <c r="B1868" s="57" t="s">
        <v>288</v>
      </c>
      <c r="C1868" s="57">
        <v>2023</v>
      </c>
      <c r="D1868" s="58">
        <f>MATCH(B1868,{"GENNAIO","FEBBRAIO","MARZO","APRILE","MAGGIO","GIUGNO","LUGLIO","AGOSTO","SETTEMBRE","OTTOBRE","NOVEMBRE","DICEMBRE"},0)</f>
        <v>7</v>
      </c>
      <c r="E1868" s="57" t="str">
        <f t="shared" si="1744"/>
        <v>LUGLIO 2023</v>
      </c>
      <c r="F1868" s="57" t="str">
        <f t="shared" si="1745"/>
        <v>7 LUGLIO 2023</v>
      </c>
      <c r="G1868" s="1309" t="s">
        <v>116</v>
      </c>
      <c r="H1868" s="1309" t="str">
        <f>VLOOKUP(G1868,CATEGORIE!$H$3:$I$104,2,FALSE)</f>
        <v>TASSE</v>
      </c>
      <c r="I1868" s="59">
        <v>21.77</v>
      </c>
      <c r="J1868" s="940"/>
      <c r="K1868" s="59"/>
      <c r="L1868" s="59"/>
    </row>
    <row r="1869" spans="1:12" ht="16.5" customHeight="1">
      <c r="A1869" s="57" t="s">
        <v>95</v>
      </c>
      <c r="B1869" s="57" t="s">
        <v>288</v>
      </c>
      <c r="C1869" s="57">
        <v>2023</v>
      </c>
      <c r="D1869" s="58">
        <f>MATCH(B1869,{"GENNAIO","FEBBRAIO","MARZO","APRILE","MAGGIO","GIUGNO","LUGLIO","AGOSTO","SETTEMBRE","OTTOBRE","NOVEMBRE","DICEMBRE"},0)</f>
        <v>7</v>
      </c>
      <c r="E1869" s="57" t="str">
        <f t="shared" si="1744"/>
        <v>LUGLIO 2023</v>
      </c>
      <c r="F1869" s="57" t="str">
        <f t="shared" si="1745"/>
        <v>7 LUGLIO 2023</v>
      </c>
      <c r="G1869" s="1309" t="s">
        <v>96</v>
      </c>
      <c r="H1869" s="1309" t="str">
        <f>VLOOKUP(G1869,CATEGORIE!$H$3:$I$104,2,FALSE)</f>
        <v>COSTO SOPRAVVIVENZA</v>
      </c>
      <c r="I1869" s="59">
        <v>11.77</v>
      </c>
      <c r="J1869" s="940"/>
      <c r="K1869" s="59"/>
      <c r="L1869" s="59"/>
    </row>
    <row r="1870" spans="1:12" ht="18.600000000000001" customHeight="1">
      <c r="A1870" s="57" t="s">
        <v>99</v>
      </c>
      <c r="B1870" s="57" t="s">
        <v>288</v>
      </c>
      <c r="C1870" s="57">
        <v>2023</v>
      </c>
      <c r="D1870" s="58">
        <f>MATCH(B1870,{"GENNAIO","FEBBRAIO","MARZO","APRILE","MAGGIO","GIUGNO","LUGLIO","AGOSTO","SETTEMBRE","OTTOBRE","NOVEMBRE","DICEMBRE"},0)</f>
        <v>7</v>
      </c>
      <c r="E1870" s="57" t="str">
        <f t="shared" si="1744"/>
        <v>LUGLIO 2023</v>
      </c>
      <c r="F1870" s="57" t="str">
        <f t="shared" si="1745"/>
        <v>7 LUGLIO 2023</v>
      </c>
      <c r="G1870" s="1309" t="s">
        <v>100</v>
      </c>
      <c r="H1870" s="1309" t="str">
        <f>VLOOKUP(G1870,CATEGORIE!$H$3:$I$104,2,FALSE)</f>
        <v>COSTO SFIZI</v>
      </c>
      <c r="I1870" s="59">
        <v>24</v>
      </c>
      <c r="J1870" s="940"/>
      <c r="K1870" s="57" t="s">
        <v>99</v>
      </c>
      <c r="L1870" s="59"/>
    </row>
    <row r="1871" spans="1:12">
      <c r="A1871" s="57" t="s">
        <v>99</v>
      </c>
      <c r="B1871" s="57" t="s">
        <v>288</v>
      </c>
      <c r="C1871" s="57">
        <v>2023</v>
      </c>
      <c r="D1871" s="58">
        <f>MATCH(B1871,{"GENNAIO","FEBBRAIO","MARZO","APRILE","MAGGIO","GIUGNO","LUGLIO","AGOSTO","SETTEMBRE","OTTOBRE","NOVEMBRE","DICEMBRE"},0)</f>
        <v>7</v>
      </c>
      <c r="E1871" s="57" t="str">
        <f t="shared" si="1744"/>
        <v>LUGLIO 2023</v>
      </c>
      <c r="F1871" s="57" t="str">
        <f t="shared" si="1745"/>
        <v>7 LUGLIO 2023</v>
      </c>
      <c r="G1871" s="1309" t="s">
        <v>100</v>
      </c>
      <c r="H1871" s="1309" t="str">
        <f>VLOOKUP(G1871,CATEGORIE!$H$3:$I$104,2,FALSE)</f>
        <v>COSTO SFIZI</v>
      </c>
      <c r="I1871" s="59">
        <v>13.6</v>
      </c>
      <c r="J1871" s="940"/>
      <c r="K1871" s="57" t="s">
        <v>99</v>
      </c>
      <c r="L1871" s="59"/>
    </row>
    <row r="1872" spans="1:12" ht="16.5" customHeight="1">
      <c r="A1872" s="57" t="s">
        <v>350</v>
      </c>
      <c r="B1872" s="57" t="s">
        <v>288</v>
      </c>
      <c r="C1872" s="57">
        <v>2023</v>
      </c>
      <c r="D1872" s="58">
        <f>MATCH(B1872,{"GENNAIO","FEBBRAIO","MARZO","APRILE","MAGGIO","GIUGNO","LUGLIO","AGOSTO","SETTEMBRE","OTTOBRE","NOVEMBRE","DICEMBRE"},0)</f>
        <v>7</v>
      </c>
      <c r="E1872" s="57" t="str">
        <f t="shared" si="1744"/>
        <v>LUGLIO 2023</v>
      </c>
      <c r="F1872" s="57" t="str">
        <f t="shared" si="1745"/>
        <v>7 LUGLIO 2023</v>
      </c>
      <c r="G1872" s="1309" t="s">
        <v>94</v>
      </c>
      <c r="H1872" s="1309" t="str">
        <f>VLOOKUP(G1872,CATEGORIE!$H$3:$I$104,2,FALSE)</f>
        <v>COSTO SVAGHI</v>
      </c>
      <c r="I1872" s="59">
        <v>10</v>
      </c>
      <c r="J1872" s="940"/>
      <c r="K1872" s="59"/>
      <c r="L1872" s="59"/>
    </row>
    <row r="1873" spans="1:12" ht="16.5" customHeight="1">
      <c r="A1873" s="57" t="s">
        <v>135</v>
      </c>
      <c r="B1873" s="57" t="s">
        <v>288</v>
      </c>
      <c r="C1873" s="57">
        <v>2023</v>
      </c>
      <c r="D1873" s="58">
        <f>MATCH(B1873,{"GENNAIO","FEBBRAIO","MARZO","APRILE","MAGGIO","GIUGNO","LUGLIO","AGOSTO","SETTEMBRE","OTTOBRE","NOVEMBRE","DICEMBRE"},0)</f>
        <v>7</v>
      </c>
      <c r="E1873" s="57" t="str">
        <f t="shared" si="1744"/>
        <v>LUGLIO 2023</v>
      </c>
      <c r="F1873" s="57" t="str">
        <f t="shared" si="1745"/>
        <v>7 LUGLIO 2023</v>
      </c>
      <c r="G1873" s="1309" t="s">
        <v>132</v>
      </c>
      <c r="H1873" s="1309" t="str">
        <f>VLOOKUP(G1873,CATEGORIE!$H$3:$I$104,2,FALSE)</f>
        <v>COSTO CASA</v>
      </c>
      <c r="I1873" s="59">
        <v>7.79</v>
      </c>
      <c r="J1873" s="940"/>
      <c r="K1873" s="59"/>
      <c r="L1873" s="59"/>
    </row>
    <row r="1874" spans="1:12" ht="16.5" customHeight="1">
      <c r="A1874" s="57" t="s">
        <v>105</v>
      </c>
      <c r="B1874" s="57" t="s">
        <v>288</v>
      </c>
      <c r="C1874" s="57">
        <v>2023</v>
      </c>
      <c r="D1874" s="58">
        <f>MATCH(B1874,{"GENNAIO","FEBBRAIO","MARZO","APRILE","MAGGIO","GIUGNO","LUGLIO","AGOSTO","SETTEMBRE","OTTOBRE","NOVEMBRE","DICEMBRE"},0)</f>
        <v>7</v>
      </c>
      <c r="E1874" s="57" t="str">
        <f t="shared" si="1744"/>
        <v>LUGLIO 2023</v>
      </c>
      <c r="F1874" s="57" t="str">
        <f t="shared" si="1745"/>
        <v>7 LUGLIO 2023</v>
      </c>
      <c r="G1874" s="1309" t="s">
        <v>96</v>
      </c>
      <c r="H1874" s="1309" t="str">
        <f>VLOOKUP(G1874,CATEGORIE!$H$3:$I$104,2,FALSE)</f>
        <v>COSTO SOPRAVVIVENZA</v>
      </c>
      <c r="I1874" s="59">
        <v>13.06</v>
      </c>
      <c r="J1874" s="940"/>
      <c r="K1874" s="59"/>
      <c r="L1874" s="59"/>
    </row>
    <row r="1875" spans="1:12" ht="16.5" customHeight="1">
      <c r="A1875" s="57" t="s">
        <v>92</v>
      </c>
      <c r="B1875" s="57" t="s">
        <v>288</v>
      </c>
      <c r="C1875" s="57">
        <v>2023</v>
      </c>
      <c r="D1875" s="58">
        <f>MATCH(B1875,{"GENNAIO","FEBBRAIO","MARZO","APRILE","MAGGIO","GIUGNO","LUGLIO","AGOSTO","SETTEMBRE","OTTOBRE","NOVEMBRE","DICEMBRE"},0)</f>
        <v>7</v>
      </c>
      <c r="E1875" s="57" t="str">
        <f t="shared" si="1744"/>
        <v>LUGLIO 2023</v>
      </c>
      <c r="F1875" s="57" t="str">
        <f t="shared" si="1745"/>
        <v>7 LUGLIO 2023</v>
      </c>
      <c r="G1875" s="1309" t="s">
        <v>93</v>
      </c>
      <c r="H1875" s="1309" t="str">
        <f>VLOOKUP(G1875,CATEGORIE!$H$3:$I$104,2,FALSE)</f>
        <v>COSTO SOPRAVVIVENZA</v>
      </c>
      <c r="I1875" s="59">
        <v>5</v>
      </c>
      <c r="J1875" s="940"/>
      <c r="K1875" s="59"/>
      <c r="L1875" s="59"/>
    </row>
    <row r="1876" spans="1:12" ht="16.5" customHeight="1">
      <c r="A1876" s="57" t="s">
        <v>101</v>
      </c>
      <c r="B1876" s="57" t="s">
        <v>288</v>
      </c>
      <c r="C1876" s="57">
        <v>2023</v>
      </c>
      <c r="D1876" s="58">
        <f>MATCH(B1876,{"GENNAIO","FEBBRAIO","MARZO","APRILE","MAGGIO","GIUGNO","LUGLIO","AGOSTO","SETTEMBRE","OTTOBRE","NOVEMBRE","DICEMBRE"},0)</f>
        <v>7</v>
      </c>
      <c r="E1876" s="57" t="str">
        <f t="shared" si="1744"/>
        <v>LUGLIO 2023</v>
      </c>
      <c r="F1876" s="57" t="str">
        <f t="shared" si="1745"/>
        <v>7 LUGLIO 2023</v>
      </c>
      <c r="G1876" s="1309" t="s">
        <v>91</v>
      </c>
      <c r="H1876" s="1309" t="str">
        <f>VLOOKUP(G1876,CATEGORIE!$H$3:$I$104,2,FALSE)</f>
        <v>COSTO SOPRAVVIVENZA</v>
      </c>
      <c r="I1876" s="59">
        <v>0.4</v>
      </c>
      <c r="J1876" s="940"/>
      <c r="K1876" s="59"/>
      <c r="L1876" s="59"/>
    </row>
    <row r="1877" spans="1:12" ht="18" customHeight="1">
      <c r="A1877" s="57" t="s">
        <v>544</v>
      </c>
      <c r="B1877" s="57" t="s">
        <v>288</v>
      </c>
      <c r="C1877" s="57">
        <v>2023</v>
      </c>
      <c r="D1877" s="58">
        <f>MATCH(B1877,{"GENNAIO","FEBBRAIO","MARZO","APRILE","MAGGIO","GIUGNO","LUGLIO","AGOSTO","SETTEMBRE","OTTOBRE","NOVEMBRE","DICEMBRE"},0)</f>
        <v>7</v>
      </c>
      <c r="E1877" s="57" t="str">
        <f t="shared" si="1744"/>
        <v>LUGLIO 2023</v>
      </c>
      <c r="F1877" s="57" t="str">
        <f t="shared" si="1745"/>
        <v>7 LUGLIO 2023</v>
      </c>
      <c r="G1877" s="1309" t="s">
        <v>94</v>
      </c>
      <c r="H1877" s="1309" t="str">
        <f>VLOOKUP(G1877,CATEGORIE!$H$3:$I$104,2,FALSE)</f>
        <v>COSTO SVAGHI</v>
      </c>
      <c r="I1877" s="59">
        <v>59</v>
      </c>
      <c r="J1877" s="940"/>
      <c r="K1877" s="59"/>
      <c r="L1877" s="59"/>
    </row>
    <row r="1878" spans="1:12" ht="18" customHeight="1">
      <c r="A1878" s="57" t="s">
        <v>101</v>
      </c>
      <c r="B1878" s="57" t="s">
        <v>288</v>
      </c>
      <c r="C1878" s="57">
        <v>2023</v>
      </c>
      <c r="D1878" s="58">
        <f>MATCH(B1878,{"GENNAIO","FEBBRAIO","MARZO","APRILE","MAGGIO","GIUGNO","LUGLIO","AGOSTO","SETTEMBRE","OTTOBRE","NOVEMBRE","DICEMBRE"},0)</f>
        <v>7</v>
      </c>
      <c r="E1878" s="57" t="str">
        <f t="shared" si="1744"/>
        <v>LUGLIO 2023</v>
      </c>
      <c r="F1878" s="57" t="str">
        <f t="shared" si="1745"/>
        <v>7 LUGLIO 2023</v>
      </c>
      <c r="G1878" s="1309" t="s">
        <v>91</v>
      </c>
      <c r="H1878" s="1309" t="str">
        <f>VLOOKUP(G1878,CATEGORIE!$H$3:$I$104,2,FALSE)</f>
        <v>COSTO SOPRAVVIVENZA</v>
      </c>
      <c r="I1878" s="59">
        <v>0.7</v>
      </c>
      <c r="J1878" s="940"/>
      <c r="K1878" s="59"/>
      <c r="L1878" s="59"/>
    </row>
    <row r="1879" spans="1:12" ht="18" customHeight="1">
      <c r="A1879" s="57" t="s">
        <v>101</v>
      </c>
      <c r="B1879" s="57" t="s">
        <v>288</v>
      </c>
      <c r="C1879" s="57">
        <v>2023</v>
      </c>
      <c r="D1879" s="58">
        <f>MATCH(B1879,{"GENNAIO","FEBBRAIO","MARZO","APRILE","MAGGIO","GIUGNO","LUGLIO","AGOSTO","SETTEMBRE","OTTOBRE","NOVEMBRE","DICEMBRE"},0)</f>
        <v>7</v>
      </c>
      <c r="E1879" s="57" t="str">
        <f t="shared" si="1744"/>
        <v>LUGLIO 2023</v>
      </c>
      <c r="F1879" s="57" t="str">
        <f t="shared" si="1745"/>
        <v>7 LUGLIO 2023</v>
      </c>
      <c r="G1879" s="1309" t="s">
        <v>91</v>
      </c>
      <c r="H1879" s="1309" t="str">
        <f>VLOOKUP(G1879,CATEGORIE!$H$3:$I$104,2,FALSE)</f>
        <v>COSTO SOPRAVVIVENZA</v>
      </c>
      <c r="I1879" s="59">
        <v>0.4</v>
      </c>
      <c r="J1879" s="940"/>
      <c r="K1879" s="59"/>
      <c r="L1879" s="59"/>
    </row>
    <row r="1880" spans="1:12" ht="18" customHeight="1">
      <c r="A1880" s="57" t="s">
        <v>545</v>
      </c>
      <c r="B1880" s="57" t="s">
        <v>288</v>
      </c>
      <c r="C1880" s="57">
        <v>2023</v>
      </c>
      <c r="D1880" s="58">
        <f>MATCH(B1880,{"GENNAIO","FEBBRAIO","MARZO","APRILE","MAGGIO","GIUGNO","LUGLIO","AGOSTO","SETTEMBRE","OTTOBRE","NOVEMBRE","DICEMBRE"},0)</f>
        <v>7</v>
      </c>
      <c r="E1880" s="57" t="str">
        <f t="shared" si="1744"/>
        <v>LUGLIO 2023</v>
      </c>
      <c r="F1880" s="57" t="str">
        <f t="shared" si="1745"/>
        <v>7 LUGLIO 2023</v>
      </c>
      <c r="G1880" s="1309" t="s">
        <v>100</v>
      </c>
      <c r="H1880" s="1309" t="str">
        <f>VLOOKUP(G1880,CATEGORIE!$H$3:$I$104,2,FALSE)</f>
        <v>COSTO SFIZI</v>
      </c>
      <c r="I1880" s="59">
        <v>15.54</v>
      </c>
      <c r="J1880" s="940"/>
      <c r="K1880" s="59" t="s">
        <v>112</v>
      </c>
      <c r="L1880" s="59"/>
    </row>
    <row r="1881" spans="1:12" ht="18.75" customHeight="1">
      <c r="A1881" s="57" t="s">
        <v>229</v>
      </c>
      <c r="B1881" s="57" t="s">
        <v>288</v>
      </c>
      <c r="C1881" s="57">
        <v>2023</v>
      </c>
      <c r="D1881" s="58">
        <f>MATCH(B1881,{"GENNAIO","FEBBRAIO","MARZO","APRILE","MAGGIO","GIUGNO","LUGLIO","AGOSTO","SETTEMBRE","OTTOBRE","NOVEMBRE","DICEMBRE"},0)</f>
        <v>7</v>
      </c>
      <c r="E1881" s="57" t="str">
        <f t="shared" si="1744"/>
        <v>LUGLIO 2023</v>
      </c>
      <c r="F1881" s="57" t="str">
        <f t="shared" si="1745"/>
        <v>7 LUGLIO 2023</v>
      </c>
      <c r="G1881" s="1309" t="s">
        <v>163</v>
      </c>
      <c r="H1881" s="1309" t="str">
        <f>VLOOKUP(G1881,CATEGORIE!$H$3:$I$104,2,FALSE)</f>
        <v>COSTO SVAGHI</v>
      </c>
      <c r="I1881" s="59">
        <v>40.909999999999997</v>
      </c>
      <c r="J1881" s="940" t="s">
        <v>138</v>
      </c>
      <c r="K1881" s="59" t="s">
        <v>112</v>
      </c>
      <c r="L1881" s="59"/>
    </row>
    <row r="1882" spans="1:12">
      <c r="A1882" s="57" t="s">
        <v>542</v>
      </c>
      <c r="B1882" s="57" t="s">
        <v>288</v>
      </c>
      <c r="C1882" s="57">
        <v>2023</v>
      </c>
      <c r="D1882" s="58">
        <f>MATCH(B1882,{"GENNAIO","FEBBRAIO","MARZO","APRILE","MAGGIO","GIUGNO","LUGLIO","AGOSTO","SETTEMBRE","OTTOBRE","NOVEMBRE","DICEMBRE"},0)</f>
        <v>7</v>
      </c>
      <c r="E1882" s="57" t="str">
        <f t="shared" si="1744"/>
        <v>LUGLIO 2023</v>
      </c>
      <c r="F1882" s="57" t="str">
        <f t="shared" si="1745"/>
        <v>7 LUGLIO 2023</v>
      </c>
      <c r="G1882" s="1309" t="s">
        <v>365</v>
      </c>
      <c r="H1882" s="1309" t="str">
        <f>VLOOKUP(G1882,CATEGORIE!$H$3:$I$104,2,FALSE)</f>
        <v>COSTO SOPRAVVIVENZA</v>
      </c>
      <c r="I1882" s="59">
        <v>15.12</v>
      </c>
      <c r="J1882" s="940" t="s">
        <v>124</v>
      </c>
      <c r="K1882" s="59" t="s">
        <v>112</v>
      </c>
      <c r="L1882" s="59"/>
    </row>
    <row r="1883" spans="1:12" ht="16.5" customHeight="1">
      <c r="A1883" s="57" t="s">
        <v>229</v>
      </c>
      <c r="B1883" s="57" t="s">
        <v>288</v>
      </c>
      <c r="C1883" s="57">
        <v>2023</v>
      </c>
      <c r="D1883" s="58">
        <f>MATCH(B1883,{"GENNAIO","FEBBRAIO","MARZO","APRILE","MAGGIO","GIUGNO","LUGLIO","AGOSTO","SETTEMBRE","OTTOBRE","NOVEMBRE","DICEMBRE"},0)</f>
        <v>7</v>
      </c>
      <c r="E1883" s="57" t="str">
        <f t="shared" si="1744"/>
        <v>LUGLIO 2023</v>
      </c>
      <c r="F1883" s="57" t="str">
        <f t="shared" si="1745"/>
        <v>7 LUGLIO 2023</v>
      </c>
      <c r="G1883" s="1309" t="s">
        <v>163</v>
      </c>
      <c r="H1883" s="1309" t="str">
        <f>VLOOKUP(G1883,CATEGORIE!$H$3:$I$104,2,FALSE)</f>
        <v>COSTO SVAGHI</v>
      </c>
      <c r="I1883" s="59">
        <v>37.700000000000003</v>
      </c>
      <c r="J1883" s="940" t="s">
        <v>215</v>
      </c>
      <c r="K1883" s="59" t="s">
        <v>112</v>
      </c>
      <c r="L1883" s="59"/>
    </row>
    <row r="1884" spans="1:12" ht="16.5" customHeight="1">
      <c r="A1884" s="57" t="s">
        <v>99</v>
      </c>
      <c r="B1884" s="57" t="s">
        <v>288</v>
      </c>
      <c r="C1884" s="57">
        <v>2023</v>
      </c>
      <c r="D1884" s="58">
        <f>MATCH(B1884,{"GENNAIO","FEBBRAIO","MARZO","APRILE","MAGGIO","GIUGNO","LUGLIO","AGOSTO","SETTEMBRE","OTTOBRE","NOVEMBRE","DICEMBRE"},0)</f>
        <v>7</v>
      </c>
      <c r="E1884" s="57" t="str">
        <f t="shared" si="1744"/>
        <v>LUGLIO 2023</v>
      </c>
      <c r="F1884" s="57" t="str">
        <f t="shared" si="1745"/>
        <v>7 LUGLIO 2023</v>
      </c>
      <c r="G1884" s="1309" t="s">
        <v>385</v>
      </c>
      <c r="H1884" s="1309" t="str">
        <f>VLOOKUP(G1884,CATEGORIE!$H$3:$I$104,2,FALSE)</f>
        <v>COSTO SFIZI</v>
      </c>
      <c r="I1884" s="59">
        <v>55.84</v>
      </c>
      <c r="J1884" s="940" t="s">
        <v>151</v>
      </c>
      <c r="K1884" s="57" t="s">
        <v>99</v>
      </c>
      <c r="L1884" s="59" t="s">
        <v>546</v>
      </c>
    </row>
    <row r="1885" spans="1:12" ht="16.5" customHeight="1">
      <c r="A1885" s="57" t="s">
        <v>105</v>
      </c>
      <c r="B1885" s="57" t="s">
        <v>314</v>
      </c>
      <c r="C1885" s="57">
        <v>2023</v>
      </c>
      <c r="D1885" s="58">
        <f>MATCH(B1885,{"GENNAIO","FEBBRAIO","MARZO","APRILE","MAGGIO","GIUGNO","LUGLIO","AGOSTO","SETTEMBRE","OTTOBRE","NOVEMBRE","DICEMBRE"},0)</f>
        <v>6</v>
      </c>
      <c r="E1885" s="57" t="str">
        <f t="shared" si="1744"/>
        <v>GIUGNO 2023</v>
      </c>
      <c r="F1885" s="57" t="str">
        <f t="shared" si="1745"/>
        <v>6 GIUGNO 2023</v>
      </c>
      <c r="G1885" s="1309" t="s">
        <v>96</v>
      </c>
      <c r="H1885" s="1309" t="str">
        <f>VLOOKUP(G1885,CATEGORIE!$H$3:$I$104,2,FALSE)</f>
        <v>COSTO SOPRAVVIVENZA</v>
      </c>
      <c r="I1885" s="59">
        <v>4.84</v>
      </c>
      <c r="J1885" s="940"/>
      <c r="K1885" s="59"/>
      <c r="L1885" s="59"/>
    </row>
    <row r="1886" spans="1:12" ht="16.5" customHeight="1">
      <c r="A1886" s="57" t="s">
        <v>92</v>
      </c>
      <c r="B1886" s="57" t="s">
        <v>314</v>
      </c>
      <c r="C1886" s="57">
        <v>2023</v>
      </c>
      <c r="D1886" s="58">
        <f>MATCH(B1886,{"GENNAIO","FEBBRAIO","MARZO","APRILE","MAGGIO","GIUGNO","LUGLIO","AGOSTO","SETTEMBRE","OTTOBRE","NOVEMBRE","DICEMBRE"},0)</f>
        <v>6</v>
      </c>
      <c r="E1886" s="57" t="str">
        <f t="shared" si="1744"/>
        <v>GIUGNO 2023</v>
      </c>
      <c r="F1886" s="57" t="str">
        <f t="shared" si="1745"/>
        <v>6 GIUGNO 2023</v>
      </c>
      <c r="G1886" s="1309" t="s">
        <v>93</v>
      </c>
      <c r="H1886" s="1309" t="str">
        <f>VLOOKUP(G1886,CATEGORIE!$H$3:$I$104,2,FALSE)</f>
        <v>COSTO SOPRAVVIVENZA</v>
      </c>
      <c r="I1886" s="59">
        <v>5</v>
      </c>
      <c r="J1886" s="940"/>
      <c r="K1886" s="59"/>
      <c r="L1886" s="59"/>
    </row>
    <row r="1887" spans="1:12" ht="16.5" customHeight="1">
      <c r="A1887" s="57" t="s">
        <v>101</v>
      </c>
      <c r="B1887" s="57" t="s">
        <v>314</v>
      </c>
      <c r="C1887" s="57">
        <v>2023</v>
      </c>
      <c r="D1887" s="58">
        <f>MATCH(B1887,{"GENNAIO","FEBBRAIO","MARZO","APRILE","MAGGIO","GIUGNO","LUGLIO","AGOSTO","SETTEMBRE","OTTOBRE","NOVEMBRE","DICEMBRE"},0)</f>
        <v>6</v>
      </c>
      <c r="E1887" s="57" t="str">
        <f t="shared" si="1744"/>
        <v>GIUGNO 2023</v>
      </c>
      <c r="F1887" s="57" t="str">
        <f t="shared" si="1745"/>
        <v>6 GIUGNO 2023</v>
      </c>
      <c r="G1887" s="1309" t="s">
        <v>91</v>
      </c>
      <c r="H1887" s="1309" t="str">
        <f>VLOOKUP(G1887,CATEGORIE!$H$3:$I$104,2,FALSE)</f>
        <v>COSTO SOPRAVVIVENZA</v>
      </c>
      <c r="I1887" s="59">
        <v>0.4</v>
      </c>
      <c r="J1887" s="940"/>
      <c r="K1887" s="59"/>
      <c r="L1887" s="59"/>
    </row>
    <row r="1888" spans="1:12" ht="16.5" customHeight="1">
      <c r="A1888" s="57" t="s">
        <v>466</v>
      </c>
      <c r="B1888" s="57" t="s">
        <v>314</v>
      </c>
      <c r="C1888" s="57">
        <v>2023</v>
      </c>
      <c r="D1888" s="58">
        <f>MATCH(B1888,{"GENNAIO","FEBBRAIO","MARZO","APRILE","MAGGIO","GIUGNO","LUGLIO","AGOSTO","SETTEMBRE","OTTOBRE","NOVEMBRE","DICEMBRE"},0)</f>
        <v>6</v>
      </c>
      <c r="E1888" s="57" t="str">
        <f t="shared" si="1744"/>
        <v>GIUGNO 2023</v>
      </c>
      <c r="F1888" s="57" t="str">
        <f t="shared" si="1745"/>
        <v>6 GIUGNO 2023</v>
      </c>
      <c r="G1888" s="1309" t="s">
        <v>94</v>
      </c>
      <c r="H1888" s="1309" t="str">
        <f>VLOOKUP(G1888,CATEGORIE!$H$3:$I$104,2,FALSE)</f>
        <v>COSTO SVAGHI</v>
      </c>
      <c r="I1888" s="59">
        <v>17</v>
      </c>
      <c r="J1888" s="940"/>
      <c r="K1888" s="59"/>
      <c r="L1888" s="59"/>
    </row>
    <row r="1889" spans="1:12" ht="18" customHeight="1">
      <c r="A1889" s="57" t="s">
        <v>92</v>
      </c>
      <c r="B1889" s="57" t="s">
        <v>314</v>
      </c>
      <c r="C1889" s="57">
        <v>2023</v>
      </c>
      <c r="D1889" s="58">
        <f>MATCH(B1889,{"GENNAIO","FEBBRAIO","MARZO","APRILE","MAGGIO","GIUGNO","LUGLIO","AGOSTO","SETTEMBRE","OTTOBRE","NOVEMBRE","DICEMBRE"},0)</f>
        <v>6</v>
      </c>
      <c r="E1889" s="57" t="str">
        <f t="shared" si="1744"/>
        <v>GIUGNO 2023</v>
      </c>
      <c r="F1889" s="57" t="str">
        <f t="shared" si="1745"/>
        <v>6 GIUGNO 2023</v>
      </c>
      <c r="G1889" s="1309" t="s">
        <v>94</v>
      </c>
      <c r="H1889" s="1309" t="str">
        <f>VLOOKUP(G1889,CATEGORIE!$H$3:$I$104,2,FALSE)</f>
        <v>COSTO SVAGHI</v>
      </c>
      <c r="I1889" s="59">
        <v>3.6</v>
      </c>
      <c r="J1889" s="940"/>
      <c r="K1889" s="59"/>
      <c r="L1889" s="59"/>
    </row>
    <row r="1890" spans="1:12" ht="16.5" customHeight="1">
      <c r="A1890" s="57" t="s">
        <v>101</v>
      </c>
      <c r="B1890" s="57" t="s">
        <v>314</v>
      </c>
      <c r="C1890" s="57">
        <v>2023</v>
      </c>
      <c r="D1890" s="58">
        <f>MATCH(B1890,{"GENNAIO","FEBBRAIO","MARZO","APRILE","MAGGIO","GIUGNO","LUGLIO","AGOSTO","SETTEMBRE","OTTOBRE","NOVEMBRE","DICEMBRE"},0)</f>
        <v>6</v>
      </c>
      <c r="E1890" s="57" t="str">
        <f t="shared" si="1744"/>
        <v>GIUGNO 2023</v>
      </c>
      <c r="F1890" s="57" t="str">
        <f t="shared" si="1745"/>
        <v>6 GIUGNO 2023</v>
      </c>
      <c r="G1890" s="1309" t="s">
        <v>91</v>
      </c>
      <c r="H1890" s="1309" t="str">
        <f>VLOOKUP(G1890,CATEGORIE!$H$3:$I$104,2,FALSE)</f>
        <v>COSTO SOPRAVVIVENZA</v>
      </c>
      <c r="I1890" s="59">
        <v>0.4</v>
      </c>
      <c r="J1890" s="940"/>
      <c r="K1890" s="59"/>
      <c r="L1890" s="59"/>
    </row>
    <row r="1891" spans="1:12" ht="16.5" customHeight="1">
      <c r="A1891" s="57" t="s">
        <v>101</v>
      </c>
      <c r="B1891" s="57" t="s">
        <v>314</v>
      </c>
      <c r="C1891" s="57">
        <v>2023</v>
      </c>
      <c r="D1891" s="58">
        <f>MATCH(B1891,{"GENNAIO","FEBBRAIO","MARZO","APRILE","MAGGIO","GIUGNO","LUGLIO","AGOSTO","SETTEMBRE","OTTOBRE","NOVEMBRE","DICEMBRE"},0)</f>
        <v>6</v>
      </c>
      <c r="E1891" s="57" t="str">
        <f t="shared" si="1744"/>
        <v>GIUGNO 2023</v>
      </c>
      <c r="F1891" s="57" t="str">
        <f t="shared" si="1745"/>
        <v>6 GIUGNO 2023</v>
      </c>
      <c r="G1891" s="1309" t="s">
        <v>91</v>
      </c>
      <c r="H1891" s="1309" t="str">
        <f>VLOOKUP(G1891,CATEGORIE!$H$3:$I$104,2,FALSE)</f>
        <v>COSTO SOPRAVVIVENZA</v>
      </c>
      <c r="I1891" s="59">
        <v>0.4</v>
      </c>
      <c r="J1891" s="940"/>
      <c r="K1891" s="59"/>
      <c r="L1891" s="59"/>
    </row>
    <row r="1892" spans="1:12">
      <c r="A1892" s="57" t="s">
        <v>547</v>
      </c>
      <c r="B1892" s="57" t="s">
        <v>314</v>
      </c>
      <c r="C1892" s="57">
        <v>2023</v>
      </c>
      <c r="D1892" s="58">
        <f>MATCH(B1892,{"GENNAIO","FEBBRAIO","MARZO","APRILE","MAGGIO","GIUGNO","LUGLIO","AGOSTO","SETTEMBRE","OTTOBRE","NOVEMBRE","DICEMBRE"},0)</f>
        <v>6</v>
      </c>
      <c r="E1892" s="57" t="str">
        <f t="shared" si="1744"/>
        <v>GIUGNO 2023</v>
      </c>
      <c r="F1892" s="57" t="str">
        <f t="shared" si="1745"/>
        <v>6 GIUGNO 2023</v>
      </c>
      <c r="G1892" s="1309" t="s">
        <v>242</v>
      </c>
      <c r="H1892" s="1309" t="str">
        <f>VLOOKUP(G1892,CATEGORIE!$H$3:$I$104,2,FALSE)</f>
        <v>COSTO ABBONAMENTI</v>
      </c>
      <c r="I1892" s="59">
        <v>9.99</v>
      </c>
      <c r="J1892" s="940"/>
      <c r="K1892" s="59"/>
      <c r="L1892" s="59"/>
    </row>
    <row r="1893" spans="1:12" ht="16.5" customHeight="1">
      <c r="A1893" s="57" t="s">
        <v>548</v>
      </c>
      <c r="B1893" s="57" t="s">
        <v>314</v>
      </c>
      <c r="C1893" s="57">
        <v>2023</v>
      </c>
      <c r="D1893" s="58">
        <f>MATCH(B1893,{"GENNAIO","FEBBRAIO","MARZO","APRILE","MAGGIO","GIUGNO","LUGLIO","AGOSTO","SETTEMBRE","OTTOBRE","NOVEMBRE","DICEMBRE"},0)</f>
        <v>6</v>
      </c>
      <c r="E1893" s="57" t="str">
        <f t="shared" si="1744"/>
        <v>GIUGNO 2023</v>
      </c>
      <c r="F1893" s="57" t="str">
        <f t="shared" si="1745"/>
        <v>6 GIUGNO 2023</v>
      </c>
      <c r="G1893" s="1309" t="s">
        <v>94</v>
      </c>
      <c r="H1893" s="1309" t="str">
        <f>VLOOKUP(G1893,CATEGORIE!$H$3:$I$104,2,FALSE)</f>
        <v>COSTO SVAGHI</v>
      </c>
      <c r="I1893" s="59">
        <v>7.5</v>
      </c>
      <c r="J1893" s="940"/>
      <c r="K1893" s="59"/>
      <c r="L1893" s="59"/>
    </row>
    <row r="1894" spans="1:12" ht="16.5" customHeight="1">
      <c r="A1894" s="57" t="s">
        <v>329</v>
      </c>
      <c r="B1894" s="57" t="s">
        <v>314</v>
      </c>
      <c r="C1894" s="57">
        <v>2023</v>
      </c>
      <c r="D1894" s="58">
        <f>MATCH(B1894,{"GENNAIO","FEBBRAIO","MARZO","APRILE","MAGGIO","GIUGNO","LUGLIO","AGOSTO","SETTEMBRE","OTTOBRE","NOVEMBRE","DICEMBRE"},0)</f>
        <v>6</v>
      </c>
      <c r="E1894" s="57" t="str">
        <f t="shared" si="1744"/>
        <v>GIUGNO 2023</v>
      </c>
      <c r="F1894" s="57" t="str">
        <f t="shared" si="1745"/>
        <v>6 GIUGNO 2023</v>
      </c>
      <c r="G1894" s="1309" t="s">
        <v>94</v>
      </c>
      <c r="H1894" s="1309" t="str">
        <f>VLOOKUP(G1894,CATEGORIE!$H$3:$I$104,2,FALSE)</f>
        <v>COSTO SVAGHI</v>
      </c>
      <c r="I1894" s="59">
        <v>20</v>
      </c>
      <c r="J1894" s="940"/>
      <c r="K1894" s="59"/>
      <c r="L1894" s="59"/>
    </row>
    <row r="1895" spans="1:12">
      <c r="A1895" s="57" t="s">
        <v>105</v>
      </c>
      <c r="B1895" s="57" t="s">
        <v>314</v>
      </c>
      <c r="C1895" s="57">
        <v>2023</v>
      </c>
      <c r="D1895" s="58">
        <f>MATCH(B1895,{"GENNAIO","FEBBRAIO","MARZO","APRILE","MAGGIO","GIUGNO","LUGLIO","AGOSTO","SETTEMBRE","OTTOBRE","NOVEMBRE","DICEMBRE"},0)</f>
        <v>6</v>
      </c>
      <c r="E1895" s="57" t="str">
        <f t="shared" si="1744"/>
        <v>GIUGNO 2023</v>
      </c>
      <c r="F1895" s="57" t="str">
        <f t="shared" si="1745"/>
        <v>6 GIUGNO 2023</v>
      </c>
      <c r="G1895" s="1309" t="s">
        <v>96</v>
      </c>
      <c r="H1895" s="1309" t="str">
        <f>VLOOKUP(G1895,CATEGORIE!$H$3:$I$104,2,FALSE)</f>
        <v>COSTO SOPRAVVIVENZA</v>
      </c>
      <c r="I1895" s="59">
        <v>23.23</v>
      </c>
      <c r="J1895" s="940"/>
      <c r="K1895" s="59"/>
      <c r="L1895" s="59"/>
    </row>
    <row r="1896" spans="1:12">
      <c r="A1896" s="57" t="s">
        <v>92</v>
      </c>
      <c r="B1896" s="57" t="s">
        <v>314</v>
      </c>
      <c r="C1896" s="57">
        <v>2023</v>
      </c>
      <c r="D1896" s="58">
        <f>MATCH(B1896,{"GENNAIO","FEBBRAIO","MARZO","APRILE","MAGGIO","GIUGNO","LUGLIO","AGOSTO","SETTEMBRE","OTTOBRE","NOVEMBRE","DICEMBRE"},0)</f>
        <v>6</v>
      </c>
      <c r="E1896" s="57" t="str">
        <f t="shared" si="1744"/>
        <v>GIUGNO 2023</v>
      </c>
      <c r="F1896" s="57" t="str">
        <f t="shared" si="1745"/>
        <v>6 GIUGNO 2023</v>
      </c>
      <c r="G1896" s="1309" t="s">
        <v>94</v>
      </c>
      <c r="H1896" s="1309" t="str">
        <f>VLOOKUP(G1896,CATEGORIE!$H$3:$I$104,2,FALSE)</f>
        <v>COSTO SVAGHI</v>
      </c>
      <c r="I1896" s="59">
        <v>15.5</v>
      </c>
      <c r="J1896" s="940"/>
      <c r="K1896" s="59"/>
      <c r="L1896" s="59"/>
    </row>
    <row r="1897" spans="1:12" ht="16.5" customHeight="1">
      <c r="A1897" s="57" t="s">
        <v>549</v>
      </c>
      <c r="B1897" s="57" t="s">
        <v>314</v>
      </c>
      <c r="C1897" s="57">
        <v>2023</v>
      </c>
      <c r="D1897" s="58">
        <f>MATCH(B1897,{"GENNAIO","FEBBRAIO","MARZO","APRILE","MAGGIO","GIUGNO","LUGLIO","AGOSTO","SETTEMBRE","OTTOBRE","NOVEMBRE","DICEMBRE"},0)</f>
        <v>6</v>
      </c>
      <c r="E1897" s="57" t="str">
        <f t="shared" si="1744"/>
        <v>GIUGNO 2023</v>
      </c>
      <c r="F1897" s="57" t="str">
        <f t="shared" si="1745"/>
        <v>6 GIUGNO 2023</v>
      </c>
      <c r="G1897" s="1309" t="s">
        <v>94</v>
      </c>
      <c r="H1897" s="1309" t="str">
        <f>VLOOKUP(G1897,CATEGORIE!$H$3:$I$104,2,FALSE)</f>
        <v>COSTO SVAGHI</v>
      </c>
      <c r="I1897" s="59">
        <v>29.6</v>
      </c>
      <c r="J1897" s="940"/>
      <c r="K1897" s="59"/>
      <c r="L1897" s="59"/>
    </row>
    <row r="1898" spans="1:12" ht="18" customHeight="1">
      <c r="A1898" s="57" t="s">
        <v>105</v>
      </c>
      <c r="B1898" s="57" t="s">
        <v>314</v>
      </c>
      <c r="C1898" s="57">
        <v>2023</v>
      </c>
      <c r="D1898" s="58">
        <f>MATCH(B1898,{"GENNAIO","FEBBRAIO","MARZO","APRILE","MAGGIO","GIUGNO","LUGLIO","AGOSTO","SETTEMBRE","OTTOBRE","NOVEMBRE","DICEMBRE"},0)</f>
        <v>6</v>
      </c>
      <c r="E1898" s="57" t="str">
        <f t="shared" si="1744"/>
        <v>GIUGNO 2023</v>
      </c>
      <c r="F1898" s="57" t="str">
        <f t="shared" si="1745"/>
        <v>6 GIUGNO 2023</v>
      </c>
      <c r="G1898" s="1309" t="s">
        <v>96</v>
      </c>
      <c r="H1898" s="1309" t="str">
        <f>VLOOKUP(G1898,CATEGORIE!$H$3:$I$104,2,FALSE)</f>
        <v>COSTO SOPRAVVIVENZA</v>
      </c>
      <c r="I1898" s="59">
        <v>15.48</v>
      </c>
      <c r="J1898" s="940"/>
      <c r="K1898" s="59"/>
      <c r="L1898" s="59"/>
    </row>
    <row r="1899" spans="1:12">
      <c r="A1899" s="57" t="s">
        <v>465</v>
      </c>
      <c r="B1899" s="57" t="s">
        <v>314</v>
      </c>
      <c r="C1899" s="57">
        <v>2023</v>
      </c>
      <c r="D1899" s="58">
        <f>MATCH(B1899,{"GENNAIO","FEBBRAIO","MARZO","APRILE","MAGGIO","GIUGNO","LUGLIO","AGOSTO","SETTEMBRE","OTTOBRE","NOVEMBRE","DICEMBRE"},0)</f>
        <v>6</v>
      </c>
      <c r="E1899" s="57" t="str">
        <f t="shared" si="1744"/>
        <v>GIUGNO 2023</v>
      </c>
      <c r="F1899" s="57" t="str">
        <f t="shared" si="1745"/>
        <v>6 GIUGNO 2023</v>
      </c>
      <c r="G1899" s="1309" t="s">
        <v>96</v>
      </c>
      <c r="H1899" s="1309" t="str">
        <f>VLOOKUP(G1899,CATEGORIE!$H$3:$I$104,2,FALSE)</f>
        <v>COSTO SOPRAVVIVENZA</v>
      </c>
      <c r="I1899" s="59">
        <v>81.16</v>
      </c>
      <c r="J1899" s="940"/>
      <c r="K1899" s="59"/>
      <c r="L1899" s="59"/>
    </row>
    <row r="1900" spans="1:12" ht="16.5" customHeight="1">
      <c r="A1900" s="57" t="s">
        <v>101</v>
      </c>
      <c r="B1900" s="57" t="s">
        <v>314</v>
      </c>
      <c r="C1900" s="57">
        <v>2023</v>
      </c>
      <c r="D1900" s="58">
        <f>MATCH(B1900,{"GENNAIO","FEBBRAIO","MARZO","APRILE","MAGGIO","GIUGNO","LUGLIO","AGOSTO","SETTEMBRE","OTTOBRE","NOVEMBRE","DICEMBRE"},0)</f>
        <v>6</v>
      </c>
      <c r="E1900" s="57" t="str">
        <f t="shared" si="1744"/>
        <v>GIUGNO 2023</v>
      </c>
      <c r="F1900" s="57" t="str">
        <f t="shared" si="1745"/>
        <v>6 GIUGNO 2023</v>
      </c>
      <c r="G1900" s="1309" t="s">
        <v>91</v>
      </c>
      <c r="H1900" s="1309" t="str">
        <f>VLOOKUP(G1900,CATEGORIE!$H$3:$I$104,2,FALSE)</f>
        <v>COSTO SOPRAVVIVENZA</v>
      </c>
      <c r="I1900" s="59">
        <v>0.4</v>
      </c>
      <c r="J1900" s="940"/>
      <c r="K1900" s="59"/>
      <c r="L1900" s="59"/>
    </row>
    <row r="1901" spans="1:12">
      <c r="A1901" s="57" t="s">
        <v>542</v>
      </c>
      <c r="B1901" s="57" t="s">
        <v>314</v>
      </c>
      <c r="C1901" s="57">
        <v>2023</v>
      </c>
      <c r="D1901" s="58">
        <f>MATCH(B1901,{"GENNAIO","FEBBRAIO","MARZO","APRILE","MAGGIO","GIUGNO","LUGLIO","AGOSTO","SETTEMBRE","OTTOBRE","NOVEMBRE","DICEMBRE"},0)</f>
        <v>6</v>
      </c>
      <c r="E1901" s="57" t="str">
        <f t="shared" si="1744"/>
        <v>GIUGNO 2023</v>
      </c>
      <c r="F1901" s="57" t="str">
        <f t="shared" si="1745"/>
        <v>6 GIUGNO 2023</v>
      </c>
      <c r="G1901" s="1309" t="s">
        <v>100</v>
      </c>
      <c r="H1901" s="1309" t="str">
        <f>VLOOKUP(G1901,CATEGORIE!$H$3:$I$104,2,FALSE)</f>
        <v>COSTO SFIZI</v>
      </c>
      <c r="I1901" s="59">
        <v>15.12</v>
      </c>
      <c r="J1901" s="940" t="s">
        <v>138</v>
      </c>
      <c r="K1901" s="59" t="s">
        <v>112</v>
      </c>
      <c r="L1901" s="59"/>
    </row>
    <row r="1902" spans="1:12" ht="18" customHeight="1">
      <c r="A1902" s="57" t="s">
        <v>276</v>
      </c>
      <c r="B1902" s="57" t="s">
        <v>314</v>
      </c>
      <c r="C1902" s="57">
        <v>2023</v>
      </c>
      <c r="D1902" s="58">
        <f>MATCH(B1902,{"GENNAIO","FEBBRAIO","MARZO","APRILE","MAGGIO","GIUGNO","LUGLIO","AGOSTO","SETTEMBRE","OTTOBRE","NOVEMBRE","DICEMBRE"},0)</f>
        <v>6</v>
      </c>
      <c r="E1902" s="57" t="str">
        <f t="shared" si="1744"/>
        <v>GIUGNO 2023</v>
      </c>
      <c r="F1902" s="57" t="str">
        <f t="shared" si="1745"/>
        <v>6 GIUGNO 2023</v>
      </c>
      <c r="G1902" s="1309" t="s">
        <v>385</v>
      </c>
      <c r="H1902" s="1309" t="str">
        <f>VLOOKUP(G1902,CATEGORIE!$H$3:$I$104,2,FALSE)</f>
        <v>COSTO SFIZI</v>
      </c>
      <c r="I1902" s="59">
        <v>39.950000000000003</v>
      </c>
      <c r="J1902" s="940"/>
      <c r="K1902" s="59"/>
      <c r="L1902" s="59" t="s">
        <v>550</v>
      </c>
    </row>
    <row r="1903" spans="1:12" ht="16.5" customHeight="1">
      <c r="A1903" s="57" t="s">
        <v>551</v>
      </c>
      <c r="B1903" s="57" t="s">
        <v>314</v>
      </c>
      <c r="C1903" s="57">
        <v>2023</v>
      </c>
      <c r="D1903" s="58">
        <f>MATCH(B1903,{"GENNAIO","FEBBRAIO","MARZO","APRILE","MAGGIO","GIUGNO","LUGLIO","AGOSTO","SETTEMBRE","OTTOBRE","NOVEMBRE","DICEMBRE"},0)</f>
        <v>6</v>
      </c>
      <c r="E1903" s="57" t="str">
        <f t="shared" si="1744"/>
        <v>GIUGNO 2023</v>
      </c>
      <c r="F1903" s="57" t="str">
        <f t="shared" si="1745"/>
        <v>6 GIUGNO 2023</v>
      </c>
      <c r="G1903" s="1309" t="s">
        <v>94</v>
      </c>
      <c r="H1903" s="1309" t="str">
        <f>VLOOKUP(G1903,CATEGORIE!$H$3:$I$104,2,FALSE)</f>
        <v>COSTO SVAGHI</v>
      </c>
      <c r="I1903" s="59">
        <v>18</v>
      </c>
      <c r="J1903" s="940"/>
      <c r="K1903" s="59"/>
      <c r="L1903" s="59"/>
    </row>
    <row r="1904" spans="1:12" ht="16.5" customHeight="1">
      <c r="A1904" s="57" t="s">
        <v>552</v>
      </c>
      <c r="B1904" s="57" t="s">
        <v>314</v>
      </c>
      <c r="C1904" s="57">
        <v>2023</v>
      </c>
      <c r="D1904" s="58">
        <f>MATCH(B1904,{"GENNAIO","FEBBRAIO","MARZO","APRILE","MAGGIO","GIUGNO","LUGLIO","AGOSTO","SETTEMBRE","OTTOBRE","NOVEMBRE","DICEMBRE"},0)</f>
        <v>6</v>
      </c>
      <c r="E1904" s="57" t="str">
        <f t="shared" si="1744"/>
        <v>GIUGNO 2023</v>
      </c>
      <c r="F1904" s="57" t="str">
        <f t="shared" si="1745"/>
        <v>6 GIUGNO 2023</v>
      </c>
      <c r="G1904" s="1309" t="s">
        <v>418</v>
      </c>
      <c r="H1904" s="1309" t="str">
        <f>VLOOKUP(G1904,CATEGORIE!$H$3:$I$104,2,FALSE)</f>
        <v>COSTO SOPRAVVIVENZA</v>
      </c>
      <c r="I1904" s="60">
        <v>12.6</v>
      </c>
      <c r="J1904" s="940"/>
      <c r="K1904" s="59"/>
      <c r="L1904" s="59"/>
    </row>
    <row r="1905" spans="1:12" ht="18.600000000000001" customHeight="1">
      <c r="A1905" s="57" t="s">
        <v>99</v>
      </c>
      <c r="B1905" s="57" t="s">
        <v>314</v>
      </c>
      <c r="C1905" s="57">
        <v>2023</v>
      </c>
      <c r="D1905" s="58">
        <f>MATCH(B1905,{"GENNAIO","FEBBRAIO","MARZO","APRILE","MAGGIO","GIUGNO","LUGLIO","AGOSTO","SETTEMBRE","OTTOBRE","NOVEMBRE","DICEMBRE"},0)</f>
        <v>6</v>
      </c>
      <c r="E1905" s="57" t="str">
        <f t="shared" si="1744"/>
        <v>GIUGNO 2023</v>
      </c>
      <c r="F1905" s="57" t="str">
        <f t="shared" si="1745"/>
        <v>6 GIUGNO 2023</v>
      </c>
      <c r="G1905" s="1309" t="s">
        <v>100</v>
      </c>
      <c r="H1905" s="1309" t="str">
        <f>VLOOKUP(G1905,CATEGORIE!$H$3:$I$104,2,FALSE)</f>
        <v>COSTO SFIZI</v>
      </c>
      <c r="I1905" s="59">
        <v>23</v>
      </c>
      <c r="J1905" s="940"/>
      <c r="K1905" s="57" t="s">
        <v>99</v>
      </c>
      <c r="L1905" s="59"/>
    </row>
    <row r="1906" spans="1:12" ht="16.5" customHeight="1">
      <c r="A1906" s="57" t="s">
        <v>553</v>
      </c>
      <c r="B1906" s="57" t="s">
        <v>314</v>
      </c>
      <c r="C1906" s="57">
        <v>2023</v>
      </c>
      <c r="D1906" s="58">
        <f>MATCH(B1906,{"GENNAIO","FEBBRAIO","MARZO","APRILE","MAGGIO","GIUGNO","LUGLIO","AGOSTO","SETTEMBRE","OTTOBRE","NOVEMBRE","DICEMBRE"},0)</f>
        <v>6</v>
      </c>
      <c r="E1906" s="57" t="str">
        <f t="shared" si="1744"/>
        <v>GIUGNO 2023</v>
      </c>
      <c r="F1906" s="57" t="str">
        <f t="shared" si="1745"/>
        <v>6 GIUGNO 2023</v>
      </c>
      <c r="G1906" s="1309" t="s">
        <v>94</v>
      </c>
      <c r="H1906" s="1309" t="str">
        <f>VLOOKUP(G1906,CATEGORIE!$H$3:$I$104,2,FALSE)</f>
        <v>COSTO SVAGHI</v>
      </c>
      <c r="I1906" s="59">
        <v>20</v>
      </c>
      <c r="J1906" s="940"/>
      <c r="K1906" s="59"/>
      <c r="L1906" s="59"/>
    </row>
    <row r="1907" spans="1:12" ht="16.5" customHeight="1">
      <c r="A1907" s="57" t="s">
        <v>101</v>
      </c>
      <c r="B1907" s="57" t="s">
        <v>314</v>
      </c>
      <c r="C1907" s="57">
        <v>2023</v>
      </c>
      <c r="D1907" s="58">
        <f>MATCH(B1907,{"GENNAIO","FEBBRAIO","MARZO","APRILE","MAGGIO","GIUGNO","LUGLIO","AGOSTO","SETTEMBRE","OTTOBRE","NOVEMBRE","DICEMBRE"},0)</f>
        <v>6</v>
      </c>
      <c r="E1907" s="57" t="str">
        <f t="shared" si="1744"/>
        <v>GIUGNO 2023</v>
      </c>
      <c r="F1907" s="57" t="str">
        <f t="shared" si="1745"/>
        <v>6 GIUGNO 2023</v>
      </c>
      <c r="G1907" s="1309" t="s">
        <v>91</v>
      </c>
      <c r="H1907" s="1309" t="str">
        <f>VLOOKUP(G1907,CATEGORIE!$H$3:$I$104,2,FALSE)</f>
        <v>COSTO SOPRAVVIVENZA</v>
      </c>
      <c r="I1907" s="59">
        <v>0.4</v>
      </c>
      <c r="J1907" s="940"/>
      <c r="K1907" s="59"/>
      <c r="L1907" s="59"/>
    </row>
    <row r="1908" spans="1:12" ht="16.5" customHeight="1">
      <c r="A1908" s="57" t="s">
        <v>135</v>
      </c>
      <c r="B1908" s="57" t="s">
        <v>314</v>
      </c>
      <c r="C1908" s="57">
        <v>2023</v>
      </c>
      <c r="D1908" s="58">
        <f>MATCH(B1908,{"GENNAIO","FEBBRAIO","MARZO","APRILE","MAGGIO","GIUGNO","LUGLIO","AGOSTO","SETTEMBRE","OTTOBRE","NOVEMBRE","DICEMBRE"},0)</f>
        <v>6</v>
      </c>
      <c r="E1908" s="57" t="str">
        <f t="shared" si="1744"/>
        <v>GIUGNO 2023</v>
      </c>
      <c r="F1908" s="57" t="str">
        <f t="shared" si="1745"/>
        <v>6 GIUGNO 2023</v>
      </c>
      <c r="G1908" s="1309" t="s">
        <v>132</v>
      </c>
      <c r="H1908" s="1309" t="str">
        <f>VLOOKUP(G1908,CATEGORIE!$H$3:$I$104,2,FALSE)</f>
        <v>COSTO CASA</v>
      </c>
      <c r="I1908" s="59">
        <v>20.51</v>
      </c>
      <c r="J1908" s="940"/>
      <c r="K1908" s="59"/>
      <c r="L1908" s="59"/>
    </row>
    <row r="1909" spans="1:12">
      <c r="A1909" s="57" t="s">
        <v>101</v>
      </c>
      <c r="B1909" s="57" t="s">
        <v>314</v>
      </c>
      <c r="C1909" s="57">
        <v>2023</v>
      </c>
      <c r="D1909" s="58">
        <f>MATCH(B1909,{"GENNAIO","FEBBRAIO","MARZO","APRILE","MAGGIO","GIUGNO","LUGLIO","AGOSTO","SETTEMBRE","OTTOBRE","NOVEMBRE","DICEMBRE"},0)</f>
        <v>6</v>
      </c>
      <c r="E1909" s="57" t="str">
        <f t="shared" si="1744"/>
        <v>GIUGNO 2023</v>
      </c>
      <c r="F1909" s="57" t="str">
        <f t="shared" si="1745"/>
        <v>6 GIUGNO 2023</v>
      </c>
      <c r="G1909" s="1309" t="s">
        <v>91</v>
      </c>
      <c r="H1909" s="1309" t="str">
        <f>VLOOKUP(G1909,CATEGORIE!$H$3:$I$104,2,FALSE)</f>
        <v>COSTO SOPRAVVIVENZA</v>
      </c>
      <c r="I1909" s="59">
        <v>0.4</v>
      </c>
      <c r="J1909" s="940"/>
      <c r="K1909" s="59"/>
      <c r="L1909" s="59"/>
    </row>
    <row r="1910" spans="1:12" ht="16.5" customHeight="1">
      <c r="A1910" s="57" t="s">
        <v>101</v>
      </c>
      <c r="B1910" s="57" t="s">
        <v>314</v>
      </c>
      <c r="C1910" s="57">
        <v>2023</v>
      </c>
      <c r="D1910" s="58">
        <f>MATCH(B1910,{"GENNAIO","FEBBRAIO","MARZO","APRILE","MAGGIO","GIUGNO","LUGLIO","AGOSTO","SETTEMBRE","OTTOBRE","NOVEMBRE","DICEMBRE"},0)</f>
        <v>6</v>
      </c>
      <c r="E1910" s="57" t="str">
        <f t="shared" si="1744"/>
        <v>GIUGNO 2023</v>
      </c>
      <c r="F1910" s="57" t="str">
        <f t="shared" si="1745"/>
        <v>6 GIUGNO 2023</v>
      </c>
      <c r="G1910" s="1309" t="s">
        <v>91</v>
      </c>
      <c r="H1910" s="1309" t="str">
        <f>VLOOKUP(G1910,CATEGORIE!$H$3:$I$104,2,FALSE)</f>
        <v>COSTO SOPRAVVIVENZA</v>
      </c>
      <c r="I1910" s="59">
        <v>0.4</v>
      </c>
      <c r="J1910" s="940"/>
      <c r="K1910" s="59"/>
      <c r="L1910" s="59"/>
    </row>
    <row r="1911" spans="1:12" ht="16.5" customHeight="1">
      <c r="A1911" s="57" t="s">
        <v>101</v>
      </c>
      <c r="B1911" s="57" t="s">
        <v>314</v>
      </c>
      <c r="C1911" s="57">
        <v>2023</v>
      </c>
      <c r="D1911" s="58">
        <f>MATCH(B1911,{"GENNAIO","FEBBRAIO","MARZO","APRILE","MAGGIO","GIUGNO","LUGLIO","AGOSTO","SETTEMBRE","OTTOBRE","NOVEMBRE","DICEMBRE"},0)</f>
        <v>6</v>
      </c>
      <c r="E1911" s="57" t="str">
        <f t="shared" si="1744"/>
        <v>GIUGNO 2023</v>
      </c>
      <c r="F1911" s="57" t="str">
        <f t="shared" si="1745"/>
        <v>6 GIUGNO 2023</v>
      </c>
      <c r="G1911" s="1309" t="s">
        <v>91</v>
      </c>
      <c r="H1911" s="1309" t="str">
        <f>VLOOKUP(G1911,CATEGORIE!$H$3:$I$104,2,FALSE)</f>
        <v>COSTO SOPRAVVIVENZA</v>
      </c>
      <c r="I1911" s="59">
        <v>0.4</v>
      </c>
      <c r="J1911" s="940"/>
      <c r="K1911" s="59"/>
      <c r="L1911" s="59"/>
    </row>
    <row r="1912" spans="1:12" ht="16.5" customHeight="1">
      <c r="A1912" s="57" t="s">
        <v>106</v>
      </c>
      <c r="B1912" s="57" t="s">
        <v>314</v>
      </c>
      <c r="C1912" s="57">
        <v>2023</v>
      </c>
      <c r="D1912" s="58">
        <f>MATCH(B1912,{"GENNAIO","FEBBRAIO","MARZO","APRILE","MAGGIO","GIUGNO","LUGLIO","AGOSTO","SETTEMBRE","OTTOBRE","NOVEMBRE","DICEMBRE"},0)</f>
        <v>6</v>
      </c>
      <c r="E1912" s="57" t="str">
        <f t="shared" si="1744"/>
        <v>GIUGNO 2023</v>
      </c>
      <c r="F1912" s="57" t="str">
        <f t="shared" si="1745"/>
        <v>6 GIUGNO 2023</v>
      </c>
      <c r="G1912" s="1309" t="s">
        <v>107</v>
      </c>
      <c r="H1912" s="1309" t="str">
        <f>VLOOKUP(G1912,CATEGORIE!$H$3:$I$104,2,FALSE)</f>
        <v>COSTO SOPRAVVIVENZA</v>
      </c>
      <c r="I1912" s="59">
        <v>33</v>
      </c>
      <c r="J1912" s="940"/>
      <c r="K1912" s="59"/>
      <c r="L1912" s="59"/>
    </row>
    <row r="1913" spans="1:12">
      <c r="A1913" s="57" t="s">
        <v>101</v>
      </c>
      <c r="B1913" s="57" t="s">
        <v>314</v>
      </c>
      <c r="C1913" s="57">
        <v>2023</v>
      </c>
      <c r="D1913" s="58">
        <f>MATCH(B1913,{"GENNAIO","FEBBRAIO","MARZO","APRILE","MAGGIO","GIUGNO","LUGLIO","AGOSTO","SETTEMBRE","OTTOBRE","NOVEMBRE","DICEMBRE"},0)</f>
        <v>6</v>
      </c>
      <c r="E1913" s="57" t="str">
        <f t="shared" ref="E1913:E1976" si="1746">CONCATENATE(,B1913," ",C1913)</f>
        <v>GIUGNO 2023</v>
      </c>
      <c r="F1913" s="57" t="str">
        <f t="shared" ref="F1913:F1976" si="1747">CONCATENATE(D1913," ",E1913)</f>
        <v>6 GIUGNO 2023</v>
      </c>
      <c r="G1913" s="1309" t="s">
        <v>91</v>
      </c>
      <c r="H1913" s="1309" t="str">
        <f>VLOOKUP(G1913,CATEGORIE!$H$3:$I$104,2,FALSE)</f>
        <v>COSTO SOPRAVVIVENZA</v>
      </c>
      <c r="I1913" s="59">
        <v>0.4</v>
      </c>
      <c r="J1913" s="940"/>
      <c r="K1913" s="59"/>
      <c r="L1913" s="59"/>
    </row>
    <row r="1914" spans="1:12">
      <c r="A1914" s="57" t="s">
        <v>101</v>
      </c>
      <c r="B1914" s="57" t="s">
        <v>314</v>
      </c>
      <c r="C1914" s="57">
        <v>2023</v>
      </c>
      <c r="D1914" s="58">
        <f>MATCH(B1914,{"GENNAIO","FEBBRAIO","MARZO","APRILE","MAGGIO","GIUGNO","LUGLIO","AGOSTO","SETTEMBRE","OTTOBRE","NOVEMBRE","DICEMBRE"},0)</f>
        <v>6</v>
      </c>
      <c r="E1914" s="57" t="str">
        <f t="shared" si="1746"/>
        <v>GIUGNO 2023</v>
      </c>
      <c r="F1914" s="57" t="str">
        <f t="shared" si="1747"/>
        <v>6 GIUGNO 2023</v>
      </c>
      <c r="G1914" s="1309" t="s">
        <v>91</v>
      </c>
      <c r="H1914" s="1309" t="str">
        <f>VLOOKUP(G1914,CATEGORIE!$H$3:$I$104,2,FALSE)</f>
        <v>COSTO SOPRAVVIVENZA</v>
      </c>
      <c r="I1914" s="59">
        <v>0.4</v>
      </c>
      <c r="J1914" s="940"/>
      <c r="K1914" s="59"/>
      <c r="L1914" s="59"/>
    </row>
    <row r="1915" spans="1:12" ht="18" customHeight="1">
      <c r="A1915" s="57" t="s">
        <v>101</v>
      </c>
      <c r="B1915" s="57" t="s">
        <v>314</v>
      </c>
      <c r="C1915" s="57">
        <v>2023</v>
      </c>
      <c r="D1915" s="58">
        <f>MATCH(B1915,{"GENNAIO","FEBBRAIO","MARZO","APRILE","MAGGIO","GIUGNO","LUGLIO","AGOSTO","SETTEMBRE","OTTOBRE","NOVEMBRE","DICEMBRE"},0)</f>
        <v>6</v>
      </c>
      <c r="E1915" s="57" t="str">
        <f t="shared" si="1746"/>
        <v>GIUGNO 2023</v>
      </c>
      <c r="F1915" s="57" t="str">
        <f t="shared" si="1747"/>
        <v>6 GIUGNO 2023</v>
      </c>
      <c r="G1915" s="1309" t="s">
        <v>91</v>
      </c>
      <c r="H1915" s="1309" t="str">
        <f>VLOOKUP(G1915,CATEGORIE!$H$3:$I$104,2,FALSE)</f>
        <v>COSTO SOPRAVVIVENZA</v>
      </c>
      <c r="I1915" s="59">
        <v>0.4</v>
      </c>
      <c r="J1915" s="940"/>
      <c r="K1915" s="59"/>
      <c r="L1915" s="59"/>
    </row>
    <row r="1916" spans="1:12" ht="18" customHeight="1">
      <c r="A1916" s="57" t="s">
        <v>95</v>
      </c>
      <c r="B1916" s="57" t="s">
        <v>314</v>
      </c>
      <c r="C1916" s="57">
        <v>2023</v>
      </c>
      <c r="D1916" s="58">
        <f>MATCH(B1916,{"GENNAIO","FEBBRAIO","MARZO","APRILE","MAGGIO","GIUGNO","LUGLIO","AGOSTO","SETTEMBRE","OTTOBRE","NOVEMBRE","DICEMBRE"},0)</f>
        <v>6</v>
      </c>
      <c r="E1916" s="57" t="str">
        <f t="shared" si="1746"/>
        <v>GIUGNO 2023</v>
      </c>
      <c r="F1916" s="57" t="str">
        <f t="shared" si="1747"/>
        <v>6 GIUGNO 2023</v>
      </c>
      <c r="G1916" s="1309" t="s">
        <v>96</v>
      </c>
      <c r="H1916" s="1309" t="str">
        <f>VLOOKUP(G1916,CATEGORIE!$H$3:$I$104,2,FALSE)</f>
        <v>COSTO SOPRAVVIVENZA</v>
      </c>
      <c r="I1916" s="59">
        <v>29.68</v>
      </c>
      <c r="J1916" s="940"/>
      <c r="K1916" s="59"/>
      <c r="L1916" s="59"/>
    </row>
    <row r="1917" spans="1:12" ht="18" customHeight="1">
      <c r="A1917" s="57" t="s">
        <v>105</v>
      </c>
      <c r="B1917" s="57" t="s">
        <v>314</v>
      </c>
      <c r="C1917" s="57">
        <v>2023</v>
      </c>
      <c r="D1917" s="58">
        <f>MATCH(B1917,{"GENNAIO","FEBBRAIO","MARZO","APRILE","MAGGIO","GIUGNO","LUGLIO","AGOSTO","SETTEMBRE","OTTOBRE","NOVEMBRE","DICEMBRE"},0)</f>
        <v>6</v>
      </c>
      <c r="E1917" s="57" t="str">
        <f t="shared" si="1746"/>
        <v>GIUGNO 2023</v>
      </c>
      <c r="F1917" s="57" t="str">
        <f t="shared" si="1747"/>
        <v>6 GIUGNO 2023</v>
      </c>
      <c r="G1917" s="1309" t="s">
        <v>96</v>
      </c>
      <c r="H1917" s="1309" t="str">
        <f>VLOOKUP(G1917,CATEGORIE!$H$3:$I$104,2,FALSE)</f>
        <v>COSTO SOPRAVVIVENZA</v>
      </c>
      <c r="I1917" s="59">
        <v>15.7</v>
      </c>
      <c r="J1917" s="940"/>
      <c r="K1917" s="59"/>
      <c r="L1917" s="59"/>
    </row>
    <row r="1918" spans="1:12" ht="16.5" customHeight="1">
      <c r="A1918" s="57" t="s">
        <v>229</v>
      </c>
      <c r="B1918" s="57" t="s">
        <v>314</v>
      </c>
      <c r="C1918" s="57">
        <v>2023</v>
      </c>
      <c r="D1918" s="58">
        <f>MATCH(B1918,{"GENNAIO","FEBBRAIO","MARZO","APRILE","MAGGIO","GIUGNO","LUGLIO","AGOSTO","SETTEMBRE","OTTOBRE","NOVEMBRE","DICEMBRE"},0)</f>
        <v>6</v>
      </c>
      <c r="E1918" s="57" t="str">
        <f t="shared" si="1746"/>
        <v>GIUGNO 2023</v>
      </c>
      <c r="F1918" s="57" t="str">
        <f t="shared" si="1747"/>
        <v>6 GIUGNO 2023</v>
      </c>
      <c r="G1918" s="1309" t="s">
        <v>163</v>
      </c>
      <c r="H1918" s="1309" t="str">
        <f>VLOOKUP(G1918,CATEGORIE!$H$3:$I$104,2,FALSE)</f>
        <v>COSTO SVAGHI</v>
      </c>
      <c r="I1918" s="59">
        <v>37.71</v>
      </c>
      <c r="J1918" s="940" t="s">
        <v>124</v>
      </c>
      <c r="K1918" s="59" t="s">
        <v>112</v>
      </c>
      <c r="L1918" s="59"/>
    </row>
    <row r="1919" spans="1:12" ht="16.5" customHeight="1">
      <c r="A1919" s="57" t="s">
        <v>347</v>
      </c>
      <c r="B1919" s="57" t="s">
        <v>314</v>
      </c>
      <c r="C1919" s="57">
        <v>2023</v>
      </c>
      <c r="D1919" s="58">
        <f>MATCH(B1919,{"GENNAIO","FEBBRAIO","MARZO","APRILE","MAGGIO","GIUGNO","LUGLIO","AGOSTO","SETTEMBRE","OTTOBRE","NOVEMBRE","DICEMBRE"},0)</f>
        <v>6</v>
      </c>
      <c r="E1919" s="57" t="str">
        <f t="shared" si="1746"/>
        <v>GIUGNO 2023</v>
      </c>
      <c r="F1919" s="57" t="str">
        <f t="shared" si="1747"/>
        <v>6 GIUGNO 2023</v>
      </c>
      <c r="G1919" s="1309" t="s">
        <v>108</v>
      </c>
      <c r="H1919" s="1309" t="str">
        <f>VLOOKUP(G1919,CATEGORIE!$H$3:$I$104,2,FALSE)</f>
        <v>COSTO SFIZI</v>
      </c>
      <c r="I1919" s="59">
        <v>10.49</v>
      </c>
      <c r="J1919" s="940" t="s">
        <v>215</v>
      </c>
      <c r="K1919" s="59" t="s">
        <v>112</v>
      </c>
      <c r="L1919" s="59"/>
    </row>
    <row r="1920" spans="1:12" ht="16.5" customHeight="1">
      <c r="A1920" s="57" t="s">
        <v>99</v>
      </c>
      <c r="B1920" s="57" t="s">
        <v>314</v>
      </c>
      <c r="C1920" s="57">
        <v>2023</v>
      </c>
      <c r="D1920" s="58">
        <f>MATCH(B1920,{"GENNAIO","FEBBRAIO","MARZO","APRILE","MAGGIO","GIUGNO","LUGLIO","AGOSTO","SETTEMBRE","OTTOBRE","NOVEMBRE","DICEMBRE"},0)</f>
        <v>6</v>
      </c>
      <c r="E1920" s="57" t="str">
        <f t="shared" si="1746"/>
        <v>GIUGNO 2023</v>
      </c>
      <c r="F1920" s="57" t="str">
        <f t="shared" si="1747"/>
        <v>6 GIUGNO 2023</v>
      </c>
      <c r="G1920" s="1309" t="s">
        <v>385</v>
      </c>
      <c r="H1920" s="1309" t="str">
        <f>VLOOKUP(G1920,CATEGORIE!$H$3:$I$104,2,FALSE)</f>
        <v>COSTO SFIZI</v>
      </c>
      <c r="I1920" s="59">
        <v>55.86</v>
      </c>
      <c r="J1920" s="940" t="s">
        <v>167</v>
      </c>
      <c r="K1920" s="57" t="s">
        <v>99</v>
      </c>
      <c r="L1920" s="59" t="s">
        <v>546</v>
      </c>
    </row>
    <row r="1921" spans="1:12" ht="16.5" customHeight="1">
      <c r="A1921" s="57" t="s">
        <v>92</v>
      </c>
      <c r="B1921" s="57" t="s">
        <v>314</v>
      </c>
      <c r="C1921" s="57">
        <v>2023</v>
      </c>
      <c r="D1921" s="58">
        <f>MATCH(B1921,{"GENNAIO","FEBBRAIO","MARZO","APRILE","MAGGIO","GIUGNO","LUGLIO","AGOSTO","SETTEMBRE","OTTOBRE","NOVEMBRE","DICEMBRE"},0)</f>
        <v>6</v>
      </c>
      <c r="E1921" s="57" t="str">
        <f t="shared" si="1746"/>
        <v>GIUGNO 2023</v>
      </c>
      <c r="F1921" s="57" t="str">
        <f t="shared" si="1747"/>
        <v>6 GIUGNO 2023</v>
      </c>
      <c r="G1921" s="1309" t="s">
        <v>94</v>
      </c>
      <c r="H1921" s="1309" t="str">
        <f>VLOOKUP(G1921,CATEGORIE!$H$3:$I$104,2,FALSE)</f>
        <v>COSTO SVAGHI</v>
      </c>
      <c r="I1921" s="59">
        <v>3.6</v>
      </c>
      <c r="J1921" s="940"/>
      <c r="K1921" s="59"/>
      <c r="L1921" s="59"/>
    </row>
    <row r="1922" spans="1:12">
      <c r="A1922" s="57" t="s">
        <v>329</v>
      </c>
      <c r="B1922" s="57" t="s">
        <v>314</v>
      </c>
      <c r="C1922" s="57">
        <v>2023</v>
      </c>
      <c r="D1922" s="58">
        <f>MATCH(B1922,{"GENNAIO","FEBBRAIO","MARZO","APRILE","MAGGIO","GIUGNO","LUGLIO","AGOSTO","SETTEMBRE","OTTOBRE","NOVEMBRE","DICEMBRE"},0)</f>
        <v>6</v>
      </c>
      <c r="E1922" s="57" t="str">
        <f t="shared" si="1746"/>
        <v>GIUGNO 2023</v>
      </c>
      <c r="F1922" s="57" t="str">
        <f t="shared" si="1747"/>
        <v>6 GIUGNO 2023</v>
      </c>
      <c r="G1922" s="1309" t="s">
        <v>94</v>
      </c>
      <c r="H1922" s="1309" t="str">
        <f>VLOOKUP(G1922,CATEGORIE!$H$3:$I$104,2,FALSE)</f>
        <v>COSTO SVAGHI</v>
      </c>
      <c r="I1922" s="59">
        <v>30</v>
      </c>
      <c r="J1922" s="940"/>
      <c r="K1922" s="59"/>
      <c r="L1922" s="59"/>
    </row>
    <row r="1923" spans="1:12" ht="16.5" customHeight="1">
      <c r="A1923" s="57" t="s">
        <v>101</v>
      </c>
      <c r="B1923" s="57" t="s">
        <v>333</v>
      </c>
      <c r="C1923" s="57">
        <v>2023</v>
      </c>
      <c r="D1923" s="58">
        <f>MATCH(B1923,{"GENNAIO","FEBBRAIO","MARZO","APRILE","MAGGIO","GIUGNO","LUGLIO","AGOSTO","SETTEMBRE","OTTOBRE","NOVEMBRE","DICEMBRE"},0)</f>
        <v>5</v>
      </c>
      <c r="E1923" s="57" t="str">
        <f t="shared" si="1746"/>
        <v>MAGGIO 2023</v>
      </c>
      <c r="F1923" s="57" t="str">
        <f t="shared" si="1747"/>
        <v>5 MAGGIO 2023</v>
      </c>
      <c r="G1923" s="1309" t="s">
        <v>91</v>
      </c>
      <c r="H1923" s="1309" t="str">
        <f>VLOOKUP(G1923,CATEGORIE!$H$3:$I$104,2,FALSE)</f>
        <v>COSTO SOPRAVVIVENZA</v>
      </c>
      <c r="I1923" s="59">
        <v>0.8</v>
      </c>
      <c r="J1923" s="940"/>
      <c r="K1923" s="59"/>
      <c r="L1923" s="59"/>
    </row>
    <row r="1924" spans="1:12" ht="18" customHeight="1">
      <c r="A1924" s="57" t="s">
        <v>101</v>
      </c>
      <c r="B1924" s="57" t="s">
        <v>333</v>
      </c>
      <c r="C1924" s="57">
        <v>2023</v>
      </c>
      <c r="D1924" s="58">
        <f>MATCH(B1924,{"GENNAIO","FEBBRAIO","MARZO","APRILE","MAGGIO","GIUGNO","LUGLIO","AGOSTO","SETTEMBRE","OTTOBRE","NOVEMBRE","DICEMBRE"},0)</f>
        <v>5</v>
      </c>
      <c r="E1924" s="57" t="str">
        <f t="shared" si="1746"/>
        <v>MAGGIO 2023</v>
      </c>
      <c r="F1924" s="57" t="str">
        <f t="shared" si="1747"/>
        <v>5 MAGGIO 2023</v>
      </c>
      <c r="G1924" s="1309" t="s">
        <v>91</v>
      </c>
      <c r="H1924" s="1309" t="str">
        <f>VLOOKUP(G1924,CATEGORIE!$H$3:$I$104,2,FALSE)</f>
        <v>COSTO SOPRAVVIVENZA</v>
      </c>
      <c r="I1924" s="59">
        <v>0.4</v>
      </c>
      <c r="J1924" s="940"/>
      <c r="K1924" s="59"/>
      <c r="L1924" s="59"/>
    </row>
    <row r="1925" spans="1:12" ht="16.5" customHeight="1">
      <c r="A1925" s="57" t="s">
        <v>105</v>
      </c>
      <c r="B1925" s="57" t="s">
        <v>333</v>
      </c>
      <c r="C1925" s="57">
        <v>2023</v>
      </c>
      <c r="D1925" s="58">
        <f>MATCH(B1925,{"GENNAIO","FEBBRAIO","MARZO","APRILE","MAGGIO","GIUGNO","LUGLIO","AGOSTO","SETTEMBRE","OTTOBRE","NOVEMBRE","DICEMBRE"},0)</f>
        <v>5</v>
      </c>
      <c r="E1925" s="57" t="str">
        <f t="shared" si="1746"/>
        <v>MAGGIO 2023</v>
      </c>
      <c r="F1925" s="57" t="str">
        <f t="shared" si="1747"/>
        <v>5 MAGGIO 2023</v>
      </c>
      <c r="G1925" s="1309" t="s">
        <v>96</v>
      </c>
      <c r="H1925" s="1309" t="str">
        <f>VLOOKUP(G1925,CATEGORIE!$H$3:$I$104,2,FALSE)</f>
        <v>COSTO SOPRAVVIVENZA</v>
      </c>
      <c r="I1925" s="59">
        <v>12.94</v>
      </c>
      <c r="J1925" s="940"/>
      <c r="K1925" s="59"/>
      <c r="L1925" s="59"/>
    </row>
    <row r="1926" spans="1:12" ht="16.5" customHeight="1">
      <c r="A1926" s="57" t="s">
        <v>101</v>
      </c>
      <c r="B1926" s="57" t="s">
        <v>333</v>
      </c>
      <c r="C1926" s="57">
        <v>2023</v>
      </c>
      <c r="D1926" s="58">
        <f>MATCH(B1926,{"GENNAIO","FEBBRAIO","MARZO","APRILE","MAGGIO","GIUGNO","LUGLIO","AGOSTO","SETTEMBRE","OTTOBRE","NOVEMBRE","DICEMBRE"},0)</f>
        <v>5</v>
      </c>
      <c r="E1926" s="57" t="str">
        <f t="shared" si="1746"/>
        <v>MAGGIO 2023</v>
      </c>
      <c r="F1926" s="57" t="str">
        <f t="shared" si="1747"/>
        <v>5 MAGGIO 2023</v>
      </c>
      <c r="G1926" s="1309" t="s">
        <v>91</v>
      </c>
      <c r="H1926" s="1309" t="str">
        <f>VLOOKUP(G1926,CATEGORIE!$H$3:$I$104,2,FALSE)</f>
        <v>COSTO SOPRAVVIVENZA</v>
      </c>
      <c r="I1926" s="59">
        <v>0.4</v>
      </c>
      <c r="J1926" s="940"/>
      <c r="K1926" s="59"/>
      <c r="L1926" s="59"/>
    </row>
    <row r="1927" spans="1:12" ht="16.5" customHeight="1">
      <c r="A1927" s="57" t="s">
        <v>229</v>
      </c>
      <c r="B1927" s="57" t="s">
        <v>333</v>
      </c>
      <c r="C1927" s="57">
        <v>2023</v>
      </c>
      <c r="D1927" s="58">
        <f>MATCH(B1927,{"GENNAIO","FEBBRAIO","MARZO","APRILE","MAGGIO","GIUGNO","LUGLIO","AGOSTO","SETTEMBRE","OTTOBRE","NOVEMBRE","DICEMBRE"},0)</f>
        <v>5</v>
      </c>
      <c r="E1927" s="57" t="str">
        <f t="shared" si="1746"/>
        <v>MAGGIO 2023</v>
      </c>
      <c r="F1927" s="57" t="str">
        <f t="shared" si="1747"/>
        <v>5 MAGGIO 2023</v>
      </c>
      <c r="G1927" s="1309" t="s">
        <v>163</v>
      </c>
      <c r="H1927" s="1309" t="str">
        <f>VLOOKUP(G1927,CATEGORIE!$H$3:$I$104,2,FALSE)</f>
        <v>COSTO SVAGHI</v>
      </c>
      <c r="I1927" s="59">
        <v>37.71</v>
      </c>
      <c r="J1927" s="940" t="s">
        <v>138</v>
      </c>
      <c r="K1927" s="59" t="s">
        <v>112</v>
      </c>
      <c r="L1927" s="59"/>
    </row>
    <row r="1928" spans="1:12" ht="16.5" customHeight="1">
      <c r="A1928" s="57" t="s">
        <v>92</v>
      </c>
      <c r="B1928" s="57" t="s">
        <v>333</v>
      </c>
      <c r="C1928" s="57">
        <v>2023</v>
      </c>
      <c r="D1928" s="58">
        <f>MATCH(B1928,{"GENNAIO","FEBBRAIO","MARZO","APRILE","MAGGIO","GIUGNO","LUGLIO","AGOSTO","SETTEMBRE","OTTOBRE","NOVEMBRE","DICEMBRE"},0)</f>
        <v>5</v>
      </c>
      <c r="E1928" s="57" t="str">
        <f t="shared" si="1746"/>
        <v>MAGGIO 2023</v>
      </c>
      <c r="F1928" s="57" t="str">
        <f t="shared" si="1747"/>
        <v>5 MAGGIO 2023</v>
      </c>
      <c r="G1928" s="1309" t="s">
        <v>93</v>
      </c>
      <c r="H1928" s="1309" t="str">
        <f>VLOOKUP(G1928,CATEGORIE!$H$3:$I$104,2,FALSE)</f>
        <v>COSTO SOPRAVVIVENZA</v>
      </c>
      <c r="I1928" s="59">
        <v>5</v>
      </c>
      <c r="J1928" s="940"/>
      <c r="K1928" s="59"/>
      <c r="L1928" s="59"/>
    </row>
    <row r="1929" spans="1:12">
      <c r="A1929" s="57" t="s">
        <v>101</v>
      </c>
      <c r="B1929" s="57" t="s">
        <v>333</v>
      </c>
      <c r="C1929" s="57">
        <v>2023</v>
      </c>
      <c r="D1929" s="58">
        <f>MATCH(B1929,{"GENNAIO","FEBBRAIO","MARZO","APRILE","MAGGIO","GIUGNO","LUGLIO","AGOSTO","SETTEMBRE","OTTOBRE","NOVEMBRE","DICEMBRE"},0)</f>
        <v>5</v>
      </c>
      <c r="E1929" s="57" t="str">
        <f t="shared" si="1746"/>
        <v>MAGGIO 2023</v>
      </c>
      <c r="F1929" s="57" t="str">
        <f t="shared" si="1747"/>
        <v>5 MAGGIO 2023</v>
      </c>
      <c r="G1929" s="1309" t="s">
        <v>91</v>
      </c>
      <c r="H1929" s="1309" t="str">
        <f>VLOOKUP(G1929,CATEGORIE!$H$3:$I$104,2,FALSE)</f>
        <v>COSTO SOPRAVVIVENZA</v>
      </c>
      <c r="I1929" s="59">
        <v>0.4</v>
      </c>
      <c r="J1929" s="940"/>
      <c r="K1929" s="59"/>
      <c r="L1929" s="59"/>
    </row>
    <row r="1930" spans="1:12" ht="16.5" customHeight="1">
      <c r="A1930" s="57" t="s">
        <v>101</v>
      </c>
      <c r="B1930" s="57" t="s">
        <v>333</v>
      </c>
      <c r="C1930" s="57">
        <v>2023</v>
      </c>
      <c r="D1930" s="58">
        <f>MATCH(B1930,{"GENNAIO","FEBBRAIO","MARZO","APRILE","MAGGIO","GIUGNO","LUGLIO","AGOSTO","SETTEMBRE","OTTOBRE","NOVEMBRE","DICEMBRE"},0)</f>
        <v>5</v>
      </c>
      <c r="E1930" s="57" t="str">
        <f t="shared" si="1746"/>
        <v>MAGGIO 2023</v>
      </c>
      <c r="F1930" s="57" t="str">
        <f t="shared" si="1747"/>
        <v>5 MAGGIO 2023</v>
      </c>
      <c r="G1930" s="1309" t="s">
        <v>91</v>
      </c>
      <c r="H1930" s="1309" t="str">
        <f>VLOOKUP(G1930,CATEGORIE!$H$3:$I$104,2,FALSE)</f>
        <v>COSTO SOPRAVVIVENZA</v>
      </c>
      <c r="I1930" s="59">
        <v>0.4</v>
      </c>
      <c r="J1930" s="940"/>
      <c r="K1930" s="59"/>
      <c r="L1930" s="59"/>
    </row>
    <row r="1931" spans="1:12">
      <c r="A1931" s="57" t="s">
        <v>101</v>
      </c>
      <c r="B1931" s="57" t="s">
        <v>333</v>
      </c>
      <c r="C1931" s="57">
        <v>2023</v>
      </c>
      <c r="D1931" s="58">
        <f>MATCH(B1931,{"GENNAIO","FEBBRAIO","MARZO","APRILE","MAGGIO","GIUGNO","LUGLIO","AGOSTO","SETTEMBRE","OTTOBRE","NOVEMBRE","DICEMBRE"},0)</f>
        <v>5</v>
      </c>
      <c r="E1931" s="57" t="str">
        <f t="shared" si="1746"/>
        <v>MAGGIO 2023</v>
      </c>
      <c r="F1931" s="57" t="str">
        <f t="shared" si="1747"/>
        <v>5 MAGGIO 2023</v>
      </c>
      <c r="G1931" s="1309" t="s">
        <v>91</v>
      </c>
      <c r="H1931" s="1309" t="str">
        <f>VLOOKUP(G1931,CATEGORIE!$H$3:$I$104,2,FALSE)</f>
        <v>COSTO SOPRAVVIVENZA</v>
      </c>
      <c r="I1931" s="59">
        <v>0.4</v>
      </c>
      <c r="J1931" s="940"/>
      <c r="K1931" s="59"/>
      <c r="L1931" s="59"/>
    </row>
    <row r="1932" spans="1:12" ht="18.600000000000001" customHeight="1">
      <c r="A1932" s="57" t="s">
        <v>105</v>
      </c>
      <c r="B1932" s="57" t="s">
        <v>333</v>
      </c>
      <c r="C1932" s="57">
        <v>2023</v>
      </c>
      <c r="D1932" s="58">
        <f>MATCH(B1932,{"GENNAIO","FEBBRAIO","MARZO","APRILE","MAGGIO","GIUGNO","LUGLIO","AGOSTO","SETTEMBRE","OTTOBRE","NOVEMBRE","DICEMBRE"},0)</f>
        <v>5</v>
      </c>
      <c r="E1932" s="57" t="str">
        <f t="shared" si="1746"/>
        <v>MAGGIO 2023</v>
      </c>
      <c r="F1932" s="57" t="str">
        <f t="shared" si="1747"/>
        <v>5 MAGGIO 2023</v>
      </c>
      <c r="G1932" s="1309" t="s">
        <v>96</v>
      </c>
      <c r="H1932" s="1309" t="str">
        <f>VLOOKUP(G1932,CATEGORIE!$H$3:$I$104,2,FALSE)</f>
        <v>COSTO SOPRAVVIVENZA</v>
      </c>
      <c r="I1932" s="59">
        <v>16.41</v>
      </c>
      <c r="J1932" s="940"/>
      <c r="K1932" s="59"/>
      <c r="L1932" s="59"/>
    </row>
    <row r="1933" spans="1:12" ht="18.95" customHeight="1">
      <c r="A1933" s="57" t="s">
        <v>92</v>
      </c>
      <c r="B1933" s="57" t="s">
        <v>333</v>
      </c>
      <c r="C1933" s="57">
        <v>2023</v>
      </c>
      <c r="D1933" s="58">
        <f>MATCH(B1933,{"GENNAIO","FEBBRAIO","MARZO","APRILE","MAGGIO","GIUGNO","LUGLIO","AGOSTO","SETTEMBRE","OTTOBRE","NOVEMBRE","DICEMBRE"},0)</f>
        <v>5</v>
      </c>
      <c r="E1933" s="57" t="str">
        <f t="shared" si="1746"/>
        <v>MAGGIO 2023</v>
      </c>
      <c r="F1933" s="57" t="str">
        <f t="shared" si="1747"/>
        <v>5 MAGGIO 2023</v>
      </c>
      <c r="G1933" s="1309" t="s">
        <v>94</v>
      </c>
      <c r="H1933" s="1309" t="str">
        <f>VLOOKUP(G1933,CATEGORIE!$H$3:$I$104,2,FALSE)</f>
        <v>COSTO SVAGHI</v>
      </c>
      <c r="I1933" s="59">
        <v>3.6</v>
      </c>
      <c r="J1933" s="940"/>
      <c r="K1933" s="59"/>
      <c r="L1933" s="59"/>
    </row>
    <row r="1934" spans="1:12">
      <c r="A1934" s="57" t="s">
        <v>95</v>
      </c>
      <c r="B1934" s="57" t="s">
        <v>333</v>
      </c>
      <c r="C1934" s="57">
        <v>2023</v>
      </c>
      <c r="D1934" s="58">
        <f>MATCH(B1934,{"GENNAIO","FEBBRAIO","MARZO","APRILE","MAGGIO","GIUGNO","LUGLIO","AGOSTO","SETTEMBRE","OTTOBRE","NOVEMBRE","DICEMBRE"},0)</f>
        <v>5</v>
      </c>
      <c r="E1934" s="57" t="str">
        <f t="shared" si="1746"/>
        <v>MAGGIO 2023</v>
      </c>
      <c r="F1934" s="57" t="str">
        <f t="shared" si="1747"/>
        <v>5 MAGGIO 2023</v>
      </c>
      <c r="G1934" s="1309" t="s">
        <v>96</v>
      </c>
      <c r="H1934" s="1309" t="str">
        <f>VLOOKUP(G1934,CATEGORIE!$H$3:$I$104,2,FALSE)</f>
        <v>COSTO SOPRAVVIVENZA</v>
      </c>
      <c r="I1934" s="59">
        <v>16.14</v>
      </c>
      <c r="J1934" s="940"/>
      <c r="K1934" s="59"/>
      <c r="L1934" s="59"/>
    </row>
    <row r="1935" spans="1:12" ht="18" customHeight="1">
      <c r="A1935" s="57" t="s">
        <v>135</v>
      </c>
      <c r="B1935" s="57" t="s">
        <v>333</v>
      </c>
      <c r="C1935" s="57">
        <v>2023</v>
      </c>
      <c r="D1935" s="58">
        <f>MATCH(B1935,{"GENNAIO","FEBBRAIO","MARZO","APRILE","MAGGIO","GIUGNO","LUGLIO","AGOSTO","SETTEMBRE","OTTOBRE","NOVEMBRE","DICEMBRE"},0)</f>
        <v>5</v>
      </c>
      <c r="E1935" s="57" t="str">
        <f t="shared" si="1746"/>
        <v>MAGGIO 2023</v>
      </c>
      <c r="F1935" s="57" t="str">
        <f t="shared" si="1747"/>
        <v>5 MAGGIO 2023</v>
      </c>
      <c r="G1935" s="1309" t="s">
        <v>132</v>
      </c>
      <c r="H1935" s="1309" t="str">
        <f>VLOOKUP(G1935,CATEGORIE!$H$3:$I$104,2,FALSE)</f>
        <v>COSTO CASA</v>
      </c>
      <c r="I1935" s="59">
        <v>12.3</v>
      </c>
      <c r="J1935" s="940"/>
      <c r="K1935" s="59"/>
      <c r="L1935" s="59"/>
    </row>
    <row r="1936" spans="1:12" ht="16.5" customHeight="1">
      <c r="A1936" s="57" t="s">
        <v>554</v>
      </c>
      <c r="B1936" s="57" t="s">
        <v>333</v>
      </c>
      <c r="C1936" s="57">
        <v>2023</v>
      </c>
      <c r="D1936" s="58">
        <f>MATCH(B1936,{"GENNAIO","FEBBRAIO","MARZO","APRILE","MAGGIO","GIUGNO","LUGLIO","AGOSTO","SETTEMBRE","OTTOBRE","NOVEMBRE","DICEMBRE"},0)</f>
        <v>5</v>
      </c>
      <c r="E1936" s="57" t="str">
        <f t="shared" si="1746"/>
        <v>MAGGIO 2023</v>
      </c>
      <c r="F1936" s="57" t="str">
        <f t="shared" si="1747"/>
        <v>5 MAGGIO 2023</v>
      </c>
      <c r="G1936" s="1309" t="s">
        <v>121</v>
      </c>
      <c r="H1936" s="1309" t="str">
        <f>VLOOKUP(G1936,CATEGORIE!$H$3:$I$104,2,FALSE)</f>
        <v>COSTO MOBILITA'</v>
      </c>
      <c r="I1936" s="59">
        <v>25</v>
      </c>
      <c r="J1936" s="940"/>
      <c r="K1936" s="59"/>
      <c r="L1936" s="59"/>
    </row>
    <row r="1937" spans="1:12">
      <c r="A1937" s="57" t="s">
        <v>99</v>
      </c>
      <c r="B1937" s="57" t="s">
        <v>333</v>
      </c>
      <c r="C1937" s="57">
        <v>2023</v>
      </c>
      <c r="D1937" s="58">
        <f>MATCH(B1937,{"GENNAIO","FEBBRAIO","MARZO","APRILE","MAGGIO","GIUGNO","LUGLIO","AGOSTO","SETTEMBRE","OTTOBRE","NOVEMBRE","DICEMBRE"},0)</f>
        <v>5</v>
      </c>
      <c r="E1937" s="57" t="str">
        <f t="shared" si="1746"/>
        <v>MAGGIO 2023</v>
      </c>
      <c r="F1937" s="57" t="str">
        <f t="shared" si="1747"/>
        <v>5 MAGGIO 2023</v>
      </c>
      <c r="G1937" s="1309" t="s">
        <v>100</v>
      </c>
      <c r="H1937" s="1309" t="str">
        <f>VLOOKUP(G1937,CATEGORIE!$H$3:$I$104,2,FALSE)</f>
        <v>COSTO SFIZI</v>
      </c>
      <c r="I1937" s="59">
        <v>27.2</v>
      </c>
      <c r="J1937" s="940"/>
      <c r="K1937" s="57" t="s">
        <v>99</v>
      </c>
      <c r="L1937" s="59"/>
    </row>
    <row r="1938" spans="1:12" ht="16.5" customHeight="1">
      <c r="A1938" s="57" t="s">
        <v>555</v>
      </c>
      <c r="B1938" s="57" t="s">
        <v>333</v>
      </c>
      <c r="C1938" s="57">
        <v>2023</v>
      </c>
      <c r="D1938" s="58">
        <f>MATCH(B1938,{"GENNAIO","FEBBRAIO","MARZO","APRILE","MAGGIO","GIUGNO","LUGLIO","AGOSTO","SETTEMBRE","OTTOBRE","NOVEMBRE","DICEMBRE"},0)</f>
        <v>5</v>
      </c>
      <c r="E1938" s="57" t="str">
        <f t="shared" si="1746"/>
        <v>MAGGIO 2023</v>
      </c>
      <c r="F1938" s="57" t="str">
        <f t="shared" si="1747"/>
        <v>5 MAGGIO 2023</v>
      </c>
      <c r="G1938" s="1309" t="s">
        <v>100</v>
      </c>
      <c r="H1938" s="1309" t="str">
        <f>VLOOKUP(G1938,CATEGORIE!$H$3:$I$104,2,FALSE)</f>
        <v>COSTO SFIZI</v>
      </c>
      <c r="I1938" s="59">
        <v>19.18</v>
      </c>
      <c r="J1938" s="940"/>
      <c r="K1938" s="59" t="s">
        <v>112</v>
      </c>
      <c r="L1938" s="59"/>
    </row>
    <row r="1939" spans="1:12" ht="18" customHeight="1">
      <c r="A1939" s="57" t="s">
        <v>556</v>
      </c>
      <c r="B1939" s="57" t="s">
        <v>333</v>
      </c>
      <c r="C1939" s="57">
        <v>2023</v>
      </c>
      <c r="D1939" s="58">
        <f>MATCH(B1939,{"GENNAIO","FEBBRAIO","MARZO","APRILE","MAGGIO","GIUGNO","LUGLIO","AGOSTO","SETTEMBRE","OTTOBRE","NOVEMBRE","DICEMBRE"},0)</f>
        <v>5</v>
      </c>
      <c r="E1939" s="57" t="str">
        <f t="shared" si="1746"/>
        <v>MAGGIO 2023</v>
      </c>
      <c r="F1939" s="57" t="str">
        <f t="shared" si="1747"/>
        <v>5 MAGGIO 2023</v>
      </c>
      <c r="G1939" s="1309" t="s">
        <v>94</v>
      </c>
      <c r="H1939" s="1309" t="str">
        <f>VLOOKUP(G1939,CATEGORIE!$H$3:$I$104,2,FALSE)</f>
        <v>COSTO SVAGHI</v>
      </c>
      <c r="I1939" s="59">
        <v>52.5</v>
      </c>
      <c r="J1939" s="940"/>
      <c r="K1939" s="59"/>
      <c r="L1939" s="59"/>
    </row>
    <row r="1940" spans="1:12" ht="18" customHeight="1">
      <c r="A1940" s="57" t="s">
        <v>105</v>
      </c>
      <c r="B1940" s="57" t="s">
        <v>333</v>
      </c>
      <c r="C1940" s="57">
        <v>2023</v>
      </c>
      <c r="D1940" s="58">
        <f>MATCH(B1940,{"GENNAIO","FEBBRAIO","MARZO","APRILE","MAGGIO","GIUGNO","LUGLIO","AGOSTO","SETTEMBRE","OTTOBRE","NOVEMBRE","DICEMBRE"},0)</f>
        <v>5</v>
      </c>
      <c r="E1940" s="57" t="str">
        <f t="shared" si="1746"/>
        <v>MAGGIO 2023</v>
      </c>
      <c r="F1940" s="57" t="str">
        <f t="shared" si="1747"/>
        <v>5 MAGGIO 2023</v>
      </c>
      <c r="G1940" s="1309" t="s">
        <v>96</v>
      </c>
      <c r="H1940" s="1309" t="str">
        <f>VLOOKUP(G1940,CATEGORIE!$H$3:$I$104,2,FALSE)</f>
        <v>COSTO SOPRAVVIVENZA</v>
      </c>
      <c r="I1940" s="59">
        <v>18.77</v>
      </c>
      <c r="J1940" s="940"/>
      <c r="K1940" s="59"/>
      <c r="L1940" s="59"/>
    </row>
    <row r="1941" spans="1:12">
      <c r="A1941" s="57" t="s">
        <v>92</v>
      </c>
      <c r="B1941" s="57" t="s">
        <v>333</v>
      </c>
      <c r="C1941" s="57">
        <v>2023</v>
      </c>
      <c r="D1941" s="58">
        <f>MATCH(B1941,{"GENNAIO","FEBBRAIO","MARZO","APRILE","MAGGIO","GIUGNO","LUGLIO","AGOSTO","SETTEMBRE","OTTOBRE","NOVEMBRE","DICEMBRE"},0)</f>
        <v>5</v>
      </c>
      <c r="E1941" s="57" t="str">
        <f t="shared" si="1746"/>
        <v>MAGGIO 2023</v>
      </c>
      <c r="F1941" s="57" t="str">
        <f t="shared" si="1747"/>
        <v>5 MAGGIO 2023</v>
      </c>
      <c r="G1941" s="1309" t="s">
        <v>93</v>
      </c>
      <c r="H1941" s="1309" t="str">
        <f>VLOOKUP(G1941,CATEGORIE!$H$3:$I$104,2,FALSE)</f>
        <v>COSTO SOPRAVVIVENZA</v>
      </c>
      <c r="I1941" s="59">
        <v>5</v>
      </c>
      <c r="J1941" s="940"/>
      <c r="K1941" s="59"/>
      <c r="L1941" s="59"/>
    </row>
    <row r="1942" spans="1:12" ht="16.5" customHeight="1">
      <c r="A1942" s="57" t="s">
        <v>347</v>
      </c>
      <c r="B1942" s="57" t="s">
        <v>333</v>
      </c>
      <c r="C1942" s="57">
        <v>2023</v>
      </c>
      <c r="D1942" s="58">
        <f>MATCH(B1942,{"GENNAIO","FEBBRAIO","MARZO","APRILE","MAGGIO","GIUGNO","LUGLIO","AGOSTO","SETTEMBRE","OTTOBRE","NOVEMBRE","DICEMBRE"},0)</f>
        <v>5</v>
      </c>
      <c r="E1942" s="57" t="str">
        <f t="shared" si="1746"/>
        <v>MAGGIO 2023</v>
      </c>
      <c r="F1942" s="57" t="str">
        <f t="shared" si="1747"/>
        <v>5 MAGGIO 2023</v>
      </c>
      <c r="G1942" s="1309" t="s">
        <v>108</v>
      </c>
      <c r="H1942" s="1309" t="str">
        <f>VLOOKUP(G1942,CATEGORIE!$H$3:$I$104,2,FALSE)</f>
        <v>COSTO SFIZI</v>
      </c>
      <c r="I1942" s="59">
        <v>10.49</v>
      </c>
      <c r="J1942" s="940" t="s">
        <v>124</v>
      </c>
      <c r="K1942" s="59" t="s">
        <v>112</v>
      </c>
      <c r="L1942" s="59"/>
    </row>
    <row r="1943" spans="1:12" ht="16.5" customHeight="1">
      <c r="A1943" s="57" t="s">
        <v>99</v>
      </c>
      <c r="B1943" s="57" t="s">
        <v>333</v>
      </c>
      <c r="C1943" s="57">
        <v>2023</v>
      </c>
      <c r="D1943" s="58">
        <f>MATCH(B1943,{"GENNAIO","FEBBRAIO","MARZO","APRILE","MAGGIO","GIUGNO","LUGLIO","AGOSTO","SETTEMBRE","OTTOBRE","NOVEMBRE","DICEMBRE"},0)</f>
        <v>5</v>
      </c>
      <c r="E1943" s="57" t="str">
        <f t="shared" si="1746"/>
        <v>MAGGIO 2023</v>
      </c>
      <c r="F1943" s="57" t="str">
        <f t="shared" si="1747"/>
        <v>5 MAGGIO 2023</v>
      </c>
      <c r="G1943" s="1309" t="s">
        <v>385</v>
      </c>
      <c r="H1943" s="1309" t="str">
        <f>VLOOKUP(G1943,CATEGORIE!$H$3:$I$104,2,FALSE)</f>
        <v>COSTO SFIZI</v>
      </c>
      <c r="I1943" s="59">
        <v>55.86</v>
      </c>
      <c r="J1943" s="940" t="s">
        <v>197</v>
      </c>
      <c r="K1943" s="57" t="s">
        <v>99</v>
      </c>
      <c r="L1943" s="59" t="s">
        <v>546</v>
      </c>
    </row>
    <row r="1944" spans="1:12" ht="16.5" customHeight="1">
      <c r="A1944" s="57" t="s">
        <v>99</v>
      </c>
      <c r="B1944" s="57" t="s">
        <v>333</v>
      </c>
      <c r="C1944" s="57">
        <v>2023</v>
      </c>
      <c r="D1944" s="58">
        <f>MATCH(B1944,{"GENNAIO","FEBBRAIO","MARZO","APRILE","MAGGIO","GIUGNO","LUGLIO","AGOSTO","SETTEMBRE","OTTOBRE","NOVEMBRE","DICEMBRE"},0)</f>
        <v>5</v>
      </c>
      <c r="E1944" s="57" t="str">
        <f t="shared" si="1746"/>
        <v>MAGGIO 2023</v>
      </c>
      <c r="F1944" s="57" t="str">
        <f t="shared" si="1747"/>
        <v>5 MAGGIO 2023</v>
      </c>
      <c r="G1944" s="1309" t="s">
        <v>100</v>
      </c>
      <c r="H1944" s="1309" t="str">
        <f>VLOOKUP(G1944,CATEGORIE!$H$3:$I$104,2,FALSE)</f>
        <v>COSTO SFIZI</v>
      </c>
      <c r="I1944" s="59">
        <v>40.98</v>
      </c>
      <c r="J1944" s="940"/>
      <c r="K1944" s="57" t="s">
        <v>99</v>
      </c>
      <c r="L1944" s="59"/>
    </row>
    <row r="1945" spans="1:12" ht="16.5" customHeight="1">
      <c r="A1945" s="57" t="s">
        <v>557</v>
      </c>
      <c r="B1945" s="57" t="s">
        <v>352</v>
      </c>
      <c r="C1945" s="57">
        <v>2023</v>
      </c>
      <c r="D1945" s="58">
        <f>MATCH(B1945,{"GENNAIO","FEBBRAIO","MARZO","APRILE","MAGGIO","GIUGNO","LUGLIO","AGOSTO","SETTEMBRE","OTTOBRE","NOVEMBRE","DICEMBRE"},0)</f>
        <v>4</v>
      </c>
      <c r="E1945" s="57" t="str">
        <f t="shared" si="1746"/>
        <v>APRILE 2023</v>
      </c>
      <c r="F1945" s="57" t="str">
        <f t="shared" si="1747"/>
        <v>4 APRILE 2023</v>
      </c>
      <c r="G1945" s="1309" t="s">
        <v>94</v>
      </c>
      <c r="H1945" s="1309" t="str">
        <f>VLOOKUP(G1945,CATEGORIE!$H$3:$I$104,2,FALSE)</f>
        <v>COSTO SVAGHI</v>
      </c>
      <c r="I1945" s="59">
        <v>10</v>
      </c>
      <c r="J1945" s="940"/>
      <c r="K1945" s="59"/>
      <c r="L1945" s="59"/>
    </row>
    <row r="1946" spans="1:12" ht="16.5" customHeight="1">
      <c r="A1946" s="57" t="s">
        <v>558</v>
      </c>
      <c r="B1946" s="57" t="s">
        <v>352</v>
      </c>
      <c r="C1946" s="57">
        <v>2023</v>
      </c>
      <c r="D1946" s="58">
        <f>MATCH(B1946,{"GENNAIO","FEBBRAIO","MARZO","APRILE","MAGGIO","GIUGNO","LUGLIO","AGOSTO","SETTEMBRE","OTTOBRE","NOVEMBRE","DICEMBRE"},0)</f>
        <v>4</v>
      </c>
      <c r="E1946" s="57" t="str">
        <f t="shared" si="1746"/>
        <v>APRILE 2023</v>
      </c>
      <c r="F1946" s="57" t="str">
        <f t="shared" si="1747"/>
        <v>4 APRILE 2023</v>
      </c>
      <c r="G1946" s="1309" t="s">
        <v>94</v>
      </c>
      <c r="H1946" s="1309" t="str">
        <f>VLOOKUP(G1946,CATEGORIE!$H$3:$I$104,2,FALSE)</f>
        <v>COSTO SVAGHI</v>
      </c>
      <c r="I1946" s="59">
        <v>12</v>
      </c>
      <c r="J1946" s="940"/>
      <c r="K1946" s="59"/>
      <c r="L1946" s="59"/>
    </row>
    <row r="1947" spans="1:12" ht="16.5" customHeight="1">
      <c r="A1947" s="57" t="s">
        <v>101</v>
      </c>
      <c r="B1947" s="57" t="s">
        <v>352</v>
      </c>
      <c r="C1947" s="57">
        <v>2023</v>
      </c>
      <c r="D1947" s="58">
        <f>MATCH(B1947,{"GENNAIO","FEBBRAIO","MARZO","APRILE","MAGGIO","GIUGNO","LUGLIO","AGOSTO","SETTEMBRE","OTTOBRE","NOVEMBRE","DICEMBRE"},0)</f>
        <v>4</v>
      </c>
      <c r="E1947" s="57" t="str">
        <f t="shared" si="1746"/>
        <v>APRILE 2023</v>
      </c>
      <c r="F1947" s="57" t="str">
        <f t="shared" si="1747"/>
        <v>4 APRILE 2023</v>
      </c>
      <c r="G1947" s="1309" t="s">
        <v>91</v>
      </c>
      <c r="H1947" s="1309" t="str">
        <f>VLOOKUP(G1947,CATEGORIE!$H$3:$I$104,2,FALSE)</f>
        <v>COSTO SOPRAVVIVENZA</v>
      </c>
      <c r="I1947" s="59">
        <v>0.4</v>
      </c>
      <c r="J1947" s="940"/>
      <c r="K1947" s="59"/>
      <c r="L1947" s="59"/>
    </row>
    <row r="1948" spans="1:12">
      <c r="A1948" s="57" t="s">
        <v>92</v>
      </c>
      <c r="B1948" s="57" t="s">
        <v>352</v>
      </c>
      <c r="C1948" s="57">
        <v>2023</v>
      </c>
      <c r="D1948" s="58">
        <f>MATCH(B1948,{"GENNAIO","FEBBRAIO","MARZO","APRILE","MAGGIO","GIUGNO","LUGLIO","AGOSTO","SETTEMBRE","OTTOBRE","NOVEMBRE","DICEMBRE"},0)</f>
        <v>4</v>
      </c>
      <c r="E1948" s="57" t="str">
        <f t="shared" si="1746"/>
        <v>APRILE 2023</v>
      </c>
      <c r="F1948" s="57" t="str">
        <f t="shared" si="1747"/>
        <v>4 APRILE 2023</v>
      </c>
      <c r="G1948" s="1309" t="s">
        <v>93</v>
      </c>
      <c r="H1948" s="1309" t="str">
        <f>VLOOKUP(G1948,CATEGORIE!$H$3:$I$104,2,FALSE)</f>
        <v>COSTO SOPRAVVIVENZA</v>
      </c>
      <c r="I1948" s="59">
        <v>5</v>
      </c>
      <c r="J1948" s="940"/>
      <c r="K1948" s="59"/>
      <c r="L1948" s="59"/>
    </row>
    <row r="1949" spans="1:12" ht="18.600000000000001" customHeight="1">
      <c r="A1949" s="57" t="s">
        <v>159</v>
      </c>
      <c r="B1949" s="57" t="s">
        <v>352</v>
      </c>
      <c r="C1949" s="57">
        <v>2023</v>
      </c>
      <c r="D1949" s="58">
        <f>MATCH(B1949,{"GENNAIO","FEBBRAIO","MARZO","APRILE","MAGGIO","GIUGNO","LUGLIO","AGOSTO","SETTEMBRE","OTTOBRE","NOVEMBRE","DICEMBRE"},0)</f>
        <v>4</v>
      </c>
      <c r="E1949" s="57" t="str">
        <f t="shared" si="1746"/>
        <v>APRILE 2023</v>
      </c>
      <c r="F1949" s="57" t="str">
        <f t="shared" si="1747"/>
        <v>4 APRILE 2023</v>
      </c>
      <c r="G1949" s="1309" t="s">
        <v>94</v>
      </c>
      <c r="H1949" s="1309" t="str">
        <f>VLOOKUP(G1949,CATEGORIE!$H$3:$I$104,2,FALSE)</f>
        <v>COSTO SVAGHI</v>
      </c>
      <c r="I1949" s="59">
        <v>22</v>
      </c>
      <c r="J1949" s="940"/>
      <c r="K1949" s="59"/>
      <c r="L1949" s="59"/>
    </row>
    <row r="1950" spans="1:12">
      <c r="A1950" s="57" t="s">
        <v>101</v>
      </c>
      <c r="B1950" s="57" t="s">
        <v>352</v>
      </c>
      <c r="C1950" s="57">
        <v>2023</v>
      </c>
      <c r="D1950" s="58">
        <f>MATCH(B1950,{"GENNAIO","FEBBRAIO","MARZO","APRILE","MAGGIO","GIUGNO","LUGLIO","AGOSTO","SETTEMBRE","OTTOBRE","NOVEMBRE","DICEMBRE"},0)</f>
        <v>4</v>
      </c>
      <c r="E1950" s="57" t="str">
        <f t="shared" si="1746"/>
        <v>APRILE 2023</v>
      </c>
      <c r="F1950" s="57" t="str">
        <f t="shared" si="1747"/>
        <v>4 APRILE 2023</v>
      </c>
      <c r="G1950" s="1309" t="s">
        <v>91</v>
      </c>
      <c r="H1950" s="1309" t="str">
        <f>VLOOKUP(G1950,CATEGORIE!$H$3:$I$104,2,FALSE)</f>
        <v>COSTO SOPRAVVIVENZA</v>
      </c>
      <c r="I1950" s="59">
        <v>0.4</v>
      </c>
      <c r="J1950" s="940"/>
      <c r="K1950" s="59"/>
      <c r="L1950" s="59"/>
    </row>
    <row r="1951" spans="1:12" ht="16.5" customHeight="1">
      <c r="A1951" s="57" t="s">
        <v>105</v>
      </c>
      <c r="B1951" s="57" t="s">
        <v>352</v>
      </c>
      <c r="C1951" s="57">
        <v>2023</v>
      </c>
      <c r="D1951" s="58">
        <f>MATCH(B1951,{"GENNAIO","FEBBRAIO","MARZO","APRILE","MAGGIO","GIUGNO","LUGLIO","AGOSTO","SETTEMBRE","OTTOBRE","NOVEMBRE","DICEMBRE"},0)</f>
        <v>4</v>
      </c>
      <c r="E1951" s="57" t="str">
        <f t="shared" si="1746"/>
        <v>APRILE 2023</v>
      </c>
      <c r="F1951" s="57" t="str">
        <f t="shared" si="1747"/>
        <v>4 APRILE 2023</v>
      </c>
      <c r="G1951" s="1309" t="s">
        <v>96</v>
      </c>
      <c r="H1951" s="1309" t="str">
        <f>VLOOKUP(G1951,CATEGORIE!$H$3:$I$104,2,FALSE)</f>
        <v>COSTO SOPRAVVIVENZA</v>
      </c>
      <c r="I1951" s="59">
        <v>10.63</v>
      </c>
      <c r="J1951" s="940"/>
      <c r="K1951" s="59"/>
      <c r="L1951" s="59"/>
    </row>
    <row r="1952" spans="1:12" ht="16.5" customHeight="1">
      <c r="A1952" s="57" t="s">
        <v>559</v>
      </c>
      <c r="B1952" s="57" t="s">
        <v>352</v>
      </c>
      <c r="C1952" s="57">
        <v>2023</v>
      </c>
      <c r="D1952" s="58">
        <f>MATCH(B1952,{"GENNAIO","FEBBRAIO","MARZO","APRILE","MAGGIO","GIUGNO","LUGLIO","AGOSTO","SETTEMBRE","OTTOBRE","NOVEMBRE","DICEMBRE"},0)</f>
        <v>4</v>
      </c>
      <c r="E1952" s="57" t="str">
        <f t="shared" si="1746"/>
        <v>APRILE 2023</v>
      </c>
      <c r="F1952" s="57" t="str">
        <f t="shared" si="1747"/>
        <v>4 APRILE 2023</v>
      </c>
      <c r="G1952" s="1309" t="s">
        <v>96</v>
      </c>
      <c r="H1952" s="1309" t="str">
        <f>VLOOKUP(G1952,CATEGORIE!$H$3:$I$104,2,FALSE)</f>
        <v>COSTO SOPRAVVIVENZA</v>
      </c>
      <c r="I1952" s="59">
        <v>3.4</v>
      </c>
      <c r="J1952" s="940"/>
      <c r="K1952" s="59"/>
      <c r="L1952" s="59"/>
    </row>
    <row r="1953" spans="1:12">
      <c r="A1953" s="57" t="s">
        <v>105</v>
      </c>
      <c r="B1953" s="57" t="s">
        <v>352</v>
      </c>
      <c r="C1953" s="57">
        <v>2023</v>
      </c>
      <c r="D1953" s="58">
        <f>MATCH(B1953,{"GENNAIO","FEBBRAIO","MARZO","APRILE","MAGGIO","GIUGNO","LUGLIO","AGOSTO","SETTEMBRE","OTTOBRE","NOVEMBRE","DICEMBRE"},0)</f>
        <v>4</v>
      </c>
      <c r="E1953" s="57" t="str">
        <f t="shared" si="1746"/>
        <v>APRILE 2023</v>
      </c>
      <c r="F1953" s="57" t="str">
        <f t="shared" si="1747"/>
        <v>4 APRILE 2023</v>
      </c>
      <c r="G1953" s="1309" t="s">
        <v>96</v>
      </c>
      <c r="H1953" s="1309" t="str">
        <f>VLOOKUP(G1953,CATEGORIE!$H$3:$I$104,2,FALSE)</f>
        <v>COSTO SOPRAVVIVENZA</v>
      </c>
      <c r="I1953" s="59">
        <v>9.93</v>
      </c>
      <c r="J1953" s="940"/>
      <c r="K1953" s="59"/>
      <c r="L1953" s="59"/>
    </row>
    <row r="1954" spans="1:12">
      <c r="A1954" s="57" t="s">
        <v>101</v>
      </c>
      <c r="B1954" s="57" t="s">
        <v>352</v>
      </c>
      <c r="C1954" s="57">
        <v>2023</v>
      </c>
      <c r="D1954" s="58">
        <f>MATCH(B1954,{"GENNAIO","FEBBRAIO","MARZO","APRILE","MAGGIO","GIUGNO","LUGLIO","AGOSTO","SETTEMBRE","OTTOBRE","NOVEMBRE","DICEMBRE"},0)</f>
        <v>4</v>
      </c>
      <c r="E1954" s="57" t="str">
        <f t="shared" si="1746"/>
        <v>APRILE 2023</v>
      </c>
      <c r="F1954" s="57" t="str">
        <f t="shared" si="1747"/>
        <v>4 APRILE 2023</v>
      </c>
      <c r="G1954" s="1309" t="s">
        <v>91</v>
      </c>
      <c r="H1954" s="1309" t="str">
        <f>VLOOKUP(G1954,CATEGORIE!$H$3:$I$104,2,FALSE)</f>
        <v>COSTO SOPRAVVIVENZA</v>
      </c>
      <c r="I1954" s="59">
        <v>0.4</v>
      </c>
      <c r="J1954" s="940"/>
      <c r="K1954" s="59"/>
      <c r="L1954" s="59"/>
    </row>
    <row r="1955" spans="1:12" ht="18" customHeight="1">
      <c r="A1955" s="57" t="s">
        <v>439</v>
      </c>
      <c r="B1955" s="57" t="s">
        <v>352</v>
      </c>
      <c r="C1955" s="57">
        <v>2023</v>
      </c>
      <c r="D1955" s="58">
        <f>MATCH(B1955,{"GENNAIO","FEBBRAIO","MARZO","APRILE","MAGGIO","GIUGNO","LUGLIO","AGOSTO","SETTEMBRE","OTTOBRE","NOVEMBRE","DICEMBRE"},0)</f>
        <v>4</v>
      </c>
      <c r="E1955" s="57" t="str">
        <f t="shared" si="1746"/>
        <v>APRILE 2023</v>
      </c>
      <c r="F1955" s="57" t="str">
        <f t="shared" si="1747"/>
        <v>4 APRILE 2023</v>
      </c>
      <c r="G1955" s="1309" t="s">
        <v>94</v>
      </c>
      <c r="H1955" s="1309" t="str">
        <f>VLOOKUP(G1955,CATEGORIE!$H$3:$I$104,2,FALSE)</f>
        <v>COSTO SVAGHI</v>
      </c>
      <c r="I1955" s="59">
        <v>31.6</v>
      </c>
      <c r="J1955" s="940"/>
      <c r="K1955" s="59"/>
      <c r="L1955" s="59"/>
    </row>
    <row r="1956" spans="1:12">
      <c r="A1956" s="57" t="s">
        <v>106</v>
      </c>
      <c r="B1956" s="57" t="s">
        <v>352</v>
      </c>
      <c r="C1956" s="57">
        <v>2023</v>
      </c>
      <c r="D1956" s="58">
        <f>MATCH(B1956,{"GENNAIO","FEBBRAIO","MARZO","APRILE","MAGGIO","GIUGNO","LUGLIO","AGOSTO","SETTEMBRE","OTTOBRE","NOVEMBRE","DICEMBRE"},0)</f>
        <v>4</v>
      </c>
      <c r="E1956" s="57" t="str">
        <f t="shared" si="1746"/>
        <v>APRILE 2023</v>
      </c>
      <c r="F1956" s="57" t="str">
        <f t="shared" si="1747"/>
        <v>4 APRILE 2023</v>
      </c>
      <c r="G1956" s="1309" t="s">
        <v>107</v>
      </c>
      <c r="H1956" s="1309" t="str">
        <f>VLOOKUP(G1956,CATEGORIE!$H$3:$I$104,2,FALSE)</f>
        <v>COSTO SOPRAVVIVENZA</v>
      </c>
      <c r="I1956" s="59">
        <v>33</v>
      </c>
      <c r="J1956" s="940"/>
      <c r="K1956" s="59"/>
      <c r="L1956" s="59"/>
    </row>
    <row r="1957" spans="1:12" ht="16.5" customHeight="1">
      <c r="A1957" s="57" t="s">
        <v>560</v>
      </c>
      <c r="B1957" s="57" t="s">
        <v>352</v>
      </c>
      <c r="C1957" s="57">
        <v>2023</v>
      </c>
      <c r="D1957" s="58">
        <f>MATCH(B1957,{"GENNAIO","FEBBRAIO","MARZO","APRILE","MAGGIO","GIUGNO","LUGLIO","AGOSTO","SETTEMBRE","OTTOBRE","NOVEMBRE","DICEMBRE"},0)</f>
        <v>4</v>
      </c>
      <c r="E1957" s="57" t="str">
        <f t="shared" si="1746"/>
        <v>APRILE 2023</v>
      </c>
      <c r="F1957" s="57" t="str">
        <f t="shared" si="1747"/>
        <v>4 APRILE 2023</v>
      </c>
      <c r="G1957" s="1309" t="s">
        <v>96</v>
      </c>
      <c r="H1957" s="1309" t="str">
        <f>VLOOKUP(G1957,CATEGORIE!$H$3:$I$104,2,FALSE)</f>
        <v>COSTO SOPRAVVIVENZA</v>
      </c>
      <c r="I1957" s="59">
        <v>16.43</v>
      </c>
      <c r="J1957" s="940"/>
      <c r="K1957" s="59"/>
      <c r="L1957" s="59"/>
    </row>
    <row r="1958" spans="1:12" ht="16.5" customHeight="1">
      <c r="A1958" s="57" t="s">
        <v>347</v>
      </c>
      <c r="B1958" s="57" t="s">
        <v>352</v>
      </c>
      <c r="C1958" s="57">
        <v>2023</v>
      </c>
      <c r="D1958" s="58">
        <f>MATCH(B1958,{"GENNAIO","FEBBRAIO","MARZO","APRILE","MAGGIO","GIUGNO","LUGLIO","AGOSTO","SETTEMBRE","OTTOBRE","NOVEMBRE","DICEMBRE"},0)</f>
        <v>4</v>
      </c>
      <c r="E1958" s="57" t="str">
        <f t="shared" si="1746"/>
        <v>APRILE 2023</v>
      </c>
      <c r="F1958" s="57" t="str">
        <f t="shared" si="1747"/>
        <v>4 APRILE 2023</v>
      </c>
      <c r="G1958" s="1309" t="s">
        <v>108</v>
      </c>
      <c r="H1958" s="1309" t="str">
        <f>VLOOKUP(G1958,CATEGORIE!$H$3:$I$104,2,FALSE)</f>
        <v>COSTO SFIZI</v>
      </c>
      <c r="I1958" s="59">
        <v>10.49</v>
      </c>
      <c r="J1958" s="940" t="s">
        <v>138</v>
      </c>
      <c r="K1958" s="59" t="s">
        <v>112</v>
      </c>
      <c r="L1958" s="59"/>
    </row>
    <row r="1959" spans="1:12" ht="18.600000000000001" customHeight="1">
      <c r="A1959" s="57" t="s">
        <v>561</v>
      </c>
      <c r="B1959" s="57" t="s">
        <v>352</v>
      </c>
      <c r="C1959" s="57">
        <v>2023</v>
      </c>
      <c r="D1959" s="58">
        <f>MATCH(B1959,{"GENNAIO","FEBBRAIO","MARZO","APRILE","MAGGIO","GIUGNO","LUGLIO","AGOSTO","SETTEMBRE","OTTOBRE","NOVEMBRE","DICEMBRE"},0)</f>
        <v>4</v>
      </c>
      <c r="E1959" s="57" t="str">
        <f t="shared" si="1746"/>
        <v>APRILE 2023</v>
      </c>
      <c r="F1959" s="57" t="str">
        <f t="shared" si="1747"/>
        <v>4 APRILE 2023</v>
      </c>
      <c r="G1959" s="1309" t="s">
        <v>96</v>
      </c>
      <c r="H1959" s="1309" t="str">
        <f>VLOOKUP(G1959,CATEGORIE!$H$3:$I$104,2,FALSE)</f>
        <v>COSTO SOPRAVVIVENZA</v>
      </c>
      <c r="I1959" s="59">
        <v>3.69</v>
      </c>
      <c r="J1959" s="940"/>
      <c r="K1959" s="59"/>
      <c r="L1959" s="59"/>
    </row>
    <row r="1960" spans="1:12" ht="16.5" customHeight="1">
      <c r="A1960" s="57" t="s">
        <v>462</v>
      </c>
      <c r="B1960" s="57" t="s">
        <v>352</v>
      </c>
      <c r="C1960" s="57">
        <v>2023</v>
      </c>
      <c r="D1960" s="58">
        <f>MATCH(B1960,{"GENNAIO","FEBBRAIO","MARZO","APRILE","MAGGIO","GIUGNO","LUGLIO","AGOSTO","SETTEMBRE","OTTOBRE","NOVEMBRE","DICEMBRE"},0)</f>
        <v>4</v>
      </c>
      <c r="E1960" s="57" t="str">
        <f t="shared" si="1746"/>
        <v>APRILE 2023</v>
      </c>
      <c r="F1960" s="57" t="str">
        <f t="shared" si="1747"/>
        <v>4 APRILE 2023</v>
      </c>
      <c r="G1960" s="1309" t="s">
        <v>94</v>
      </c>
      <c r="H1960" s="1309" t="str">
        <f>VLOOKUP(G1960,CATEGORIE!$H$3:$I$104,2,FALSE)</f>
        <v>COSTO SVAGHI</v>
      </c>
      <c r="I1960" s="59">
        <v>5.16</v>
      </c>
      <c r="J1960" s="940"/>
      <c r="K1960" s="59"/>
      <c r="L1960" s="59"/>
    </row>
    <row r="1961" spans="1:12" ht="16.5" customHeight="1">
      <c r="A1961" s="57" t="s">
        <v>462</v>
      </c>
      <c r="B1961" s="57" t="s">
        <v>352</v>
      </c>
      <c r="C1961" s="57">
        <v>2023</v>
      </c>
      <c r="D1961" s="58">
        <f>MATCH(B1961,{"GENNAIO","FEBBRAIO","MARZO","APRILE","MAGGIO","GIUGNO","LUGLIO","AGOSTO","SETTEMBRE","OTTOBRE","NOVEMBRE","DICEMBRE"},0)</f>
        <v>4</v>
      </c>
      <c r="E1961" s="57" t="str">
        <f t="shared" si="1746"/>
        <v>APRILE 2023</v>
      </c>
      <c r="F1961" s="57" t="str">
        <f t="shared" si="1747"/>
        <v>4 APRILE 2023</v>
      </c>
      <c r="G1961" s="1309" t="s">
        <v>94</v>
      </c>
      <c r="H1961" s="1309" t="str">
        <f>VLOOKUP(G1961,CATEGORIE!$H$3:$I$104,2,FALSE)</f>
        <v>COSTO SVAGHI</v>
      </c>
      <c r="I1961" s="59">
        <v>5.16</v>
      </c>
      <c r="J1961" s="940"/>
      <c r="K1961" s="59"/>
      <c r="L1961" s="59"/>
    </row>
    <row r="1962" spans="1:12">
      <c r="A1962" s="57" t="s">
        <v>135</v>
      </c>
      <c r="B1962" s="57" t="s">
        <v>352</v>
      </c>
      <c r="C1962" s="57">
        <v>2023</v>
      </c>
      <c r="D1962" s="58">
        <f>MATCH(B1962,{"GENNAIO","FEBBRAIO","MARZO","APRILE","MAGGIO","GIUGNO","LUGLIO","AGOSTO","SETTEMBRE","OTTOBRE","NOVEMBRE","DICEMBRE"},0)</f>
        <v>4</v>
      </c>
      <c r="E1962" s="57" t="str">
        <f t="shared" si="1746"/>
        <v>APRILE 2023</v>
      </c>
      <c r="F1962" s="57" t="str">
        <f t="shared" si="1747"/>
        <v>4 APRILE 2023</v>
      </c>
      <c r="G1962" s="1309" t="s">
        <v>132</v>
      </c>
      <c r="H1962" s="1309" t="str">
        <f>VLOOKUP(G1962,CATEGORIE!$H$3:$I$104,2,FALSE)</f>
        <v>COSTO CASA</v>
      </c>
      <c r="I1962" s="59">
        <v>17.600000000000001</v>
      </c>
      <c r="J1962" s="940"/>
      <c r="K1962" s="59"/>
      <c r="L1962" s="59"/>
    </row>
    <row r="1963" spans="1:12" ht="16.5" customHeight="1">
      <c r="A1963" s="57" t="s">
        <v>92</v>
      </c>
      <c r="B1963" s="57" t="s">
        <v>352</v>
      </c>
      <c r="C1963" s="57">
        <v>2023</v>
      </c>
      <c r="D1963" s="58">
        <f>MATCH(B1963,{"GENNAIO","FEBBRAIO","MARZO","APRILE","MAGGIO","GIUGNO","LUGLIO","AGOSTO","SETTEMBRE","OTTOBRE","NOVEMBRE","DICEMBRE"},0)</f>
        <v>4</v>
      </c>
      <c r="E1963" s="57" t="str">
        <f t="shared" si="1746"/>
        <v>APRILE 2023</v>
      </c>
      <c r="F1963" s="57" t="str">
        <f t="shared" si="1747"/>
        <v>4 APRILE 2023</v>
      </c>
      <c r="G1963" s="1309" t="s">
        <v>93</v>
      </c>
      <c r="H1963" s="1309" t="str">
        <f>VLOOKUP(G1963,CATEGORIE!$H$3:$I$104,2,FALSE)</f>
        <v>COSTO SOPRAVVIVENZA</v>
      </c>
      <c r="I1963" s="59">
        <v>5</v>
      </c>
      <c r="J1963" s="940"/>
      <c r="K1963" s="59"/>
      <c r="L1963" s="59"/>
    </row>
    <row r="1964" spans="1:12" ht="16.5" customHeight="1">
      <c r="A1964" s="57" t="s">
        <v>101</v>
      </c>
      <c r="B1964" s="57" t="s">
        <v>352</v>
      </c>
      <c r="C1964" s="57">
        <v>2023</v>
      </c>
      <c r="D1964" s="58">
        <f>MATCH(B1964,{"GENNAIO","FEBBRAIO","MARZO","APRILE","MAGGIO","GIUGNO","LUGLIO","AGOSTO","SETTEMBRE","OTTOBRE","NOVEMBRE","DICEMBRE"},0)</f>
        <v>4</v>
      </c>
      <c r="E1964" s="57" t="str">
        <f t="shared" si="1746"/>
        <v>APRILE 2023</v>
      </c>
      <c r="F1964" s="57" t="str">
        <f t="shared" si="1747"/>
        <v>4 APRILE 2023</v>
      </c>
      <c r="G1964" s="1309" t="s">
        <v>91</v>
      </c>
      <c r="H1964" s="1309" t="str">
        <f>VLOOKUP(G1964,CATEGORIE!$H$3:$I$104,2,FALSE)</f>
        <v>COSTO SOPRAVVIVENZA</v>
      </c>
      <c r="I1964" s="59">
        <v>0.4</v>
      </c>
      <c r="J1964" s="940"/>
      <c r="K1964" s="59"/>
      <c r="L1964" s="59"/>
    </row>
    <row r="1965" spans="1:12" ht="16.5" customHeight="1">
      <c r="A1965" s="57" t="s">
        <v>105</v>
      </c>
      <c r="B1965" s="57" t="s">
        <v>352</v>
      </c>
      <c r="C1965" s="57">
        <v>2023</v>
      </c>
      <c r="D1965" s="58">
        <f>MATCH(B1965,{"GENNAIO","FEBBRAIO","MARZO","APRILE","MAGGIO","GIUGNO","LUGLIO","AGOSTO","SETTEMBRE","OTTOBRE","NOVEMBRE","DICEMBRE"},0)</f>
        <v>4</v>
      </c>
      <c r="E1965" s="57" t="str">
        <f t="shared" si="1746"/>
        <v>APRILE 2023</v>
      </c>
      <c r="F1965" s="57" t="str">
        <f t="shared" si="1747"/>
        <v>4 APRILE 2023</v>
      </c>
      <c r="G1965" s="1309" t="s">
        <v>96</v>
      </c>
      <c r="H1965" s="1309" t="str">
        <f>VLOOKUP(G1965,CATEGORIE!$H$3:$I$104,2,FALSE)</f>
        <v>COSTO SOPRAVVIVENZA</v>
      </c>
      <c r="I1965" s="59">
        <v>31.84</v>
      </c>
      <c r="J1965" s="940"/>
      <c r="K1965" s="59"/>
      <c r="L1965" s="59"/>
    </row>
    <row r="1966" spans="1:12" ht="16.5" customHeight="1">
      <c r="A1966" s="57" t="s">
        <v>101</v>
      </c>
      <c r="B1966" s="57" t="s">
        <v>352</v>
      </c>
      <c r="C1966" s="57">
        <v>2023</v>
      </c>
      <c r="D1966" s="58">
        <f>MATCH(B1966,{"GENNAIO","FEBBRAIO","MARZO","APRILE","MAGGIO","GIUGNO","LUGLIO","AGOSTO","SETTEMBRE","OTTOBRE","NOVEMBRE","DICEMBRE"},0)</f>
        <v>4</v>
      </c>
      <c r="E1966" s="57" t="str">
        <f t="shared" si="1746"/>
        <v>APRILE 2023</v>
      </c>
      <c r="F1966" s="57" t="str">
        <f t="shared" si="1747"/>
        <v>4 APRILE 2023</v>
      </c>
      <c r="G1966" s="1309" t="s">
        <v>91</v>
      </c>
      <c r="H1966" s="1309" t="str">
        <f>VLOOKUP(G1966,CATEGORIE!$H$3:$I$104,2,FALSE)</f>
        <v>COSTO SOPRAVVIVENZA</v>
      </c>
      <c r="I1966" s="59">
        <v>0.4</v>
      </c>
      <c r="J1966" s="940"/>
      <c r="K1966" s="59"/>
      <c r="L1966" s="59"/>
    </row>
    <row r="1967" spans="1:12">
      <c r="A1967" s="57" t="s">
        <v>101</v>
      </c>
      <c r="B1967" s="57" t="s">
        <v>352</v>
      </c>
      <c r="C1967" s="57">
        <v>2023</v>
      </c>
      <c r="D1967" s="58">
        <f>MATCH(B1967,{"GENNAIO","FEBBRAIO","MARZO","APRILE","MAGGIO","GIUGNO","LUGLIO","AGOSTO","SETTEMBRE","OTTOBRE","NOVEMBRE","DICEMBRE"},0)</f>
        <v>4</v>
      </c>
      <c r="E1967" s="57" t="str">
        <f t="shared" si="1746"/>
        <v>APRILE 2023</v>
      </c>
      <c r="F1967" s="57" t="str">
        <f t="shared" si="1747"/>
        <v>4 APRILE 2023</v>
      </c>
      <c r="G1967" s="1309" t="s">
        <v>91</v>
      </c>
      <c r="H1967" s="1309" t="str">
        <f>VLOOKUP(G1967,CATEGORIE!$H$3:$I$104,2,FALSE)</f>
        <v>COSTO SOPRAVVIVENZA</v>
      </c>
      <c r="I1967" s="59">
        <v>0.4</v>
      </c>
      <c r="J1967" s="940"/>
      <c r="K1967" s="59"/>
      <c r="L1967" s="59"/>
    </row>
    <row r="1968" spans="1:12" ht="18" customHeight="1">
      <c r="A1968" s="57" t="s">
        <v>101</v>
      </c>
      <c r="B1968" s="57" t="s">
        <v>352</v>
      </c>
      <c r="C1968" s="57">
        <v>2023</v>
      </c>
      <c r="D1968" s="58">
        <f>MATCH(B1968,{"GENNAIO","FEBBRAIO","MARZO","APRILE","MAGGIO","GIUGNO","LUGLIO","AGOSTO","SETTEMBRE","OTTOBRE","NOVEMBRE","DICEMBRE"},0)</f>
        <v>4</v>
      </c>
      <c r="E1968" s="57" t="str">
        <f t="shared" si="1746"/>
        <v>APRILE 2023</v>
      </c>
      <c r="F1968" s="57" t="str">
        <f t="shared" si="1747"/>
        <v>4 APRILE 2023</v>
      </c>
      <c r="G1968" s="1309" t="s">
        <v>91</v>
      </c>
      <c r="H1968" s="1309" t="str">
        <f>VLOOKUP(G1968,CATEGORIE!$H$3:$I$104,2,FALSE)</f>
        <v>COSTO SOPRAVVIVENZA</v>
      </c>
      <c r="I1968" s="59">
        <v>0.4</v>
      </c>
      <c r="J1968" s="940"/>
      <c r="K1968" s="59"/>
      <c r="L1968" s="59"/>
    </row>
    <row r="1969" spans="1:12" ht="18" customHeight="1">
      <c r="A1969" s="57" t="s">
        <v>101</v>
      </c>
      <c r="B1969" s="57" t="s">
        <v>352</v>
      </c>
      <c r="C1969" s="57">
        <v>2023</v>
      </c>
      <c r="D1969" s="58">
        <f>MATCH(B1969,{"GENNAIO","FEBBRAIO","MARZO","APRILE","MAGGIO","GIUGNO","LUGLIO","AGOSTO","SETTEMBRE","OTTOBRE","NOVEMBRE","DICEMBRE"},0)</f>
        <v>4</v>
      </c>
      <c r="E1969" s="57" t="str">
        <f t="shared" si="1746"/>
        <v>APRILE 2023</v>
      </c>
      <c r="F1969" s="57" t="str">
        <f t="shared" si="1747"/>
        <v>4 APRILE 2023</v>
      </c>
      <c r="G1969" s="1309" t="s">
        <v>91</v>
      </c>
      <c r="H1969" s="1309" t="str">
        <f>VLOOKUP(G1969,CATEGORIE!$H$3:$I$104,2,FALSE)</f>
        <v>COSTO SOPRAVVIVENZA</v>
      </c>
      <c r="I1969" s="59">
        <v>0.4</v>
      </c>
      <c r="J1969" s="940"/>
      <c r="K1969" s="59"/>
      <c r="L1969" s="59"/>
    </row>
    <row r="1970" spans="1:12" ht="18" customHeight="1">
      <c r="A1970" s="57" t="s">
        <v>99</v>
      </c>
      <c r="B1970" s="57" t="s">
        <v>352</v>
      </c>
      <c r="C1970" s="57">
        <v>2023</v>
      </c>
      <c r="D1970" s="58">
        <f>MATCH(B1970,{"GENNAIO","FEBBRAIO","MARZO","APRILE","MAGGIO","GIUGNO","LUGLIO","AGOSTO","SETTEMBRE","OTTOBRE","NOVEMBRE","DICEMBRE"},0)</f>
        <v>4</v>
      </c>
      <c r="E1970" s="57" t="str">
        <f t="shared" si="1746"/>
        <v>APRILE 2023</v>
      </c>
      <c r="F1970" s="57" t="str">
        <f t="shared" si="1747"/>
        <v>4 APRILE 2023</v>
      </c>
      <c r="G1970" s="1309" t="s">
        <v>100</v>
      </c>
      <c r="H1970" s="1309" t="str">
        <f>VLOOKUP(G1970,CATEGORIE!$H$3:$I$104,2,FALSE)</f>
        <v>COSTO SFIZI</v>
      </c>
      <c r="I1970" s="59">
        <v>16.48</v>
      </c>
      <c r="J1970" s="940"/>
      <c r="K1970" s="57" t="s">
        <v>99</v>
      </c>
      <c r="L1970" s="59"/>
    </row>
    <row r="1971" spans="1:12" ht="16.5" customHeight="1">
      <c r="A1971" s="57" t="s">
        <v>99</v>
      </c>
      <c r="B1971" s="57" t="s">
        <v>352</v>
      </c>
      <c r="C1971" s="57">
        <v>2023</v>
      </c>
      <c r="D1971" s="58">
        <f>MATCH(B1971,{"GENNAIO","FEBBRAIO","MARZO","APRILE","MAGGIO","GIUGNO","LUGLIO","AGOSTO","SETTEMBRE","OTTOBRE","NOVEMBRE","DICEMBRE"},0)</f>
        <v>4</v>
      </c>
      <c r="E1971" s="57" t="str">
        <f t="shared" si="1746"/>
        <v>APRILE 2023</v>
      </c>
      <c r="F1971" s="57" t="str">
        <f t="shared" si="1747"/>
        <v>4 APRILE 2023</v>
      </c>
      <c r="G1971" s="1309" t="s">
        <v>385</v>
      </c>
      <c r="H1971" s="1309" t="str">
        <f>VLOOKUP(G1971,CATEGORIE!$H$3:$I$104,2,FALSE)</f>
        <v>COSTO SFIZI</v>
      </c>
      <c r="I1971" s="59">
        <v>55.86</v>
      </c>
      <c r="J1971" s="940" t="s">
        <v>126</v>
      </c>
      <c r="K1971" s="57" t="s">
        <v>99</v>
      </c>
      <c r="L1971" s="59" t="s">
        <v>546</v>
      </c>
    </row>
    <row r="1972" spans="1:12" ht="16.5" customHeight="1">
      <c r="A1972" s="57" t="s">
        <v>131</v>
      </c>
      <c r="B1972" s="57" t="s">
        <v>352</v>
      </c>
      <c r="C1972" s="57">
        <v>2023</v>
      </c>
      <c r="D1972" s="58">
        <f>MATCH(B1972,{"GENNAIO","FEBBRAIO","MARZO","APRILE","MAGGIO","GIUGNO","LUGLIO","AGOSTO","SETTEMBRE","OTTOBRE","NOVEMBRE","DICEMBRE"},0)</f>
        <v>4</v>
      </c>
      <c r="E1972" s="57" t="str">
        <f t="shared" si="1746"/>
        <v>APRILE 2023</v>
      </c>
      <c r="F1972" s="57" t="str">
        <f t="shared" si="1747"/>
        <v>4 APRILE 2023</v>
      </c>
      <c r="G1972" s="1309" t="s">
        <v>132</v>
      </c>
      <c r="H1972" s="1309" t="str">
        <f>VLOOKUP(G1972,CATEGORIE!$H$3:$I$104,2,FALSE)</f>
        <v>COSTO CASA</v>
      </c>
      <c r="I1972" s="59">
        <v>28.31</v>
      </c>
      <c r="J1972" s="940" t="s">
        <v>215</v>
      </c>
      <c r="K1972" s="59" t="s">
        <v>112</v>
      </c>
      <c r="L1972" s="59"/>
    </row>
    <row r="1973" spans="1:12" ht="16.5" customHeight="1">
      <c r="A1973" s="57" t="s">
        <v>229</v>
      </c>
      <c r="B1973" s="57" t="s">
        <v>352</v>
      </c>
      <c r="C1973" s="57">
        <v>2023</v>
      </c>
      <c r="D1973" s="58">
        <f>MATCH(B1973,{"GENNAIO","FEBBRAIO","MARZO","APRILE","MAGGIO","GIUGNO","LUGLIO","AGOSTO","SETTEMBRE","OTTOBRE","NOVEMBRE","DICEMBRE"},0)</f>
        <v>4</v>
      </c>
      <c r="E1973" s="57" t="str">
        <f t="shared" si="1746"/>
        <v>APRILE 2023</v>
      </c>
      <c r="F1973" s="57" t="str">
        <f t="shared" si="1747"/>
        <v>4 APRILE 2023</v>
      </c>
      <c r="G1973" s="1309" t="s">
        <v>163</v>
      </c>
      <c r="H1973" s="1309" t="str">
        <f>VLOOKUP(G1973,CATEGORIE!$H$3:$I$104,2,FALSE)</f>
        <v>COSTO SVAGHI</v>
      </c>
      <c r="I1973" s="59">
        <v>28.63</v>
      </c>
      <c r="J1973" s="940" t="s">
        <v>215</v>
      </c>
      <c r="K1973" s="59" t="s">
        <v>112</v>
      </c>
      <c r="L1973" s="59"/>
    </row>
    <row r="1974" spans="1:12">
      <c r="A1974" s="57" t="s">
        <v>92</v>
      </c>
      <c r="B1974" s="57" t="s">
        <v>352</v>
      </c>
      <c r="C1974" s="57">
        <v>2023</v>
      </c>
      <c r="D1974" s="58">
        <f>MATCH(B1974,{"GENNAIO","FEBBRAIO","MARZO","APRILE","MAGGIO","GIUGNO","LUGLIO","AGOSTO","SETTEMBRE","OTTOBRE","NOVEMBRE","DICEMBRE"},0)</f>
        <v>4</v>
      </c>
      <c r="E1974" s="57" t="str">
        <f t="shared" si="1746"/>
        <v>APRILE 2023</v>
      </c>
      <c r="F1974" s="57" t="str">
        <f t="shared" si="1747"/>
        <v>4 APRILE 2023</v>
      </c>
      <c r="G1974" s="1309" t="s">
        <v>93</v>
      </c>
      <c r="H1974" s="1309" t="str">
        <f>VLOOKUP(G1974,CATEGORIE!$H$3:$I$104,2,FALSE)</f>
        <v>COSTO SOPRAVVIVENZA</v>
      </c>
      <c r="I1974" s="59">
        <v>5</v>
      </c>
      <c r="J1974" s="940"/>
      <c r="K1974" s="59"/>
      <c r="L1974" s="59"/>
    </row>
    <row r="1975" spans="1:12" ht="16.5" customHeight="1">
      <c r="A1975" s="57" t="s">
        <v>394</v>
      </c>
      <c r="B1975" s="57" t="s">
        <v>90</v>
      </c>
      <c r="C1975" s="57">
        <v>2023</v>
      </c>
      <c r="D1975" s="58">
        <f>MATCH(B1975,{"GENNAIO","FEBBRAIO","MARZO","APRILE","MAGGIO","GIUGNO","LUGLIO","AGOSTO","SETTEMBRE","OTTOBRE","NOVEMBRE","DICEMBRE"},0)</f>
        <v>3</v>
      </c>
      <c r="E1975" s="57" t="str">
        <f t="shared" si="1746"/>
        <v>MARZO 2023</v>
      </c>
      <c r="F1975" s="57" t="str">
        <f t="shared" si="1747"/>
        <v>3 MARZO 2023</v>
      </c>
      <c r="G1975" s="1309" t="s">
        <v>94</v>
      </c>
      <c r="H1975" s="1309" t="str">
        <f>VLOOKUP(G1975,CATEGORIE!$H$3:$I$104,2,FALSE)</f>
        <v>COSTO SVAGHI</v>
      </c>
      <c r="I1975" s="59">
        <v>23</v>
      </c>
      <c r="J1975" s="940"/>
      <c r="K1975" s="59"/>
      <c r="L1975" s="59"/>
    </row>
    <row r="1976" spans="1:12" ht="16.5" customHeight="1">
      <c r="A1976" s="57" t="s">
        <v>160</v>
      </c>
      <c r="B1976" s="57" t="s">
        <v>90</v>
      </c>
      <c r="C1976" s="57">
        <v>2023</v>
      </c>
      <c r="D1976" s="58">
        <f>MATCH(B1976,{"GENNAIO","FEBBRAIO","MARZO","APRILE","MAGGIO","GIUGNO","LUGLIO","AGOSTO","SETTEMBRE","OTTOBRE","NOVEMBRE","DICEMBRE"},0)</f>
        <v>3</v>
      </c>
      <c r="E1976" s="57" t="str">
        <f t="shared" si="1746"/>
        <v>MARZO 2023</v>
      </c>
      <c r="F1976" s="57" t="str">
        <f t="shared" si="1747"/>
        <v>3 MARZO 2023</v>
      </c>
      <c r="G1976" s="1309" t="s">
        <v>111</v>
      </c>
      <c r="H1976" s="1309" t="str">
        <f>VLOOKUP(G1976,CATEGORIE!$H$3:$I$104,2,FALSE)</f>
        <v>COSTO MOBILITA'</v>
      </c>
      <c r="I1976" s="59">
        <v>1.7</v>
      </c>
      <c r="J1976" s="940"/>
      <c r="K1976" s="59"/>
      <c r="L1976" s="59"/>
    </row>
    <row r="1977" spans="1:12" ht="16.5" customHeight="1">
      <c r="A1977" s="57" t="s">
        <v>397</v>
      </c>
      <c r="B1977" s="57" t="s">
        <v>90</v>
      </c>
      <c r="C1977" s="57">
        <v>2023</v>
      </c>
      <c r="D1977" s="58">
        <f>MATCH(B1977,{"GENNAIO","FEBBRAIO","MARZO","APRILE","MAGGIO","GIUGNO","LUGLIO","AGOSTO","SETTEMBRE","OTTOBRE","NOVEMBRE","DICEMBRE"},0)</f>
        <v>3</v>
      </c>
      <c r="E1977" s="57" t="str">
        <f t="shared" ref="E1977:E2040" si="1748">CONCATENATE(,B1977," ",C1977)</f>
        <v>MARZO 2023</v>
      </c>
      <c r="F1977" s="57" t="str">
        <f t="shared" ref="F1977:F2040" si="1749">CONCATENATE(D1977," ",E1977)</f>
        <v>3 MARZO 2023</v>
      </c>
      <c r="G1977" s="1309" t="s">
        <v>111</v>
      </c>
      <c r="H1977" s="1309" t="str">
        <f>VLOOKUP(G1977,CATEGORIE!$H$3:$I$104,2,FALSE)</f>
        <v>COSTO MOBILITA'</v>
      </c>
      <c r="I1977" s="59">
        <v>2.1</v>
      </c>
      <c r="J1977" s="940"/>
      <c r="K1977" s="59"/>
      <c r="L1977" s="59"/>
    </row>
    <row r="1978" spans="1:12" ht="18" customHeight="1">
      <c r="A1978" s="57" t="s">
        <v>92</v>
      </c>
      <c r="B1978" s="57" t="s">
        <v>90</v>
      </c>
      <c r="C1978" s="57">
        <v>2023</v>
      </c>
      <c r="D1978" s="58">
        <f>MATCH(B1978,{"GENNAIO","FEBBRAIO","MARZO","APRILE","MAGGIO","GIUGNO","LUGLIO","AGOSTO","SETTEMBRE","OTTOBRE","NOVEMBRE","DICEMBRE"},0)</f>
        <v>3</v>
      </c>
      <c r="E1978" s="57" t="str">
        <f t="shared" si="1748"/>
        <v>MARZO 2023</v>
      </c>
      <c r="F1978" s="57" t="str">
        <f t="shared" si="1749"/>
        <v>3 MARZO 2023</v>
      </c>
      <c r="G1978" s="1309" t="s">
        <v>93</v>
      </c>
      <c r="H1978" s="1309" t="str">
        <f>VLOOKUP(G1978,CATEGORIE!$H$3:$I$104,2,FALSE)</f>
        <v>COSTO SOPRAVVIVENZA</v>
      </c>
      <c r="I1978" s="59">
        <v>5</v>
      </c>
      <c r="J1978" s="940"/>
      <c r="K1978" s="59"/>
      <c r="L1978" s="59"/>
    </row>
    <row r="1979" spans="1:12" ht="16.5" customHeight="1">
      <c r="A1979" s="57" t="s">
        <v>101</v>
      </c>
      <c r="B1979" s="57" t="s">
        <v>90</v>
      </c>
      <c r="C1979" s="57">
        <v>2023</v>
      </c>
      <c r="D1979" s="58">
        <f>MATCH(B1979,{"GENNAIO","FEBBRAIO","MARZO","APRILE","MAGGIO","GIUGNO","LUGLIO","AGOSTO","SETTEMBRE","OTTOBRE","NOVEMBRE","DICEMBRE"},0)</f>
        <v>3</v>
      </c>
      <c r="E1979" s="57" t="str">
        <f t="shared" si="1748"/>
        <v>MARZO 2023</v>
      </c>
      <c r="F1979" s="57" t="str">
        <f t="shared" si="1749"/>
        <v>3 MARZO 2023</v>
      </c>
      <c r="G1979" s="1309" t="s">
        <v>91</v>
      </c>
      <c r="H1979" s="1309" t="str">
        <f>VLOOKUP(G1979,CATEGORIE!$H$3:$I$104,2,FALSE)</f>
        <v>COSTO SOPRAVVIVENZA</v>
      </c>
      <c r="I1979" s="59">
        <v>0.4</v>
      </c>
      <c r="J1979" s="940"/>
      <c r="K1979" s="59"/>
      <c r="L1979" s="59"/>
    </row>
    <row r="1980" spans="1:12" ht="16.5" customHeight="1">
      <c r="A1980" s="57" t="s">
        <v>92</v>
      </c>
      <c r="B1980" s="57" t="s">
        <v>90</v>
      </c>
      <c r="C1980" s="57">
        <v>2023</v>
      </c>
      <c r="D1980" s="58">
        <f>MATCH(B1980,{"GENNAIO","FEBBRAIO","MARZO","APRILE","MAGGIO","GIUGNO","LUGLIO","AGOSTO","SETTEMBRE","OTTOBRE","NOVEMBRE","DICEMBRE"},0)</f>
        <v>3</v>
      </c>
      <c r="E1980" s="57" t="str">
        <f t="shared" si="1748"/>
        <v>MARZO 2023</v>
      </c>
      <c r="F1980" s="57" t="str">
        <f t="shared" si="1749"/>
        <v>3 MARZO 2023</v>
      </c>
      <c r="G1980" s="1309" t="s">
        <v>94</v>
      </c>
      <c r="H1980" s="1309" t="str">
        <f>VLOOKUP(G1980,CATEGORIE!$H$3:$I$104,2,FALSE)</f>
        <v>COSTO SVAGHI</v>
      </c>
      <c r="I1980" s="59">
        <v>2.4</v>
      </c>
      <c r="J1980" s="940"/>
      <c r="K1980" s="59"/>
      <c r="L1980" s="59"/>
    </row>
    <row r="1981" spans="1:12" ht="18.600000000000001" customHeight="1">
      <c r="A1981" s="57" t="s">
        <v>99</v>
      </c>
      <c r="B1981" s="57" t="s">
        <v>90</v>
      </c>
      <c r="C1981" s="57">
        <v>2023</v>
      </c>
      <c r="D1981" s="58">
        <f>MATCH(B1981,{"GENNAIO","FEBBRAIO","MARZO","APRILE","MAGGIO","GIUGNO","LUGLIO","AGOSTO","SETTEMBRE","OTTOBRE","NOVEMBRE","DICEMBRE"},0)</f>
        <v>3</v>
      </c>
      <c r="E1981" s="57" t="str">
        <f t="shared" si="1748"/>
        <v>MARZO 2023</v>
      </c>
      <c r="F1981" s="57" t="str">
        <f t="shared" si="1749"/>
        <v>3 MARZO 2023</v>
      </c>
      <c r="G1981" s="1309" t="s">
        <v>108</v>
      </c>
      <c r="H1981" s="1309" t="str">
        <f>VLOOKUP(G1981,CATEGORIE!$H$3:$I$104,2,FALSE)</f>
        <v>COSTO SFIZI</v>
      </c>
      <c r="I1981" s="59">
        <v>9.98</v>
      </c>
      <c r="J1981" s="940" t="s">
        <v>151</v>
      </c>
      <c r="K1981" s="57" t="s">
        <v>99</v>
      </c>
      <c r="L1981" s="59"/>
    </row>
    <row r="1982" spans="1:12" ht="16.5" customHeight="1">
      <c r="A1982" s="57" t="s">
        <v>101</v>
      </c>
      <c r="B1982" s="57" t="s">
        <v>90</v>
      </c>
      <c r="C1982" s="57">
        <v>2023</v>
      </c>
      <c r="D1982" s="58">
        <f>MATCH(B1982,{"GENNAIO","FEBBRAIO","MARZO","APRILE","MAGGIO","GIUGNO","LUGLIO","AGOSTO","SETTEMBRE","OTTOBRE","NOVEMBRE","DICEMBRE"},0)</f>
        <v>3</v>
      </c>
      <c r="E1982" s="57" t="str">
        <f t="shared" si="1748"/>
        <v>MARZO 2023</v>
      </c>
      <c r="F1982" s="57" t="str">
        <f t="shared" si="1749"/>
        <v>3 MARZO 2023</v>
      </c>
      <c r="G1982" s="1309" t="s">
        <v>91</v>
      </c>
      <c r="H1982" s="1309" t="str">
        <f>VLOOKUP(G1982,CATEGORIE!$H$3:$I$104,2,FALSE)</f>
        <v>COSTO SOPRAVVIVENZA</v>
      </c>
      <c r="I1982" s="59">
        <v>0.4</v>
      </c>
      <c r="J1982" s="940"/>
      <c r="K1982" s="59"/>
      <c r="L1982" s="59"/>
    </row>
    <row r="1983" spans="1:12" ht="16.5" customHeight="1">
      <c r="A1983" s="57" t="s">
        <v>101</v>
      </c>
      <c r="B1983" s="57" t="s">
        <v>90</v>
      </c>
      <c r="C1983" s="57">
        <v>2023</v>
      </c>
      <c r="D1983" s="58">
        <f>MATCH(B1983,{"GENNAIO","FEBBRAIO","MARZO","APRILE","MAGGIO","GIUGNO","LUGLIO","AGOSTO","SETTEMBRE","OTTOBRE","NOVEMBRE","DICEMBRE"},0)</f>
        <v>3</v>
      </c>
      <c r="E1983" s="57" t="str">
        <f t="shared" si="1748"/>
        <v>MARZO 2023</v>
      </c>
      <c r="F1983" s="57" t="str">
        <f t="shared" si="1749"/>
        <v>3 MARZO 2023</v>
      </c>
      <c r="G1983" s="1309" t="s">
        <v>91</v>
      </c>
      <c r="H1983" s="1309" t="str">
        <f>VLOOKUP(G1983,CATEGORIE!$H$3:$I$104,2,FALSE)</f>
        <v>COSTO SOPRAVVIVENZA</v>
      </c>
      <c r="I1983" s="59">
        <v>0.4</v>
      </c>
      <c r="J1983" s="940"/>
      <c r="K1983" s="59"/>
      <c r="L1983" s="59"/>
    </row>
    <row r="1984" spans="1:12">
      <c r="A1984" s="57" t="s">
        <v>105</v>
      </c>
      <c r="B1984" s="57" t="s">
        <v>90</v>
      </c>
      <c r="C1984" s="57">
        <v>2023</v>
      </c>
      <c r="D1984" s="58">
        <f>MATCH(B1984,{"GENNAIO","FEBBRAIO","MARZO","APRILE","MAGGIO","GIUGNO","LUGLIO","AGOSTO","SETTEMBRE","OTTOBRE","NOVEMBRE","DICEMBRE"},0)</f>
        <v>3</v>
      </c>
      <c r="E1984" s="57" t="str">
        <f t="shared" si="1748"/>
        <v>MARZO 2023</v>
      </c>
      <c r="F1984" s="57" t="str">
        <f t="shared" si="1749"/>
        <v>3 MARZO 2023</v>
      </c>
      <c r="G1984" s="1309" t="s">
        <v>96</v>
      </c>
      <c r="H1984" s="1309" t="str">
        <f>VLOOKUP(G1984,CATEGORIE!$H$3:$I$104,2,FALSE)</f>
        <v>COSTO SOPRAVVIVENZA</v>
      </c>
      <c r="I1984" s="59">
        <v>9.92</v>
      </c>
      <c r="J1984" s="940"/>
      <c r="K1984" s="59"/>
      <c r="L1984" s="59"/>
    </row>
    <row r="1985" spans="1:12">
      <c r="A1985" s="57" t="s">
        <v>101</v>
      </c>
      <c r="B1985" s="57" t="s">
        <v>90</v>
      </c>
      <c r="C1985" s="57">
        <v>2023</v>
      </c>
      <c r="D1985" s="58">
        <f>MATCH(B1985,{"GENNAIO","FEBBRAIO","MARZO","APRILE","MAGGIO","GIUGNO","LUGLIO","AGOSTO","SETTEMBRE","OTTOBRE","NOVEMBRE","DICEMBRE"},0)</f>
        <v>3</v>
      </c>
      <c r="E1985" s="57" t="str">
        <f t="shared" si="1748"/>
        <v>MARZO 2023</v>
      </c>
      <c r="F1985" s="57" t="str">
        <f t="shared" si="1749"/>
        <v>3 MARZO 2023</v>
      </c>
      <c r="G1985" s="1309" t="s">
        <v>91</v>
      </c>
      <c r="H1985" s="1309" t="str">
        <f>VLOOKUP(G1985,CATEGORIE!$H$3:$I$104,2,FALSE)</f>
        <v>COSTO SOPRAVVIVENZA</v>
      </c>
      <c r="I1985" s="59">
        <v>0.4</v>
      </c>
      <c r="J1985" s="940"/>
      <c r="K1985" s="59"/>
      <c r="L1985" s="59"/>
    </row>
    <row r="1986" spans="1:12">
      <c r="A1986" s="57" t="s">
        <v>101</v>
      </c>
      <c r="B1986" s="57" t="s">
        <v>90</v>
      </c>
      <c r="C1986" s="57">
        <v>2023</v>
      </c>
      <c r="D1986" s="58">
        <f>MATCH(B1986,{"GENNAIO","FEBBRAIO","MARZO","APRILE","MAGGIO","GIUGNO","LUGLIO","AGOSTO","SETTEMBRE","OTTOBRE","NOVEMBRE","DICEMBRE"},0)</f>
        <v>3</v>
      </c>
      <c r="E1986" s="57" t="str">
        <f t="shared" si="1748"/>
        <v>MARZO 2023</v>
      </c>
      <c r="F1986" s="57" t="str">
        <f t="shared" si="1749"/>
        <v>3 MARZO 2023</v>
      </c>
      <c r="G1986" s="1309" t="s">
        <v>91</v>
      </c>
      <c r="H1986" s="1309" t="str">
        <f>VLOOKUP(G1986,CATEGORIE!$H$3:$I$104,2,FALSE)</f>
        <v>COSTO SOPRAVVIVENZA</v>
      </c>
      <c r="I1986" s="59">
        <v>0.4</v>
      </c>
      <c r="J1986" s="940"/>
      <c r="K1986" s="59"/>
      <c r="L1986" s="59"/>
    </row>
    <row r="1987" spans="1:12" ht="16.5" customHeight="1">
      <c r="A1987" s="57" t="s">
        <v>99</v>
      </c>
      <c r="B1987" s="57" t="s">
        <v>90</v>
      </c>
      <c r="C1987" s="57">
        <v>2023</v>
      </c>
      <c r="D1987" s="58">
        <f>MATCH(B1987,{"GENNAIO","FEBBRAIO","MARZO","APRILE","MAGGIO","GIUGNO","LUGLIO","AGOSTO","SETTEMBRE","OTTOBRE","NOVEMBRE","DICEMBRE"},0)</f>
        <v>3</v>
      </c>
      <c r="E1987" s="57" t="str">
        <f t="shared" si="1748"/>
        <v>MARZO 2023</v>
      </c>
      <c r="F1987" s="57" t="str">
        <f t="shared" si="1749"/>
        <v>3 MARZO 2023</v>
      </c>
      <c r="G1987" s="1309" t="s">
        <v>100</v>
      </c>
      <c r="H1987" s="1309" t="str">
        <f>VLOOKUP(G1987,CATEGORIE!$H$3:$I$104,2,FALSE)</f>
        <v>COSTO SFIZI</v>
      </c>
      <c r="I1987" s="59">
        <v>20.99</v>
      </c>
      <c r="J1987" s="940"/>
      <c r="K1987" s="57" t="s">
        <v>99</v>
      </c>
      <c r="L1987" s="59"/>
    </row>
    <row r="1988" spans="1:12" ht="18" customHeight="1">
      <c r="A1988" s="57" t="s">
        <v>105</v>
      </c>
      <c r="B1988" s="57" t="s">
        <v>90</v>
      </c>
      <c r="C1988" s="57">
        <v>2023</v>
      </c>
      <c r="D1988" s="58">
        <f>MATCH(B1988,{"GENNAIO","FEBBRAIO","MARZO","APRILE","MAGGIO","GIUGNO","LUGLIO","AGOSTO","SETTEMBRE","OTTOBRE","NOVEMBRE","DICEMBRE"},0)</f>
        <v>3</v>
      </c>
      <c r="E1988" s="57" t="str">
        <f t="shared" si="1748"/>
        <v>MARZO 2023</v>
      </c>
      <c r="F1988" s="57" t="str">
        <f t="shared" si="1749"/>
        <v>3 MARZO 2023</v>
      </c>
      <c r="G1988" s="1309" t="s">
        <v>96</v>
      </c>
      <c r="H1988" s="1309" t="str">
        <f>VLOOKUP(G1988,CATEGORIE!$H$3:$I$104,2,FALSE)</f>
        <v>COSTO SOPRAVVIVENZA</v>
      </c>
      <c r="I1988" s="59">
        <v>8.6199999999999992</v>
      </c>
      <c r="J1988" s="940"/>
      <c r="K1988" s="59"/>
      <c r="L1988" s="59"/>
    </row>
    <row r="1989" spans="1:12" ht="18.600000000000001" customHeight="1">
      <c r="A1989" s="57" t="s">
        <v>101</v>
      </c>
      <c r="B1989" s="57" t="s">
        <v>90</v>
      </c>
      <c r="C1989" s="57">
        <v>2023</v>
      </c>
      <c r="D1989" s="58">
        <f>MATCH(B1989,{"GENNAIO","FEBBRAIO","MARZO","APRILE","MAGGIO","GIUGNO","LUGLIO","AGOSTO","SETTEMBRE","OTTOBRE","NOVEMBRE","DICEMBRE"},0)</f>
        <v>3</v>
      </c>
      <c r="E1989" s="57" t="str">
        <f t="shared" si="1748"/>
        <v>MARZO 2023</v>
      </c>
      <c r="F1989" s="57" t="str">
        <f t="shared" si="1749"/>
        <v>3 MARZO 2023</v>
      </c>
      <c r="G1989" s="1309" t="s">
        <v>91</v>
      </c>
      <c r="H1989" s="1309" t="str">
        <f>VLOOKUP(G1989,CATEGORIE!$H$3:$I$104,2,FALSE)</f>
        <v>COSTO SOPRAVVIVENZA</v>
      </c>
      <c r="I1989" s="59">
        <v>0.4</v>
      </c>
      <c r="J1989" s="940"/>
      <c r="K1989" s="59"/>
      <c r="L1989" s="59"/>
    </row>
    <row r="1990" spans="1:12" ht="16.5" customHeight="1">
      <c r="A1990" s="57" t="s">
        <v>562</v>
      </c>
      <c r="B1990" s="57" t="s">
        <v>90</v>
      </c>
      <c r="C1990" s="57">
        <v>2023</v>
      </c>
      <c r="D1990" s="58">
        <f>MATCH(B1990,{"GENNAIO","FEBBRAIO","MARZO","APRILE","MAGGIO","GIUGNO","LUGLIO","AGOSTO","SETTEMBRE","OTTOBRE","NOVEMBRE","DICEMBRE"},0)</f>
        <v>3</v>
      </c>
      <c r="E1990" s="57" t="str">
        <f t="shared" si="1748"/>
        <v>MARZO 2023</v>
      </c>
      <c r="F1990" s="57" t="str">
        <f t="shared" si="1749"/>
        <v>3 MARZO 2023</v>
      </c>
      <c r="G1990" s="1309" t="s">
        <v>94</v>
      </c>
      <c r="H1990" s="1309" t="str">
        <f>VLOOKUP(G1990,CATEGORIE!$H$3:$I$104,2,FALSE)</f>
        <v>COSTO SVAGHI</v>
      </c>
      <c r="I1990" s="59">
        <v>14</v>
      </c>
      <c r="J1990" s="940"/>
      <c r="K1990" s="59"/>
      <c r="L1990" s="59"/>
    </row>
    <row r="1991" spans="1:12" ht="18.600000000000001" customHeight="1">
      <c r="A1991" s="57" t="s">
        <v>99</v>
      </c>
      <c r="B1991" s="57" t="s">
        <v>90</v>
      </c>
      <c r="C1991" s="57">
        <v>2023</v>
      </c>
      <c r="D1991" s="58">
        <f>MATCH(B1991,{"GENNAIO","FEBBRAIO","MARZO","APRILE","MAGGIO","GIUGNO","LUGLIO","AGOSTO","SETTEMBRE","OTTOBRE","NOVEMBRE","DICEMBRE"},0)</f>
        <v>3</v>
      </c>
      <c r="E1991" s="57" t="str">
        <f t="shared" si="1748"/>
        <v>MARZO 2023</v>
      </c>
      <c r="F1991" s="57" t="str">
        <f t="shared" si="1749"/>
        <v>3 MARZO 2023</v>
      </c>
      <c r="G1991" s="1309" t="s">
        <v>385</v>
      </c>
      <c r="H1991" s="1309" t="str">
        <f>VLOOKUP(G1991,CATEGORIE!$H$3:$I$104,2,FALSE)</f>
        <v>COSTO SFIZI</v>
      </c>
      <c r="I1991" s="59">
        <v>55.86</v>
      </c>
      <c r="J1991" s="940" t="s">
        <v>145</v>
      </c>
      <c r="K1991" s="57" t="s">
        <v>99</v>
      </c>
      <c r="L1991" s="59" t="s">
        <v>546</v>
      </c>
    </row>
    <row r="1992" spans="1:12" ht="18.600000000000001" customHeight="1">
      <c r="A1992" s="57" t="s">
        <v>559</v>
      </c>
      <c r="B1992" s="57" t="s">
        <v>90</v>
      </c>
      <c r="C1992" s="57">
        <v>2023</v>
      </c>
      <c r="D1992" s="58">
        <f>MATCH(B1992,{"GENNAIO","FEBBRAIO","MARZO","APRILE","MAGGIO","GIUGNO","LUGLIO","AGOSTO","SETTEMBRE","OTTOBRE","NOVEMBRE","DICEMBRE"},0)</f>
        <v>3</v>
      </c>
      <c r="E1992" s="57" t="str">
        <f t="shared" si="1748"/>
        <v>MARZO 2023</v>
      </c>
      <c r="F1992" s="57" t="str">
        <f t="shared" si="1749"/>
        <v>3 MARZO 2023</v>
      </c>
      <c r="G1992" s="1309" t="s">
        <v>96</v>
      </c>
      <c r="H1992" s="1309" t="str">
        <f>VLOOKUP(G1992,CATEGORIE!$H$3:$I$104,2,FALSE)</f>
        <v>COSTO SOPRAVVIVENZA</v>
      </c>
      <c r="I1992" s="59">
        <v>3.89</v>
      </c>
      <c r="J1992" s="940"/>
      <c r="K1992" s="59"/>
      <c r="L1992" s="59"/>
    </row>
    <row r="1993" spans="1:12" ht="18.600000000000001" customHeight="1">
      <c r="A1993" s="57" t="s">
        <v>101</v>
      </c>
      <c r="B1993" s="57" t="s">
        <v>90</v>
      </c>
      <c r="C1993" s="57">
        <v>2023</v>
      </c>
      <c r="D1993" s="58">
        <f>MATCH(B1993,{"GENNAIO","FEBBRAIO","MARZO","APRILE","MAGGIO","GIUGNO","LUGLIO","AGOSTO","SETTEMBRE","OTTOBRE","NOVEMBRE","DICEMBRE"},0)</f>
        <v>3</v>
      </c>
      <c r="E1993" s="57" t="str">
        <f t="shared" si="1748"/>
        <v>MARZO 2023</v>
      </c>
      <c r="F1993" s="57" t="str">
        <f t="shared" si="1749"/>
        <v>3 MARZO 2023</v>
      </c>
      <c r="G1993" s="1309" t="s">
        <v>91</v>
      </c>
      <c r="H1993" s="1309" t="str">
        <f>VLOOKUP(G1993,CATEGORIE!$H$3:$I$104,2,FALSE)</f>
        <v>COSTO SOPRAVVIVENZA</v>
      </c>
      <c r="I1993" s="59">
        <v>0.4</v>
      </c>
      <c r="J1993" s="940"/>
      <c r="K1993" s="59"/>
      <c r="L1993" s="59"/>
    </row>
    <row r="1994" spans="1:12" ht="16.5" customHeight="1">
      <c r="A1994" s="57" t="s">
        <v>135</v>
      </c>
      <c r="B1994" s="57" t="s">
        <v>90</v>
      </c>
      <c r="C1994" s="57">
        <v>2023</v>
      </c>
      <c r="D1994" s="58">
        <f>MATCH(B1994,{"GENNAIO","FEBBRAIO","MARZO","APRILE","MAGGIO","GIUGNO","LUGLIO","AGOSTO","SETTEMBRE","OTTOBRE","NOVEMBRE","DICEMBRE"},0)</f>
        <v>3</v>
      </c>
      <c r="E1994" s="57" t="str">
        <f t="shared" si="1748"/>
        <v>MARZO 2023</v>
      </c>
      <c r="F1994" s="57" t="str">
        <f t="shared" si="1749"/>
        <v>3 MARZO 2023</v>
      </c>
      <c r="G1994" s="1309" t="s">
        <v>132</v>
      </c>
      <c r="H1994" s="1309" t="str">
        <f>VLOOKUP(G1994,CATEGORIE!$H$3:$I$104,2,FALSE)</f>
        <v>COSTO CASA</v>
      </c>
      <c r="I1994" s="59">
        <v>6.5</v>
      </c>
      <c r="J1994" s="940"/>
      <c r="K1994" s="59"/>
      <c r="L1994" s="59"/>
    </row>
    <row r="1995" spans="1:12" ht="16.5" customHeight="1">
      <c r="A1995" s="57" t="s">
        <v>95</v>
      </c>
      <c r="B1995" s="57" t="s">
        <v>90</v>
      </c>
      <c r="C1995" s="57">
        <v>2023</v>
      </c>
      <c r="D1995" s="58">
        <f>MATCH(B1995,{"GENNAIO","FEBBRAIO","MARZO","APRILE","MAGGIO","GIUGNO","LUGLIO","AGOSTO","SETTEMBRE","OTTOBRE","NOVEMBRE","DICEMBRE"},0)</f>
        <v>3</v>
      </c>
      <c r="E1995" s="57" t="str">
        <f t="shared" si="1748"/>
        <v>MARZO 2023</v>
      </c>
      <c r="F1995" s="57" t="str">
        <f t="shared" si="1749"/>
        <v>3 MARZO 2023</v>
      </c>
      <c r="G1995" s="1309" t="s">
        <v>96</v>
      </c>
      <c r="H1995" s="1309" t="str">
        <f>VLOOKUP(G1995,CATEGORIE!$H$3:$I$104,2,FALSE)</f>
        <v>COSTO SOPRAVVIVENZA</v>
      </c>
      <c r="I1995" s="59">
        <v>11.09</v>
      </c>
      <c r="J1995" s="940"/>
      <c r="K1995" s="59"/>
      <c r="L1995" s="59"/>
    </row>
    <row r="1996" spans="1:12" ht="16.5" customHeight="1">
      <c r="A1996" s="57" t="s">
        <v>105</v>
      </c>
      <c r="B1996" s="57" t="s">
        <v>90</v>
      </c>
      <c r="C1996" s="57">
        <v>2023</v>
      </c>
      <c r="D1996" s="58">
        <f>MATCH(B1996,{"GENNAIO","FEBBRAIO","MARZO","APRILE","MAGGIO","GIUGNO","LUGLIO","AGOSTO","SETTEMBRE","OTTOBRE","NOVEMBRE","DICEMBRE"},0)</f>
        <v>3</v>
      </c>
      <c r="E1996" s="57" t="str">
        <f t="shared" si="1748"/>
        <v>MARZO 2023</v>
      </c>
      <c r="F1996" s="57" t="str">
        <f t="shared" si="1749"/>
        <v>3 MARZO 2023</v>
      </c>
      <c r="G1996" s="1309" t="s">
        <v>96</v>
      </c>
      <c r="H1996" s="1309" t="str">
        <f>VLOOKUP(G1996,CATEGORIE!$H$3:$I$104,2,FALSE)</f>
        <v>COSTO SOPRAVVIVENZA</v>
      </c>
      <c r="I1996" s="59">
        <v>25.05</v>
      </c>
      <c r="J1996" s="940"/>
      <c r="K1996" s="59"/>
      <c r="L1996" s="59"/>
    </row>
    <row r="1997" spans="1:12" ht="16.5" customHeight="1">
      <c r="A1997" s="57" t="s">
        <v>101</v>
      </c>
      <c r="B1997" s="57" t="s">
        <v>90</v>
      </c>
      <c r="C1997" s="57">
        <v>2023</v>
      </c>
      <c r="D1997" s="58">
        <f>MATCH(B1997,{"GENNAIO","FEBBRAIO","MARZO","APRILE","MAGGIO","GIUGNO","LUGLIO","AGOSTO","SETTEMBRE","OTTOBRE","NOVEMBRE","DICEMBRE"},0)</f>
        <v>3</v>
      </c>
      <c r="E1997" s="57" t="str">
        <f t="shared" si="1748"/>
        <v>MARZO 2023</v>
      </c>
      <c r="F1997" s="57" t="str">
        <f t="shared" si="1749"/>
        <v>3 MARZO 2023</v>
      </c>
      <c r="G1997" s="1309" t="s">
        <v>91</v>
      </c>
      <c r="H1997" s="1309" t="str">
        <f>VLOOKUP(G1997,CATEGORIE!$H$3:$I$104,2,FALSE)</f>
        <v>COSTO SOPRAVVIVENZA</v>
      </c>
      <c r="I1997" s="59">
        <v>0.4</v>
      </c>
      <c r="J1997" s="940"/>
      <c r="K1997" s="59"/>
      <c r="L1997" s="59"/>
    </row>
    <row r="1998" spans="1:12" ht="18" customHeight="1">
      <c r="A1998" s="57" t="s">
        <v>92</v>
      </c>
      <c r="B1998" s="57" t="s">
        <v>90</v>
      </c>
      <c r="C1998" s="57">
        <v>2023</v>
      </c>
      <c r="D1998" s="58">
        <f>MATCH(B1998,{"GENNAIO","FEBBRAIO","MARZO","APRILE","MAGGIO","GIUGNO","LUGLIO","AGOSTO","SETTEMBRE","OTTOBRE","NOVEMBRE","DICEMBRE"},0)</f>
        <v>3</v>
      </c>
      <c r="E1998" s="57" t="str">
        <f t="shared" si="1748"/>
        <v>MARZO 2023</v>
      </c>
      <c r="F1998" s="57" t="str">
        <f t="shared" si="1749"/>
        <v>3 MARZO 2023</v>
      </c>
      <c r="G1998" s="1309" t="s">
        <v>93</v>
      </c>
      <c r="H1998" s="1309" t="str">
        <f>VLOOKUP(G1998,CATEGORIE!$H$3:$I$104,2,FALSE)</f>
        <v>COSTO SOPRAVVIVENZA</v>
      </c>
      <c r="I1998" s="59">
        <v>5</v>
      </c>
      <c r="J1998" s="940"/>
      <c r="K1998" s="59"/>
      <c r="L1998" s="59"/>
    </row>
    <row r="1999" spans="1:12" ht="18" customHeight="1">
      <c r="A1999" s="57" t="s">
        <v>101</v>
      </c>
      <c r="B1999" s="57" t="s">
        <v>90</v>
      </c>
      <c r="C1999" s="57">
        <v>2023</v>
      </c>
      <c r="D1999" s="58">
        <f>MATCH(B1999,{"GENNAIO","FEBBRAIO","MARZO","APRILE","MAGGIO","GIUGNO","LUGLIO","AGOSTO","SETTEMBRE","OTTOBRE","NOVEMBRE","DICEMBRE"},0)</f>
        <v>3</v>
      </c>
      <c r="E1999" s="57" t="str">
        <f t="shared" si="1748"/>
        <v>MARZO 2023</v>
      </c>
      <c r="F1999" s="57" t="str">
        <f t="shared" si="1749"/>
        <v>3 MARZO 2023</v>
      </c>
      <c r="G1999" s="1309" t="s">
        <v>91</v>
      </c>
      <c r="H1999" s="1309" t="str">
        <f>VLOOKUP(G1999,CATEGORIE!$H$3:$I$104,2,FALSE)</f>
        <v>COSTO SOPRAVVIVENZA</v>
      </c>
      <c r="I1999" s="59">
        <v>0.4</v>
      </c>
      <c r="J1999" s="940"/>
      <c r="K1999" s="59"/>
      <c r="L1999" s="59"/>
    </row>
    <row r="2000" spans="1:12" ht="18" customHeight="1">
      <c r="A2000" s="57" t="s">
        <v>101</v>
      </c>
      <c r="B2000" s="57" t="s">
        <v>90</v>
      </c>
      <c r="C2000" s="57">
        <v>2023</v>
      </c>
      <c r="D2000" s="58">
        <f>MATCH(B2000,{"GENNAIO","FEBBRAIO","MARZO","APRILE","MAGGIO","GIUGNO","LUGLIO","AGOSTO","SETTEMBRE","OTTOBRE","NOVEMBRE","DICEMBRE"},0)</f>
        <v>3</v>
      </c>
      <c r="E2000" s="57" t="str">
        <f t="shared" si="1748"/>
        <v>MARZO 2023</v>
      </c>
      <c r="F2000" s="57" t="str">
        <f t="shared" si="1749"/>
        <v>3 MARZO 2023</v>
      </c>
      <c r="G2000" s="1309" t="s">
        <v>91</v>
      </c>
      <c r="H2000" s="1309" t="str">
        <f>VLOOKUP(G2000,CATEGORIE!$H$3:$I$104,2,FALSE)</f>
        <v>COSTO SOPRAVVIVENZA</v>
      </c>
      <c r="I2000" s="59">
        <v>0.4</v>
      </c>
      <c r="J2000" s="940"/>
      <c r="K2000" s="59"/>
      <c r="L2000" s="59"/>
    </row>
    <row r="2001" spans="1:12" ht="18" customHeight="1">
      <c r="A2001" s="57" t="s">
        <v>99</v>
      </c>
      <c r="B2001" s="57" t="s">
        <v>90</v>
      </c>
      <c r="C2001" s="57">
        <v>2023</v>
      </c>
      <c r="D2001" s="58">
        <f>MATCH(B2001,{"GENNAIO","FEBBRAIO","MARZO","APRILE","MAGGIO","GIUGNO","LUGLIO","AGOSTO","SETTEMBRE","OTTOBRE","NOVEMBRE","DICEMBRE"},0)</f>
        <v>3</v>
      </c>
      <c r="E2001" s="57" t="str">
        <f t="shared" si="1748"/>
        <v>MARZO 2023</v>
      </c>
      <c r="F2001" s="57" t="str">
        <f t="shared" si="1749"/>
        <v>3 MARZO 2023</v>
      </c>
      <c r="G2001" s="1309" t="s">
        <v>100</v>
      </c>
      <c r="H2001" s="1309" t="str">
        <f>VLOOKUP(G2001,CATEGORIE!$H$3:$I$104,2,FALSE)</f>
        <v>COSTO SFIZI</v>
      </c>
      <c r="I2001" s="59">
        <v>29.99</v>
      </c>
      <c r="J2001" s="940"/>
      <c r="K2001" s="57" t="s">
        <v>99</v>
      </c>
      <c r="L2001" s="59"/>
    </row>
    <row r="2002" spans="1:12" ht="18" customHeight="1">
      <c r="A2002" s="57" t="s">
        <v>364</v>
      </c>
      <c r="B2002" s="57" t="s">
        <v>90</v>
      </c>
      <c r="C2002" s="57">
        <v>2023</v>
      </c>
      <c r="D2002" s="58">
        <f>MATCH(B2002,{"GENNAIO","FEBBRAIO","MARZO","APRILE","MAGGIO","GIUGNO","LUGLIO","AGOSTO","SETTEMBRE","OTTOBRE","NOVEMBRE","DICEMBRE"},0)</f>
        <v>3</v>
      </c>
      <c r="E2002" s="57" t="str">
        <f t="shared" si="1748"/>
        <v>MARZO 2023</v>
      </c>
      <c r="F2002" s="57" t="str">
        <f t="shared" si="1749"/>
        <v>3 MARZO 2023</v>
      </c>
      <c r="G2002" s="1309" t="s">
        <v>365</v>
      </c>
      <c r="H2002" s="1309" t="str">
        <f>VLOOKUP(G2002,CATEGORIE!$H$3:$I$104,2,FALSE)</f>
        <v>COSTO SOPRAVVIVENZA</v>
      </c>
      <c r="I2002" s="59">
        <v>16.899999999999999</v>
      </c>
      <c r="J2002" s="940" t="s">
        <v>215</v>
      </c>
      <c r="K2002" s="59" t="s">
        <v>112</v>
      </c>
      <c r="L2002" s="59"/>
    </row>
    <row r="2003" spans="1:12" ht="18.600000000000001" customHeight="1">
      <c r="A2003" s="57" t="s">
        <v>306</v>
      </c>
      <c r="B2003" s="57" t="s">
        <v>90</v>
      </c>
      <c r="C2003" s="57">
        <v>2023</v>
      </c>
      <c r="D2003" s="58">
        <f>MATCH(B2003,{"GENNAIO","FEBBRAIO","MARZO","APRILE","MAGGIO","GIUGNO","LUGLIO","AGOSTO","SETTEMBRE","OTTOBRE","NOVEMBRE","DICEMBRE"},0)</f>
        <v>3</v>
      </c>
      <c r="E2003" s="57" t="str">
        <f t="shared" si="1748"/>
        <v>MARZO 2023</v>
      </c>
      <c r="F2003" s="57" t="str">
        <f t="shared" si="1749"/>
        <v>3 MARZO 2023</v>
      </c>
      <c r="G2003" s="1309" t="s">
        <v>100</v>
      </c>
      <c r="H2003" s="1309" t="str">
        <f>VLOOKUP(G2003,CATEGORIE!$H$3:$I$104,2,FALSE)</f>
        <v>COSTO SFIZI</v>
      </c>
      <c r="I2003" s="59">
        <v>11.91</v>
      </c>
      <c r="J2003" s="940" t="s">
        <v>215</v>
      </c>
      <c r="K2003" s="59" t="s">
        <v>112</v>
      </c>
      <c r="L2003" s="59"/>
    </row>
    <row r="2004" spans="1:12" ht="16.5" customHeight="1">
      <c r="A2004" s="57" t="s">
        <v>131</v>
      </c>
      <c r="B2004" s="57" t="s">
        <v>90</v>
      </c>
      <c r="C2004" s="57">
        <v>2023</v>
      </c>
      <c r="D2004" s="58">
        <f>MATCH(B2004,{"GENNAIO","FEBBRAIO","MARZO","APRILE","MAGGIO","GIUGNO","LUGLIO","AGOSTO","SETTEMBRE","OTTOBRE","NOVEMBRE","DICEMBRE"},0)</f>
        <v>3</v>
      </c>
      <c r="E2004" s="57" t="str">
        <f t="shared" si="1748"/>
        <v>MARZO 2023</v>
      </c>
      <c r="F2004" s="57" t="str">
        <f t="shared" si="1749"/>
        <v>3 MARZO 2023</v>
      </c>
      <c r="G2004" s="1309" t="s">
        <v>132</v>
      </c>
      <c r="H2004" s="1309" t="str">
        <f>VLOOKUP(G2004,CATEGORIE!$H$3:$I$104,2,FALSE)</f>
        <v>COSTO CASA</v>
      </c>
      <c r="I2004" s="59">
        <v>28.32</v>
      </c>
      <c r="J2004" s="940" t="s">
        <v>124</v>
      </c>
      <c r="K2004" s="59" t="s">
        <v>112</v>
      </c>
      <c r="L2004" s="59"/>
    </row>
    <row r="2005" spans="1:12" ht="16.5" customHeight="1">
      <c r="A2005" s="57" t="s">
        <v>229</v>
      </c>
      <c r="B2005" s="57" t="s">
        <v>90</v>
      </c>
      <c r="C2005" s="57">
        <v>2023</v>
      </c>
      <c r="D2005" s="58">
        <f>MATCH(B2005,{"GENNAIO","FEBBRAIO","MARZO","APRILE","MAGGIO","GIUGNO","LUGLIO","AGOSTO","SETTEMBRE","OTTOBRE","NOVEMBRE","DICEMBRE"},0)</f>
        <v>3</v>
      </c>
      <c r="E2005" s="57" t="str">
        <f t="shared" si="1748"/>
        <v>MARZO 2023</v>
      </c>
      <c r="F2005" s="57" t="str">
        <f t="shared" si="1749"/>
        <v>3 MARZO 2023</v>
      </c>
      <c r="G2005" s="1309" t="s">
        <v>163</v>
      </c>
      <c r="H2005" s="1309" t="str">
        <f>VLOOKUP(G2005,CATEGORIE!$H$3:$I$104,2,FALSE)</f>
        <v>COSTO SVAGHI</v>
      </c>
      <c r="I2005" s="59">
        <v>28.64</v>
      </c>
      <c r="J2005" s="940" t="s">
        <v>124</v>
      </c>
      <c r="K2005" s="59" t="s">
        <v>112</v>
      </c>
      <c r="L2005" s="59"/>
    </row>
    <row r="2006" spans="1:12" ht="16.5" customHeight="1">
      <c r="A2006" s="57" t="s">
        <v>105</v>
      </c>
      <c r="B2006" s="57" t="s">
        <v>90</v>
      </c>
      <c r="C2006" s="57">
        <v>2023</v>
      </c>
      <c r="D2006" s="58">
        <f>MATCH(B2006,{"GENNAIO","FEBBRAIO","MARZO","APRILE","MAGGIO","GIUGNO","LUGLIO","AGOSTO","SETTEMBRE","OTTOBRE","NOVEMBRE","DICEMBRE"},0)</f>
        <v>3</v>
      </c>
      <c r="E2006" s="57" t="str">
        <f t="shared" si="1748"/>
        <v>MARZO 2023</v>
      </c>
      <c r="F2006" s="57" t="str">
        <f t="shared" si="1749"/>
        <v>3 MARZO 2023</v>
      </c>
      <c r="G2006" s="1309" t="s">
        <v>96</v>
      </c>
      <c r="H2006" s="1309" t="str">
        <f>VLOOKUP(G2006,CATEGORIE!$H$3:$I$104,2,FALSE)</f>
        <v>COSTO SOPRAVVIVENZA</v>
      </c>
      <c r="I2006" s="59">
        <v>16.78</v>
      </c>
      <c r="J2006" s="940"/>
      <c r="K2006" s="59"/>
      <c r="L2006" s="59"/>
    </row>
    <row r="2007" spans="1:12" ht="16.5" customHeight="1">
      <c r="A2007" s="57" t="s">
        <v>101</v>
      </c>
      <c r="B2007" s="57" t="s">
        <v>129</v>
      </c>
      <c r="C2007" s="57">
        <v>2023</v>
      </c>
      <c r="D2007" s="58">
        <f>MATCH(B2007,{"GENNAIO","FEBBRAIO","MARZO","APRILE","MAGGIO","GIUGNO","LUGLIO","AGOSTO","SETTEMBRE","OTTOBRE","NOVEMBRE","DICEMBRE"},0)</f>
        <v>2</v>
      </c>
      <c r="E2007" s="57" t="str">
        <f t="shared" si="1748"/>
        <v>FEBBRAIO 2023</v>
      </c>
      <c r="F2007" s="57" t="str">
        <f t="shared" si="1749"/>
        <v>2 FEBBRAIO 2023</v>
      </c>
      <c r="G2007" s="1309" t="s">
        <v>91</v>
      </c>
      <c r="H2007" s="1309" t="str">
        <f>VLOOKUP(G2007,CATEGORIE!$H$3:$I$104,2,FALSE)</f>
        <v>COSTO SOPRAVVIVENZA</v>
      </c>
      <c r="I2007" s="59">
        <v>0.4</v>
      </c>
      <c r="J2007" s="940"/>
      <c r="K2007" s="59"/>
      <c r="L2007" s="59"/>
    </row>
    <row r="2008" spans="1:12" ht="16.5" customHeight="1">
      <c r="A2008" s="57" t="s">
        <v>101</v>
      </c>
      <c r="B2008" s="57" t="s">
        <v>129</v>
      </c>
      <c r="C2008" s="57">
        <v>2023</v>
      </c>
      <c r="D2008" s="58">
        <f>MATCH(B2008,{"GENNAIO","FEBBRAIO","MARZO","APRILE","MAGGIO","GIUGNO","LUGLIO","AGOSTO","SETTEMBRE","OTTOBRE","NOVEMBRE","DICEMBRE"},0)</f>
        <v>2</v>
      </c>
      <c r="E2008" s="57" t="str">
        <f t="shared" si="1748"/>
        <v>FEBBRAIO 2023</v>
      </c>
      <c r="F2008" s="57" t="str">
        <f t="shared" si="1749"/>
        <v>2 FEBBRAIO 2023</v>
      </c>
      <c r="G2008" s="1309" t="s">
        <v>91</v>
      </c>
      <c r="H2008" s="1309" t="str">
        <f>VLOOKUP(G2008,CATEGORIE!$H$3:$I$104,2,FALSE)</f>
        <v>COSTO SOPRAVVIVENZA</v>
      </c>
      <c r="I2008" s="59">
        <v>0.4</v>
      </c>
      <c r="J2008" s="940"/>
      <c r="K2008" s="59"/>
      <c r="L2008" s="59"/>
    </row>
    <row r="2009" spans="1:12" ht="16.5" customHeight="1">
      <c r="A2009" s="57" t="s">
        <v>101</v>
      </c>
      <c r="B2009" s="57" t="s">
        <v>129</v>
      </c>
      <c r="C2009" s="57">
        <v>2023</v>
      </c>
      <c r="D2009" s="58">
        <f>MATCH(B2009,{"GENNAIO","FEBBRAIO","MARZO","APRILE","MAGGIO","GIUGNO","LUGLIO","AGOSTO","SETTEMBRE","OTTOBRE","NOVEMBRE","DICEMBRE"},0)</f>
        <v>2</v>
      </c>
      <c r="E2009" s="57" t="str">
        <f t="shared" si="1748"/>
        <v>FEBBRAIO 2023</v>
      </c>
      <c r="F2009" s="57" t="str">
        <f t="shared" si="1749"/>
        <v>2 FEBBRAIO 2023</v>
      </c>
      <c r="G2009" s="1309" t="s">
        <v>91</v>
      </c>
      <c r="H2009" s="1309" t="str">
        <f>VLOOKUP(G2009,CATEGORIE!$H$3:$I$104,2,FALSE)</f>
        <v>COSTO SOPRAVVIVENZA</v>
      </c>
      <c r="I2009" s="59">
        <v>0.4</v>
      </c>
      <c r="J2009" s="940"/>
      <c r="K2009" s="59"/>
      <c r="L2009" s="59"/>
    </row>
    <row r="2010" spans="1:12" ht="16.5" customHeight="1">
      <c r="A2010" s="57" t="s">
        <v>92</v>
      </c>
      <c r="B2010" s="57" t="s">
        <v>129</v>
      </c>
      <c r="C2010" s="57">
        <v>2023</v>
      </c>
      <c r="D2010" s="58">
        <f>MATCH(B2010,{"GENNAIO","FEBBRAIO","MARZO","APRILE","MAGGIO","GIUGNO","LUGLIO","AGOSTO","SETTEMBRE","OTTOBRE","NOVEMBRE","DICEMBRE"},0)</f>
        <v>2</v>
      </c>
      <c r="E2010" s="57" t="str">
        <f t="shared" si="1748"/>
        <v>FEBBRAIO 2023</v>
      </c>
      <c r="F2010" s="57" t="str">
        <f t="shared" si="1749"/>
        <v>2 FEBBRAIO 2023</v>
      </c>
      <c r="G2010" s="1309" t="s">
        <v>93</v>
      </c>
      <c r="H2010" s="1309" t="str">
        <f>VLOOKUP(G2010,CATEGORIE!$H$3:$I$104,2,FALSE)</f>
        <v>COSTO SOPRAVVIVENZA</v>
      </c>
      <c r="I2010" s="59">
        <v>5</v>
      </c>
      <c r="J2010" s="940"/>
      <c r="K2010" s="59"/>
      <c r="L2010" s="59"/>
    </row>
    <row r="2011" spans="1:12" ht="16.5" customHeight="1">
      <c r="A2011" s="57" t="s">
        <v>101</v>
      </c>
      <c r="B2011" s="57" t="s">
        <v>129</v>
      </c>
      <c r="C2011" s="57">
        <v>2023</v>
      </c>
      <c r="D2011" s="58">
        <f>MATCH(B2011,{"GENNAIO","FEBBRAIO","MARZO","APRILE","MAGGIO","GIUGNO","LUGLIO","AGOSTO","SETTEMBRE","OTTOBRE","NOVEMBRE","DICEMBRE"},0)</f>
        <v>2</v>
      </c>
      <c r="E2011" s="57" t="str">
        <f t="shared" si="1748"/>
        <v>FEBBRAIO 2023</v>
      </c>
      <c r="F2011" s="57" t="str">
        <f t="shared" si="1749"/>
        <v>2 FEBBRAIO 2023</v>
      </c>
      <c r="G2011" s="1309" t="s">
        <v>91</v>
      </c>
      <c r="H2011" s="1309" t="str">
        <f>VLOOKUP(G2011,CATEGORIE!$H$3:$I$104,2,FALSE)</f>
        <v>COSTO SOPRAVVIVENZA</v>
      </c>
      <c r="I2011" s="59">
        <v>0.4</v>
      </c>
      <c r="J2011" s="940"/>
      <c r="K2011" s="59"/>
      <c r="L2011" s="59"/>
    </row>
    <row r="2012" spans="1:12" ht="16.5" customHeight="1">
      <c r="A2012" s="57" t="s">
        <v>92</v>
      </c>
      <c r="B2012" s="57" t="s">
        <v>129</v>
      </c>
      <c r="C2012" s="57">
        <v>2023</v>
      </c>
      <c r="D2012" s="58">
        <f>MATCH(B2012,{"GENNAIO","FEBBRAIO","MARZO","APRILE","MAGGIO","GIUGNO","LUGLIO","AGOSTO","SETTEMBRE","OTTOBRE","NOVEMBRE","DICEMBRE"},0)</f>
        <v>2</v>
      </c>
      <c r="E2012" s="57" t="str">
        <f t="shared" si="1748"/>
        <v>FEBBRAIO 2023</v>
      </c>
      <c r="F2012" s="57" t="str">
        <f t="shared" si="1749"/>
        <v>2 FEBBRAIO 2023</v>
      </c>
      <c r="G2012" s="1309" t="s">
        <v>93</v>
      </c>
      <c r="H2012" s="1309" t="str">
        <f>VLOOKUP(G2012,CATEGORIE!$H$3:$I$104,2,FALSE)</f>
        <v>COSTO SOPRAVVIVENZA</v>
      </c>
      <c r="I2012" s="59">
        <v>7</v>
      </c>
      <c r="J2012" s="940"/>
      <c r="K2012" s="59"/>
      <c r="L2012" s="59"/>
    </row>
    <row r="2013" spans="1:12" ht="16.5" customHeight="1">
      <c r="A2013" s="57" t="s">
        <v>101</v>
      </c>
      <c r="B2013" s="57" t="s">
        <v>129</v>
      </c>
      <c r="C2013" s="57">
        <v>2023</v>
      </c>
      <c r="D2013" s="58">
        <f>MATCH(B2013,{"GENNAIO","FEBBRAIO","MARZO","APRILE","MAGGIO","GIUGNO","LUGLIO","AGOSTO","SETTEMBRE","OTTOBRE","NOVEMBRE","DICEMBRE"},0)</f>
        <v>2</v>
      </c>
      <c r="E2013" s="57" t="str">
        <f t="shared" si="1748"/>
        <v>FEBBRAIO 2023</v>
      </c>
      <c r="F2013" s="57" t="str">
        <f t="shared" si="1749"/>
        <v>2 FEBBRAIO 2023</v>
      </c>
      <c r="G2013" s="1309" t="s">
        <v>91</v>
      </c>
      <c r="H2013" s="1309" t="str">
        <f>VLOOKUP(G2013,CATEGORIE!$H$3:$I$104,2,FALSE)</f>
        <v>COSTO SOPRAVVIVENZA</v>
      </c>
      <c r="I2013" s="59">
        <v>0.4</v>
      </c>
      <c r="J2013" s="940"/>
      <c r="K2013" s="59"/>
      <c r="L2013" s="59"/>
    </row>
    <row r="2014" spans="1:12" ht="18.600000000000001" customHeight="1">
      <c r="A2014" s="57" t="s">
        <v>101</v>
      </c>
      <c r="B2014" s="57" t="s">
        <v>129</v>
      </c>
      <c r="C2014" s="57">
        <v>2023</v>
      </c>
      <c r="D2014" s="58">
        <f>MATCH(B2014,{"GENNAIO","FEBBRAIO","MARZO","APRILE","MAGGIO","GIUGNO","LUGLIO","AGOSTO","SETTEMBRE","OTTOBRE","NOVEMBRE","DICEMBRE"},0)</f>
        <v>2</v>
      </c>
      <c r="E2014" s="57" t="str">
        <f t="shared" si="1748"/>
        <v>FEBBRAIO 2023</v>
      </c>
      <c r="F2014" s="57" t="str">
        <f t="shared" si="1749"/>
        <v>2 FEBBRAIO 2023</v>
      </c>
      <c r="G2014" s="1309" t="s">
        <v>91</v>
      </c>
      <c r="H2014" s="1309" t="str">
        <f>VLOOKUP(G2014,CATEGORIE!$H$3:$I$104,2,FALSE)</f>
        <v>COSTO SOPRAVVIVENZA</v>
      </c>
      <c r="I2014" s="59">
        <v>0.4</v>
      </c>
      <c r="J2014" s="940"/>
      <c r="K2014" s="59"/>
      <c r="L2014" s="59"/>
    </row>
    <row r="2015" spans="1:12" ht="16.5" customHeight="1">
      <c r="A2015" s="57" t="s">
        <v>101</v>
      </c>
      <c r="B2015" s="57" t="s">
        <v>129</v>
      </c>
      <c r="C2015" s="57">
        <v>2023</v>
      </c>
      <c r="D2015" s="58">
        <f>MATCH(B2015,{"GENNAIO","FEBBRAIO","MARZO","APRILE","MAGGIO","GIUGNO","LUGLIO","AGOSTO","SETTEMBRE","OTTOBRE","NOVEMBRE","DICEMBRE"},0)</f>
        <v>2</v>
      </c>
      <c r="E2015" s="57" t="str">
        <f t="shared" si="1748"/>
        <v>FEBBRAIO 2023</v>
      </c>
      <c r="F2015" s="57" t="str">
        <f t="shared" si="1749"/>
        <v>2 FEBBRAIO 2023</v>
      </c>
      <c r="G2015" s="1309" t="s">
        <v>91</v>
      </c>
      <c r="H2015" s="1309" t="str">
        <f>VLOOKUP(G2015,CATEGORIE!$H$3:$I$104,2,FALSE)</f>
        <v>COSTO SOPRAVVIVENZA</v>
      </c>
      <c r="I2015" s="59">
        <v>0.4</v>
      </c>
      <c r="J2015" s="940"/>
      <c r="K2015" s="59"/>
      <c r="L2015" s="59"/>
    </row>
    <row r="2016" spans="1:12" ht="16.5" customHeight="1">
      <c r="A2016" s="57" t="s">
        <v>101</v>
      </c>
      <c r="B2016" s="57" t="s">
        <v>129</v>
      </c>
      <c r="C2016" s="57">
        <v>2023</v>
      </c>
      <c r="D2016" s="58">
        <f>MATCH(B2016,{"GENNAIO","FEBBRAIO","MARZO","APRILE","MAGGIO","GIUGNO","LUGLIO","AGOSTO","SETTEMBRE","OTTOBRE","NOVEMBRE","DICEMBRE"},0)</f>
        <v>2</v>
      </c>
      <c r="E2016" s="57" t="str">
        <f t="shared" si="1748"/>
        <v>FEBBRAIO 2023</v>
      </c>
      <c r="F2016" s="57" t="str">
        <f t="shared" si="1749"/>
        <v>2 FEBBRAIO 2023</v>
      </c>
      <c r="G2016" s="1309" t="s">
        <v>91</v>
      </c>
      <c r="H2016" s="1309" t="str">
        <f>VLOOKUP(G2016,CATEGORIE!$H$3:$I$104,2,FALSE)</f>
        <v>COSTO SOPRAVVIVENZA</v>
      </c>
      <c r="I2016" s="59">
        <v>0.4</v>
      </c>
      <c r="J2016" s="940"/>
      <c r="K2016" s="59"/>
      <c r="L2016" s="59"/>
    </row>
    <row r="2017" spans="1:12" ht="18" customHeight="1">
      <c r="A2017" s="57" t="s">
        <v>105</v>
      </c>
      <c r="B2017" s="57" t="s">
        <v>129</v>
      </c>
      <c r="C2017" s="57">
        <v>2023</v>
      </c>
      <c r="D2017" s="58">
        <f>MATCH(B2017,{"GENNAIO","FEBBRAIO","MARZO","APRILE","MAGGIO","GIUGNO","LUGLIO","AGOSTO","SETTEMBRE","OTTOBRE","NOVEMBRE","DICEMBRE"},0)</f>
        <v>2</v>
      </c>
      <c r="E2017" s="57" t="str">
        <f t="shared" si="1748"/>
        <v>FEBBRAIO 2023</v>
      </c>
      <c r="F2017" s="57" t="str">
        <f t="shared" si="1749"/>
        <v>2 FEBBRAIO 2023</v>
      </c>
      <c r="G2017" s="1309" t="s">
        <v>96</v>
      </c>
      <c r="H2017" s="1309" t="str">
        <f>VLOOKUP(G2017,CATEGORIE!$H$3:$I$104,2,FALSE)</f>
        <v>COSTO SOPRAVVIVENZA</v>
      </c>
      <c r="I2017" s="59">
        <v>15.61</v>
      </c>
      <c r="J2017" s="940"/>
      <c r="K2017" s="59"/>
      <c r="L2017" s="59"/>
    </row>
    <row r="2018" spans="1:12" ht="16.5" customHeight="1">
      <c r="A2018" s="57" t="s">
        <v>101</v>
      </c>
      <c r="B2018" s="57" t="s">
        <v>129</v>
      </c>
      <c r="C2018" s="57">
        <v>2023</v>
      </c>
      <c r="D2018" s="58">
        <f>MATCH(B2018,{"GENNAIO","FEBBRAIO","MARZO","APRILE","MAGGIO","GIUGNO","LUGLIO","AGOSTO","SETTEMBRE","OTTOBRE","NOVEMBRE","DICEMBRE"},0)</f>
        <v>2</v>
      </c>
      <c r="E2018" s="57" t="str">
        <f t="shared" si="1748"/>
        <v>FEBBRAIO 2023</v>
      </c>
      <c r="F2018" s="57" t="str">
        <f t="shared" si="1749"/>
        <v>2 FEBBRAIO 2023</v>
      </c>
      <c r="G2018" s="1309" t="s">
        <v>91</v>
      </c>
      <c r="H2018" s="1309" t="str">
        <f>VLOOKUP(G2018,CATEGORIE!$H$3:$I$104,2,FALSE)</f>
        <v>COSTO SOPRAVVIVENZA</v>
      </c>
      <c r="I2018" s="59">
        <v>0.4</v>
      </c>
      <c r="J2018" s="940"/>
      <c r="K2018" s="59"/>
      <c r="L2018" s="59"/>
    </row>
    <row r="2019" spans="1:12" ht="16.5" customHeight="1">
      <c r="A2019" s="57" t="s">
        <v>101</v>
      </c>
      <c r="B2019" s="57" t="s">
        <v>129</v>
      </c>
      <c r="C2019" s="57">
        <v>2023</v>
      </c>
      <c r="D2019" s="58">
        <f>MATCH(B2019,{"GENNAIO","FEBBRAIO","MARZO","APRILE","MAGGIO","GIUGNO","LUGLIO","AGOSTO","SETTEMBRE","OTTOBRE","NOVEMBRE","DICEMBRE"},0)</f>
        <v>2</v>
      </c>
      <c r="E2019" s="57" t="str">
        <f t="shared" si="1748"/>
        <v>FEBBRAIO 2023</v>
      </c>
      <c r="F2019" s="57" t="str">
        <f t="shared" si="1749"/>
        <v>2 FEBBRAIO 2023</v>
      </c>
      <c r="G2019" s="1309" t="s">
        <v>91</v>
      </c>
      <c r="H2019" s="1309" t="str">
        <f>VLOOKUP(G2019,CATEGORIE!$H$3:$I$104,2,FALSE)</f>
        <v>COSTO SOPRAVVIVENZA</v>
      </c>
      <c r="I2019" s="59">
        <v>0.4</v>
      </c>
      <c r="J2019" s="940"/>
      <c r="K2019" s="59"/>
      <c r="L2019" s="59"/>
    </row>
    <row r="2020" spans="1:12" ht="18.600000000000001" customHeight="1">
      <c r="A2020" s="57" t="s">
        <v>99</v>
      </c>
      <c r="B2020" s="57" t="s">
        <v>129</v>
      </c>
      <c r="C2020" s="57">
        <v>2023</v>
      </c>
      <c r="D2020" s="58">
        <f>MATCH(B2020,{"GENNAIO","FEBBRAIO","MARZO","APRILE","MAGGIO","GIUGNO","LUGLIO","AGOSTO","SETTEMBRE","OTTOBRE","NOVEMBRE","DICEMBRE"},0)</f>
        <v>2</v>
      </c>
      <c r="E2020" s="57" t="str">
        <f t="shared" si="1748"/>
        <v>FEBBRAIO 2023</v>
      </c>
      <c r="F2020" s="57" t="str">
        <f t="shared" si="1749"/>
        <v>2 FEBBRAIO 2023</v>
      </c>
      <c r="G2020" s="1309" t="s">
        <v>108</v>
      </c>
      <c r="H2020" s="1309" t="str">
        <f>VLOOKUP(G2020,CATEGORIE!$H$3:$I$104,2,FALSE)</f>
        <v>COSTO SFIZI</v>
      </c>
      <c r="I2020" s="59">
        <v>9.98</v>
      </c>
      <c r="J2020" s="940" t="s">
        <v>167</v>
      </c>
      <c r="K2020" s="57" t="s">
        <v>99</v>
      </c>
      <c r="L2020" s="59"/>
    </row>
    <row r="2021" spans="1:12" ht="18.600000000000001" customHeight="1">
      <c r="A2021" s="57" t="s">
        <v>101</v>
      </c>
      <c r="B2021" s="57" t="s">
        <v>129</v>
      </c>
      <c r="C2021" s="57">
        <v>2023</v>
      </c>
      <c r="D2021" s="58">
        <f>MATCH(B2021,{"GENNAIO","FEBBRAIO","MARZO","APRILE","MAGGIO","GIUGNO","LUGLIO","AGOSTO","SETTEMBRE","OTTOBRE","NOVEMBRE","DICEMBRE"},0)</f>
        <v>2</v>
      </c>
      <c r="E2021" s="57" t="str">
        <f t="shared" si="1748"/>
        <v>FEBBRAIO 2023</v>
      </c>
      <c r="F2021" s="57" t="str">
        <f t="shared" si="1749"/>
        <v>2 FEBBRAIO 2023</v>
      </c>
      <c r="G2021" s="1309" t="s">
        <v>91</v>
      </c>
      <c r="H2021" s="1309" t="str">
        <f>VLOOKUP(G2021,CATEGORIE!$H$3:$I$104,2,FALSE)</f>
        <v>COSTO SOPRAVVIVENZA</v>
      </c>
      <c r="I2021" s="59">
        <v>0.4</v>
      </c>
      <c r="J2021" s="940"/>
      <c r="K2021" s="59"/>
      <c r="L2021" s="59"/>
    </row>
    <row r="2022" spans="1:12" ht="16.5" customHeight="1">
      <c r="A2022" s="57" t="s">
        <v>101</v>
      </c>
      <c r="B2022" s="57" t="s">
        <v>129</v>
      </c>
      <c r="C2022" s="57">
        <v>2023</v>
      </c>
      <c r="D2022" s="58">
        <f>MATCH(B2022,{"GENNAIO","FEBBRAIO","MARZO","APRILE","MAGGIO","GIUGNO","LUGLIO","AGOSTO","SETTEMBRE","OTTOBRE","NOVEMBRE","DICEMBRE"},0)</f>
        <v>2</v>
      </c>
      <c r="E2022" s="57" t="str">
        <f t="shared" si="1748"/>
        <v>FEBBRAIO 2023</v>
      </c>
      <c r="F2022" s="57" t="str">
        <f t="shared" si="1749"/>
        <v>2 FEBBRAIO 2023</v>
      </c>
      <c r="G2022" s="1309" t="s">
        <v>91</v>
      </c>
      <c r="H2022" s="1309" t="str">
        <f>VLOOKUP(G2022,CATEGORIE!$H$3:$I$104,2,FALSE)</f>
        <v>COSTO SOPRAVVIVENZA</v>
      </c>
      <c r="I2022" s="59">
        <v>0.4</v>
      </c>
      <c r="J2022" s="940"/>
      <c r="K2022" s="59"/>
      <c r="L2022" s="59"/>
    </row>
    <row r="2023" spans="1:12" ht="18.600000000000001" customHeight="1">
      <c r="A2023" s="57" t="s">
        <v>105</v>
      </c>
      <c r="B2023" s="57" t="s">
        <v>129</v>
      </c>
      <c r="C2023" s="57">
        <v>2023</v>
      </c>
      <c r="D2023" s="58">
        <f>MATCH(B2023,{"GENNAIO","FEBBRAIO","MARZO","APRILE","MAGGIO","GIUGNO","LUGLIO","AGOSTO","SETTEMBRE","OTTOBRE","NOVEMBRE","DICEMBRE"},0)</f>
        <v>2</v>
      </c>
      <c r="E2023" s="57" t="str">
        <f t="shared" si="1748"/>
        <v>FEBBRAIO 2023</v>
      </c>
      <c r="F2023" s="57" t="str">
        <f t="shared" si="1749"/>
        <v>2 FEBBRAIO 2023</v>
      </c>
      <c r="G2023" s="1309" t="s">
        <v>96</v>
      </c>
      <c r="H2023" s="1309" t="str">
        <f>VLOOKUP(G2023,CATEGORIE!$H$3:$I$104,2,FALSE)</f>
        <v>COSTO SOPRAVVIVENZA</v>
      </c>
      <c r="I2023" s="59">
        <v>4.2699999999999996</v>
      </c>
      <c r="J2023" s="940"/>
      <c r="K2023" s="59"/>
      <c r="L2023" s="59"/>
    </row>
    <row r="2024" spans="1:12" ht="16.5" customHeight="1">
      <c r="A2024" s="57" t="s">
        <v>135</v>
      </c>
      <c r="B2024" s="57" t="s">
        <v>129</v>
      </c>
      <c r="C2024" s="57">
        <v>2023</v>
      </c>
      <c r="D2024" s="58">
        <f>MATCH(B2024,{"GENNAIO","FEBBRAIO","MARZO","APRILE","MAGGIO","GIUGNO","LUGLIO","AGOSTO","SETTEMBRE","OTTOBRE","NOVEMBRE","DICEMBRE"},0)</f>
        <v>2</v>
      </c>
      <c r="E2024" s="57" t="str">
        <f t="shared" si="1748"/>
        <v>FEBBRAIO 2023</v>
      </c>
      <c r="F2024" s="57" t="str">
        <f t="shared" si="1749"/>
        <v>2 FEBBRAIO 2023</v>
      </c>
      <c r="G2024" s="1309" t="s">
        <v>132</v>
      </c>
      <c r="H2024" s="1309" t="str">
        <f>VLOOKUP(G2024,CATEGORIE!$H$3:$I$104,2,FALSE)</f>
        <v>COSTO CASA</v>
      </c>
      <c r="I2024" s="59">
        <v>5.87</v>
      </c>
      <c r="J2024" s="940"/>
      <c r="K2024" s="59"/>
      <c r="L2024" s="59"/>
    </row>
    <row r="2025" spans="1:12" ht="16.5" customHeight="1">
      <c r="A2025" s="57" t="s">
        <v>101</v>
      </c>
      <c r="B2025" s="57" t="s">
        <v>129</v>
      </c>
      <c r="C2025" s="57">
        <v>2023</v>
      </c>
      <c r="D2025" s="58">
        <f>MATCH(B2025,{"GENNAIO","FEBBRAIO","MARZO","APRILE","MAGGIO","GIUGNO","LUGLIO","AGOSTO","SETTEMBRE","OTTOBRE","NOVEMBRE","DICEMBRE"},0)</f>
        <v>2</v>
      </c>
      <c r="E2025" s="57" t="str">
        <f t="shared" si="1748"/>
        <v>FEBBRAIO 2023</v>
      </c>
      <c r="F2025" s="57" t="str">
        <f t="shared" si="1749"/>
        <v>2 FEBBRAIO 2023</v>
      </c>
      <c r="G2025" s="1309" t="s">
        <v>91</v>
      </c>
      <c r="H2025" s="1309" t="str">
        <f>VLOOKUP(G2025,CATEGORIE!$H$3:$I$104,2,FALSE)</f>
        <v>COSTO SOPRAVVIVENZA</v>
      </c>
      <c r="I2025" s="59">
        <v>0.4</v>
      </c>
      <c r="J2025" s="940"/>
      <c r="K2025" s="59"/>
      <c r="L2025" s="59"/>
    </row>
    <row r="2026" spans="1:12">
      <c r="A2026" s="57" t="s">
        <v>105</v>
      </c>
      <c r="B2026" s="57" t="s">
        <v>129</v>
      </c>
      <c r="C2026" s="57">
        <v>2023</v>
      </c>
      <c r="D2026" s="58">
        <f>MATCH(B2026,{"GENNAIO","FEBBRAIO","MARZO","APRILE","MAGGIO","GIUGNO","LUGLIO","AGOSTO","SETTEMBRE","OTTOBRE","NOVEMBRE","DICEMBRE"},0)</f>
        <v>2</v>
      </c>
      <c r="E2026" s="57" t="str">
        <f t="shared" si="1748"/>
        <v>FEBBRAIO 2023</v>
      </c>
      <c r="F2026" s="57" t="str">
        <f t="shared" si="1749"/>
        <v>2 FEBBRAIO 2023</v>
      </c>
      <c r="G2026" s="1309" t="s">
        <v>96</v>
      </c>
      <c r="H2026" s="1309" t="str">
        <f>VLOOKUP(G2026,CATEGORIE!$H$3:$I$104,2,FALSE)</f>
        <v>COSTO SOPRAVVIVENZA</v>
      </c>
      <c r="I2026" s="59">
        <v>12.52</v>
      </c>
      <c r="J2026" s="940"/>
      <c r="K2026" s="59"/>
      <c r="L2026" s="59"/>
    </row>
    <row r="2027" spans="1:12" ht="18" customHeight="1">
      <c r="A2027" s="57" t="s">
        <v>101</v>
      </c>
      <c r="B2027" s="57" t="s">
        <v>129</v>
      </c>
      <c r="C2027" s="57">
        <v>2023</v>
      </c>
      <c r="D2027" s="58">
        <f>MATCH(B2027,{"GENNAIO","FEBBRAIO","MARZO","APRILE","MAGGIO","GIUGNO","LUGLIO","AGOSTO","SETTEMBRE","OTTOBRE","NOVEMBRE","DICEMBRE"},0)</f>
        <v>2</v>
      </c>
      <c r="E2027" s="57" t="str">
        <f t="shared" si="1748"/>
        <v>FEBBRAIO 2023</v>
      </c>
      <c r="F2027" s="57" t="str">
        <f t="shared" si="1749"/>
        <v>2 FEBBRAIO 2023</v>
      </c>
      <c r="G2027" s="1309" t="s">
        <v>91</v>
      </c>
      <c r="H2027" s="1309" t="str">
        <f>VLOOKUP(G2027,CATEGORIE!$H$3:$I$104,2,FALSE)</f>
        <v>COSTO SOPRAVVIVENZA</v>
      </c>
      <c r="I2027" s="59">
        <v>0.8</v>
      </c>
      <c r="J2027" s="940"/>
      <c r="K2027" s="59"/>
      <c r="L2027" s="59"/>
    </row>
    <row r="2028" spans="1:12" ht="18" customHeight="1">
      <c r="A2028" s="57" t="s">
        <v>101</v>
      </c>
      <c r="B2028" s="57" t="s">
        <v>129</v>
      </c>
      <c r="C2028" s="57">
        <v>2023</v>
      </c>
      <c r="D2028" s="58">
        <f>MATCH(B2028,{"GENNAIO","FEBBRAIO","MARZO","APRILE","MAGGIO","GIUGNO","LUGLIO","AGOSTO","SETTEMBRE","OTTOBRE","NOVEMBRE","DICEMBRE"},0)</f>
        <v>2</v>
      </c>
      <c r="E2028" s="57" t="str">
        <f t="shared" si="1748"/>
        <v>FEBBRAIO 2023</v>
      </c>
      <c r="F2028" s="57" t="str">
        <f t="shared" si="1749"/>
        <v>2 FEBBRAIO 2023</v>
      </c>
      <c r="G2028" s="1309" t="s">
        <v>91</v>
      </c>
      <c r="H2028" s="1309" t="str">
        <f>VLOOKUP(G2028,CATEGORIE!$H$3:$I$104,2,FALSE)</f>
        <v>COSTO SOPRAVVIVENZA</v>
      </c>
      <c r="I2028" s="59">
        <v>0.4</v>
      </c>
      <c r="J2028" s="940"/>
      <c r="K2028" s="59"/>
      <c r="L2028" s="59"/>
    </row>
    <row r="2029" spans="1:12" ht="18.600000000000001" customHeight="1">
      <c r="A2029" s="57" t="s">
        <v>106</v>
      </c>
      <c r="B2029" s="57" t="s">
        <v>129</v>
      </c>
      <c r="C2029" s="57">
        <v>2023</v>
      </c>
      <c r="D2029" s="58">
        <f>MATCH(B2029,{"GENNAIO","FEBBRAIO","MARZO","APRILE","MAGGIO","GIUGNO","LUGLIO","AGOSTO","SETTEMBRE","OTTOBRE","NOVEMBRE","DICEMBRE"},0)</f>
        <v>2</v>
      </c>
      <c r="E2029" s="57" t="str">
        <f t="shared" si="1748"/>
        <v>FEBBRAIO 2023</v>
      </c>
      <c r="F2029" s="57" t="str">
        <f t="shared" si="1749"/>
        <v>2 FEBBRAIO 2023</v>
      </c>
      <c r="G2029" s="1309" t="s">
        <v>107</v>
      </c>
      <c r="H2029" s="1309" t="str">
        <f>VLOOKUP(G2029,CATEGORIE!$H$3:$I$104,2,FALSE)</f>
        <v>COSTO SOPRAVVIVENZA</v>
      </c>
      <c r="I2029" s="59">
        <v>33</v>
      </c>
      <c r="J2029" s="940"/>
      <c r="K2029" s="59"/>
      <c r="L2029" s="59"/>
    </row>
    <row r="2030" spans="1:12" ht="16.5" customHeight="1">
      <c r="A2030" s="57" t="s">
        <v>99</v>
      </c>
      <c r="B2030" s="57" t="s">
        <v>129</v>
      </c>
      <c r="C2030" s="57">
        <v>2023</v>
      </c>
      <c r="D2030" s="58">
        <f>MATCH(B2030,{"GENNAIO","FEBBRAIO","MARZO","APRILE","MAGGIO","GIUGNO","LUGLIO","AGOSTO","SETTEMBRE","OTTOBRE","NOVEMBRE","DICEMBRE"},0)</f>
        <v>2</v>
      </c>
      <c r="E2030" s="57" t="str">
        <f t="shared" si="1748"/>
        <v>FEBBRAIO 2023</v>
      </c>
      <c r="F2030" s="57" t="str">
        <f t="shared" si="1749"/>
        <v>2 FEBBRAIO 2023</v>
      </c>
      <c r="G2030" s="1309" t="s">
        <v>100</v>
      </c>
      <c r="H2030" s="1309" t="str">
        <f>VLOOKUP(G2030,CATEGORIE!$H$3:$I$104,2,FALSE)</f>
        <v>COSTO SFIZI</v>
      </c>
      <c r="I2030" s="59">
        <v>3.49</v>
      </c>
      <c r="J2030" s="940"/>
      <c r="K2030" s="57" t="s">
        <v>99</v>
      </c>
      <c r="L2030" s="59"/>
    </row>
    <row r="2031" spans="1:12" ht="16.5" customHeight="1">
      <c r="A2031" s="57" t="s">
        <v>131</v>
      </c>
      <c r="B2031" s="57" t="s">
        <v>129</v>
      </c>
      <c r="C2031" s="57">
        <v>2023</v>
      </c>
      <c r="D2031" s="58">
        <f>MATCH(B2031,{"GENNAIO","FEBBRAIO","MARZO","APRILE","MAGGIO","GIUGNO","LUGLIO","AGOSTO","SETTEMBRE","OTTOBRE","NOVEMBRE","DICEMBRE"},0)</f>
        <v>2</v>
      </c>
      <c r="E2031" s="57" t="str">
        <f t="shared" si="1748"/>
        <v>FEBBRAIO 2023</v>
      </c>
      <c r="F2031" s="57" t="str">
        <f t="shared" si="1749"/>
        <v>2 FEBBRAIO 2023</v>
      </c>
      <c r="G2031" s="1309" t="s">
        <v>132</v>
      </c>
      <c r="H2031" s="1309" t="str">
        <f>VLOOKUP(G2031,CATEGORIE!$H$3:$I$104,2,FALSE)</f>
        <v>COSTO CASA</v>
      </c>
      <c r="I2031" s="59">
        <v>28.32</v>
      </c>
      <c r="J2031" s="940" t="s">
        <v>138</v>
      </c>
      <c r="K2031" s="59" t="s">
        <v>112</v>
      </c>
      <c r="L2031" s="59"/>
    </row>
    <row r="2032" spans="1:12" ht="18.600000000000001" customHeight="1">
      <c r="A2032" s="57" t="s">
        <v>105</v>
      </c>
      <c r="B2032" s="57" t="s">
        <v>129</v>
      </c>
      <c r="C2032" s="57">
        <v>2023</v>
      </c>
      <c r="D2032" s="58">
        <f>MATCH(B2032,{"GENNAIO","FEBBRAIO","MARZO","APRILE","MAGGIO","GIUGNO","LUGLIO","AGOSTO","SETTEMBRE","OTTOBRE","NOVEMBRE","DICEMBRE"},0)</f>
        <v>2</v>
      </c>
      <c r="E2032" s="57" t="str">
        <f t="shared" si="1748"/>
        <v>FEBBRAIO 2023</v>
      </c>
      <c r="F2032" s="57" t="str">
        <f t="shared" si="1749"/>
        <v>2 FEBBRAIO 2023</v>
      </c>
      <c r="G2032" s="1309" t="s">
        <v>96</v>
      </c>
      <c r="H2032" s="1309" t="str">
        <f>VLOOKUP(G2032,CATEGORIE!$H$3:$I$104,2,FALSE)</f>
        <v>COSTO SOPRAVVIVENZA</v>
      </c>
      <c r="I2032" s="59">
        <v>11.21</v>
      </c>
      <c r="J2032" s="940"/>
      <c r="K2032" s="59"/>
      <c r="L2032" s="59"/>
    </row>
    <row r="2033" spans="1:12" ht="16.5" customHeight="1">
      <c r="A2033" s="57" t="s">
        <v>101</v>
      </c>
      <c r="B2033" s="57" t="s">
        <v>129</v>
      </c>
      <c r="C2033" s="57">
        <v>2023</v>
      </c>
      <c r="D2033" s="58">
        <f>MATCH(B2033,{"GENNAIO","FEBBRAIO","MARZO","APRILE","MAGGIO","GIUGNO","LUGLIO","AGOSTO","SETTEMBRE","OTTOBRE","NOVEMBRE","DICEMBRE"},0)</f>
        <v>2</v>
      </c>
      <c r="E2033" s="57" t="str">
        <f t="shared" si="1748"/>
        <v>FEBBRAIO 2023</v>
      </c>
      <c r="F2033" s="57" t="str">
        <f t="shared" si="1749"/>
        <v>2 FEBBRAIO 2023</v>
      </c>
      <c r="G2033" s="1309" t="s">
        <v>91</v>
      </c>
      <c r="H2033" s="1309" t="str">
        <f>VLOOKUP(G2033,CATEGORIE!$H$3:$I$104,2,FALSE)</f>
        <v>COSTO SOPRAVVIVENZA</v>
      </c>
      <c r="I2033" s="59">
        <v>0.4</v>
      </c>
      <c r="J2033" s="940"/>
      <c r="K2033" s="59"/>
      <c r="L2033" s="59"/>
    </row>
    <row r="2034" spans="1:12" ht="18" customHeight="1">
      <c r="A2034" s="57" t="s">
        <v>101</v>
      </c>
      <c r="B2034" s="57" t="s">
        <v>129</v>
      </c>
      <c r="C2034" s="57">
        <v>2023</v>
      </c>
      <c r="D2034" s="58">
        <f>MATCH(B2034,{"GENNAIO","FEBBRAIO","MARZO","APRILE","MAGGIO","GIUGNO","LUGLIO","AGOSTO","SETTEMBRE","OTTOBRE","NOVEMBRE","DICEMBRE"},0)</f>
        <v>2</v>
      </c>
      <c r="E2034" s="57" t="str">
        <f t="shared" si="1748"/>
        <v>FEBBRAIO 2023</v>
      </c>
      <c r="F2034" s="57" t="str">
        <f t="shared" si="1749"/>
        <v>2 FEBBRAIO 2023</v>
      </c>
      <c r="G2034" s="1309" t="s">
        <v>91</v>
      </c>
      <c r="H2034" s="1309" t="str">
        <f>VLOOKUP(G2034,CATEGORIE!$H$3:$I$104,2,FALSE)</f>
        <v>COSTO SOPRAVVIVENZA</v>
      </c>
      <c r="I2034" s="59">
        <v>0.4</v>
      </c>
      <c r="J2034" s="940"/>
      <c r="K2034" s="59"/>
      <c r="L2034" s="59"/>
    </row>
    <row r="2035" spans="1:12" ht="18" customHeight="1">
      <c r="A2035" s="57" t="s">
        <v>563</v>
      </c>
      <c r="B2035" s="57" t="s">
        <v>129</v>
      </c>
      <c r="C2035" s="57">
        <v>2023</v>
      </c>
      <c r="D2035" s="58">
        <f>MATCH(B2035,{"GENNAIO","FEBBRAIO","MARZO","APRILE","MAGGIO","GIUGNO","LUGLIO","AGOSTO","SETTEMBRE","OTTOBRE","NOVEMBRE","DICEMBRE"},0)</f>
        <v>2</v>
      </c>
      <c r="E2035" s="57" t="str">
        <f t="shared" si="1748"/>
        <v>FEBBRAIO 2023</v>
      </c>
      <c r="F2035" s="57" t="str">
        <f t="shared" si="1749"/>
        <v>2 FEBBRAIO 2023</v>
      </c>
      <c r="G2035" s="1309" t="s">
        <v>94</v>
      </c>
      <c r="H2035" s="1309" t="str">
        <f>VLOOKUP(G2035,CATEGORIE!$H$3:$I$104,2,FALSE)</f>
        <v>COSTO SVAGHI</v>
      </c>
      <c r="I2035" s="59">
        <v>36</v>
      </c>
      <c r="J2035" s="940"/>
      <c r="K2035" s="59"/>
      <c r="L2035" s="59"/>
    </row>
    <row r="2036" spans="1:12" ht="18.600000000000001" customHeight="1">
      <c r="A2036" s="57" t="s">
        <v>101</v>
      </c>
      <c r="B2036" s="57" t="s">
        <v>129</v>
      </c>
      <c r="C2036" s="57">
        <v>2023</v>
      </c>
      <c r="D2036" s="58">
        <f>MATCH(B2036,{"GENNAIO","FEBBRAIO","MARZO","APRILE","MAGGIO","GIUGNO","LUGLIO","AGOSTO","SETTEMBRE","OTTOBRE","NOVEMBRE","DICEMBRE"},0)</f>
        <v>2</v>
      </c>
      <c r="E2036" s="57" t="str">
        <f t="shared" si="1748"/>
        <v>FEBBRAIO 2023</v>
      </c>
      <c r="F2036" s="57" t="str">
        <f t="shared" si="1749"/>
        <v>2 FEBBRAIO 2023</v>
      </c>
      <c r="G2036" s="1309" t="s">
        <v>91</v>
      </c>
      <c r="H2036" s="1309" t="str">
        <f>VLOOKUP(G2036,CATEGORIE!$H$3:$I$104,2,FALSE)</f>
        <v>COSTO SOPRAVVIVENZA</v>
      </c>
      <c r="I2036" s="59">
        <v>0.4</v>
      </c>
      <c r="J2036" s="940"/>
      <c r="K2036" s="59"/>
      <c r="L2036" s="59"/>
    </row>
    <row r="2037" spans="1:12" ht="18.600000000000001" customHeight="1">
      <c r="A2037" s="57" t="s">
        <v>306</v>
      </c>
      <c r="B2037" s="57" t="s">
        <v>129</v>
      </c>
      <c r="C2037" s="57">
        <v>2023</v>
      </c>
      <c r="D2037" s="58">
        <f>MATCH(B2037,{"GENNAIO","FEBBRAIO","MARZO","APRILE","MAGGIO","GIUGNO","LUGLIO","AGOSTO","SETTEMBRE","OTTOBRE","NOVEMBRE","DICEMBRE"},0)</f>
        <v>2</v>
      </c>
      <c r="E2037" s="57" t="str">
        <f t="shared" si="1748"/>
        <v>FEBBRAIO 2023</v>
      </c>
      <c r="F2037" s="57" t="str">
        <f t="shared" si="1749"/>
        <v>2 FEBBRAIO 2023</v>
      </c>
      <c r="G2037" s="1309" t="s">
        <v>100</v>
      </c>
      <c r="H2037" s="1309" t="str">
        <f>VLOOKUP(G2037,CATEGORIE!$H$3:$I$104,2,FALSE)</f>
        <v>COSTO SFIZI</v>
      </c>
      <c r="I2037" s="59">
        <v>11.92</v>
      </c>
      <c r="J2037" s="940" t="s">
        <v>124</v>
      </c>
      <c r="K2037" s="59" t="s">
        <v>112</v>
      </c>
      <c r="L2037" s="59"/>
    </row>
    <row r="2038" spans="1:12" ht="18" customHeight="1">
      <c r="A2038" s="57" t="s">
        <v>364</v>
      </c>
      <c r="B2038" s="57" t="s">
        <v>129</v>
      </c>
      <c r="C2038" s="57">
        <v>2023</v>
      </c>
      <c r="D2038" s="58">
        <f>MATCH(B2038,{"GENNAIO","FEBBRAIO","MARZO","APRILE","MAGGIO","GIUGNO","LUGLIO","AGOSTO","SETTEMBRE","OTTOBRE","NOVEMBRE","DICEMBRE"},0)</f>
        <v>2</v>
      </c>
      <c r="E2038" s="57" t="str">
        <f t="shared" si="1748"/>
        <v>FEBBRAIO 2023</v>
      </c>
      <c r="F2038" s="57" t="str">
        <f t="shared" si="1749"/>
        <v>2 FEBBRAIO 2023</v>
      </c>
      <c r="G2038" s="1309" t="s">
        <v>365</v>
      </c>
      <c r="H2038" s="1309" t="str">
        <f>VLOOKUP(G2038,CATEGORIE!$H$3:$I$104,2,FALSE)</f>
        <v>COSTO SOPRAVVIVENZA</v>
      </c>
      <c r="I2038" s="59">
        <v>16.899999999999999</v>
      </c>
      <c r="J2038" s="940" t="s">
        <v>124</v>
      </c>
      <c r="K2038" s="59" t="s">
        <v>112</v>
      </c>
      <c r="L2038" s="59"/>
    </row>
    <row r="2039" spans="1:12" ht="18.600000000000001" customHeight="1">
      <c r="A2039" s="57" t="s">
        <v>465</v>
      </c>
      <c r="B2039" s="57" t="s">
        <v>129</v>
      </c>
      <c r="C2039" s="57">
        <v>2023</v>
      </c>
      <c r="D2039" s="58">
        <f>MATCH(B2039,{"GENNAIO","FEBBRAIO","MARZO","APRILE","MAGGIO","GIUGNO","LUGLIO","AGOSTO","SETTEMBRE","OTTOBRE","NOVEMBRE","DICEMBRE"},0)</f>
        <v>2</v>
      </c>
      <c r="E2039" s="57" t="str">
        <f t="shared" si="1748"/>
        <v>FEBBRAIO 2023</v>
      </c>
      <c r="F2039" s="57" t="str">
        <f t="shared" si="1749"/>
        <v>2 FEBBRAIO 2023</v>
      </c>
      <c r="G2039" s="1309" t="s">
        <v>96</v>
      </c>
      <c r="H2039" s="1309" t="str">
        <f>VLOOKUP(G2039,CATEGORIE!$H$3:$I$104,2,FALSE)</f>
        <v>COSTO SOPRAVVIVENZA</v>
      </c>
      <c r="I2039" s="59">
        <v>33.24</v>
      </c>
      <c r="J2039" s="940"/>
      <c r="K2039" s="59"/>
      <c r="L2039" s="59"/>
    </row>
    <row r="2040" spans="1:12" ht="18.600000000000001" customHeight="1">
      <c r="A2040" s="57" t="s">
        <v>105</v>
      </c>
      <c r="B2040" s="57" t="s">
        <v>129</v>
      </c>
      <c r="C2040" s="57">
        <v>2023</v>
      </c>
      <c r="D2040" s="58">
        <f>MATCH(B2040,{"GENNAIO","FEBBRAIO","MARZO","APRILE","MAGGIO","GIUGNO","LUGLIO","AGOSTO","SETTEMBRE","OTTOBRE","NOVEMBRE","DICEMBRE"},0)</f>
        <v>2</v>
      </c>
      <c r="E2040" s="57" t="str">
        <f t="shared" si="1748"/>
        <v>FEBBRAIO 2023</v>
      </c>
      <c r="F2040" s="57" t="str">
        <f t="shared" si="1749"/>
        <v>2 FEBBRAIO 2023</v>
      </c>
      <c r="G2040" s="1309" t="s">
        <v>96</v>
      </c>
      <c r="H2040" s="1309" t="str">
        <f>VLOOKUP(G2040,CATEGORIE!$H$3:$I$104,2,FALSE)</f>
        <v>COSTO SOPRAVVIVENZA</v>
      </c>
      <c r="I2040" s="59">
        <v>35.53</v>
      </c>
      <c r="J2040" s="940"/>
      <c r="K2040" s="59"/>
      <c r="L2040" s="59"/>
    </row>
    <row r="2041" spans="1:12" ht="18.600000000000001" customHeight="1">
      <c r="A2041" s="57" t="s">
        <v>229</v>
      </c>
      <c r="B2041" s="57" t="s">
        <v>129</v>
      </c>
      <c r="C2041" s="57">
        <v>2023</v>
      </c>
      <c r="D2041" s="58">
        <f>MATCH(B2041,{"GENNAIO","FEBBRAIO","MARZO","APRILE","MAGGIO","GIUGNO","LUGLIO","AGOSTO","SETTEMBRE","OTTOBRE","NOVEMBRE","DICEMBRE"},0)</f>
        <v>2</v>
      </c>
      <c r="E2041" s="57" t="str">
        <f t="shared" ref="E2041:E2104" si="1750">CONCATENATE(,B2041," ",C2041)</f>
        <v>FEBBRAIO 2023</v>
      </c>
      <c r="F2041" s="57" t="str">
        <f t="shared" ref="F2041:F2104" si="1751">CONCATENATE(D2041," ",E2041)</f>
        <v>2 FEBBRAIO 2023</v>
      </c>
      <c r="G2041" s="1309" t="s">
        <v>163</v>
      </c>
      <c r="H2041" s="1309" t="str">
        <f>VLOOKUP(G2041,CATEGORIE!$H$3:$I$104,2,FALSE)</f>
        <v>COSTO SVAGHI</v>
      </c>
      <c r="I2041" s="59">
        <v>28.63</v>
      </c>
      <c r="J2041" s="940" t="s">
        <v>138</v>
      </c>
      <c r="K2041" s="59" t="s">
        <v>112</v>
      </c>
      <c r="L2041" s="59"/>
    </row>
    <row r="2042" spans="1:12" ht="16.5" customHeight="1">
      <c r="A2042" s="57" t="s">
        <v>135</v>
      </c>
      <c r="B2042" s="57" t="s">
        <v>129</v>
      </c>
      <c r="C2042" s="57">
        <v>2023</v>
      </c>
      <c r="D2042" s="58">
        <f>MATCH(B2042,{"GENNAIO","FEBBRAIO","MARZO","APRILE","MAGGIO","GIUGNO","LUGLIO","AGOSTO","SETTEMBRE","OTTOBRE","NOVEMBRE","DICEMBRE"},0)</f>
        <v>2</v>
      </c>
      <c r="E2042" s="57" t="str">
        <f t="shared" si="1750"/>
        <v>FEBBRAIO 2023</v>
      </c>
      <c r="F2042" s="57" t="str">
        <f t="shared" si="1751"/>
        <v>2 FEBBRAIO 2023</v>
      </c>
      <c r="G2042" s="1309" t="s">
        <v>132</v>
      </c>
      <c r="H2042" s="1309" t="str">
        <f>VLOOKUP(G2042,CATEGORIE!$H$3:$I$104,2,FALSE)</f>
        <v>COSTO CASA</v>
      </c>
      <c r="I2042" s="59">
        <v>14.08</v>
      </c>
      <c r="J2042" s="940"/>
      <c r="K2042" s="59"/>
      <c r="L2042" s="59"/>
    </row>
    <row r="2043" spans="1:12" ht="18" customHeight="1">
      <c r="A2043" s="57" t="s">
        <v>564</v>
      </c>
      <c r="B2043" s="57" t="s">
        <v>129</v>
      </c>
      <c r="C2043" s="57">
        <v>2023</v>
      </c>
      <c r="D2043" s="58">
        <f>MATCH(B2043,{"GENNAIO","FEBBRAIO","MARZO","APRILE","MAGGIO","GIUGNO","LUGLIO","AGOSTO","SETTEMBRE","OTTOBRE","NOVEMBRE","DICEMBRE"},0)</f>
        <v>2</v>
      </c>
      <c r="E2043" s="57" t="str">
        <f t="shared" si="1750"/>
        <v>FEBBRAIO 2023</v>
      </c>
      <c r="F2043" s="57" t="str">
        <f t="shared" si="1751"/>
        <v>2 FEBBRAIO 2023</v>
      </c>
      <c r="G2043" s="1309" t="s">
        <v>94</v>
      </c>
      <c r="H2043" s="1309" t="str">
        <f>VLOOKUP(G2043,CATEGORIE!$H$3:$I$104,2,FALSE)</f>
        <v>COSTO SVAGHI</v>
      </c>
      <c r="I2043" s="59">
        <v>15</v>
      </c>
      <c r="J2043" s="940"/>
      <c r="K2043" s="59"/>
      <c r="L2043" s="59"/>
    </row>
    <row r="2044" spans="1:12" ht="16.5" customHeight="1">
      <c r="A2044" s="57" t="s">
        <v>105</v>
      </c>
      <c r="B2044" s="57" t="s">
        <v>154</v>
      </c>
      <c r="C2044" s="57">
        <v>2023</v>
      </c>
      <c r="D2044" s="58">
        <f>MATCH(B2044,{"GENNAIO","FEBBRAIO","MARZO","APRILE","MAGGIO","GIUGNO","LUGLIO","AGOSTO","SETTEMBRE","OTTOBRE","NOVEMBRE","DICEMBRE"},0)</f>
        <v>1</v>
      </c>
      <c r="E2044" s="57" t="str">
        <f t="shared" si="1750"/>
        <v>GENNAIO 2023</v>
      </c>
      <c r="F2044" s="57" t="str">
        <f t="shared" si="1751"/>
        <v>1 GENNAIO 2023</v>
      </c>
      <c r="G2044" s="1309" t="s">
        <v>96</v>
      </c>
      <c r="H2044" s="1309" t="str">
        <f>VLOOKUP(G2044,CATEGORIE!$H$3:$I$104,2,FALSE)</f>
        <v>COSTO SOPRAVVIVENZA</v>
      </c>
      <c r="I2044" s="59">
        <v>15.48</v>
      </c>
      <c r="J2044" s="940"/>
      <c r="K2044" s="59"/>
      <c r="L2044" s="59"/>
    </row>
    <row r="2045" spans="1:12" ht="18.600000000000001" customHeight="1">
      <c r="A2045" s="57" t="s">
        <v>565</v>
      </c>
      <c r="B2045" s="57" t="s">
        <v>154</v>
      </c>
      <c r="C2045" s="57">
        <v>2023</v>
      </c>
      <c r="D2045" s="58">
        <f>MATCH(B2045,{"GENNAIO","FEBBRAIO","MARZO","APRILE","MAGGIO","GIUGNO","LUGLIO","AGOSTO","SETTEMBRE","OTTOBRE","NOVEMBRE","DICEMBRE"},0)</f>
        <v>1</v>
      </c>
      <c r="E2045" s="57" t="str">
        <f t="shared" si="1750"/>
        <v>GENNAIO 2023</v>
      </c>
      <c r="F2045" s="57" t="str">
        <f t="shared" si="1751"/>
        <v>1 GENNAIO 2023</v>
      </c>
      <c r="G2045" s="1309" t="s">
        <v>94</v>
      </c>
      <c r="H2045" s="1309" t="str">
        <f>VLOOKUP(G2045,CATEGORIE!$H$3:$I$104,2,FALSE)</f>
        <v>COSTO SVAGHI</v>
      </c>
      <c r="I2045" s="59">
        <v>23</v>
      </c>
      <c r="J2045" s="940"/>
      <c r="K2045" s="59"/>
      <c r="L2045" s="59"/>
    </row>
    <row r="2046" spans="1:12" ht="16.5" customHeight="1">
      <c r="A2046" s="57" t="s">
        <v>99</v>
      </c>
      <c r="B2046" s="57" t="s">
        <v>154</v>
      </c>
      <c r="C2046" s="57">
        <v>2023</v>
      </c>
      <c r="D2046" s="58">
        <f>MATCH(B2046,{"GENNAIO","FEBBRAIO","MARZO","APRILE","MAGGIO","GIUGNO","LUGLIO","AGOSTO","SETTEMBRE","OTTOBRE","NOVEMBRE","DICEMBRE"},0)</f>
        <v>1</v>
      </c>
      <c r="E2046" s="57" t="str">
        <f t="shared" si="1750"/>
        <v>GENNAIO 2023</v>
      </c>
      <c r="F2046" s="57" t="str">
        <f t="shared" si="1751"/>
        <v>1 GENNAIO 2023</v>
      </c>
      <c r="G2046" s="1309" t="s">
        <v>108</v>
      </c>
      <c r="H2046" s="1309" t="str">
        <f>VLOOKUP(G2046,CATEGORIE!$H$3:$I$104,2,FALSE)</f>
        <v>COSTO SFIZI</v>
      </c>
      <c r="I2046" s="59">
        <v>9.98</v>
      </c>
      <c r="J2046" s="940" t="s">
        <v>197</v>
      </c>
      <c r="K2046" s="57" t="s">
        <v>99</v>
      </c>
      <c r="L2046" s="59"/>
    </row>
    <row r="2047" spans="1:12" ht="16.5" customHeight="1">
      <c r="A2047" s="57" t="s">
        <v>92</v>
      </c>
      <c r="B2047" s="57" t="s">
        <v>154</v>
      </c>
      <c r="C2047" s="57">
        <v>2023</v>
      </c>
      <c r="D2047" s="58">
        <f>MATCH(B2047,{"GENNAIO","FEBBRAIO","MARZO","APRILE","MAGGIO","GIUGNO","LUGLIO","AGOSTO","SETTEMBRE","OTTOBRE","NOVEMBRE","DICEMBRE"},0)</f>
        <v>1</v>
      </c>
      <c r="E2047" s="57" t="str">
        <f t="shared" si="1750"/>
        <v>GENNAIO 2023</v>
      </c>
      <c r="F2047" s="57" t="str">
        <f t="shared" si="1751"/>
        <v>1 GENNAIO 2023</v>
      </c>
      <c r="G2047" s="1309" t="s">
        <v>93</v>
      </c>
      <c r="H2047" s="1309" t="str">
        <f>VLOOKUP(G2047,CATEGORIE!$H$3:$I$104,2,FALSE)</f>
        <v>COSTO SOPRAVVIVENZA</v>
      </c>
      <c r="I2047" s="59">
        <v>5</v>
      </c>
      <c r="J2047" s="940"/>
      <c r="K2047" s="59"/>
      <c r="L2047" s="59"/>
    </row>
    <row r="2048" spans="1:12" ht="16.5" customHeight="1">
      <c r="A2048" s="57" t="s">
        <v>135</v>
      </c>
      <c r="B2048" s="57" t="s">
        <v>154</v>
      </c>
      <c r="C2048" s="57">
        <v>2023</v>
      </c>
      <c r="D2048" s="58">
        <f>MATCH(B2048,{"GENNAIO","FEBBRAIO","MARZO","APRILE","MAGGIO","GIUGNO","LUGLIO","AGOSTO","SETTEMBRE","OTTOBRE","NOVEMBRE","DICEMBRE"},0)</f>
        <v>1</v>
      </c>
      <c r="E2048" s="57" t="str">
        <f t="shared" si="1750"/>
        <v>GENNAIO 2023</v>
      </c>
      <c r="F2048" s="57" t="str">
        <f t="shared" si="1751"/>
        <v>1 GENNAIO 2023</v>
      </c>
      <c r="G2048" s="1309" t="s">
        <v>132</v>
      </c>
      <c r="H2048" s="1309" t="str">
        <f>VLOOKUP(G2048,CATEGORIE!$H$3:$I$104,2,FALSE)</f>
        <v>COSTO CASA</v>
      </c>
      <c r="I2048" s="59">
        <v>4.5999999999999996</v>
      </c>
      <c r="J2048" s="940"/>
      <c r="K2048" s="59"/>
      <c r="L2048" s="59"/>
    </row>
    <row r="2049" spans="1:12" ht="16.5" customHeight="1">
      <c r="A2049" s="57" t="s">
        <v>101</v>
      </c>
      <c r="B2049" s="57" t="s">
        <v>154</v>
      </c>
      <c r="C2049" s="57">
        <v>2023</v>
      </c>
      <c r="D2049" s="58">
        <f>MATCH(B2049,{"GENNAIO","FEBBRAIO","MARZO","APRILE","MAGGIO","GIUGNO","LUGLIO","AGOSTO","SETTEMBRE","OTTOBRE","NOVEMBRE","DICEMBRE"},0)</f>
        <v>1</v>
      </c>
      <c r="E2049" s="57" t="str">
        <f t="shared" si="1750"/>
        <v>GENNAIO 2023</v>
      </c>
      <c r="F2049" s="57" t="str">
        <f t="shared" si="1751"/>
        <v>1 GENNAIO 2023</v>
      </c>
      <c r="G2049" s="1309" t="s">
        <v>91</v>
      </c>
      <c r="H2049" s="1309" t="str">
        <f>VLOOKUP(G2049,CATEGORIE!$H$3:$I$104,2,FALSE)</f>
        <v>COSTO SOPRAVVIVENZA</v>
      </c>
      <c r="I2049" s="59">
        <v>0.4</v>
      </c>
      <c r="J2049" s="940"/>
      <c r="K2049" s="59"/>
      <c r="L2049" s="59"/>
    </row>
    <row r="2050" spans="1:12" ht="16.5" customHeight="1">
      <c r="A2050" s="57" t="s">
        <v>101</v>
      </c>
      <c r="B2050" s="57" t="s">
        <v>154</v>
      </c>
      <c r="C2050" s="57">
        <v>2023</v>
      </c>
      <c r="D2050" s="58">
        <f>MATCH(B2050,{"GENNAIO","FEBBRAIO","MARZO","APRILE","MAGGIO","GIUGNO","LUGLIO","AGOSTO","SETTEMBRE","OTTOBRE","NOVEMBRE","DICEMBRE"},0)</f>
        <v>1</v>
      </c>
      <c r="E2050" s="57" t="str">
        <f t="shared" si="1750"/>
        <v>GENNAIO 2023</v>
      </c>
      <c r="F2050" s="57" t="str">
        <f t="shared" si="1751"/>
        <v>1 GENNAIO 2023</v>
      </c>
      <c r="G2050" s="1309" t="s">
        <v>91</v>
      </c>
      <c r="H2050" s="1309" t="str">
        <f>VLOOKUP(G2050,CATEGORIE!$H$3:$I$104,2,FALSE)</f>
        <v>COSTO SOPRAVVIVENZA</v>
      </c>
      <c r="I2050" s="59">
        <v>0.4</v>
      </c>
      <c r="J2050" s="940"/>
      <c r="K2050" s="59"/>
      <c r="L2050" s="59"/>
    </row>
    <row r="2051" spans="1:12" ht="16.5" customHeight="1">
      <c r="A2051" s="57" t="s">
        <v>92</v>
      </c>
      <c r="B2051" s="57" t="s">
        <v>154</v>
      </c>
      <c r="C2051" s="57">
        <v>2023</v>
      </c>
      <c r="D2051" s="58">
        <f>MATCH(B2051,{"GENNAIO","FEBBRAIO","MARZO","APRILE","MAGGIO","GIUGNO","LUGLIO","AGOSTO","SETTEMBRE","OTTOBRE","NOVEMBRE","DICEMBRE"},0)</f>
        <v>1</v>
      </c>
      <c r="E2051" s="57" t="str">
        <f t="shared" si="1750"/>
        <v>GENNAIO 2023</v>
      </c>
      <c r="F2051" s="57" t="str">
        <f t="shared" si="1751"/>
        <v>1 GENNAIO 2023</v>
      </c>
      <c r="G2051" s="1309" t="s">
        <v>94</v>
      </c>
      <c r="H2051" s="1309" t="str">
        <f>VLOOKUP(G2051,CATEGORIE!$H$3:$I$104,2,FALSE)</f>
        <v>COSTO SVAGHI</v>
      </c>
      <c r="I2051" s="59">
        <v>3.6</v>
      </c>
      <c r="J2051" s="940"/>
      <c r="K2051" s="59"/>
      <c r="L2051" s="59"/>
    </row>
    <row r="2052" spans="1:12" ht="16.5" customHeight="1">
      <c r="A2052" s="57" t="s">
        <v>101</v>
      </c>
      <c r="B2052" s="57" t="s">
        <v>154</v>
      </c>
      <c r="C2052" s="57">
        <v>2023</v>
      </c>
      <c r="D2052" s="58">
        <f>MATCH(B2052,{"GENNAIO","FEBBRAIO","MARZO","APRILE","MAGGIO","GIUGNO","LUGLIO","AGOSTO","SETTEMBRE","OTTOBRE","NOVEMBRE","DICEMBRE"},0)</f>
        <v>1</v>
      </c>
      <c r="E2052" s="57" t="str">
        <f t="shared" si="1750"/>
        <v>GENNAIO 2023</v>
      </c>
      <c r="F2052" s="57" t="str">
        <f t="shared" si="1751"/>
        <v>1 GENNAIO 2023</v>
      </c>
      <c r="G2052" s="1309" t="s">
        <v>91</v>
      </c>
      <c r="H2052" s="1309" t="str">
        <f>VLOOKUP(G2052,CATEGORIE!$H$3:$I$104,2,FALSE)</f>
        <v>COSTO SOPRAVVIVENZA</v>
      </c>
      <c r="I2052" s="59">
        <v>0.4</v>
      </c>
      <c r="J2052" s="940"/>
      <c r="K2052" s="59"/>
      <c r="L2052" s="59"/>
    </row>
    <row r="2053" spans="1:12" ht="16.5" customHeight="1">
      <c r="A2053" s="57" t="s">
        <v>101</v>
      </c>
      <c r="B2053" s="57" t="s">
        <v>154</v>
      </c>
      <c r="C2053" s="57">
        <v>2023</v>
      </c>
      <c r="D2053" s="58">
        <f>MATCH(B2053,{"GENNAIO","FEBBRAIO","MARZO","APRILE","MAGGIO","GIUGNO","LUGLIO","AGOSTO","SETTEMBRE","OTTOBRE","NOVEMBRE","DICEMBRE"},0)</f>
        <v>1</v>
      </c>
      <c r="E2053" s="57" t="str">
        <f t="shared" si="1750"/>
        <v>GENNAIO 2023</v>
      </c>
      <c r="F2053" s="57" t="str">
        <f t="shared" si="1751"/>
        <v>1 GENNAIO 2023</v>
      </c>
      <c r="G2053" s="1309" t="s">
        <v>91</v>
      </c>
      <c r="H2053" s="1309" t="str">
        <f>VLOOKUP(G2053,CATEGORIE!$H$3:$I$104,2,FALSE)</f>
        <v>COSTO SOPRAVVIVENZA</v>
      </c>
      <c r="I2053" s="59">
        <v>0.4</v>
      </c>
      <c r="J2053" s="940"/>
      <c r="K2053" s="59"/>
      <c r="L2053" s="59"/>
    </row>
    <row r="2054" spans="1:12" ht="18" customHeight="1">
      <c r="A2054" s="57" t="s">
        <v>101</v>
      </c>
      <c r="B2054" s="57" t="s">
        <v>154</v>
      </c>
      <c r="C2054" s="57">
        <v>2023</v>
      </c>
      <c r="D2054" s="58">
        <f>MATCH(B2054,{"GENNAIO","FEBBRAIO","MARZO","APRILE","MAGGIO","GIUGNO","LUGLIO","AGOSTO","SETTEMBRE","OTTOBRE","NOVEMBRE","DICEMBRE"},0)</f>
        <v>1</v>
      </c>
      <c r="E2054" s="57" t="str">
        <f t="shared" si="1750"/>
        <v>GENNAIO 2023</v>
      </c>
      <c r="F2054" s="57" t="str">
        <f t="shared" si="1751"/>
        <v>1 GENNAIO 2023</v>
      </c>
      <c r="G2054" s="1309" t="s">
        <v>91</v>
      </c>
      <c r="H2054" s="1309" t="str">
        <f>VLOOKUP(G2054,CATEGORIE!$H$3:$I$104,2,FALSE)</f>
        <v>COSTO SOPRAVVIVENZA</v>
      </c>
      <c r="I2054" s="59">
        <v>0.4</v>
      </c>
      <c r="J2054" s="940"/>
      <c r="K2054" s="59"/>
      <c r="L2054" s="59"/>
    </row>
    <row r="2055" spans="1:12" ht="18.600000000000001" customHeight="1">
      <c r="A2055" s="57" t="s">
        <v>101</v>
      </c>
      <c r="B2055" s="57" t="s">
        <v>154</v>
      </c>
      <c r="C2055" s="57">
        <v>2023</v>
      </c>
      <c r="D2055" s="58">
        <f>MATCH(B2055,{"GENNAIO","FEBBRAIO","MARZO","APRILE","MAGGIO","GIUGNO","LUGLIO","AGOSTO","SETTEMBRE","OTTOBRE","NOVEMBRE","DICEMBRE"},0)</f>
        <v>1</v>
      </c>
      <c r="E2055" s="57" t="str">
        <f t="shared" si="1750"/>
        <v>GENNAIO 2023</v>
      </c>
      <c r="F2055" s="57" t="str">
        <f t="shared" si="1751"/>
        <v>1 GENNAIO 2023</v>
      </c>
      <c r="G2055" s="1309" t="s">
        <v>91</v>
      </c>
      <c r="H2055" s="1309" t="str">
        <f>VLOOKUP(G2055,CATEGORIE!$H$3:$I$104,2,FALSE)</f>
        <v>COSTO SOPRAVVIVENZA</v>
      </c>
      <c r="I2055" s="59">
        <v>0.4</v>
      </c>
      <c r="J2055" s="940"/>
      <c r="K2055" s="59"/>
      <c r="L2055" s="59"/>
    </row>
    <row r="2056" spans="1:12" ht="18.600000000000001" customHeight="1">
      <c r="A2056" s="57" t="s">
        <v>101</v>
      </c>
      <c r="B2056" s="57" t="s">
        <v>154</v>
      </c>
      <c r="C2056" s="57">
        <v>2023</v>
      </c>
      <c r="D2056" s="58">
        <f>MATCH(B2056,{"GENNAIO","FEBBRAIO","MARZO","APRILE","MAGGIO","GIUGNO","LUGLIO","AGOSTO","SETTEMBRE","OTTOBRE","NOVEMBRE","DICEMBRE"},0)</f>
        <v>1</v>
      </c>
      <c r="E2056" s="57" t="str">
        <f t="shared" si="1750"/>
        <v>GENNAIO 2023</v>
      </c>
      <c r="F2056" s="57" t="str">
        <f t="shared" si="1751"/>
        <v>1 GENNAIO 2023</v>
      </c>
      <c r="G2056" s="1309" t="s">
        <v>91</v>
      </c>
      <c r="H2056" s="1309" t="str">
        <f>VLOOKUP(G2056,CATEGORIE!$H$3:$I$104,2,FALSE)</f>
        <v>COSTO SOPRAVVIVENZA</v>
      </c>
      <c r="I2056" s="59">
        <v>0.4</v>
      </c>
      <c r="J2056" s="940"/>
      <c r="K2056" s="59"/>
      <c r="L2056" s="59"/>
    </row>
    <row r="2057" spans="1:12" ht="18.600000000000001" customHeight="1">
      <c r="A2057" s="57" t="s">
        <v>99</v>
      </c>
      <c r="B2057" s="57" t="s">
        <v>154</v>
      </c>
      <c r="C2057" s="57">
        <v>2023</v>
      </c>
      <c r="D2057" s="58">
        <f>MATCH(B2057,{"GENNAIO","FEBBRAIO","MARZO","APRILE","MAGGIO","GIUGNO","LUGLIO","AGOSTO","SETTEMBRE","OTTOBRE","NOVEMBRE","DICEMBRE"},0)</f>
        <v>1</v>
      </c>
      <c r="E2057" s="57" t="str">
        <f t="shared" si="1750"/>
        <v>GENNAIO 2023</v>
      </c>
      <c r="F2057" s="57" t="str">
        <f t="shared" si="1751"/>
        <v>1 GENNAIO 2023</v>
      </c>
      <c r="G2057" s="1309" t="s">
        <v>100</v>
      </c>
      <c r="H2057" s="1309" t="str">
        <f>VLOOKUP(G2057,CATEGORIE!$H$3:$I$104,2,FALSE)</f>
        <v>COSTO SFIZI</v>
      </c>
      <c r="I2057" s="59">
        <v>0.76</v>
      </c>
      <c r="J2057" s="940"/>
      <c r="K2057" s="57" t="s">
        <v>99</v>
      </c>
      <c r="L2057" s="59"/>
    </row>
    <row r="2058" spans="1:12" ht="18.600000000000001" customHeight="1">
      <c r="A2058" s="57" t="s">
        <v>221</v>
      </c>
      <c r="B2058" s="57" t="s">
        <v>154</v>
      </c>
      <c r="C2058" s="57">
        <v>2023</v>
      </c>
      <c r="D2058" s="58">
        <f>MATCH(B2058,{"GENNAIO","FEBBRAIO","MARZO","APRILE","MAGGIO","GIUGNO","LUGLIO","AGOSTO","SETTEMBRE","OTTOBRE","NOVEMBRE","DICEMBRE"},0)</f>
        <v>1</v>
      </c>
      <c r="E2058" s="57" t="str">
        <f t="shared" si="1750"/>
        <v>GENNAIO 2023</v>
      </c>
      <c r="F2058" s="57" t="str">
        <f t="shared" si="1751"/>
        <v>1 GENNAIO 2023</v>
      </c>
      <c r="G2058" s="1309" t="s">
        <v>94</v>
      </c>
      <c r="H2058" s="1309" t="str">
        <f>VLOOKUP(G2058,CATEGORIE!$H$3:$I$104,2,FALSE)</f>
        <v>COSTO SVAGHI</v>
      </c>
      <c r="I2058" s="59">
        <v>34.54</v>
      </c>
      <c r="J2058" s="940"/>
      <c r="K2058" s="59"/>
      <c r="L2058" s="59"/>
    </row>
    <row r="2059" spans="1:12" ht="18" customHeight="1">
      <c r="A2059" s="57" t="s">
        <v>135</v>
      </c>
      <c r="B2059" s="57" t="s">
        <v>154</v>
      </c>
      <c r="C2059" s="57">
        <v>2023</v>
      </c>
      <c r="D2059" s="58">
        <f>MATCH(B2059,{"GENNAIO","FEBBRAIO","MARZO","APRILE","MAGGIO","GIUGNO","LUGLIO","AGOSTO","SETTEMBRE","OTTOBRE","NOVEMBRE","DICEMBRE"},0)</f>
        <v>1</v>
      </c>
      <c r="E2059" s="57" t="str">
        <f t="shared" si="1750"/>
        <v>GENNAIO 2023</v>
      </c>
      <c r="F2059" s="57" t="str">
        <f t="shared" si="1751"/>
        <v>1 GENNAIO 2023</v>
      </c>
      <c r="G2059" s="1309" t="s">
        <v>132</v>
      </c>
      <c r="H2059" s="1309" t="str">
        <f>VLOOKUP(G2059,CATEGORIE!$H$3:$I$104,2,FALSE)</f>
        <v>COSTO CASA</v>
      </c>
      <c r="I2059" s="59">
        <v>7.1</v>
      </c>
      <c r="J2059" s="940"/>
      <c r="K2059" s="59"/>
      <c r="L2059" s="59"/>
    </row>
    <row r="2060" spans="1:12" ht="18.600000000000001" customHeight="1">
      <c r="A2060" s="57" t="s">
        <v>135</v>
      </c>
      <c r="B2060" s="57" t="s">
        <v>154</v>
      </c>
      <c r="C2060" s="57">
        <v>2023</v>
      </c>
      <c r="D2060" s="58">
        <f>MATCH(B2060,{"GENNAIO","FEBBRAIO","MARZO","APRILE","MAGGIO","GIUGNO","LUGLIO","AGOSTO","SETTEMBRE","OTTOBRE","NOVEMBRE","DICEMBRE"},0)</f>
        <v>1</v>
      </c>
      <c r="E2060" s="57" t="str">
        <f t="shared" si="1750"/>
        <v>GENNAIO 2023</v>
      </c>
      <c r="F2060" s="57" t="str">
        <f t="shared" si="1751"/>
        <v>1 GENNAIO 2023</v>
      </c>
      <c r="G2060" s="1309" t="s">
        <v>132</v>
      </c>
      <c r="H2060" s="1309" t="str">
        <f>VLOOKUP(G2060,CATEGORIE!$H$3:$I$104,2,FALSE)</f>
        <v>COSTO CASA</v>
      </c>
      <c r="I2060" s="59">
        <v>9.09</v>
      </c>
      <c r="J2060" s="940"/>
      <c r="K2060" s="59"/>
      <c r="L2060" s="59"/>
    </row>
    <row r="2061" spans="1:12" ht="18.600000000000001" customHeight="1">
      <c r="A2061" s="57" t="s">
        <v>105</v>
      </c>
      <c r="B2061" s="57" t="s">
        <v>154</v>
      </c>
      <c r="C2061" s="57">
        <v>2023</v>
      </c>
      <c r="D2061" s="58">
        <f>MATCH(B2061,{"GENNAIO","FEBBRAIO","MARZO","APRILE","MAGGIO","GIUGNO","LUGLIO","AGOSTO","SETTEMBRE","OTTOBRE","NOVEMBRE","DICEMBRE"},0)</f>
        <v>1</v>
      </c>
      <c r="E2061" s="57" t="str">
        <f t="shared" si="1750"/>
        <v>GENNAIO 2023</v>
      </c>
      <c r="F2061" s="57" t="str">
        <f t="shared" si="1751"/>
        <v>1 GENNAIO 2023</v>
      </c>
      <c r="G2061" s="1309" t="s">
        <v>96</v>
      </c>
      <c r="H2061" s="1309" t="str">
        <f>VLOOKUP(G2061,CATEGORIE!$H$3:$I$104,2,FALSE)</f>
        <v>COSTO SOPRAVVIVENZA</v>
      </c>
      <c r="I2061" s="59">
        <v>15.88</v>
      </c>
      <c r="J2061" s="940"/>
      <c r="K2061" s="59"/>
      <c r="L2061" s="59"/>
    </row>
    <row r="2062" spans="1:12" ht="18.600000000000001" customHeight="1">
      <c r="A2062" s="57" t="s">
        <v>306</v>
      </c>
      <c r="B2062" s="57" t="s">
        <v>154</v>
      </c>
      <c r="C2062" s="57">
        <v>2023</v>
      </c>
      <c r="D2062" s="58">
        <f>MATCH(B2062,{"GENNAIO","FEBBRAIO","MARZO","APRILE","MAGGIO","GIUGNO","LUGLIO","AGOSTO","SETTEMBRE","OTTOBRE","NOVEMBRE","DICEMBRE"},0)</f>
        <v>1</v>
      </c>
      <c r="E2062" s="57" t="str">
        <f t="shared" si="1750"/>
        <v>GENNAIO 2023</v>
      </c>
      <c r="F2062" s="57" t="str">
        <f t="shared" si="1751"/>
        <v>1 GENNAIO 2023</v>
      </c>
      <c r="G2062" s="1309" t="s">
        <v>100</v>
      </c>
      <c r="H2062" s="1309" t="str">
        <f>VLOOKUP(G2062,CATEGORIE!$H$3:$I$104,2,FALSE)</f>
        <v>COSTO SFIZI</v>
      </c>
      <c r="I2062" s="59">
        <v>11.91</v>
      </c>
      <c r="J2062" s="940" t="s">
        <v>138</v>
      </c>
      <c r="K2062" s="59" t="s">
        <v>112</v>
      </c>
      <c r="L2062" s="59"/>
    </row>
    <row r="2063" spans="1:12" ht="18.600000000000001" customHeight="1">
      <c r="A2063" s="57" t="s">
        <v>566</v>
      </c>
      <c r="B2063" s="57" t="s">
        <v>154</v>
      </c>
      <c r="C2063" s="57">
        <v>2023</v>
      </c>
      <c r="D2063" s="58">
        <f>MATCH(B2063,{"GENNAIO","FEBBRAIO","MARZO","APRILE","MAGGIO","GIUGNO","LUGLIO","AGOSTO","SETTEMBRE","OTTOBRE","NOVEMBRE","DICEMBRE"},0)</f>
        <v>1</v>
      </c>
      <c r="E2063" s="57" t="str">
        <f t="shared" si="1750"/>
        <v>GENNAIO 2023</v>
      </c>
      <c r="F2063" s="57" t="str">
        <f t="shared" si="1751"/>
        <v>1 GENNAIO 2023</v>
      </c>
      <c r="G2063" s="1309" t="s">
        <v>94</v>
      </c>
      <c r="H2063" s="1309" t="str">
        <f>VLOOKUP(G2063,CATEGORIE!$H$3:$I$104,2,FALSE)</f>
        <v>COSTO SVAGHI</v>
      </c>
      <c r="I2063" s="59">
        <v>10.5</v>
      </c>
      <c r="J2063" s="940"/>
      <c r="K2063" s="59"/>
      <c r="L2063" s="59"/>
    </row>
    <row r="2064" spans="1:12" ht="18.600000000000001" customHeight="1">
      <c r="A2064" s="57" t="s">
        <v>134</v>
      </c>
      <c r="B2064" s="57" t="s">
        <v>154</v>
      </c>
      <c r="C2064" s="57">
        <v>2023</v>
      </c>
      <c r="D2064" s="58">
        <f>MATCH(B2064,{"GENNAIO","FEBBRAIO","MARZO","APRILE","MAGGIO","GIUGNO","LUGLIO","AGOSTO","SETTEMBRE","OTTOBRE","NOVEMBRE","DICEMBRE"},0)</f>
        <v>1</v>
      </c>
      <c r="E2064" s="57" t="str">
        <f t="shared" si="1750"/>
        <v>GENNAIO 2023</v>
      </c>
      <c r="F2064" s="57" t="str">
        <f t="shared" si="1751"/>
        <v>1 GENNAIO 2023</v>
      </c>
      <c r="G2064" s="1309" t="s">
        <v>94</v>
      </c>
      <c r="H2064" s="1309" t="str">
        <f>VLOOKUP(G2064,CATEGORIE!$H$3:$I$104,2,FALSE)</f>
        <v>COSTO SVAGHI</v>
      </c>
      <c r="I2064" s="59">
        <v>20</v>
      </c>
      <c r="J2064" s="940"/>
      <c r="K2064" s="59"/>
      <c r="L2064" s="59"/>
    </row>
    <row r="2065" spans="1:12" ht="16.5" customHeight="1">
      <c r="A2065" s="57" t="s">
        <v>135</v>
      </c>
      <c r="B2065" s="57" t="s">
        <v>154</v>
      </c>
      <c r="C2065" s="57">
        <v>2023</v>
      </c>
      <c r="D2065" s="58">
        <f>MATCH(B2065,{"GENNAIO","FEBBRAIO","MARZO","APRILE","MAGGIO","GIUGNO","LUGLIO","AGOSTO","SETTEMBRE","OTTOBRE","NOVEMBRE","DICEMBRE"},0)</f>
        <v>1</v>
      </c>
      <c r="E2065" s="57" t="str">
        <f t="shared" si="1750"/>
        <v>GENNAIO 2023</v>
      </c>
      <c r="F2065" s="57" t="str">
        <f t="shared" si="1751"/>
        <v>1 GENNAIO 2023</v>
      </c>
      <c r="G2065" s="1309" t="s">
        <v>132</v>
      </c>
      <c r="H2065" s="1309" t="str">
        <f>VLOOKUP(G2065,CATEGORIE!$H$3:$I$104,2,FALSE)</f>
        <v>COSTO CASA</v>
      </c>
      <c r="I2065" s="59">
        <v>6.79</v>
      </c>
      <c r="J2065" s="940"/>
      <c r="K2065" s="59"/>
      <c r="L2065" s="59"/>
    </row>
    <row r="2066" spans="1:12" ht="16.5" customHeight="1">
      <c r="A2066" s="57" t="s">
        <v>562</v>
      </c>
      <c r="B2066" s="57" t="s">
        <v>154</v>
      </c>
      <c r="C2066" s="57">
        <v>2023</v>
      </c>
      <c r="D2066" s="58">
        <f>MATCH(B2066,{"GENNAIO","FEBBRAIO","MARZO","APRILE","MAGGIO","GIUGNO","LUGLIO","AGOSTO","SETTEMBRE","OTTOBRE","NOVEMBRE","DICEMBRE"},0)</f>
        <v>1</v>
      </c>
      <c r="E2066" s="57" t="str">
        <f t="shared" si="1750"/>
        <v>GENNAIO 2023</v>
      </c>
      <c r="F2066" s="57" t="str">
        <f t="shared" si="1751"/>
        <v>1 GENNAIO 2023</v>
      </c>
      <c r="G2066" s="1309" t="s">
        <v>94</v>
      </c>
      <c r="H2066" s="1309" t="str">
        <f>VLOOKUP(G2066,CATEGORIE!$H$3:$I$104,2,FALSE)</f>
        <v>COSTO SVAGHI</v>
      </c>
      <c r="I2066" s="59">
        <v>7</v>
      </c>
      <c r="J2066" s="940"/>
      <c r="K2066" s="59"/>
      <c r="L2066" s="59"/>
    </row>
    <row r="2067" spans="1:12" ht="18.600000000000001" customHeight="1">
      <c r="A2067" s="57" t="s">
        <v>567</v>
      </c>
      <c r="B2067" s="57" t="s">
        <v>154</v>
      </c>
      <c r="C2067" s="57">
        <v>2023</v>
      </c>
      <c r="D2067" s="58">
        <f>MATCH(B2067,{"GENNAIO","FEBBRAIO","MARZO","APRILE","MAGGIO","GIUGNO","LUGLIO","AGOSTO","SETTEMBRE","OTTOBRE","NOVEMBRE","DICEMBRE"},0)</f>
        <v>1</v>
      </c>
      <c r="E2067" s="57" t="str">
        <f t="shared" si="1750"/>
        <v>GENNAIO 2023</v>
      </c>
      <c r="F2067" s="57" t="str">
        <f t="shared" si="1751"/>
        <v>1 GENNAIO 2023</v>
      </c>
      <c r="G2067" s="1309" t="s">
        <v>163</v>
      </c>
      <c r="H2067" s="1309" t="str">
        <f>VLOOKUP(G2067,CATEGORIE!$H$3:$I$104,2,FALSE)</f>
        <v>COSTO SVAGHI</v>
      </c>
      <c r="I2067" s="59">
        <v>19</v>
      </c>
      <c r="J2067" s="940"/>
      <c r="K2067" s="59"/>
      <c r="L2067" s="59"/>
    </row>
    <row r="2068" spans="1:12" ht="18" customHeight="1">
      <c r="A2068" s="57" t="s">
        <v>160</v>
      </c>
      <c r="B2068" s="57" t="s">
        <v>154</v>
      </c>
      <c r="C2068" s="57">
        <v>2023</v>
      </c>
      <c r="D2068" s="58">
        <f>MATCH(B2068,{"GENNAIO","FEBBRAIO","MARZO","APRILE","MAGGIO","GIUGNO","LUGLIO","AGOSTO","SETTEMBRE","OTTOBRE","NOVEMBRE","DICEMBRE"},0)</f>
        <v>1</v>
      </c>
      <c r="E2068" s="57" t="str">
        <f t="shared" si="1750"/>
        <v>GENNAIO 2023</v>
      </c>
      <c r="F2068" s="57" t="str">
        <f t="shared" si="1751"/>
        <v>1 GENNAIO 2023</v>
      </c>
      <c r="G2068" s="1309" t="s">
        <v>111</v>
      </c>
      <c r="H2068" s="1309" t="str">
        <f>VLOOKUP(G2068,CATEGORIE!$H$3:$I$104,2,FALSE)</f>
        <v>COSTO MOBILITA'</v>
      </c>
      <c r="I2068" s="59">
        <v>4.7</v>
      </c>
      <c r="J2068" s="940"/>
      <c r="K2068" s="59"/>
      <c r="L2068" s="59"/>
    </row>
    <row r="2069" spans="1:12" ht="18.600000000000001" customHeight="1">
      <c r="A2069" s="57" t="s">
        <v>160</v>
      </c>
      <c r="B2069" s="57" t="s">
        <v>154</v>
      </c>
      <c r="C2069" s="57">
        <v>2023</v>
      </c>
      <c r="D2069" s="58">
        <f>MATCH(B2069,{"GENNAIO","FEBBRAIO","MARZO","APRILE","MAGGIO","GIUGNO","LUGLIO","AGOSTO","SETTEMBRE","OTTOBRE","NOVEMBRE","DICEMBRE"},0)</f>
        <v>1</v>
      </c>
      <c r="E2069" s="57" t="str">
        <f t="shared" si="1750"/>
        <v>GENNAIO 2023</v>
      </c>
      <c r="F2069" s="57" t="str">
        <f t="shared" si="1751"/>
        <v>1 GENNAIO 2023</v>
      </c>
      <c r="G2069" s="1309" t="s">
        <v>111</v>
      </c>
      <c r="H2069" s="1309" t="str">
        <f>VLOOKUP(G2069,CATEGORIE!$H$3:$I$104,2,FALSE)</f>
        <v>COSTO MOBILITA'</v>
      </c>
      <c r="I2069" s="59">
        <v>4.7</v>
      </c>
      <c r="J2069" s="940"/>
      <c r="K2069" s="59"/>
      <c r="L2069" s="59"/>
    </row>
    <row r="2070" spans="1:12" ht="18" customHeight="1">
      <c r="A2070" s="57" t="s">
        <v>105</v>
      </c>
      <c r="B2070" s="57" t="s">
        <v>154</v>
      </c>
      <c r="C2070" s="57">
        <v>2023</v>
      </c>
      <c r="D2070" s="58">
        <f>MATCH(B2070,{"GENNAIO","FEBBRAIO","MARZO","APRILE","MAGGIO","GIUGNO","LUGLIO","AGOSTO","SETTEMBRE","OTTOBRE","NOVEMBRE","DICEMBRE"},0)</f>
        <v>1</v>
      </c>
      <c r="E2070" s="57" t="str">
        <f t="shared" si="1750"/>
        <v>GENNAIO 2023</v>
      </c>
      <c r="F2070" s="57" t="str">
        <f t="shared" si="1751"/>
        <v>1 GENNAIO 2023</v>
      </c>
      <c r="G2070" s="1309" t="s">
        <v>96</v>
      </c>
      <c r="H2070" s="1309" t="str">
        <f>VLOOKUP(G2070,CATEGORIE!$H$3:$I$104,2,FALSE)</f>
        <v>COSTO SOPRAVVIVENZA</v>
      </c>
      <c r="I2070" s="59">
        <v>24.16</v>
      </c>
      <c r="J2070" s="940"/>
      <c r="K2070" s="59"/>
      <c r="L2070" s="59"/>
    </row>
    <row r="2071" spans="1:12" ht="18.600000000000001" customHeight="1">
      <c r="A2071" s="57" t="s">
        <v>568</v>
      </c>
      <c r="B2071" s="57" t="s">
        <v>154</v>
      </c>
      <c r="C2071" s="57">
        <v>2023</v>
      </c>
      <c r="D2071" s="58">
        <f>MATCH(B2071,{"GENNAIO","FEBBRAIO","MARZO","APRILE","MAGGIO","GIUGNO","LUGLIO","AGOSTO","SETTEMBRE","OTTOBRE","NOVEMBRE","DICEMBRE"},0)</f>
        <v>1</v>
      </c>
      <c r="E2071" s="57" t="str">
        <f t="shared" si="1750"/>
        <v>GENNAIO 2023</v>
      </c>
      <c r="F2071" s="57" t="str">
        <f t="shared" si="1751"/>
        <v>1 GENNAIO 2023</v>
      </c>
      <c r="G2071" s="1309" t="s">
        <v>132</v>
      </c>
      <c r="H2071" s="1309" t="str">
        <f>VLOOKUP(G2071,CATEGORIE!$H$3:$I$104,2,FALSE)</f>
        <v>COSTO CASA</v>
      </c>
      <c r="I2071" s="59">
        <v>7.3</v>
      </c>
      <c r="J2071" s="940"/>
      <c r="K2071" s="59"/>
      <c r="L2071" s="59"/>
    </row>
    <row r="2072" spans="1:12" ht="18.600000000000001" customHeight="1">
      <c r="A2072" s="57" t="s">
        <v>135</v>
      </c>
      <c r="B2072" s="57" t="s">
        <v>154</v>
      </c>
      <c r="C2072" s="57">
        <v>2023</v>
      </c>
      <c r="D2072" s="58">
        <f>MATCH(B2072,{"GENNAIO","FEBBRAIO","MARZO","APRILE","MAGGIO","GIUGNO","LUGLIO","AGOSTO","SETTEMBRE","OTTOBRE","NOVEMBRE","DICEMBRE"},0)</f>
        <v>1</v>
      </c>
      <c r="E2072" s="57" t="str">
        <f t="shared" si="1750"/>
        <v>GENNAIO 2023</v>
      </c>
      <c r="F2072" s="57" t="str">
        <f t="shared" si="1751"/>
        <v>1 GENNAIO 2023</v>
      </c>
      <c r="G2072" s="1309" t="s">
        <v>132</v>
      </c>
      <c r="H2072" s="1309" t="str">
        <f>VLOOKUP(G2072,CATEGORIE!$H$3:$I$104,2,FALSE)</f>
        <v>COSTO CASA</v>
      </c>
      <c r="I2072" s="59">
        <v>6.49</v>
      </c>
      <c r="J2072" s="940"/>
      <c r="K2072" s="59"/>
      <c r="L2072" s="59"/>
    </row>
    <row r="2073" spans="1:12" ht="18.600000000000001" customHeight="1">
      <c r="A2073" s="57" t="s">
        <v>364</v>
      </c>
      <c r="B2073" s="57" t="s">
        <v>154</v>
      </c>
      <c r="C2073" s="57">
        <v>2023</v>
      </c>
      <c r="D2073" s="58">
        <f>MATCH(B2073,{"GENNAIO","FEBBRAIO","MARZO","APRILE","MAGGIO","GIUGNO","LUGLIO","AGOSTO","SETTEMBRE","OTTOBRE","NOVEMBRE","DICEMBRE"},0)</f>
        <v>1</v>
      </c>
      <c r="E2073" s="57" t="str">
        <f t="shared" si="1750"/>
        <v>GENNAIO 2023</v>
      </c>
      <c r="F2073" s="57" t="str">
        <f t="shared" si="1751"/>
        <v>1 GENNAIO 2023</v>
      </c>
      <c r="G2073" s="1309" t="s">
        <v>365</v>
      </c>
      <c r="H2073" s="1309" t="str">
        <f>VLOOKUP(G2073,CATEGORIE!$H$3:$I$104,2,FALSE)</f>
        <v>COSTO SOPRAVVIVENZA</v>
      </c>
      <c r="I2073" s="59">
        <v>16.899999999999999</v>
      </c>
      <c r="J2073" s="940" t="s">
        <v>138</v>
      </c>
      <c r="K2073" s="59" t="s">
        <v>112</v>
      </c>
      <c r="L2073" s="59"/>
    </row>
    <row r="2074" spans="1:12">
      <c r="A2074" s="57" t="s">
        <v>135</v>
      </c>
      <c r="B2074" s="57" t="s">
        <v>154</v>
      </c>
      <c r="C2074" s="57">
        <v>2023</v>
      </c>
      <c r="D2074" s="58">
        <f>MATCH(B2074,{"GENNAIO","FEBBRAIO","MARZO","APRILE","MAGGIO","GIUGNO","LUGLIO","AGOSTO","SETTEMBRE","OTTOBRE","NOVEMBRE","DICEMBRE"},0)</f>
        <v>1</v>
      </c>
      <c r="E2074" s="57" t="str">
        <f t="shared" si="1750"/>
        <v>GENNAIO 2023</v>
      </c>
      <c r="F2074" s="57" t="str">
        <f t="shared" si="1751"/>
        <v>1 GENNAIO 2023</v>
      </c>
      <c r="G2074" s="1309" t="s">
        <v>132</v>
      </c>
      <c r="H2074" s="1309" t="str">
        <f>VLOOKUP(G2074,CATEGORIE!$H$3:$I$104,2,FALSE)</f>
        <v>COSTO CASA</v>
      </c>
      <c r="I2074" s="59">
        <v>18.11</v>
      </c>
      <c r="J2074" s="940"/>
      <c r="K2074" s="59"/>
      <c r="L2074" s="59"/>
    </row>
    <row r="2075" spans="1:12" ht="18" customHeight="1">
      <c r="A2075" s="57" t="s">
        <v>221</v>
      </c>
      <c r="B2075" s="57" t="s">
        <v>154</v>
      </c>
      <c r="C2075" s="57">
        <v>2023</v>
      </c>
      <c r="D2075" s="58">
        <f>MATCH(B2075,{"GENNAIO","FEBBRAIO","MARZO","APRILE","MAGGIO","GIUGNO","LUGLIO","AGOSTO","SETTEMBRE","OTTOBRE","NOVEMBRE","DICEMBRE"},0)</f>
        <v>1</v>
      </c>
      <c r="E2075" s="57" t="str">
        <f t="shared" si="1750"/>
        <v>GENNAIO 2023</v>
      </c>
      <c r="F2075" s="57" t="str">
        <f t="shared" si="1751"/>
        <v>1 GENNAIO 2023</v>
      </c>
      <c r="G2075" s="1309" t="s">
        <v>94</v>
      </c>
      <c r="H2075" s="1309" t="str">
        <f>VLOOKUP(G2075,CATEGORIE!$H$3:$I$104,2,FALSE)</f>
        <v>COSTO SVAGHI</v>
      </c>
      <c r="I2075" s="59">
        <v>38.15</v>
      </c>
      <c r="J2075" s="940"/>
      <c r="K2075" s="59"/>
      <c r="L2075" s="59"/>
    </row>
    <row r="2076" spans="1:12" ht="18" customHeight="1">
      <c r="A2076" s="57" t="s">
        <v>105</v>
      </c>
      <c r="B2076" s="57" t="s">
        <v>154</v>
      </c>
      <c r="C2076" s="57">
        <v>2023</v>
      </c>
      <c r="D2076" s="58">
        <f>MATCH(B2076,{"GENNAIO","FEBBRAIO","MARZO","APRILE","MAGGIO","GIUGNO","LUGLIO","AGOSTO","SETTEMBRE","OTTOBRE","NOVEMBRE","DICEMBRE"},0)</f>
        <v>1</v>
      </c>
      <c r="E2076" s="57" t="str">
        <f t="shared" si="1750"/>
        <v>GENNAIO 2023</v>
      </c>
      <c r="F2076" s="57" t="str">
        <f t="shared" si="1751"/>
        <v>1 GENNAIO 2023</v>
      </c>
      <c r="G2076" s="1309" t="s">
        <v>96</v>
      </c>
      <c r="H2076" s="1309" t="str">
        <f>VLOOKUP(G2076,CATEGORIE!$H$3:$I$104,2,FALSE)</f>
        <v>COSTO SOPRAVVIVENZA</v>
      </c>
      <c r="I2076" s="59">
        <v>22.44</v>
      </c>
      <c r="J2076" s="940"/>
      <c r="K2076" s="59"/>
      <c r="L2076" s="59"/>
    </row>
    <row r="2077" spans="1:12">
      <c r="A2077" s="57" t="s">
        <v>170</v>
      </c>
      <c r="B2077" s="57" t="s">
        <v>154</v>
      </c>
      <c r="C2077" s="57">
        <v>2023</v>
      </c>
      <c r="D2077" s="58">
        <f>MATCH(B2077,{"GENNAIO","FEBBRAIO","MARZO","APRILE","MAGGIO","GIUGNO","LUGLIO","AGOSTO","SETTEMBRE","OTTOBRE","NOVEMBRE","DICEMBRE"},0)</f>
        <v>1</v>
      </c>
      <c r="E2077" s="57" t="str">
        <f t="shared" si="1750"/>
        <v>GENNAIO 2023</v>
      </c>
      <c r="F2077" s="57" t="str">
        <f t="shared" si="1751"/>
        <v>1 GENNAIO 2023</v>
      </c>
      <c r="G2077" s="1309" t="s">
        <v>132</v>
      </c>
      <c r="H2077" s="1309" t="str">
        <f>VLOOKUP(G2077,CATEGORIE!$H$3:$I$104,2,FALSE)</f>
        <v>COSTO CASA</v>
      </c>
      <c r="I2077" s="59">
        <v>19.399999999999999</v>
      </c>
      <c r="J2077" s="940"/>
      <c r="K2077" s="59"/>
      <c r="L2077" s="59"/>
    </row>
    <row r="2078" spans="1:12" ht="16.5" customHeight="1">
      <c r="A2078" s="57" t="s">
        <v>99</v>
      </c>
      <c r="B2078" s="57" t="s">
        <v>154</v>
      </c>
      <c r="C2078" s="57">
        <v>2023</v>
      </c>
      <c r="D2078" s="58">
        <f>MATCH(B2078,{"GENNAIO","FEBBRAIO","MARZO","APRILE","MAGGIO","GIUGNO","LUGLIO","AGOSTO","SETTEMBRE","OTTOBRE","NOVEMBRE","DICEMBRE"},0)</f>
        <v>1</v>
      </c>
      <c r="E2078" s="57" t="str">
        <f t="shared" si="1750"/>
        <v>GENNAIO 2023</v>
      </c>
      <c r="F2078" s="57" t="str">
        <f t="shared" si="1751"/>
        <v>1 GENNAIO 2023</v>
      </c>
      <c r="G2078" s="1309" t="s">
        <v>100</v>
      </c>
      <c r="H2078" s="1309" t="str">
        <f>VLOOKUP(G2078,CATEGORIE!$H$3:$I$104,2,FALSE)</f>
        <v>COSTO SFIZI</v>
      </c>
      <c r="I2078" s="59">
        <v>79.989999999999995</v>
      </c>
      <c r="J2078" s="940"/>
      <c r="K2078" s="57" t="s">
        <v>99</v>
      </c>
      <c r="L2078" s="59"/>
    </row>
    <row r="2079" spans="1:12" ht="16.5" customHeight="1">
      <c r="A2079" s="57" t="s">
        <v>99</v>
      </c>
      <c r="B2079" s="57" t="s">
        <v>173</v>
      </c>
      <c r="C2079" s="57">
        <v>2022</v>
      </c>
      <c r="D2079" s="58">
        <f>MATCH(B2079,{"GENNAIO","FEBBRAIO","MARZO","APRILE","MAGGIO","GIUGNO","LUGLIO","AGOSTO","SETTEMBRE","OTTOBRE","NOVEMBRE","DICEMBRE"},0)</f>
        <v>12</v>
      </c>
      <c r="E2079" s="57" t="str">
        <f t="shared" si="1750"/>
        <v>DICEMBRE 2022</v>
      </c>
      <c r="F2079" s="57" t="str">
        <f t="shared" si="1751"/>
        <v>12 DICEMBRE 2022</v>
      </c>
      <c r="G2079" s="1309" t="s">
        <v>100</v>
      </c>
      <c r="H2079" s="1309" t="str">
        <f>VLOOKUP(G2079,CATEGORIE!$H$3:$I$104,2,FALSE)</f>
        <v>COSTO SFIZI</v>
      </c>
      <c r="I2079" s="59">
        <v>25.95</v>
      </c>
      <c r="J2079" s="940"/>
      <c r="K2079" s="57" t="s">
        <v>99</v>
      </c>
      <c r="L2079" s="59"/>
    </row>
    <row r="2080" spans="1:12" ht="16.5" customHeight="1">
      <c r="A2080" s="57" t="s">
        <v>501</v>
      </c>
      <c r="B2080" s="57" t="s">
        <v>173</v>
      </c>
      <c r="C2080" s="57">
        <v>2022</v>
      </c>
      <c r="D2080" s="58">
        <f>MATCH(B2080,{"GENNAIO","FEBBRAIO","MARZO","APRILE","MAGGIO","GIUGNO","LUGLIO","AGOSTO","SETTEMBRE","OTTOBRE","NOVEMBRE","DICEMBRE"},0)</f>
        <v>12</v>
      </c>
      <c r="E2080" s="57" t="str">
        <f t="shared" si="1750"/>
        <v>DICEMBRE 2022</v>
      </c>
      <c r="F2080" s="57" t="str">
        <f t="shared" si="1751"/>
        <v>12 DICEMBRE 2022</v>
      </c>
      <c r="G2080" s="1309" t="s">
        <v>163</v>
      </c>
      <c r="H2080" s="1309" t="str">
        <f>VLOOKUP(G2080,CATEGORIE!$H$3:$I$104,2,FALSE)</f>
        <v>COSTO SVAGHI</v>
      </c>
      <c r="I2080" s="59">
        <v>32.700000000000003</v>
      </c>
      <c r="J2080" s="940"/>
      <c r="K2080" s="59"/>
      <c r="L2080" s="59"/>
    </row>
    <row r="2081" spans="1:12" ht="16.5" customHeight="1">
      <c r="A2081" s="57" t="s">
        <v>101</v>
      </c>
      <c r="B2081" s="57" t="s">
        <v>173</v>
      </c>
      <c r="C2081" s="57">
        <v>2022</v>
      </c>
      <c r="D2081" s="58">
        <f>MATCH(B2081,{"GENNAIO","FEBBRAIO","MARZO","APRILE","MAGGIO","GIUGNO","LUGLIO","AGOSTO","SETTEMBRE","OTTOBRE","NOVEMBRE","DICEMBRE"},0)</f>
        <v>12</v>
      </c>
      <c r="E2081" s="57" t="str">
        <f t="shared" si="1750"/>
        <v>DICEMBRE 2022</v>
      </c>
      <c r="F2081" s="57" t="str">
        <f t="shared" si="1751"/>
        <v>12 DICEMBRE 2022</v>
      </c>
      <c r="G2081" s="1309" t="s">
        <v>91</v>
      </c>
      <c r="H2081" s="1309" t="str">
        <f>VLOOKUP(G2081,CATEGORIE!$H$3:$I$104,2,FALSE)</f>
        <v>COSTO SOPRAVVIVENZA</v>
      </c>
      <c r="I2081" s="59">
        <v>0.4</v>
      </c>
      <c r="J2081" s="940"/>
      <c r="K2081" s="59"/>
      <c r="L2081" s="59"/>
    </row>
    <row r="2082" spans="1:12" ht="16.5" customHeight="1">
      <c r="A2082" s="57" t="s">
        <v>101</v>
      </c>
      <c r="B2082" s="57" t="s">
        <v>173</v>
      </c>
      <c r="C2082" s="57">
        <v>2022</v>
      </c>
      <c r="D2082" s="58">
        <f>MATCH(B2082,{"GENNAIO","FEBBRAIO","MARZO","APRILE","MAGGIO","GIUGNO","LUGLIO","AGOSTO","SETTEMBRE","OTTOBRE","NOVEMBRE","DICEMBRE"},0)</f>
        <v>12</v>
      </c>
      <c r="E2082" s="57" t="str">
        <f t="shared" si="1750"/>
        <v>DICEMBRE 2022</v>
      </c>
      <c r="F2082" s="57" t="str">
        <f t="shared" si="1751"/>
        <v>12 DICEMBRE 2022</v>
      </c>
      <c r="G2082" s="1309" t="s">
        <v>91</v>
      </c>
      <c r="H2082" s="1309" t="str">
        <f>VLOOKUP(G2082,CATEGORIE!$H$3:$I$104,2,FALSE)</f>
        <v>COSTO SOPRAVVIVENZA</v>
      </c>
      <c r="I2082" s="59">
        <v>0.4</v>
      </c>
      <c r="J2082" s="940"/>
      <c r="K2082" s="59"/>
      <c r="L2082" s="59"/>
    </row>
    <row r="2083" spans="1:12" ht="16.5" customHeight="1">
      <c r="A2083" s="57" t="s">
        <v>101</v>
      </c>
      <c r="B2083" s="57" t="s">
        <v>173</v>
      </c>
      <c r="C2083" s="57">
        <v>2022</v>
      </c>
      <c r="D2083" s="58">
        <f>MATCH(B2083,{"GENNAIO","FEBBRAIO","MARZO","APRILE","MAGGIO","GIUGNO","LUGLIO","AGOSTO","SETTEMBRE","OTTOBRE","NOVEMBRE","DICEMBRE"},0)</f>
        <v>12</v>
      </c>
      <c r="E2083" s="57" t="str">
        <f t="shared" si="1750"/>
        <v>DICEMBRE 2022</v>
      </c>
      <c r="F2083" s="57" t="str">
        <f t="shared" si="1751"/>
        <v>12 DICEMBRE 2022</v>
      </c>
      <c r="G2083" s="1309" t="s">
        <v>91</v>
      </c>
      <c r="H2083" s="1309" t="str">
        <f>VLOOKUP(G2083,CATEGORIE!$H$3:$I$104,2,FALSE)</f>
        <v>COSTO SOPRAVVIVENZA</v>
      </c>
      <c r="I2083" s="59">
        <v>0.4</v>
      </c>
      <c r="J2083" s="940"/>
      <c r="K2083" s="59"/>
      <c r="L2083" s="59"/>
    </row>
    <row r="2084" spans="1:12" ht="18" customHeight="1">
      <c r="A2084" s="57" t="s">
        <v>101</v>
      </c>
      <c r="B2084" s="57" t="s">
        <v>173</v>
      </c>
      <c r="C2084" s="57">
        <v>2022</v>
      </c>
      <c r="D2084" s="58">
        <f>MATCH(B2084,{"GENNAIO","FEBBRAIO","MARZO","APRILE","MAGGIO","GIUGNO","LUGLIO","AGOSTO","SETTEMBRE","OTTOBRE","NOVEMBRE","DICEMBRE"},0)</f>
        <v>12</v>
      </c>
      <c r="E2084" s="57" t="str">
        <f t="shared" si="1750"/>
        <v>DICEMBRE 2022</v>
      </c>
      <c r="F2084" s="57" t="str">
        <f t="shared" si="1751"/>
        <v>12 DICEMBRE 2022</v>
      </c>
      <c r="G2084" s="1309" t="s">
        <v>91</v>
      </c>
      <c r="H2084" s="1309" t="str">
        <f>VLOOKUP(G2084,CATEGORIE!$H$3:$I$104,2,FALSE)</f>
        <v>COSTO SOPRAVVIVENZA</v>
      </c>
      <c r="I2084" s="59">
        <v>0.4</v>
      </c>
      <c r="J2084" s="940"/>
      <c r="K2084" s="59"/>
      <c r="L2084" s="59"/>
    </row>
    <row r="2085" spans="1:12" ht="16.5" customHeight="1">
      <c r="A2085" s="57" t="s">
        <v>101</v>
      </c>
      <c r="B2085" s="57" t="s">
        <v>173</v>
      </c>
      <c r="C2085" s="57">
        <v>2022</v>
      </c>
      <c r="D2085" s="58">
        <f>MATCH(B2085,{"GENNAIO","FEBBRAIO","MARZO","APRILE","MAGGIO","GIUGNO","LUGLIO","AGOSTO","SETTEMBRE","OTTOBRE","NOVEMBRE","DICEMBRE"},0)</f>
        <v>12</v>
      </c>
      <c r="E2085" s="57" t="str">
        <f t="shared" si="1750"/>
        <v>DICEMBRE 2022</v>
      </c>
      <c r="F2085" s="57" t="str">
        <f t="shared" si="1751"/>
        <v>12 DICEMBRE 2022</v>
      </c>
      <c r="G2085" s="1309" t="s">
        <v>91</v>
      </c>
      <c r="H2085" s="1309" t="str">
        <f>VLOOKUP(G2085,CATEGORIE!$H$3:$I$104,2,FALSE)</f>
        <v>COSTO SOPRAVVIVENZA</v>
      </c>
      <c r="I2085" s="59">
        <v>0.4</v>
      </c>
      <c r="J2085" s="940"/>
      <c r="K2085" s="59"/>
      <c r="L2085" s="59"/>
    </row>
    <row r="2086" spans="1:12" ht="16.5" customHeight="1">
      <c r="A2086" s="57" t="s">
        <v>101</v>
      </c>
      <c r="B2086" s="57" t="s">
        <v>173</v>
      </c>
      <c r="C2086" s="57">
        <v>2022</v>
      </c>
      <c r="D2086" s="58">
        <f>MATCH(B2086,{"GENNAIO","FEBBRAIO","MARZO","APRILE","MAGGIO","GIUGNO","LUGLIO","AGOSTO","SETTEMBRE","OTTOBRE","NOVEMBRE","DICEMBRE"},0)</f>
        <v>12</v>
      </c>
      <c r="E2086" s="57" t="str">
        <f t="shared" si="1750"/>
        <v>DICEMBRE 2022</v>
      </c>
      <c r="F2086" s="57" t="str">
        <f t="shared" si="1751"/>
        <v>12 DICEMBRE 2022</v>
      </c>
      <c r="G2086" s="1309" t="s">
        <v>91</v>
      </c>
      <c r="H2086" s="1309" t="str">
        <f>VLOOKUP(G2086,CATEGORIE!$H$3:$I$104,2,FALSE)</f>
        <v>COSTO SOPRAVVIVENZA</v>
      </c>
      <c r="I2086" s="59">
        <v>0.4</v>
      </c>
      <c r="J2086" s="940"/>
      <c r="K2086" s="59"/>
      <c r="L2086" s="59"/>
    </row>
    <row r="2087" spans="1:12" ht="18" customHeight="1">
      <c r="A2087" s="57" t="s">
        <v>99</v>
      </c>
      <c r="B2087" s="57" t="s">
        <v>173</v>
      </c>
      <c r="C2087" s="57">
        <v>2022</v>
      </c>
      <c r="D2087" s="58">
        <f>MATCH(B2087,{"GENNAIO","FEBBRAIO","MARZO","APRILE","MAGGIO","GIUGNO","LUGLIO","AGOSTO","SETTEMBRE","OTTOBRE","NOVEMBRE","DICEMBRE"},0)</f>
        <v>12</v>
      </c>
      <c r="E2087" s="57" t="str">
        <f t="shared" si="1750"/>
        <v>DICEMBRE 2022</v>
      </c>
      <c r="F2087" s="57" t="str">
        <f t="shared" si="1751"/>
        <v>12 DICEMBRE 2022</v>
      </c>
      <c r="G2087" s="1309" t="s">
        <v>108</v>
      </c>
      <c r="H2087" s="1309" t="str">
        <f>VLOOKUP(G2087,CATEGORIE!$H$3:$I$104,2,FALSE)</f>
        <v>COSTO SFIZI</v>
      </c>
      <c r="I2087" s="59">
        <v>9.98</v>
      </c>
      <c r="J2087" s="940" t="s">
        <v>126</v>
      </c>
      <c r="K2087" s="57" t="s">
        <v>99</v>
      </c>
      <c r="L2087" s="59"/>
    </row>
    <row r="2088" spans="1:12" ht="18" customHeight="1">
      <c r="A2088" s="57" t="s">
        <v>101</v>
      </c>
      <c r="B2088" s="57" t="s">
        <v>173</v>
      </c>
      <c r="C2088" s="57">
        <v>2022</v>
      </c>
      <c r="D2088" s="58">
        <f>MATCH(B2088,{"GENNAIO","FEBBRAIO","MARZO","APRILE","MAGGIO","GIUGNO","LUGLIO","AGOSTO","SETTEMBRE","OTTOBRE","NOVEMBRE","DICEMBRE"},0)</f>
        <v>12</v>
      </c>
      <c r="E2088" s="57" t="str">
        <f t="shared" si="1750"/>
        <v>DICEMBRE 2022</v>
      </c>
      <c r="F2088" s="57" t="str">
        <f t="shared" si="1751"/>
        <v>12 DICEMBRE 2022</v>
      </c>
      <c r="G2088" s="1309" t="s">
        <v>91</v>
      </c>
      <c r="H2088" s="1309" t="str">
        <f>VLOOKUP(G2088,CATEGORIE!$H$3:$I$104,2,FALSE)</f>
        <v>COSTO SOPRAVVIVENZA</v>
      </c>
      <c r="I2088" s="59">
        <v>0.4</v>
      </c>
      <c r="J2088" s="940"/>
      <c r="K2088" s="59"/>
      <c r="L2088" s="59"/>
    </row>
    <row r="2089" spans="1:12" ht="18.600000000000001" customHeight="1">
      <c r="A2089" s="57" t="s">
        <v>101</v>
      </c>
      <c r="B2089" s="57" t="s">
        <v>173</v>
      </c>
      <c r="C2089" s="57">
        <v>2022</v>
      </c>
      <c r="D2089" s="58">
        <f>MATCH(B2089,{"GENNAIO","FEBBRAIO","MARZO","APRILE","MAGGIO","GIUGNO","LUGLIO","AGOSTO","SETTEMBRE","OTTOBRE","NOVEMBRE","DICEMBRE"},0)</f>
        <v>12</v>
      </c>
      <c r="E2089" s="57" t="str">
        <f t="shared" si="1750"/>
        <v>DICEMBRE 2022</v>
      </c>
      <c r="F2089" s="57" t="str">
        <f t="shared" si="1751"/>
        <v>12 DICEMBRE 2022</v>
      </c>
      <c r="G2089" s="1309" t="s">
        <v>91</v>
      </c>
      <c r="H2089" s="1309" t="str">
        <f>VLOOKUP(G2089,CATEGORIE!$H$3:$I$104,2,FALSE)</f>
        <v>COSTO SOPRAVVIVENZA</v>
      </c>
      <c r="I2089" s="59">
        <v>0.4</v>
      </c>
      <c r="J2089" s="940"/>
      <c r="K2089" s="59"/>
      <c r="L2089" s="59"/>
    </row>
    <row r="2090" spans="1:12" ht="18" customHeight="1">
      <c r="A2090" s="57" t="s">
        <v>99</v>
      </c>
      <c r="B2090" s="57" t="s">
        <v>173</v>
      </c>
      <c r="C2090" s="57">
        <v>2022</v>
      </c>
      <c r="D2090" s="58">
        <f>MATCH(B2090,{"GENNAIO","FEBBRAIO","MARZO","APRILE","MAGGIO","GIUGNO","LUGLIO","AGOSTO","SETTEMBRE","OTTOBRE","NOVEMBRE","DICEMBRE"},0)</f>
        <v>12</v>
      </c>
      <c r="E2090" s="57" t="str">
        <f t="shared" si="1750"/>
        <v>DICEMBRE 2022</v>
      </c>
      <c r="F2090" s="57" t="str">
        <f t="shared" si="1751"/>
        <v>12 DICEMBRE 2022</v>
      </c>
      <c r="G2090" s="1309" t="s">
        <v>185</v>
      </c>
      <c r="H2090" s="1309" t="str">
        <f>VLOOKUP(G2090,CATEGORIE!$H$3:$I$104,2,FALSE)</f>
        <v>COSTO SFIZI</v>
      </c>
      <c r="I2090" s="59">
        <v>26.67</v>
      </c>
      <c r="J2090" s="940"/>
      <c r="K2090" s="57" t="s">
        <v>99</v>
      </c>
      <c r="L2090" s="59" t="s">
        <v>569</v>
      </c>
    </row>
    <row r="2091" spans="1:12" ht="16.5" customHeight="1">
      <c r="A2091" s="57" t="s">
        <v>99</v>
      </c>
      <c r="B2091" s="57" t="s">
        <v>173</v>
      </c>
      <c r="C2091" s="57">
        <v>2022</v>
      </c>
      <c r="D2091" s="58">
        <f>MATCH(B2091,{"GENNAIO","FEBBRAIO","MARZO","APRILE","MAGGIO","GIUGNO","LUGLIO","AGOSTO","SETTEMBRE","OTTOBRE","NOVEMBRE","DICEMBRE"},0)</f>
        <v>12</v>
      </c>
      <c r="E2091" s="57" t="str">
        <f t="shared" si="1750"/>
        <v>DICEMBRE 2022</v>
      </c>
      <c r="F2091" s="57" t="str">
        <f t="shared" si="1751"/>
        <v>12 DICEMBRE 2022</v>
      </c>
      <c r="G2091" s="1309" t="s">
        <v>185</v>
      </c>
      <c r="H2091" s="1309" t="str">
        <f>VLOOKUP(G2091,CATEGORIE!$H$3:$I$104,2,FALSE)</f>
        <v>COSTO SFIZI</v>
      </c>
      <c r="I2091" s="59">
        <v>35.9</v>
      </c>
      <c r="J2091" s="940"/>
      <c r="K2091" s="57" t="s">
        <v>99</v>
      </c>
      <c r="L2091" s="59" t="s">
        <v>569</v>
      </c>
    </row>
    <row r="2092" spans="1:12">
      <c r="A2092" s="57" t="s">
        <v>105</v>
      </c>
      <c r="B2092" s="57" t="s">
        <v>173</v>
      </c>
      <c r="C2092" s="57">
        <v>2022</v>
      </c>
      <c r="D2092" s="58">
        <f>MATCH(B2092,{"GENNAIO","FEBBRAIO","MARZO","APRILE","MAGGIO","GIUGNO","LUGLIO","AGOSTO","SETTEMBRE","OTTOBRE","NOVEMBRE","DICEMBRE"},0)</f>
        <v>12</v>
      </c>
      <c r="E2092" s="57" t="str">
        <f t="shared" si="1750"/>
        <v>DICEMBRE 2022</v>
      </c>
      <c r="F2092" s="57" t="str">
        <f t="shared" si="1751"/>
        <v>12 DICEMBRE 2022</v>
      </c>
      <c r="G2092" s="1309" t="s">
        <v>96</v>
      </c>
      <c r="H2092" s="1309" t="str">
        <f>VLOOKUP(G2092,CATEGORIE!$H$3:$I$104,2,FALSE)</f>
        <v>COSTO SOPRAVVIVENZA</v>
      </c>
      <c r="I2092" s="59">
        <v>23.38</v>
      </c>
      <c r="J2092" s="940"/>
      <c r="K2092" s="59"/>
      <c r="L2092" s="59"/>
    </row>
    <row r="2093" spans="1:12" ht="16.5" customHeight="1">
      <c r="A2093" s="57" t="s">
        <v>99</v>
      </c>
      <c r="B2093" s="57" t="s">
        <v>173</v>
      </c>
      <c r="C2093" s="57">
        <v>2022</v>
      </c>
      <c r="D2093" s="58">
        <f>MATCH(B2093,{"GENNAIO","FEBBRAIO","MARZO","APRILE","MAGGIO","GIUGNO","LUGLIO","AGOSTO","SETTEMBRE","OTTOBRE","NOVEMBRE","DICEMBRE"},0)</f>
        <v>12</v>
      </c>
      <c r="E2093" s="57" t="str">
        <f t="shared" si="1750"/>
        <v>DICEMBRE 2022</v>
      </c>
      <c r="F2093" s="57" t="str">
        <f t="shared" si="1751"/>
        <v>12 DICEMBRE 2022</v>
      </c>
      <c r="G2093" s="1309" t="s">
        <v>185</v>
      </c>
      <c r="H2093" s="1309" t="str">
        <f>VLOOKUP(G2093,CATEGORIE!$H$3:$I$104,2,FALSE)</f>
        <v>COSTO SFIZI</v>
      </c>
      <c r="I2093" s="59">
        <v>24.29</v>
      </c>
      <c r="J2093" s="940"/>
      <c r="K2093" s="57" t="s">
        <v>99</v>
      </c>
      <c r="L2093" s="59" t="s">
        <v>569</v>
      </c>
    </row>
    <row r="2094" spans="1:12" ht="16.5" customHeight="1">
      <c r="A2094" s="57" t="s">
        <v>92</v>
      </c>
      <c r="B2094" s="57" t="s">
        <v>173</v>
      </c>
      <c r="C2094" s="57">
        <v>2022</v>
      </c>
      <c r="D2094" s="58">
        <f>MATCH(B2094,{"GENNAIO","FEBBRAIO","MARZO","APRILE","MAGGIO","GIUGNO","LUGLIO","AGOSTO","SETTEMBRE","OTTOBRE","NOVEMBRE","DICEMBRE"},0)</f>
        <v>12</v>
      </c>
      <c r="E2094" s="57" t="str">
        <f t="shared" si="1750"/>
        <v>DICEMBRE 2022</v>
      </c>
      <c r="F2094" s="57" t="str">
        <f t="shared" si="1751"/>
        <v>12 DICEMBRE 2022</v>
      </c>
      <c r="G2094" s="1309" t="s">
        <v>93</v>
      </c>
      <c r="H2094" s="1309" t="str">
        <f>VLOOKUP(G2094,CATEGORIE!$H$3:$I$104,2,FALSE)</f>
        <v>COSTO SOPRAVVIVENZA</v>
      </c>
      <c r="I2094" s="59">
        <v>5</v>
      </c>
      <c r="J2094" s="940"/>
      <c r="K2094" s="59"/>
      <c r="L2094" s="59"/>
    </row>
    <row r="2095" spans="1:12" ht="16.5" customHeight="1">
      <c r="A2095" s="57" t="s">
        <v>106</v>
      </c>
      <c r="B2095" s="57" t="s">
        <v>173</v>
      </c>
      <c r="C2095" s="57">
        <v>2022</v>
      </c>
      <c r="D2095" s="58">
        <f>MATCH(B2095,{"GENNAIO","FEBBRAIO","MARZO","APRILE","MAGGIO","GIUGNO","LUGLIO","AGOSTO","SETTEMBRE","OTTOBRE","NOVEMBRE","DICEMBRE"},0)</f>
        <v>12</v>
      </c>
      <c r="E2095" s="57" t="str">
        <f t="shared" si="1750"/>
        <v>DICEMBRE 2022</v>
      </c>
      <c r="F2095" s="57" t="str">
        <f t="shared" si="1751"/>
        <v>12 DICEMBRE 2022</v>
      </c>
      <c r="G2095" s="1309" t="s">
        <v>107</v>
      </c>
      <c r="H2095" s="1309" t="str">
        <f>VLOOKUP(G2095,CATEGORIE!$H$3:$I$104,2,FALSE)</f>
        <v>COSTO SOPRAVVIVENZA</v>
      </c>
      <c r="I2095" s="59">
        <v>33</v>
      </c>
      <c r="J2095" s="940"/>
      <c r="K2095" s="59"/>
      <c r="L2095" s="59"/>
    </row>
    <row r="2096" spans="1:12" ht="16.5" customHeight="1">
      <c r="A2096" s="57" t="s">
        <v>92</v>
      </c>
      <c r="B2096" s="57" t="s">
        <v>173</v>
      </c>
      <c r="C2096" s="57">
        <v>2022</v>
      </c>
      <c r="D2096" s="58">
        <f>MATCH(B2096,{"GENNAIO","FEBBRAIO","MARZO","APRILE","MAGGIO","GIUGNO","LUGLIO","AGOSTO","SETTEMBRE","OTTOBRE","NOVEMBRE","DICEMBRE"},0)</f>
        <v>12</v>
      </c>
      <c r="E2096" s="57" t="str">
        <f t="shared" si="1750"/>
        <v>DICEMBRE 2022</v>
      </c>
      <c r="F2096" s="57" t="str">
        <f t="shared" si="1751"/>
        <v>12 DICEMBRE 2022</v>
      </c>
      <c r="G2096" s="1309" t="s">
        <v>93</v>
      </c>
      <c r="H2096" s="1309" t="str">
        <f>VLOOKUP(G2096,CATEGORIE!$H$3:$I$104,2,FALSE)</f>
        <v>COSTO SOPRAVVIVENZA</v>
      </c>
      <c r="I2096" s="59">
        <v>5</v>
      </c>
      <c r="J2096" s="940"/>
      <c r="K2096" s="59"/>
      <c r="L2096" s="59"/>
    </row>
    <row r="2097" spans="1:12" ht="16.5" customHeight="1">
      <c r="A2097" s="57" t="s">
        <v>92</v>
      </c>
      <c r="B2097" s="57" t="s">
        <v>173</v>
      </c>
      <c r="C2097" s="57">
        <v>2022</v>
      </c>
      <c r="D2097" s="58">
        <f>MATCH(B2097,{"GENNAIO","FEBBRAIO","MARZO","APRILE","MAGGIO","GIUGNO","LUGLIO","AGOSTO","SETTEMBRE","OTTOBRE","NOVEMBRE","DICEMBRE"},0)</f>
        <v>12</v>
      </c>
      <c r="E2097" s="57" t="str">
        <f t="shared" si="1750"/>
        <v>DICEMBRE 2022</v>
      </c>
      <c r="F2097" s="57" t="str">
        <f t="shared" si="1751"/>
        <v>12 DICEMBRE 2022</v>
      </c>
      <c r="G2097" s="1309" t="s">
        <v>94</v>
      </c>
      <c r="H2097" s="1309" t="str">
        <f>VLOOKUP(G2097,CATEGORIE!$H$3:$I$104,2,FALSE)</f>
        <v>COSTO SVAGHI</v>
      </c>
      <c r="I2097" s="59">
        <v>3.6</v>
      </c>
      <c r="J2097" s="940"/>
      <c r="K2097" s="59"/>
      <c r="L2097" s="59"/>
    </row>
    <row r="2098" spans="1:12" ht="16.5" customHeight="1">
      <c r="A2098" s="57" t="s">
        <v>101</v>
      </c>
      <c r="B2098" s="57" t="s">
        <v>173</v>
      </c>
      <c r="C2098" s="57">
        <v>2022</v>
      </c>
      <c r="D2098" s="58">
        <f>MATCH(B2098,{"GENNAIO","FEBBRAIO","MARZO","APRILE","MAGGIO","GIUGNO","LUGLIO","AGOSTO","SETTEMBRE","OTTOBRE","NOVEMBRE","DICEMBRE"},0)</f>
        <v>12</v>
      </c>
      <c r="E2098" s="57" t="str">
        <f t="shared" si="1750"/>
        <v>DICEMBRE 2022</v>
      </c>
      <c r="F2098" s="57" t="str">
        <f t="shared" si="1751"/>
        <v>12 DICEMBRE 2022</v>
      </c>
      <c r="G2098" s="1309" t="s">
        <v>91</v>
      </c>
      <c r="H2098" s="1309" t="str">
        <f>VLOOKUP(G2098,CATEGORIE!$H$3:$I$104,2,FALSE)</f>
        <v>COSTO SOPRAVVIVENZA</v>
      </c>
      <c r="I2098" s="59">
        <v>0.4</v>
      </c>
      <c r="J2098" s="940"/>
      <c r="K2098" s="59"/>
      <c r="L2098" s="59"/>
    </row>
    <row r="2099" spans="1:12" ht="16.5" customHeight="1">
      <c r="A2099" s="57" t="s">
        <v>101</v>
      </c>
      <c r="B2099" s="57" t="s">
        <v>173</v>
      </c>
      <c r="C2099" s="57">
        <v>2022</v>
      </c>
      <c r="D2099" s="58">
        <f>MATCH(B2099,{"GENNAIO","FEBBRAIO","MARZO","APRILE","MAGGIO","GIUGNO","LUGLIO","AGOSTO","SETTEMBRE","OTTOBRE","NOVEMBRE","DICEMBRE"},0)</f>
        <v>12</v>
      </c>
      <c r="E2099" s="57" t="str">
        <f t="shared" si="1750"/>
        <v>DICEMBRE 2022</v>
      </c>
      <c r="F2099" s="57" t="str">
        <f t="shared" si="1751"/>
        <v>12 DICEMBRE 2022</v>
      </c>
      <c r="G2099" s="1309" t="s">
        <v>91</v>
      </c>
      <c r="H2099" s="1309" t="str">
        <f>VLOOKUP(G2099,CATEGORIE!$H$3:$I$104,2,FALSE)</f>
        <v>COSTO SOPRAVVIVENZA</v>
      </c>
      <c r="I2099" s="59">
        <v>0.4</v>
      </c>
      <c r="J2099" s="940"/>
      <c r="K2099" s="59"/>
      <c r="L2099" s="59"/>
    </row>
    <row r="2100" spans="1:12" ht="18.600000000000001" customHeight="1">
      <c r="A2100" s="57" t="s">
        <v>101</v>
      </c>
      <c r="B2100" s="57" t="s">
        <v>173</v>
      </c>
      <c r="C2100" s="57">
        <v>2022</v>
      </c>
      <c r="D2100" s="58">
        <f>MATCH(B2100,{"GENNAIO","FEBBRAIO","MARZO","APRILE","MAGGIO","GIUGNO","LUGLIO","AGOSTO","SETTEMBRE","OTTOBRE","NOVEMBRE","DICEMBRE"},0)</f>
        <v>12</v>
      </c>
      <c r="E2100" s="57" t="str">
        <f t="shared" si="1750"/>
        <v>DICEMBRE 2022</v>
      </c>
      <c r="F2100" s="57" t="str">
        <f t="shared" si="1751"/>
        <v>12 DICEMBRE 2022</v>
      </c>
      <c r="G2100" s="1309" t="s">
        <v>91</v>
      </c>
      <c r="H2100" s="1309" t="str">
        <f>VLOOKUP(G2100,CATEGORIE!$H$3:$I$104,2,FALSE)</f>
        <v>COSTO SOPRAVVIVENZA</v>
      </c>
      <c r="I2100" s="59">
        <v>0.4</v>
      </c>
      <c r="J2100" s="940"/>
      <c r="K2100" s="59"/>
      <c r="L2100" s="59"/>
    </row>
    <row r="2101" spans="1:12" ht="18.600000000000001" customHeight="1">
      <c r="A2101" s="57" t="s">
        <v>101</v>
      </c>
      <c r="B2101" s="57" t="s">
        <v>173</v>
      </c>
      <c r="C2101" s="57">
        <v>2022</v>
      </c>
      <c r="D2101" s="58">
        <f>MATCH(B2101,{"GENNAIO","FEBBRAIO","MARZO","APRILE","MAGGIO","GIUGNO","LUGLIO","AGOSTO","SETTEMBRE","OTTOBRE","NOVEMBRE","DICEMBRE"},0)</f>
        <v>12</v>
      </c>
      <c r="E2101" s="57" t="str">
        <f t="shared" si="1750"/>
        <v>DICEMBRE 2022</v>
      </c>
      <c r="F2101" s="57" t="str">
        <f t="shared" si="1751"/>
        <v>12 DICEMBRE 2022</v>
      </c>
      <c r="G2101" s="1309" t="s">
        <v>91</v>
      </c>
      <c r="H2101" s="1309" t="str">
        <f>VLOOKUP(G2101,CATEGORIE!$H$3:$I$104,2,FALSE)</f>
        <v>COSTO SOPRAVVIVENZA</v>
      </c>
      <c r="I2101" s="59">
        <v>0.4</v>
      </c>
      <c r="J2101" s="940"/>
      <c r="K2101" s="59"/>
      <c r="L2101" s="59"/>
    </row>
    <row r="2102" spans="1:12" ht="16.5" customHeight="1">
      <c r="A2102" s="57" t="s">
        <v>570</v>
      </c>
      <c r="B2102" s="57" t="s">
        <v>173</v>
      </c>
      <c r="C2102" s="57">
        <v>2022</v>
      </c>
      <c r="D2102" s="58">
        <f>MATCH(B2102,{"GENNAIO","FEBBRAIO","MARZO","APRILE","MAGGIO","GIUGNO","LUGLIO","AGOSTO","SETTEMBRE","OTTOBRE","NOVEMBRE","DICEMBRE"},0)</f>
        <v>12</v>
      </c>
      <c r="E2102" s="57" t="str">
        <f t="shared" si="1750"/>
        <v>DICEMBRE 2022</v>
      </c>
      <c r="F2102" s="57" t="str">
        <f t="shared" si="1751"/>
        <v>12 DICEMBRE 2022</v>
      </c>
      <c r="G2102" s="1309" t="s">
        <v>94</v>
      </c>
      <c r="H2102" s="1309" t="str">
        <f>VLOOKUP(G2102,CATEGORIE!$H$3:$I$104,2,FALSE)</f>
        <v>COSTO SVAGHI</v>
      </c>
      <c r="I2102" s="59">
        <v>24</v>
      </c>
      <c r="J2102" s="940"/>
      <c r="K2102" s="59"/>
      <c r="L2102" s="59" t="s">
        <v>514</v>
      </c>
    </row>
    <row r="2103" spans="1:12">
      <c r="A2103" s="57" t="s">
        <v>102</v>
      </c>
      <c r="B2103" s="57" t="s">
        <v>173</v>
      </c>
      <c r="C2103" s="57">
        <v>2022</v>
      </c>
      <c r="D2103" s="58">
        <f>MATCH(B2103,{"GENNAIO","FEBBRAIO","MARZO","APRILE","MAGGIO","GIUGNO","LUGLIO","AGOSTO","SETTEMBRE","OTTOBRE","NOVEMBRE","DICEMBRE"},0)</f>
        <v>12</v>
      </c>
      <c r="E2103" s="57" t="str">
        <f t="shared" si="1750"/>
        <v>DICEMBRE 2022</v>
      </c>
      <c r="F2103" s="57" t="str">
        <f t="shared" si="1751"/>
        <v>12 DICEMBRE 2022</v>
      </c>
      <c r="G2103" s="1309" t="s">
        <v>96</v>
      </c>
      <c r="H2103" s="1309" t="str">
        <f>VLOOKUP(G2103,CATEGORIE!$H$3:$I$104,2,FALSE)</f>
        <v>COSTO SOPRAVVIVENZA</v>
      </c>
      <c r="I2103" s="59">
        <v>18.21</v>
      </c>
      <c r="J2103" s="940"/>
      <c r="K2103" s="59"/>
      <c r="L2103" s="59"/>
    </row>
    <row r="2104" spans="1:12" ht="18.600000000000001" customHeight="1">
      <c r="A2104" s="57" t="s">
        <v>156</v>
      </c>
      <c r="B2104" s="57" t="s">
        <v>173</v>
      </c>
      <c r="C2104" s="57">
        <v>2022</v>
      </c>
      <c r="D2104" s="58">
        <f>MATCH(B2104,{"GENNAIO","FEBBRAIO","MARZO","APRILE","MAGGIO","GIUGNO","LUGLIO","AGOSTO","SETTEMBRE","OTTOBRE","NOVEMBRE","DICEMBRE"},0)</f>
        <v>12</v>
      </c>
      <c r="E2104" s="57" t="str">
        <f t="shared" si="1750"/>
        <v>DICEMBRE 2022</v>
      </c>
      <c r="F2104" s="57" t="str">
        <f t="shared" si="1751"/>
        <v>12 DICEMBRE 2022</v>
      </c>
      <c r="G2104" s="1309" t="s">
        <v>96</v>
      </c>
      <c r="H2104" s="1309" t="str">
        <f>VLOOKUP(G2104,CATEGORIE!$H$3:$I$104,2,FALSE)</f>
        <v>COSTO SOPRAVVIVENZA</v>
      </c>
      <c r="I2104" s="59">
        <v>67.12</v>
      </c>
      <c r="J2104" s="940"/>
      <c r="K2104" s="59"/>
      <c r="L2104" s="59"/>
    </row>
    <row r="2105" spans="1:12" ht="18.600000000000001" customHeight="1">
      <c r="A2105" s="57" t="s">
        <v>394</v>
      </c>
      <c r="B2105" s="57" t="s">
        <v>173</v>
      </c>
      <c r="C2105" s="57">
        <v>2022</v>
      </c>
      <c r="D2105" s="58">
        <f>MATCH(B2105,{"GENNAIO","FEBBRAIO","MARZO","APRILE","MAGGIO","GIUGNO","LUGLIO","AGOSTO","SETTEMBRE","OTTOBRE","NOVEMBRE","DICEMBRE"},0)</f>
        <v>12</v>
      </c>
      <c r="E2105" s="57" t="str">
        <f t="shared" ref="E2105:E2168" si="1752">CONCATENATE(,B2105," ",C2105)</f>
        <v>DICEMBRE 2022</v>
      </c>
      <c r="F2105" s="57" t="str">
        <f t="shared" ref="F2105:F2168" si="1753">CONCATENATE(D2105," ",E2105)</f>
        <v>12 DICEMBRE 2022</v>
      </c>
      <c r="G2105" s="1309" t="s">
        <v>94</v>
      </c>
      <c r="H2105" s="1309" t="str">
        <f>VLOOKUP(G2105,CATEGORIE!$H$3:$I$104,2,FALSE)</f>
        <v>COSTO SVAGHI</v>
      </c>
      <c r="I2105" s="59">
        <v>19</v>
      </c>
      <c r="J2105" s="940"/>
      <c r="K2105" s="59"/>
      <c r="L2105" s="59"/>
    </row>
    <row r="2106" spans="1:12" ht="16.5" customHeight="1">
      <c r="A2106" s="57" t="s">
        <v>135</v>
      </c>
      <c r="B2106" s="57" t="s">
        <v>173</v>
      </c>
      <c r="C2106" s="57">
        <v>2022</v>
      </c>
      <c r="D2106" s="58">
        <f>MATCH(B2106,{"GENNAIO","FEBBRAIO","MARZO","APRILE","MAGGIO","GIUGNO","LUGLIO","AGOSTO","SETTEMBRE","OTTOBRE","NOVEMBRE","DICEMBRE"},0)</f>
        <v>12</v>
      </c>
      <c r="E2106" s="57" t="str">
        <f t="shared" si="1752"/>
        <v>DICEMBRE 2022</v>
      </c>
      <c r="F2106" s="57" t="str">
        <f t="shared" si="1753"/>
        <v>12 DICEMBRE 2022</v>
      </c>
      <c r="G2106" s="1309" t="s">
        <v>132</v>
      </c>
      <c r="H2106" s="1309" t="str">
        <f>VLOOKUP(G2106,CATEGORIE!$H$3:$I$104,2,FALSE)</f>
        <v>COSTO CASA</v>
      </c>
      <c r="I2106" s="59">
        <v>15.69</v>
      </c>
      <c r="J2106" s="940"/>
      <c r="K2106" s="59"/>
      <c r="L2106" s="59"/>
    </row>
    <row r="2107" spans="1:12" ht="18.600000000000001" customHeight="1">
      <c r="A2107" s="57" t="s">
        <v>156</v>
      </c>
      <c r="B2107" s="57" t="s">
        <v>173</v>
      </c>
      <c r="C2107" s="57">
        <v>2022</v>
      </c>
      <c r="D2107" s="58">
        <f>MATCH(B2107,{"GENNAIO","FEBBRAIO","MARZO","APRILE","MAGGIO","GIUGNO","LUGLIO","AGOSTO","SETTEMBRE","OTTOBRE","NOVEMBRE","DICEMBRE"},0)</f>
        <v>12</v>
      </c>
      <c r="E2107" s="57" t="str">
        <f t="shared" si="1752"/>
        <v>DICEMBRE 2022</v>
      </c>
      <c r="F2107" s="57" t="str">
        <f t="shared" si="1753"/>
        <v>12 DICEMBRE 2022</v>
      </c>
      <c r="G2107" s="1309" t="s">
        <v>96</v>
      </c>
      <c r="H2107" s="1309" t="str">
        <f>VLOOKUP(G2107,CATEGORIE!$H$3:$I$104,2,FALSE)</f>
        <v>COSTO SOPRAVVIVENZA</v>
      </c>
      <c r="I2107" s="59">
        <v>16.239999999999998</v>
      </c>
      <c r="J2107" s="940"/>
      <c r="K2107" s="59"/>
      <c r="L2107" s="59" t="s">
        <v>514</v>
      </c>
    </row>
    <row r="2108" spans="1:12" ht="18.600000000000001" customHeight="1">
      <c r="A2108" s="57" t="s">
        <v>176</v>
      </c>
      <c r="B2108" s="57" t="s">
        <v>173</v>
      </c>
      <c r="C2108" s="57">
        <v>2022</v>
      </c>
      <c r="D2108" s="58">
        <f>MATCH(B2108,{"GENNAIO","FEBBRAIO","MARZO","APRILE","MAGGIO","GIUGNO","LUGLIO","AGOSTO","SETTEMBRE","OTTOBRE","NOVEMBRE","DICEMBRE"},0)</f>
        <v>12</v>
      </c>
      <c r="E2108" s="57" t="str">
        <f t="shared" si="1752"/>
        <v>DICEMBRE 2022</v>
      </c>
      <c r="F2108" s="57" t="str">
        <f t="shared" si="1753"/>
        <v>12 DICEMBRE 2022</v>
      </c>
      <c r="G2108" s="1309" t="s">
        <v>96</v>
      </c>
      <c r="H2108" s="1309" t="str">
        <f>VLOOKUP(G2108,CATEGORIE!$H$3:$I$104,2,FALSE)</f>
        <v>COSTO SOPRAVVIVENZA</v>
      </c>
      <c r="I2108" s="59">
        <v>56.1</v>
      </c>
      <c r="J2108" s="940"/>
      <c r="K2108" s="59"/>
      <c r="L2108" s="59" t="s">
        <v>514</v>
      </c>
    </row>
    <row r="2109" spans="1:12" ht="16.5" customHeight="1">
      <c r="A2109" s="57" t="s">
        <v>101</v>
      </c>
      <c r="B2109" s="57" t="s">
        <v>173</v>
      </c>
      <c r="C2109" s="57">
        <v>2022</v>
      </c>
      <c r="D2109" s="58">
        <f>MATCH(B2109,{"GENNAIO","FEBBRAIO","MARZO","APRILE","MAGGIO","GIUGNO","LUGLIO","AGOSTO","SETTEMBRE","OTTOBRE","NOVEMBRE","DICEMBRE"},0)</f>
        <v>12</v>
      </c>
      <c r="E2109" s="57" t="str">
        <f t="shared" si="1752"/>
        <v>DICEMBRE 2022</v>
      </c>
      <c r="F2109" s="57" t="str">
        <f t="shared" si="1753"/>
        <v>12 DICEMBRE 2022</v>
      </c>
      <c r="G2109" s="1309" t="s">
        <v>91</v>
      </c>
      <c r="H2109" s="1309" t="str">
        <f>VLOOKUP(G2109,CATEGORIE!$H$3:$I$104,2,FALSE)</f>
        <v>COSTO SOPRAVVIVENZA</v>
      </c>
      <c r="I2109" s="59">
        <v>0.4</v>
      </c>
      <c r="J2109" s="940"/>
      <c r="K2109" s="59"/>
      <c r="L2109" s="59"/>
    </row>
    <row r="2110" spans="1:12" ht="16.5" customHeight="1">
      <c r="A2110" s="57" t="s">
        <v>156</v>
      </c>
      <c r="B2110" s="57" t="s">
        <v>173</v>
      </c>
      <c r="C2110" s="57">
        <v>2022</v>
      </c>
      <c r="D2110" s="58">
        <f>MATCH(B2110,{"GENNAIO","FEBBRAIO","MARZO","APRILE","MAGGIO","GIUGNO","LUGLIO","AGOSTO","SETTEMBRE","OTTOBRE","NOVEMBRE","DICEMBRE"},0)</f>
        <v>12</v>
      </c>
      <c r="E2110" s="57" t="str">
        <f t="shared" si="1752"/>
        <v>DICEMBRE 2022</v>
      </c>
      <c r="F2110" s="57" t="str">
        <f t="shared" si="1753"/>
        <v>12 DICEMBRE 2022</v>
      </c>
      <c r="G2110" s="1309" t="s">
        <v>96</v>
      </c>
      <c r="H2110" s="1309" t="str">
        <f>VLOOKUP(G2110,CATEGORIE!$H$3:$I$104,2,FALSE)</f>
        <v>COSTO SOPRAVVIVENZA</v>
      </c>
      <c r="I2110" s="59">
        <v>64.16</v>
      </c>
      <c r="J2110" s="940"/>
      <c r="K2110" s="59"/>
      <c r="L2110" s="59" t="s">
        <v>514</v>
      </c>
    </row>
    <row r="2111" spans="1:12" ht="16.5" customHeight="1">
      <c r="A2111" s="57" t="s">
        <v>102</v>
      </c>
      <c r="B2111" s="57" t="s">
        <v>173</v>
      </c>
      <c r="C2111" s="57">
        <v>2022</v>
      </c>
      <c r="D2111" s="58">
        <f>MATCH(B2111,{"GENNAIO","FEBBRAIO","MARZO","APRILE","MAGGIO","GIUGNO","LUGLIO","AGOSTO","SETTEMBRE","OTTOBRE","NOVEMBRE","DICEMBRE"},0)</f>
        <v>12</v>
      </c>
      <c r="E2111" s="57" t="str">
        <f t="shared" si="1752"/>
        <v>DICEMBRE 2022</v>
      </c>
      <c r="F2111" s="57" t="str">
        <f t="shared" si="1753"/>
        <v>12 DICEMBRE 2022</v>
      </c>
      <c r="G2111" s="1309" t="s">
        <v>96</v>
      </c>
      <c r="H2111" s="1309" t="str">
        <f>VLOOKUP(G2111,CATEGORIE!$H$3:$I$104,2,FALSE)</f>
        <v>COSTO SOPRAVVIVENZA</v>
      </c>
      <c r="I2111" s="59">
        <v>33.11</v>
      </c>
      <c r="J2111" s="940"/>
      <c r="K2111" s="59"/>
      <c r="L2111" s="59" t="s">
        <v>514</v>
      </c>
    </row>
    <row r="2112" spans="1:12" ht="16.5" customHeight="1">
      <c r="A2112" s="57" t="s">
        <v>571</v>
      </c>
      <c r="B2112" s="57" t="s">
        <v>173</v>
      </c>
      <c r="C2112" s="57">
        <v>2022</v>
      </c>
      <c r="D2112" s="58">
        <f>MATCH(B2112,{"GENNAIO","FEBBRAIO","MARZO","APRILE","MAGGIO","GIUGNO","LUGLIO","AGOSTO","SETTEMBRE","OTTOBRE","NOVEMBRE","DICEMBRE"},0)</f>
        <v>12</v>
      </c>
      <c r="E2112" s="57" t="str">
        <f t="shared" si="1752"/>
        <v>DICEMBRE 2022</v>
      </c>
      <c r="F2112" s="57" t="str">
        <f t="shared" si="1753"/>
        <v>12 DICEMBRE 2022</v>
      </c>
      <c r="G2112" s="1309" t="s">
        <v>94</v>
      </c>
      <c r="H2112" s="1309" t="str">
        <f>VLOOKUP(G2112,CATEGORIE!$H$3:$I$104,2,FALSE)</f>
        <v>COSTO SVAGHI</v>
      </c>
      <c r="I2112" s="59">
        <v>22</v>
      </c>
      <c r="J2112" s="940"/>
      <c r="K2112" s="59"/>
      <c r="L2112" s="59"/>
    </row>
    <row r="2113" spans="1:12">
      <c r="A2113" s="57" t="s">
        <v>572</v>
      </c>
      <c r="B2113" s="57" t="s">
        <v>173</v>
      </c>
      <c r="C2113" s="57">
        <v>2022</v>
      </c>
      <c r="D2113" s="58">
        <f>MATCH(B2113,{"GENNAIO","FEBBRAIO","MARZO","APRILE","MAGGIO","GIUGNO","LUGLIO","AGOSTO","SETTEMBRE","OTTOBRE","NOVEMBRE","DICEMBRE"},0)</f>
        <v>12</v>
      </c>
      <c r="E2113" s="57" t="str">
        <f t="shared" si="1752"/>
        <v>DICEMBRE 2022</v>
      </c>
      <c r="F2113" s="57" t="str">
        <f t="shared" si="1753"/>
        <v>12 DICEMBRE 2022</v>
      </c>
      <c r="G2113" s="1309" t="s">
        <v>188</v>
      </c>
      <c r="H2113" s="1309" t="str">
        <f>VLOOKUP(G2113,CATEGORIE!$H$3:$I$104,2,FALSE)</f>
        <v>COSTO VACANZE</v>
      </c>
      <c r="I2113" s="59">
        <v>27</v>
      </c>
      <c r="J2113" s="940"/>
      <c r="K2113" s="59"/>
      <c r="L2113" s="59"/>
    </row>
    <row r="2114" spans="1:12">
      <c r="A2114" s="57" t="s">
        <v>363</v>
      </c>
      <c r="B2114" s="57" t="s">
        <v>173</v>
      </c>
      <c r="C2114" s="57">
        <v>2022</v>
      </c>
      <c r="D2114" s="58">
        <f>MATCH(B2114,{"GENNAIO","FEBBRAIO","MARZO","APRILE","MAGGIO","GIUGNO","LUGLIO","AGOSTO","SETTEMBRE","OTTOBRE","NOVEMBRE","DICEMBRE"},0)</f>
        <v>12</v>
      </c>
      <c r="E2114" s="57" t="str">
        <f t="shared" si="1752"/>
        <v>DICEMBRE 2022</v>
      </c>
      <c r="F2114" s="57" t="str">
        <f t="shared" si="1753"/>
        <v>12 DICEMBRE 2022</v>
      </c>
      <c r="G2114" s="1309" t="s">
        <v>94</v>
      </c>
      <c r="H2114" s="1309" t="str">
        <f>VLOOKUP(G2114,CATEGORIE!$H$3:$I$104,2,FALSE)</f>
        <v>COSTO SVAGHI</v>
      </c>
      <c r="I2114" s="59">
        <v>26.5</v>
      </c>
      <c r="J2114" s="940"/>
      <c r="K2114" s="59"/>
      <c r="L2114" s="59"/>
    </row>
    <row r="2115" spans="1:12" ht="18.600000000000001" customHeight="1">
      <c r="A2115" s="57" t="s">
        <v>573</v>
      </c>
      <c r="B2115" s="57" t="s">
        <v>173</v>
      </c>
      <c r="C2115" s="57">
        <v>2022</v>
      </c>
      <c r="D2115" s="58">
        <f>MATCH(B2115,{"GENNAIO","FEBBRAIO","MARZO","APRILE","MAGGIO","GIUGNO","LUGLIO","AGOSTO","SETTEMBRE","OTTOBRE","NOVEMBRE","DICEMBRE"},0)</f>
        <v>12</v>
      </c>
      <c r="E2115" s="57" t="str">
        <f t="shared" si="1752"/>
        <v>DICEMBRE 2022</v>
      </c>
      <c r="F2115" s="57" t="str">
        <f t="shared" si="1753"/>
        <v>12 DICEMBRE 2022</v>
      </c>
      <c r="G2115" s="1309" t="s">
        <v>94</v>
      </c>
      <c r="H2115" s="1309" t="str">
        <f>VLOOKUP(G2115,CATEGORIE!$H$3:$I$104,2,FALSE)</f>
        <v>COSTO SVAGHI</v>
      </c>
      <c r="I2115" s="59">
        <v>16</v>
      </c>
      <c r="J2115" s="940"/>
      <c r="K2115" s="59"/>
      <c r="L2115" s="59"/>
    </row>
    <row r="2116" spans="1:12" ht="16.5" customHeight="1">
      <c r="A2116" s="57" t="s">
        <v>574</v>
      </c>
      <c r="B2116" s="57" t="s">
        <v>173</v>
      </c>
      <c r="C2116" s="57">
        <v>2022</v>
      </c>
      <c r="D2116" s="58">
        <f>MATCH(B2116,{"GENNAIO","FEBBRAIO","MARZO","APRILE","MAGGIO","GIUGNO","LUGLIO","AGOSTO","SETTEMBRE","OTTOBRE","NOVEMBRE","DICEMBRE"},0)</f>
        <v>12</v>
      </c>
      <c r="E2116" s="57" t="str">
        <f t="shared" si="1752"/>
        <v>DICEMBRE 2022</v>
      </c>
      <c r="F2116" s="57" t="str">
        <f t="shared" si="1753"/>
        <v>12 DICEMBRE 2022</v>
      </c>
      <c r="G2116" s="1309" t="s">
        <v>132</v>
      </c>
      <c r="H2116" s="1309" t="str">
        <f>VLOOKUP(G2116,CATEGORIE!$H$3:$I$104,2,FALSE)</f>
        <v>COSTO CASA</v>
      </c>
      <c r="I2116" s="59">
        <v>8.39</v>
      </c>
      <c r="J2116" s="940"/>
      <c r="K2116" s="59"/>
      <c r="L2116" s="59"/>
    </row>
    <row r="2117" spans="1:12" ht="18" customHeight="1">
      <c r="A2117" s="57" t="s">
        <v>170</v>
      </c>
      <c r="B2117" s="57" t="s">
        <v>173</v>
      </c>
      <c r="C2117" s="57">
        <v>2022</v>
      </c>
      <c r="D2117" s="58">
        <f>MATCH(B2117,{"GENNAIO","FEBBRAIO","MARZO","APRILE","MAGGIO","GIUGNO","LUGLIO","AGOSTO","SETTEMBRE","OTTOBRE","NOVEMBRE","DICEMBRE"},0)</f>
        <v>12</v>
      </c>
      <c r="E2117" s="57" t="str">
        <f t="shared" si="1752"/>
        <v>DICEMBRE 2022</v>
      </c>
      <c r="F2117" s="57" t="str">
        <f t="shared" si="1753"/>
        <v>12 DICEMBRE 2022</v>
      </c>
      <c r="G2117" s="1309" t="s">
        <v>132</v>
      </c>
      <c r="H2117" s="1309" t="str">
        <f>VLOOKUP(G2117,CATEGORIE!$H$3:$I$104,2,FALSE)</f>
        <v>COSTO CASA</v>
      </c>
      <c r="I2117" s="59">
        <v>12.9</v>
      </c>
      <c r="J2117" s="940"/>
      <c r="K2117" s="59"/>
      <c r="L2117" s="59"/>
    </row>
    <row r="2118" spans="1:12" ht="16.5" customHeight="1">
      <c r="A2118" s="57" t="s">
        <v>105</v>
      </c>
      <c r="B2118" s="57" t="s">
        <v>173</v>
      </c>
      <c r="C2118" s="57">
        <v>2022</v>
      </c>
      <c r="D2118" s="58">
        <f>MATCH(B2118,{"GENNAIO","FEBBRAIO","MARZO","APRILE","MAGGIO","GIUGNO","LUGLIO","AGOSTO","SETTEMBRE","OTTOBRE","NOVEMBRE","DICEMBRE"},0)</f>
        <v>12</v>
      </c>
      <c r="E2118" s="57" t="str">
        <f t="shared" si="1752"/>
        <v>DICEMBRE 2022</v>
      </c>
      <c r="F2118" s="57" t="str">
        <f t="shared" si="1753"/>
        <v>12 DICEMBRE 2022</v>
      </c>
      <c r="G2118" s="1309" t="s">
        <v>96</v>
      </c>
      <c r="H2118" s="1309" t="str">
        <f>VLOOKUP(G2118,CATEGORIE!$H$3:$I$104,2,FALSE)</f>
        <v>COSTO SOPRAVVIVENZA</v>
      </c>
      <c r="I2118" s="59">
        <v>17.96</v>
      </c>
      <c r="J2118" s="940"/>
      <c r="K2118" s="59"/>
      <c r="L2118" s="59"/>
    </row>
    <row r="2119" spans="1:12" ht="16.5" customHeight="1">
      <c r="A2119" s="57" t="s">
        <v>92</v>
      </c>
      <c r="B2119" s="57" t="s">
        <v>173</v>
      </c>
      <c r="C2119" s="57">
        <v>2022</v>
      </c>
      <c r="D2119" s="58">
        <f>MATCH(B2119,{"GENNAIO","FEBBRAIO","MARZO","APRILE","MAGGIO","GIUGNO","LUGLIO","AGOSTO","SETTEMBRE","OTTOBRE","NOVEMBRE","DICEMBRE"},0)</f>
        <v>12</v>
      </c>
      <c r="E2119" s="57" t="str">
        <f t="shared" si="1752"/>
        <v>DICEMBRE 2022</v>
      </c>
      <c r="F2119" s="57" t="str">
        <f t="shared" si="1753"/>
        <v>12 DICEMBRE 2022</v>
      </c>
      <c r="G2119" s="1309" t="s">
        <v>93</v>
      </c>
      <c r="H2119" s="1309" t="str">
        <f>VLOOKUP(G2119,CATEGORIE!$H$3:$I$104,2,FALSE)</f>
        <v>COSTO SOPRAVVIVENZA</v>
      </c>
      <c r="I2119" s="59">
        <v>5</v>
      </c>
      <c r="J2119" s="940"/>
      <c r="K2119" s="59"/>
      <c r="L2119" s="59"/>
    </row>
    <row r="2120" spans="1:12" ht="16.5" customHeight="1">
      <c r="A2120" s="57" t="s">
        <v>99</v>
      </c>
      <c r="B2120" s="57" t="s">
        <v>173</v>
      </c>
      <c r="C2120" s="57">
        <v>2022</v>
      </c>
      <c r="D2120" s="58">
        <f>MATCH(B2120,{"GENNAIO","FEBBRAIO","MARZO","APRILE","MAGGIO","GIUGNO","LUGLIO","AGOSTO","SETTEMBRE","OTTOBRE","NOVEMBRE","DICEMBRE"},0)</f>
        <v>12</v>
      </c>
      <c r="E2120" s="57" t="str">
        <f t="shared" si="1752"/>
        <v>DICEMBRE 2022</v>
      </c>
      <c r="F2120" s="57" t="str">
        <f t="shared" si="1753"/>
        <v>12 DICEMBRE 2022</v>
      </c>
      <c r="G2120" s="1309" t="s">
        <v>108</v>
      </c>
      <c r="H2120" s="1309" t="str">
        <f>VLOOKUP(G2120,CATEGORIE!$H$3:$I$104,2,FALSE)</f>
        <v>COSTO SFIZI</v>
      </c>
      <c r="I2120" s="59">
        <v>86.25</v>
      </c>
      <c r="J2120" s="940"/>
      <c r="K2120" s="57" t="s">
        <v>99</v>
      </c>
      <c r="L2120" s="59"/>
    </row>
    <row r="2121" spans="1:12" ht="18" customHeight="1">
      <c r="A2121" s="57" t="s">
        <v>575</v>
      </c>
      <c r="B2121" s="57" t="s">
        <v>173</v>
      </c>
      <c r="C2121" s="57">
        <v>2022</v>
      </c>
      <c r="D2121" s="58">
        <f>MATCH(B2121,{"GENNAIO","FEBBRAIO","MARZO","APRILE","MAGGIO","GIUGNO","LUGLIO","AGOSTO","SETTEMBRE","OTTOBRE","NOVEMBRE","DICEMBRE"},0)</f>
        <v>12</v>
      </c>
      <c r="E2121" s="57" t="str">
        <f t="shared" si="1752"/>
        <v>DICEMBRE 2022</v>
      </c>
      <c r="F2121" s="57" t="str">
        <f t="shared" si="1753"/>
        <v>12 DICEMBRE 2022</v>
      </c>
      <c r="G2121" s="1309" t="s">
        <v>402</v>
      </c>
      <c r="H2121" s="1309" t="str">
        <f>VLOOKUP(G2121,CATEGORIE!$H$3:$I$104,2,FALSE)</f>
        <v>COSTO SFIZI</v>
      </c>
      <c r="I2121" s="59">
        <v>6.88</v>
      </c>
      <c r="J2121" s="940"/>
      <c r="K2121" s="59"/>
      <c r="L2121" s="59"/>
    </row>
    <row r="2122" spans="1:12" ht="16.5" customHeight="1">
      <c r="A2122" s="57" t="s">
        <v>576</v>
      </c>
      <c r="B2122" s="57" t="s">
        <v>173</v>
      </c>
      <c r="C2122" s="57">
        <v>2022</v>
      </c>
      <c r="D2122" s="58">
        <f>MATCH(B2122,{"GENNAIO","FEBBRAIO","MARZO","APRILE","MAGGIO","GIUGNO","LUGLIO","AGOSTO","SETTEMBRE","OTTOBRE","NOVEMBRE","DICEMBRE"},0)</f>
        <v>12</v>
      </c>
      <c r="E2122" s="57" t="str">
        <f t="shared" si="1752"/>
        <v>DICEMBRE 2022</v>
      </c>
      <c r="F2122" s="57" t="str">
        <f t="shared" si="1753"/>
        <v>12 DICEMBRE 2022</v>
      </c>
      <c r="G2122" s="1309" t="s">
        <v>94</v>
      </c>
      <c r="H2122" s="1309" t="str">
        <f>VLOOKUP(G2122,CATEGORIE!$H$3:$I$104,2,FALSE)</f>
        <v>COSTO SVAGHI</v>
      </c>
      <c r="I2122" s="59">
        <v>5.18</v>
      </c>
      <c r="J2122" s="940"/>
      <c r="K2122" s="59"/>
      <c r="L2122" s="59"/>
    </row>
    <row r="2123" spans="1:12" ht="16.5" customHeight="1">
      <c r="A2123" s="57" t="s">
        <v>577</v>
      </c>
      <c r="B2123" s="57" t="s">
        <v>173</v>
      </c>
      <c r="C2123" s="57">
        <v>2022</v>
      </c>
      <c r="D2123" s="58">
        <f>MATCH(B2123,{"GENNAIO","FEBBRAIO","MARZO","APRILE","MAGGIO","GIUGNO","LUGLIO","AGOSTO","SETTEMBRE","OTTOBRE","NOVEMBRE","DICEMBRE"},0)</f>
        <v>12</v>
      </c>
      <c r="E2123" s="57" t="str">
        <f t="shared" si="1752"/>
        <v>DICEMBRE 2022</v>
      </c>
      <c r="F2123" s="57" t="str">
        <f t="shared" si="1753"/>
        <v>12 DICEMBRE 2022</v>
      </c>
      <c r="G2123" s="1309" t="s">
        <v>94</v>
      </c>
      <c r="H2123" s="1309" t="str">
        <f>VLOOKUP(G2123,CATEGORIE!$H$3:$I$104,2,FALSE)</f>
        <v>COSTO SVAGHI</v>
      </c>
      <c r="I2123" s="59">
        <v>12.89</v>
      </c>
      <c r="J2123" s="940"/>
      <c r="K2123" s="59"/>
      <c r="L2123" s="59"/>
    </row>
    <row r="2124" spans="1:12" ht="18.600000000000001" customHeight="1">
      <c r="A2124" s="57" t="s">
        <v>99</v>
      </c>
      <c r="B2124" s="57" t="s">
        <v>173</v>
      </c>
      <c r="C2124" s="57">
        <v>2022</v>
      </c>
      <c r="D2124" s="58">
        <f>MATCH(B2124,{"GENNAIO","FEBBRAIO","MARZO","APRILE","MAGGIO","GIUGNO","LUGLIO","AGOSTO","SETTEMBRE","OTTOBRE","NOVEMBRE","DICEMBRE"},0)</f>
        <v>12</v>
      </c>
      <c r="E2124" s="57" t="str">
        <f t="shared" si="1752"/>
        <v>DICEMBRE 2022</v>
      </c>
      <c r="F2124" s="57" t="str">
        <f t="shared" si="1753"/>
        <v>12 DICEMBRE 2022</v>
      </c>
      <c r="G2124" s="1309" t="s">
        <v>108</v>
      </c>
      <c r="H2124" s="1309" t="str">
        <f>VLOOKUP(G2124,CATEGORIE!$H$3:$I$104,2,FALSE)</f>
        <v>COSTO SFIZI</v>
      </c>
      <c r="I2124" s="59">
        <v>78.73</v>
      </c>
      <c r="J2124" s="940"/>
      <c r="K2124" s="57" t="s">
        <v>99</v>
      </c>
      <c r="L2124" s="59"/>
    </row>
    <row r="2125" spans="1:12" ht="18" customHeight="1">
      <c r="A2125" s="57" t="s">
        <v>300</v>
      </c>
      <c r="B2125" s="57" t="s">
        <v>200</v>
      </c>
      <c r="C2125" s="57">
        <v>2022</v>
      </c>
      <c r="D2125" s="58">
        <f>MATCH(B2125,{"GENNAIO","FEBBRAIO","MARZO","APRILE","MAGGIO","GIUGNO","LUGLIO","AGOSTO","SETTEMBRE","OTTOBRE","NOVEMBRE","DICEMBRE"},0)</f>
        <v>11</v>
      </c>
      <c r="E2125" s="57" t="str">
        <f t="shared" si="1752"/>
        <v>NOVEMBRE 2022</v>
      </c>
      <c r="F2125" s="57" t="str">
        <f t="shared" si="1753"/>
        <v>11 NOVEMBRE 2022</v>
      </c>
      <c r="G2125" s="1309" t="s">
        <v>94</v>
      </c>
      <c r="H2125" s="1309" t="str">
        <f>VLOOKUP(G2125,CATEGORIE!$H$3:$I$104,2,FALSE)</f>
        <v>COSTO SVAGHI</v>
      </c>
      <c r="I2125" s="59">
        <v>34.700000000000003</v>
      </c>
      <c r="J2125" s="940"/>
      <c r="K2125" s="59"/>
      <c r="L2125" s="59"/>
    </row>
    <row r="2126" spans="1:12" ht="16.5" customHeight="1">
      <c r="A2126" s="57" t="s">
        <v>101</v>
      </c>
      <c r="B2126" s="57" t="s">
        <v>200</v>
      </c>
      <c r="C2126" s="57">
        <v>2022</v>
      </c>
      <c r="D2126" s="58">
        <f>MATCH(B2126,{"GENNAIO","FEBBRAIO","MARZO","APRILE","MAGGIO","GIUGNO","LUGLIO","AGOSTO","SETTEMBRE","OTTOBRE","NOVEMBRE","DICEMBRE"},0)</f>
        <v>11</v>
      </c>
      <c r="E2126" s="57" t="str">
        <f t="shared" si="1752"/>
        <v>NOVEMBRE 2022</v>
      </c>
      <c r="F2126" s="57" t="str">
        <f t="shared" si="1753"/>
        <v>11 NOVEMBRE 2022</v>
      </c>
      <c r="G2126" s="1309" t="s">
        <v>91</v>
      </c>
      <c r="H2126" s="1309" t="str">
        <f>VLOOKUP(G2126,CATEGORIE!$H$3:$I$104,2,FALSE)</f>
        <v>COSTO SOPRAVVIVENZA</v>
      </c>
      <c r="I2126" s="59">
        <v>0.4</v>
      </c>
      <c r="J2126" s="940"/>
      <c r="K2126" s="59"/>
      <c r="L2126" s="59"/>
    </row>
    <row r="2127" spans="1:12" ht="16.5" customHeight="1">
      <c r="A2127" s="57" t="s">
        <v>105</v>
      </c>
      <c r="B2127" s="57" t="s">
        <v>200</v>
      </c>
      <c r="C2127" s="57">
        <v>2022</v>
      </c>
      <c r="D2127" s="58">
        <f>MATCH(B2127,{"GENNAIO","FEBBRAIO","MARZO","APRILE","MAGGIO","GIUGNO","LUGLIO","AGOSTO","SETTEMBRE","OTTOBRE","NOVEMBRE","DICEMBRE"},0)</f>
        <v>11</v>
      </c>
      <c r="E2127" s="57" t="str">
        <f t="shared" si="1752"/>
        <v>NOVEMBRE 2022</v>
      </c>
      <c r="F2127" s="57" t="str">
        <f t="shared" si="1753"/>
        <v>11 NOVEMBRE 2022</v>
      </c>
      <c r="G2127" s="1309" t="s">
        <v>96</v>
      </c>
      <c r="H2127" s="1309" t="str">
        <f>VLOOKUP(G2127,CATEGORIE!$H$3:$I$104,2,FALSE)</f>
        <v>COSTO SOPRAVVIVENZA</v>
      </c>
      <c r="I2127" s="59">
        <v>12.1</v>
      </c>
      <c r="J2127" s="940"/>
      <c r="K2127" s="59"/>
      <c r="L2127" s="59"/>
    </row>
    <row r="2128" spans="1:12">
      <c r="A2128" s="57" t="s">
        <v>99</v>
      </c>
      <c r="B2128" s="57" t="s">
        <v>200</v>
      </c>
      <c r="C2128" s="57">
        <v>2022</v>
      </c>
      <c r="D2128" s="58">
        <f>MATCH(B2128,{"GENNAIO","FEBBRAIO","MARZO","APRILE","MAGGIO","GIUGNO","LUGLIO","AGOSTO","SETTEMBRE","OTTOBRE","NOVEMBRE","DICEMBRE"},0)</f>
        <v>11</v>
      </c>
      <c r="E2128" s="57" t="str">
        <f t="shared" si="1752"/>
        <v>NOVEMBRE 2022</v>
      </c>
      <c r="F2128" s="57" t="str">
        <f t="shared" si="1753"/>
        <v>11 NOVEMBRE 2022</v>
      </c>
      <c r="G2128" s="1309" t="s">
        <v>108</v>
      </c>
      <c r="H2128" s="1309" t="str">
        <f>VLOOKUP(G2128,CATEGORIE!$H$3:$I$104,2,FALSE)</f>
        <v>COSTO SFIZI</v>
      </c>
      <c r="I2128" s="59">
        <v>9.98</v>
      </c>
      <c r="J2128" s="940" t="s">
        <v>145</v>
      </c>
      <c r="K2128" s="57" t="s">
        <v>99</v>
      </c>
      <c r="L2128" s="59"/>
    </row>
    <row r="2129" spans="1:12" ht="18.600000000000001" customHeight="1">
      <c r="A2129" s="57" t="s">
        <v>565</v>
      </c>
      <c r="B2129" s="57" t="s">
        <v>200</v>
      </c>
      <c r="C2129" s="57">
        <v>2022</v>
      </c>
      <c r="D2129" s="58">
        <f>MATCH(B2129,{"GENNAIO","FEBBRAIO","MARZO","APRILE","MAGGIO","GIUGNO","LUGLIO","AGOSTO","SETTEMBRE","OTTOBRE","NOVEMBRE","DICEMBRE"},0)</f>
        <v>11</v>
      </c>
      <c r="E2129" s="57" t="str">
        <f t="shared" si="1752"/>
        <v>NOVEMBRE 2022</v>
      </c>
      <c r="F2129" s="57" t="str">
        <f t="shared" si="1753"/>
        <v>11 NOVEMBRE 2022</v>
      </c>
      <c r="G2129" s="1309" t="s">
        <v>94</v>
      </c>
      <c r="H2129" s="1309" t="str">
        <f>VLOOKUP(G2129,CATEGORIE!$H$3:$I$104,2,FALSE)</f>
        <v>COSTO SVAGHI</v>
      </c>
      <c r="I2129" s="59">
        <v>8</v>
      </c>
      <c r="J2129" s="940"/>
      <c r="K2129" s="59"/>
      <c r="L2129" s="59"/>
    </row>
    <row r="2130" spans="1:12" ht="16.5" customHeight="1">
      <c r="A2130" s="57" t="s">
        <v>92</v>
      </c>
      <c r="B2130" s="57" t="s">
        <v>200</v>
      </c>
      <c r="C2130" s="57">
        <v>2022</v>
      </c>
      <c r="D2130" s="58">
        <f>MATCH(B2130,{"GENNAIO","FEBBRAIO","MARZO","APRILE","MAGGIO","GIUGNO","LUGLIO","AGOSTO","SETTEMBRE","OTTOBRE","NOVEMBRE","DICEMBRE"},0)</f>
        <v>11</v>
      </c>
      <c r="E2130" s="57" t="str">
        <f t="shared" si="1752"/>
        <v>NOVEMBRE 2022</v>
      </c>
      <c r="F2130" s="57" t="str">
        <f t="shared" si="1753"/>
        <v>11 NOVEMBRE 2022</v>
      </c>
      <c r="G2130" s="1309" t="s">
        <v>94</v>
      </c>
      <c r="H2130" s="1309" t="str">
        <f>VLOOKUP(G2130,CATEGORIE!$H$3:$I$104,2,FALSE)</f>
        <v>COSTO SVAGHI</v>
      </c>
      <c r="I2130" s="59">
        <v>16</v>
      </c>
      <c r="J2130" s="940"/>
      <c r="K2130" s="59"/>
      <c r="L2130" s="59"/>
    </row>
    <row r="2131" spans="1:12" ht="18.600000000000001" customHeight="1">
      <c r="A2131" s="57" t="s">
        <v>578</v>
      </c>
      <c r="B2131" s="57" t="s">
        <v>200</v>
      </c>
      <c r="C2131" s="57">
        <v>2022</v>
      </c>
      <c r="D2131" s="58">
        <f>MATCH(B2131,{"GENNAIO","FEBBRAIO","MARZO","APRILE","MAGGIO","GIUGNO","LUGLIO","AGOSTO","SETTEMBRE","OTTOBRE","NOVEMBRE","DICEMBRE"},0)</f>
        <v>11</v>
      </c>
      <c r="E2131" s="57" t="str">
        <f t="shared" si="1752"/>
        <v>NOVEMBRE 2022</v>
      </c>
      <c r="F2131" s="57" t="str">
        <f t="shared" si="1753"/>
        <v>11 NOVEMBRE 2022</v>
      </c>
      <c r="G2131" s="1309" t="s">
        <v>107</v>
      </c>
      <c r="H2131" s="1309" t="str">
        <f>VLOOKUP(G2131,CATEGORIE!$H$3:$I$104,2,FALSE)</f>
        <v>COSTO SOPRAVVIVENZA</v>
      </c>
      <c r="I2131" s="59">
        <v>45</v>
      </c>
      <c r="J2131" s="940"/>
      <c r="K2131" s="59"/>
      <c r="L2131" s="59"/>
    </row>
    <row r="2132" spans="1:12" ht="16.5" customHeight="1">
      <c r="A2132" s="57" t="s">
        <v>579</v>
      </c>
      <c r="B2132" s="57" t="s">
        <v>200</v>
      </c>
      <c r="C2132" s="57">
        <v>2022</v>
      </c>
      <c r="D2132" s="58">
        <f>MATCH(B2132,{"GENNAIO","FEBBRAIO","MARZO","APRILE","MAGGIO","GIUGNO","LUGLIO","AGOSTO","SETTEMBRE","OTTOBRE","NOVEMBRE","DICEMBRE"},0)</f>
        <v>11</v>
      </c>
      <c r="E2132" s="57" t="str">
        <f t="shared" si="1752"/>
        <v>NOVEMBRE 2022</v>
      </c>
      <c r="F2132" s="57" t="str">
        <f t="shared" si="1753"/>
        <v>11 NOVEMBRE 2022</v>
      </c>
      <c r="G2132" s="1309" t="s">
        <v>96</v>
      </c>
      <c r="H2132" s="1309" t="str">
        <f>VLOOKUP(G2132,CATEGORIE!$H$3:$I$104,2,FALSE)</f>
        <v>COSTO SOPRAVVIVENZA</v>
      </c>
      <c r="I2132" s="59">
        <v>19.18</v>
      </c>
      <c r="J2132" s="940"/>
      <c r="K2132" s="59"/>
      <c r="L2132" s="59"/>
    </row>
    <row r="2133" spans="1:12" ht="16.5" customHeight="1">
      <c r="A2133" s="57" t="s">
        <v>580</v>
      </c>
      <c r="B2133" s="57" t="s">
        <v>200</v>
      </c>
      <c r="C2133" s="57">
        <v>2022</v>
      </c>
      <c r="D2133" s="58">
        <f>MATCH(B2133,{"GENNAIO","FEBBRAIO","MARZO","APRILE","MAGGIO","GIUGNO","LUGLIO","AGOSTO","SETTEMBRE","OTTOBRE","NOVEMBRE","DICEMBRE"},0)</f>
        <v>11</v>
      </c>
      <c r="E2133" s="57" t="str">
        <f t="shared" si="1752"/>
        <v>NOVEMBRE 2022</v>
      </c>
      <c r="F2133" s="57" t="str">
        <f t="shared" si="1753"/>
        <v>11 NOVEMBRE 2022</v>
      </c>
      <c r="G2133" s="1309" t="s">
        <v>94</v>
      </c>
      <c r="H2133" s="1309" t="str">
        <f>VLOOKUP(G2133,CATEGORIE!$H$3:$I$104,2,FALSE)</f>
        <v>COSTO SVAGHI</v>
      </c>
      <c r="I2133" s="59">
        <v>3.14</v>
      </c>
      <c r="J2133" s="940"/>
      <c r="K2133" s="59"/>
      <c r="L2133" s="59"/>
    </row>
    <row r="2134" spans="1:12" ht="16.5" customHeight="1">
      <c r="A2134" s="57" t="s">
        <v>105</v>
      </c>
      <c r="B2134" s="57" t="s">
        <v>200</v>
      </c>
      <c r="C2134" s="57">
        <v>2022</v>
      </c>
      <c r="D2134" s="58">
        <f>MATCH(B2134,{"GENNAIO","FEBBRAIO","MARZO","APRILE","MAGGIO","GIUGNO","LUGLIO","AGOSTO","SETTEMBRE","OTTOBRE","NOVEMBRE","DICEMBRE"},0)</f>
        <v>11</v>
      </c>
      <c r="E2134" s="57" t="str">
        <f t="shared" si="1752"/>
        <v>NOVEMBRE 2022</v>
      </c>
      <c r="F2134" s="57" t="str">
        <f t="shared" si="1753"/>
        <v>11 NOVEMBRE 2022</v>
      </c>
      <c r="G2134" s="1309" t="s">
        <v>96</v>
      </c>
      <c r="H2134" s="1309" t="str">
        <f>VLOOKUP(G2134,CATEGORIE!$H$3:$I$104,2,FALSE)</f>
        <v>COSTO SOPRAVVIVENZA</v>
      </c>
      <c r="I2134" s="59">
        <v>8.14</v>
      </c>
      <c r="J2134" s="940"/>
      <c r="K2134" s="59"/>
      <c r="L2134" s="59"/>
    </row>
    <row r="2135" spans="1:12" ht="16.5" customHeight="1">
      <c r="A2135" s="57" t="s">
        <v>581</v>
      </c>
      <c r="B2135" s="57" t="s">
        <v>200</v>
      </c>
      <c r="C2135" s="57">
        <v>2022</v>
      </c>
      <c r="D2135" s="58">
        <f>MATCH(B2135,{"GENNAIO","FEBBRAIO","MARZO","APRILE","MAGGIO","GIUGNO","LUGLIO","AGOSTO","SETTEMBRE","OTTOBRE","NOVEMBRE","DICEMBRE"},0)</f>
        <v>11</v>
      </c>
      <c r="E2135" s="57" t="str">
        <f t="shared" si="1752"/>
        <v>NOVEMBRE 2022</v>
      </c>
      <c r="F2135" s="57" t="str">
        <f t="shared" si="1753"/>
        <v>11 NOVEMBRE 2022</v>
      </c>
      <c r="G2135" s="1309" t="s">
        <v>94</v>
      </c>
      <c r="H2135" s="1309" t="str">
        <f>VLOOKUP(G2135,CATEGORIE!$H$3:$I$104,2,FALSE)</f>
        <v>COSTO SVAGHI</v>
      </c>
      <c r="I2135" s="59">
        <v>27.12</v>
      </c>
      <c r="J2135" s="940"/>
      <c r="K2135" s="59"/>
      <c r="L2135" s="59"/>
    </row>
    <row r="2136" spans="1:12">
      <c r="A2136" s="57" t="s">
        <v>582</v>
      </c>
      <c r="B2136" s="57" t="s">
        <v>200</v>
      </c>
      <c r="C2136" s="57">
        <v>2022</v>
      </c>
      <c r="D2136" s="58">
        <f>MATCH(B2136,{"GENNAIO","FEBBRAIO","MARZO","APRILE","MAGGIO","GIUGNO","LUGLIO","AGOSTO","SETTEMBRE","OTTOBRE","NOVEMBRE","DICEMBRE"},0)</f>
        <v>11</v>
      </c>
      <c r="E2136" s="57" t="str">
        <f t="shared" si="1752"/>
        <v>NOVEMBRE 2022</v>
      </c>
      <c r="F2136" s="57" t="str">
        <f t="shared" si="1753"/>
        <v>11 NOVEMBRE 2022</v>
      </c>
      <c r="G2136" s="1309" t="s">
        <v>94</v>
      </c>
      <c r="H2136" s="1309" t="str">
        <f>VLOOKUP(G2136,CATEGORIE!$H$3:$I$104,2,FALSE)</f>
        <v>COSTO SVAGHI</v>
      </c>
      <c r="I2136" s="59">
        <v>27.99</v>
      </c>
      <c r="J2136" s="940"/>
      <c r="K2136" s="59"/>
      <c r="L2136" s="59"/>
    </row>
    <row r="2137" spans="1:12" ht="18" customHeight="1">
      <c r="A2137" s="57" t="s">
        <v>583</v>
      </c>
      <c r="B2137" s="57" t="s">
        <v>200</v>
      </c>
      <c r="C2137" s="57">
        <v>2022</v>
      </c>
      <c r="D2137" s="58">
        <f>MATCH(B2137,{"GENNAIO","FEBBRAIO","MARZO","APRILE","MAGGIO","GIUGNO","LUGLIO","AGOSTO","SETTEMBRE","OTTOBRE","NOVEMBRE","DICEMBRE"},0)</f>
        <v>11</v>
      </c>
      <c r="E2137" s="57" t="str">
        <f t="shared" si="1752"/>
        <v>NOVEMBRE 2022</v>
      </c>
      <c r="F2137" s="57" t="str">
        <f t="shared" si="1753"/>
        <v>11 NOVEMBRE 2022</v>
      </c>
      <c r="G2137" s="1309" t="s">
        <v>94</v>
      </c>
      <c r="H2137" s="1309" t="str">
        <f>VLOOKUP(G2137,CATEGORIE!$H$3:$I$104,2,FALSE)</f>
        <v>COSTO SVAGHI</v>
      </c>
      <c r="I2137" s="59">
        <v>9.73</v>
      </c>
      <c r="J2137" s="940"/>
      <c r="K2137" s="59"/>
      <c r="L2137" s="59"/>
    </row>
    <row r="2138" spans="1:12">
      <c r="A2138" s="57" t="s">
        <v>276</v>
      </c>
      <c r="B2138" s="57" t="s">
        <v>200</v>
      </c>
      <c r="C2138" s="57">
        <v>2022</v>
      </c>
      <c r="D2138" s="58">
        <f>MATCH(B2138,{"GENNAIO","FEBBRAIO","MARZO","APRILE","MAGGIO","GIUGNO","LUGLIO","AGOSTO","SETTEMBRE","OTTOBRE","NOVEMBRE","DICEMBRE"},0)</f>
        <v>11</v>
      </c>
      <c r="E2138" s="57" t="str">
        <f t="shared" si="1752"/>
        <v>NOVEMBRE 2022</v>
      </c>
      <c r="F2138" s="57" t="str">
        <f t="shared" si="1753"/>
        <v>11 NOVEMBRE 2022</v>
      </c>
      <c r="G2138" s="1309" t="s">
        <v>94</v>
      </c>
      <c r="H2138" s="1309" t="str">
        <f>VLOOKUP(G2138,CATEGORIE!$H$3:$I$104,2,FALSE)</f>
        <v>COSTO SVAGHI</v>
      </c>
      <c r="I2138" s="59">
        <v>7.9</v>
      </c>
      <c r="J2138" s="940"/>
      <c r="K2138" s="59"/>
      <c r="L2138" s="59" t="s">
        <v>584</v>
      </c>
    </row>
    <row r="2139" spans="1:12" ht="16.5" customHeight="1">
      <c r="A2139" s="57" t="s">
        <v>135</v>
      </c>
      <c r="B2139" s="57" t="s">
        <v>200</v>
      </c>
      <c r="C2139" s="57">
        <v>2022</v>
      </c>
      <c r="D2139" s="58">
        <f>MATCH(B2139,{"GENNAIO","FEBBRAIO","MARZO","APRILE","MAGGIO","GIUGNO","LUGLIO","AGOSTO","SETTEMBRE","OTTOBRE","NOVEMBRE","DICEMBRE"},0)</f>
        <v>11</v>
      </c>
      <c r="E2139" s="57" t="str">
        <f t="shared" si="1752"/>
        <v>NOVEMBRE 2022</v>
      </c>
      <c r="F2139" s="57" t="str">
        <f t="shared" si="1753"/>
        <v>11 NOVEMBRE 2022</v>
      </c>
      <c r="G2139" s="1309" t="s">
        <v>132</v>
      </c>
      <c r="H2139" s="1309" t="str">
        <f>VLOOKUP(G2139,CATEGORIE!$H$3:$I$104,2,FALSE)</f>
        <v>COSTO CASA</v>
      </c>
      <c r="I2139" s="59">
        <v>6.09</v>
      </c>
      <c r="J2139" s="940"/>
      <c r="K2139" s="59"/>
      <c r="L2139" s="59"/>
    </row>
    <row r="2140" spans="1:12" ht="18.95" customHeight="1">
      <c r="A2140" s="57" t="s">
        <v>99</v>
      </c>
      <c r="B2140" s="57" t="s">
        <v>200</v>
      </c>
      <c r="C2140" s="57">
        <v>2022</v>
      </c>
      <c r="D2140" s="58">
        <f>MATCH(B2140,{"GENNAIO","FEBBRAIO","MARZO","APRILE","MAGGIO","GIUGNO","LUGLIO","AGOSTO","SETTEMBRE","OTTOBRE","NOVEMBRE","DICEMBRE"},0)</f>
        <v>11</v>
      </c>
      <c r="E2140" s="57" t="str">
        <f t="shared" si="1752"/>
        <v>NOVEMBRE 2022</v>
      </c>
      <c r="F2140" s="57" t="str">
        <f t="shared" si="1753"/>
        <v>11 NOVEMBRE 2022</v>
      </c>
      <c r="G2140" s="1309" t="s">
        <v>100</v>
      </c>
      <c r="H2140" s="1309" t="str">
        <f>VLOOKUP(G2140,CATEGORIE!$H$3:$I$104,2,FALSE)</f>
        <v>COSTO SFIZI</v>
      </c>
      <c r="I2140" s="59">
        <v>32.86</v>
      </c>
      <c r="J2140" s="940"/>
      <c r="K2140" s="57" t="s">
        <v>99</v>
      </c>
      <c r="L2140" s="59"/>
    </row>
    <row r="2141" spans="1:12" ht="16.5" customHeight="1">
      <c r="A2141" s="57" t="s">
        <v>131</v>
      </c>
      <c r="B2141" s="57" t="s">
        <v>200</v>
      </c>
      <c r="C2141" s="57">
        <v>2022</v>
      </c>
      <c r="D2141" s="58">
        <f>MATCH(B2141,{"GENNAIO","FEBBRAIO","MARZO","APRILE","MAGGIO","GIUGNO","LUGLIO","AGOSTO","SETTEMBRE","OTTOBRE","NOVEMBRE","DICEMBRE"},0)</f>
        <v>11</v>
      </c>
      <c r="E2141" s="57" t="str">
        <f t="shared" si="1752"/>
        <v>NOVEMBRE 2022</v>
      </c>
      <c r="F2141" s="57" t="str">
        <f t="shared" si="1753"/>
        <v>11 NOVEMBRE 2022</v>
      </c>
      <c r="G2141" s="1309" t="s">
        <v>132</v>
      </c>
      <c r="H2141" s="1309" t="str">
        <f>VLOOKUP(G2141,CATEGORIE!$H$3:$I$104,2,FALSE)</f>
        <v>COSTO CASA</v>
      </c>
      <c r="I2141" s="59">
        <v>36.75</v>
      </c>
      <c r="J2141" s="940"/>
      <c r="K2141" s="59"/>
      <c r="L2141" s="59"/>
    </row>
    <row r="2142" spans="1:12" ht="18.600000000000001" customHeight="1">
      <c r="A2142" s="57" t="s">
        <v>585</v>
      </c>
      <c r="B2142" s="57" t="s">
        <v>200</v>
      </c>
      <c r="C2142" s="57">
        <v>2022</v>
      </c>
      <c r="D2142" s="58">
        <f>MATCH(B2142,{"GENNAIO","FEBBRAIO","MARZO","APRILE","MAGGIO","GIUGNO","LUGLIO","AGOSTO","SETTEMBRE","OTTOBRE","NOVEMBRE","DICEMBRE"},0)</f>
        <v>11</v>
      </c>
      <c r="E2142" s="57" t="str">
        <f t="shared" si="1752"/>
        <v>NOVEMBRE 2022</v>
      </c>
      <c r="F2142" s="57" t="str">
        <f t="shared" si="1753"/>
        <v>11 NOVEMBRE 2022</v>
      </c>
      <c r="G2142" s="1309" t="s">
        <v>94</v>
      </c>
      <c r="H2142" s="1309" t="str">
        <f>VLOOKUP(G2142,CATEGORIE!$H$3:$I$104,2,FALSE)</f>
        <v>COSTO SVAGHI</v>
      </c>
      <c r="I2142" s="59">
        <v>18</v>
      </c>
      <c r="J2142" s="940"/>
      <c r="K2142" s="59"/>
      <c r="L2142" s="59"/>
    </row>
    <row r="2143" spans="1:12" ht="16.5" customHeight="1">
      <c r="A2143" s="57" t="s">
        <v>586</v>
      </c>
      <c r="B2143" s="57" t="s">
        <v>200</v>
      </c>
      <c r="C2143" s="57">
        <v>2022</v>
      </c>
      <c r="D2143" s="58">
        <f>MATCH(B2143,{"GENNAIO","FEBBRAIO","MARZO","APRILE","MAGGIO","GIUGNO","LUGLIO","AGOSTO","SETTEMBRE","OTTOBRE","NOVEMBRE","DICEMBRE"},0)</f>
        <v>11</v>
      </c>
      <c r="E2143" s="57" t="str">
        <f t="shared" si="1752"/>
        <v>NOVEMBRE 2022</v>
      </c>
      <c r="F2143" s="57" t="str">
        <f t="shared" si="1753"/>
        <v>11 NOVEMBRE 2022</v>
      </c>
      <c r="G2143" s="1309" t="s">
        <v>121</v>
      </c>
      <c r="H2143" s="1309" t="str">
        <f>VLOOKUP(G2143,CATEGORIE!$H$3:$I$104,2,FALSE)</f>
        <v>COSTO MOBILITA'</v>
      </c>
      <c r="I2143" s="59">
        <v>92</v>
      </c>
      <c r="J2143" s="940"/>
      <c r="K2143" s="59"/>
      <c r="L2143" s="59"/>
    </row>
    <row r="2144" spans="1:12" ht="16.5" customHeight="1">
      <c r="A2144" s="57" t="s">
        <v>92</v>
      </c>
      <c r="B2144" s="57" t="s">
        <v>217</v>
      </c>
      <c r="C2144" s="57">
        <v>2022</v>
      </c>
      <c r="D2144" s="58">
        <f>MATCH(B2144,{"GENNAIO","FEBBRAIO","MARZO","APRILE","MAGGIO","GIUGNO","LUGLIO","AGOSTO","SETTEMBRE","OTTOBRE","NOVEMBRE","DICEMBRE"},0)</f>
        <v>10</v>
      </c>
      <c r="E2144" s="57" t="str">
        <f t="shared" si="1752"/>
        <v>OTTOBRE 2022</v>
      </c>
      <c r="F2144" s="57" t="str">
        <f t="shared" si="1753"/>
        <v>10 OTTOBRE 2022</v>
      </c>
      <c r="G2144" s="1309" t="s">
        <v>94</v>
      </c>
      <c r="H2144" s="1309" t="str">
        <f>VLOOKUP(G2144,CATEGORIE!$H$3:$I$104,2,FALSE)</f>
        <v>COSTO SVAGHI</v>
      </c>
      <c r="I2144" s="59">
        <v>2.4</v>
      </c>
      <c r="J2144" s="940"/>
      <c r="K2144" s="59"/>
      <c r="L2144" s="59"/>
    </row>
    <row r="2145" spans="1:12" ht="16.5" customHeight="1">
      <c r="A2145" s="57" t="s">
        <v>105</v>
      </c>
      <c r="B2145" s="57" t="s">
        <v>217</v>
      </c>
      <c r="C2145" s="57">
        <v>2022</v>
      </c>
      <c r="D2145" s="58">
        <f>MATCH(B2145,{"GENNAIO","FEBBRAIO","MARZO","APRILE","MAGGIO","GIUGNO","LUGLIO","AGOSTO","SETTEMBRE","OTTOBRE","NOVEMBRE","DICEMBRE"},0)</f>
        <v>10</v>
      </c>
      <c r="E2145" s="57" t="str">
        <f t="shared" si="1752"/>
        <v>OTTOBRE 2022</v>
      </c>
      <c r="F2145" s="57" t="str">
        <f t="shared" si="1753"/>
        <v>10 OTTOBRE 2022</v>
      </c>
      <c r="G2145" s="1309" t="s">
        <v>96</v>
      </c>
      <c r="H2145" s="1309" t="str">
        <f>VLOOKUP(G2145,CATEGORIE!$H$3:$I$104,2,FALSE)</f>
        <v>COSTO SOPRAVVIVENZA</v>
      </c>
      <c r="I2145" s="59">
        <v>5.92</v>
      </c>
      <c r="J2145" s="940"/>
      <c r="K2145" s="59"/>
      <c r="L2145" s="59"/>
    </row>
    <row r="2146" spans="1:12" ht="16.5" customHeight="1">
      <c r="A2146" s="57" t="s">
        <v>101</v>
      </c>
      <c r="B2146" s="57" t="s">
        <v>217</v>
      </c>
      <c r="C2146" s="57">
        <v>2022</v>
      </c>
      <c r="D2146" s="58">
        <f>MATCH(B2146,{"GENNAIO","FEBBRAIO","MARZO","APRILE","MAGGIO","GIUGNO","LUGLIO","AGOSTO","SETTEMBRE","OTTOBRE","NOVEMBRE","DICEMBRE"},0)</f>
        <v>10</v>
      </c>
      <c r="E2146" s="57" t="str">
        <f t="shared" si="1752"/>
        <v>OTTOBRE 2022</v>
      </c>
      <c r="F2146" s="57" t="str">
        <f t="shared" si="1753"/>
        <v>10 OTTOBRE 2022</v>
      </c>
      <c r="G2146" s="1309" t="s">
        <v>91</v>
      </c>
      <c r="H2146" s="1309" t="str">
        <f>VLOOKUP(G2146,CATEGORIE!$H$3:$I$104,2,FALSE)</f>
        <v>COSTO SOPRAVVIVENZA</v>
      </c>
      <c r="I2146" s="59">
        <v>0.4</v>
      </c>
      <c r="J2146" s="940"/>
      <c r="K2146" s="59"/>
      <c r="L2146" s="59"/>
    </row>
    <row r="2147" spans="1:12" ht="16.5" customHeight="1">
      <c r="A2147" s="57" t="s">
        <v>587</v>
      </c>
      <c r="B2147" s="57" t="s">
        <v>217</v>
      </c>
      <c r="C2147" s="57">
        <v>2022</v>
      </c>
      <c r="D2147" s="58">
        <f>MATCH(B2147,{"GENNAIO","FEBBRAIO","MARZO","APRILE","MAGGIO","GIUGNO","LUGLIO","AGOSTO","SETTEMBRE","OTTOBRE","NOVEMBRE","DICEMBRE"},0)</f>
        <v>10</v>
      </c>
      <c r="E2147" s="57" t="str">
        <f t="shared" si="1752"/>
        <v>OTTOBRE 2022</v>
      </c>
      <c r="F2147" s="57" t="str">
        <f t="shared" si="1753"/>
        <v>10 OTTOBRE 2022</v>
      </c>
      <c r="G2147" s="1309" t="s">
        <v>94</v>
      </c>
      <c r="H2147" s="1309" t="str">
        <f>VLOOKUP(G2147,CATEGORIE!$H$3:$I$104,2,FALSE)</f>
        <v>COSTO SVAGHI</v>
      </c>
      <c r="I2147" s="59">
        <v>12</v>
      </c>
      <c r="J2147" s="940"/>
      <c r="K2147" s="59"/>
      <c r="L2147" s="59"/>
    </row>
    <row r="2148" spans="1:12" ht="16.5" customHeight="1">
      <c r="A2148" s="57" t="s">
        <v>101</v>
      </c>
      <c r="B2148" s="57" t="s">
        <v>217</v>
      </c>
      <c r="C2148" s="57">
        <v>2022</v>
      </c>
      <c r="D2148" s="58">
        <f>MATCH(B2148,{"GENNAIO","FEBBRAIO","MARZO","APRILE","MAGGIO","GIUGNO","LUGLIO","AGOSTO","SETTEMBRE","OTTOBRE","NOVEMBRE","DICEMBRE"},0)</f>
        <v>10</v>
      </c>
      <c r="E2148" s="57" t="str">
        <f t="shared" si="1752"/>
        <v>OTTOBRE 2022</v>
      </c>
      <c r="F2148" s="57" t="str">
        <f t="shared" si="1753"/>
        <v>10 OTTOBRE 2022</v>
      </c>
      <c r="G2148" s="1309" t="s">
        <v>91</v>
      </c>
      <c r="H2148" s="1309" t="str">
        <f>VLOOKUP(G2148,CATEGORIE!$H$3:$I$104,2,FALSE)</f>
        <v>COSTO SOPRAVVIVENZA</v>
      </c>
      <c r="I2148" s="59">
        <v>0.4</v>
      </c>
      <c r="J2148" s="940"/>
      <c r="K2148" s="59"/>
      <c r="L2148" s="59"/>
    </row>
    <row r="2149" spans="1:12" ht="16.5" customHeight="1">
      <c r="A2149" s="57" t="s">
        <v>101</v>
      </c>
      <c r="B2149" s="57" t="s">
        <v>217</v>
      </c>
      <c r="C2149" s="57">
        <v>2022</v>
      </c>
      <c r="D2149" s="58">
        <f>MATCH(B2149,{"GENNAIO","FEBBRAIO","MARZO","APRILE","MAGGIO","GIUGNO","LUGLIO","AGOSTO","SETTEMBRE","OTTOBRE","NOVEMBRE","DICEMBRE"},0)</f>
        <v>10</v>
      </c>
      <c r="E2149" s="57" t="str">
        <f t="shared" si="1752"/>
        <v>OTTOBRE 2022</v>
      </c>
      <c r="F2149" s="57" t="str">
        <f t="shared" si="1753"/>
        <v>10 OTTOBRE 2022</v>
      </c>
      <c r="G2149" s="1309" t="s">
        <v>91</v>
      </c>
      <c r="H2149" s="1309" t="str">
        <f>VLOOKUP(G2149,CATEGORIE!$H$3:$I$104,2,FALSE)</f>
        <v>COSTO SOPRAVVIVENZA</v>
      </c>
      <c r="I2149" s="59">
        <v>0.4</v>
      </c>
      <c r="J2149" s="940"/>
      <c r="K2149" s="59"/>
      <c r="L2149" s="59"/>
    </row>
    <row r="2150" spans="1:12">
      <c r="A2150" s="57" t="s">
        <v>101</v>
      </c>
      <c r="B2150" s="57" t="s">
        <v>217</v>
      </c>
      <c r="C2150" s="57">
        <v>2022</v>
      </c>
      <c r="D2150" s="58">
        <f>MATCH(B2150,{"GENNAIO","FEBBRAIO","MARZO","APRILE","MAGGIO","GIUGNO","LUGLIO","AGOSTO","SETTEMBRE","OTTOBRE","NOVEMBRE","DICEMBRE"},0)</f>
        <v>10</v>
      </c>
      <c r="E2150" s="57" t="str">
        <f t="shared" si="1752"/>
        <v>OTTOBRE 2022</v>
      </c>
      <c r="F2150" s="57" t="str">
        <f t="shared" si="1753"/>
        <v>10 OTTOBRE 2022</v>
      </c>
      <c r="G2150" s="1309" t="s">
        <v>91</v>
      </c>
      <c r="H2150" s="1309" t="str">
        <f>VLOOKUP(G2150,CATEGORIE!$H$3:$I$104,2,FALSE)</f>
        <v>COSTO SOPRAVVIVENZA</v>
      </c>
      <c r="I2150" s="59">
        <v>0.4</v>
      </c>
      <c r="J2150" s="940"/>
      <c r="K2150" s="59"/>
      <c r="L2150" s="59"/>
    </row>
    <row r="2151" spans="1:12" ht="18.600000000000001" customHeight="1">
      <c r="A2151" s="57" t="s">
        <v>101</v>
      </c>
      <c r="B2151" s="57" t="s">
        <v>217</v>
      </c>
      <c r="C2151" s="57">
        <v>2022</v>
      </c>
      <c r="D2151" s="58">
        <f>MATCH(B2151,{"GENNAIO","FEBBRAIO","MARZO","APRILE","MAGGIO","GIUGNO","LUGLIO","AGOSTO","SETTEMBRE","OTTOBRE","NOVEMBRE","DICEMBRE"},0)</f>
        <v>10</v>
      </c>
      <c r="E2151" s="57" t="str">
        <f t="shared" si="1752"/>
        <v>OTTOBRE 2022</v>
      </c>
      <c r="F2151" s="57" t="str">
        <f t="shared" si="1753"/>
        <v>10 OTTOBRE 2022</v>
      </c>
      <c r="G2151" s="1309" t="s">
        <v>91</v>
      </c>
      <c r="H2151" s="1309" t="str">
        <f>VLOOKUP(G2151,CATEGORIE!$H$3:$I$104,2,FALSE)</f>
        <v>COSTO SOPRAVVIVENZA</v>
      </c>
      <c r="I2151" s="59">
        <v>0.4</v>
      </c>
      <c r="J2151" s="940"/>
      <c r="K2151" s="59"/>
      <c r="L2151" s="59"/>
    </row>
    <row r="2152" spans="1:12" ht="16.5" customHeight="1">
      <c r="A2152" s="57" t="s">
        <v>101</v>
      </c>
      <c r="B2152" s="57" t="s">
        <v>217</v>
      </c>
      <c r="C2152" s="57">
        <v>2022</v>
      </c>
      <c r="D2152" s="58">
        <f>MATCH(B2152,{"GENNAIO","FEBBRAIO","MARZO","APRILE","MAGGIO","GIUGNO","LUGLIO","AGOSTO","SETTEMBRE","OTTOBRE","NOVEMBRE","DICEMBRE"},0)</f>
        <v>10</v>
      </c>
      <c r="E2152" s="57" t="str">
        <f t="shared" si="1752"/>
        <v>OTTOBRE 2022</v>
      </c>
      <c r="F2152" s="57" t="str">
        <f t="shared" si="1753"/>
        <v>10 OTTOBRE 2022</v>
      </c>
      <c r="G2152" s="1309" t="s">
        <v>91</v>
      </c>
      <c r="H2152" s="1309" t="str">
        <f>VLOOKUP(G2152,CATEGORIE!$H$3:$I$104,2,FALSE)</f>
        <v>COSTO SOPRAVVIVENZA</v>
      </c>
      <c r="I2152" s="59">
        <v>0.4</v>
      </c>
      <c r="J2152" s="940"/>
      <c r="K2152" s="59"/>
      <c r="L2152" s="59"/>
    </row>
    <row r="2153" spans="1:12" ht="16.5" customHeight="1">
      <c r="A2153" s="57" t="s">
        <v>135</v>
      </c>
      <c r="B2153" s="57" t="s">
        <v>217</v>
      </c>
      <c r="C2153" s="57">
        <v>2022</v>
      </c>
      <c r="D2153" s="58">
        <f>MATCH(B2153,{"GENNAIO","FEBBRAIO","MARZO","APRILE","MAGGIO","GIUGNO","LUGLIO","AGOSTO","SETTEMBRE","OTTOBRE","NOVEMBRE","DICEMBRE"},0)</f>
        <v>10</v>
      </c>
      <c r="E2153" s="57" t="str">
        <f t="shared" si="1752"/>
        <v>OTTOBRE 2022</v>
      </c>
      <c r="F2153" s="57" t="str">
        <f t="shared" si="1753"/>
        <v>10 OTTOBRE 2022</v>
      </c>
      <c r="G2153" s="1309" t="s">
        <v>132</v>
      </c>
      <c r="H2153" s="1309" t="str">
        <f>VLOOKUP(G2153,CATEGORIE!$H$3:$I$104,2,FALSE)</f>
        <v>COSTO CASA</v>
      </c>
      <c r="I2153" s="59">
        <v>12.18</v>
      </c>
      <c r="J2153" s="940"/>
      <c r="K2153" s="59"/>
      <c r="L2153" s="59"/>
    </row>
    <row r="2154" spans="1:12">
      <c r="A2154" s="57" t="s">
        <v>105</v>
      </c>
      <c r="B2154" s="57" t="s">
        <v>217</v>
      </c>
      <c r="C2154" s="57">
        <v>2022</v>
      </c>
      <c r="D2154" s="58">
        <f>MATCH(B2154,{"GENNAIO","FEBBRAIO","MARZO","APRILE","MAGGIO","GIUGNO","LUGLIO","AGOSTO","SETTEMBRE","OTTOBRE","NOVEMBRE","DICEMBRE"},0)</f>
        <v>10</v>
      </c>
      <c r="E2154" s="57" t="str">
        <f t="shared" si="1752"/>
        <v>OTTOBRE 2022</v>
      </c>
      <c r="F2154" s="57" t="str">
        <f t="shared" si="1753"/>
        <v>10 OTTOBRE 2022</v>
      </c>
      <c r="G2154" s="1309" t="s">
        <v>96</v>
      </c>
      <c r="H2154" s="1309" t="str">
        <f>VLOOKUP(G2154,CATEGORIE!$H$3:$I$104,2,FALSE)</f>
        <v>COSTO SOPRAVVIVENZA</v>
      </c>
      <c r="I2154" s="59">
        <v>6.3</v>
      </c>
      <c r="J2154" s="940"/>
      <c r="K2154" s="59"/>
      <c r="L2154" s="59"/>
    </row>
    <row r="2155" spans="1:12" ht="16.5" customHeight="1">
      <c r="A2155" s="57" t="s">
        <v>99</v>
      </c>
      <c r="B2155" s="57" t="s">
        <v>217</v>
      </c>
      <c r="C2155" s="57">
        <v>2022</v>
      </c>
      <c r="D2155" s="58">
        <f>MATCH(B2155,{"GENNAIO","FEBBRAIO","MARZO","APRILE","MAGGIO","GIUGNO","LUGLIO","AGOSTO","SETTEMBRE","OTTOBRE","NOVEMBRE","DICEMBRE"},0)</f>
        <v>10</v>
      </c>
      <c r="E2155" s="57" t="str">
        <f t="shared" si="1752"/>
        <v>OTTOBRE 2022</v>
      </c>
      <c r="F2155" s="57" t="str">
        <f t="shared" si="1753"/>
        <v>10 OTTOBRE 2022</v>
      </c>
      <c r="G2155" s="1309" t="s">
        <v>100</v>
      </c>
      <c r="H2155" s="1309" t="str">
        <f>VLOOKUP(G2155,CATEGORIE!$H$3:$I$104,2,FALSE)</f>
        <v>COSTO SFIZI</v>
      </c>
      <c r="I2155" s="59">
        <v>22.98</v>
      </c>
      <c r="J2155" s="940"/>
      <c r="K2155" s="57" t="s">
        <v>99</v>
      </c>
      <c r="L2155" s="59"/>
    </row>
    <row r="2156" spans="1:12" ht="16.5" customHeight="1">
      <c r="A2156" s="57" t="s">
        <v>588</v>
      </c>
      <c r="B2156" s="57" t="s">
        <v>217</v>
      </c>
      <c r="C2156" s="57">
        <v>2022</v>
      </c>
      <c r="D2156" s="58">
        <f>MATCH(B2156,{"GENNAIO","FEBBRAIO","MARZO","APRILE","MAGGIO","GIUGNO","LUGLIO","AGOSTO","SETTEMBRE","OTTOBRE","NOVEMBRE","DICEMBRE"},0)</f>
        <v>10</v>
      </c>
      <c r="E2156" s="57" t="str">
        <f t="shared" si="1752"/>
        <v>OTTOBRE 2022</v>
      </c>
      <c r="F2156" s="57" t="str">
        <f t="shared" si="1753"/>
        <v>10 OTTOBRE 2022</v>
      </c>
      <c r="G2156" s="1309" t="s">
        <v>418</v>
      </c>
      <c r="H2156" s="1309" t="str">
        <f>VLOOKUP(G2156,CATEGORIE!$H$3:$I$104,2,FALSE)</f>
        <v>COSTO SOPRAVVIVENZA</v>
      </c>
      <c r="I2156" s="60">
        <v>20.89</v>
      </c>
      <c r="J2156" s="940"/>
      <c r="K2156" s="59"/>
      <c r="L2156" s="59"/>
    </row>
    <row r="2157" spans="1:12">
      <c r="A2157" s="57" t="s">
        <v>135</v>
      </c>
      <c r="B2157" s="57" t="s">
        <v>217</v>
      </c>
      <c r="C2157" s="57">
        <v>2022</v>
      </c>
      <c r="D2157" s="58">
        <f>MATCH(B2157,{"GENNAIO","FEBBRAIO","MARZO","APRILE","MAGGIO","GIUGNO","LUGLIO","AGOSTO","SETTEMBRE","OTTOBRE","NOVEMBRE","DICEMBRE"},0)</f>
        <v>10</v>
      </c>
      <c r="E2157" s="57" t="str">
        <f t="shared" si="1752"/>
        <v>OTTOBRE 2022</v>
      </c>
      <c r="F2157" s="57" t="str">
        <f t="shared" si="1753"/>
        <v>10 OTTOBRE 2022</v>
      </c>
      <c r="G2157" s="1309" t="s">
        <v>132</v>
      </c>
      <c r="H2157" s="1309" t="str">
        <f>VLOOKUP(G2157,CATEGORIE!$H$3:$I$104,2,FALSE)</f>
        <v>COSTO CASA</v>
      </c>
      <c r="I2157" s="59">
        <v>7.3</v>
      </c>
      <c r="J2157" s="940"/>
      <c r="K2157" s="59"/>
      <c r="L2157" s="59"/>
    </row>
    <row r="2158" spans="1:12" ht="18.600000000000001" customHeight="1">
      <c r="A2158" s="57" t="s">
        <v>589</v>
      </c>
      <c r="B2158" s="57" t="s">
        <v>217</v>
      </c>
      <c r="C2158" s="57">
        <v>2022</v>
      </c>
      <c r="D2158" s="58">
        <f>MATCH(B2158,{"GENNAIO","FEBBRAIO","MARZO","APRILE","MAGGIO","GIUGNO","LUGLIO","AGOSTO","SETTEMBRE","OTTOBRE","NOVEMBRE","DICEMBRE"},0)</f>
        <v>10</v>
      </c>
      <c r="E2158" s="57" t="str">
        <f t="shared" si="1752"/>
        <v>OTTOBRE 2022</v>
      </c>
      <c r="F2158" s="57" t="str">
        <f t="shared" si="1753"/>
        <v>10 OTTOBRE 2022</v>
      </c>
      <c r="G2158" s="1309" t="s">
        <v>107</v>
      </c>
      <c r="H2158" s="1309" t="str">
        <f>VLOOKUP(G2158,CATEGORIE!$H$3:$I$104,2,FALSE)</f>
        <v>COSTO SOPRAVVIVENZA</v>
      </c>
      <c r="I2158" s="59">
        <v>33</v>
      </c>
      <c r="J2158" s="940"/>
      <c r="K2158" s="59"/>
      <c r="L2158" s="59"/>
    </row>
    <row r="2159" spans="1:12">
      <c r="A2159" s="57" t="s">
        <v>590</v>
      </c>
      <c r="B2159" s="57" t="s">
        <v>217</v>
      </c>
      <c r="C2159" s="57">
        <v>2022</v>
      </c>
      <c r="D2159" s="58">
        <f>MATCH(B2159,{"GENNAIO","FEBBRAIO","MARZO","APRILE","MAGGIO","GIUGNO","LUGLIO","AGOSTO","SETTEMBRE","OTTOBRE","NOVEMBRE","DICEMBRE"},0)</f>
        <v>10</v>
      </c>
      <c r="E2159" s="57" t="str">
        <f t="shared" si="1752"/>
        <v>OTTOBRE 2022</v>
      </c>
      <c r="F2159" s="57" t="str">
        <f t="shared" si="1753"/>
        <v>10 OTTOBRE 2022</v>
      </c>
      <c r="G2159" s="1309" t="s">
        <v>418</v>
      </c>
      <c r="H2159" s="1309" t="str">
        <f>VLOOKUP(G2159,CATEGORIE!$H$3:$I$104,2,FALSE)</f>
        <v>COSTO SOPRAVVIVENZA</v>
      </c>
      <c r="I2159" s="60">
        <v>23.3</v>
      </c>
      <c r="J2159" s="940"/>
      <c r="K2159" s="59"/>
      <c r="L2159" s="59"/>
    </row>
    <row r="2160" spans="1:12" ht="18.600000000000001" customHeight="1">
      <c r="A2160" s="57" t="s">
        <v>131</v>
      </c>
      <c r="B2160" s="57" t="s">
        <v>217</v>
      </c>
      <c r="C2160" s="57">
        <v>2022</v>
      </c>
      <c r="D2160" s="58">
        <f>MATCH(B2160,{"GENNAIO","FEBBRAIO","MARZO","APRILE","MAGGIO","GIUGNO","LUGLIO","AGOSTO","SETTEMBRE","OTTOBRE","NOVEMBRE","DICEMBRE"},0)</f>
        <v>10</v>
      </c>
      <c r="E2160" s="57" t="str">
        <f t="shared" si="1752"/>
        <v>OTTOBRE 2022</v>
      </c>
      <c r="F2160" s="57" t="str">
        <f t="shared" si="1753"/>
        <v>10 OTTOBRE 2022</v>
      </c>
      <c r="G2160" s="1309" t="s">
        <v>132</v>
      </c>
      <c r="H2160" s="1309" t="str">
        <f>VLOOKUP(G2160,CATEGORIE!$H$3:$I$104,2,FALSE)</f>
        <v>COSTO CASA</v>
      </c>
      <c r="I2160" s="59">
        <v>51.8</v>
      </c>
      <c r="J2160" s="940"/>
      <c r="K2160" s="59"/>
      <c r="L2160" s="59"/>
    </row>
    <row r="2161" spans="1:12" ht="16.5" customHeight="1">
      <c r="A2161" s="57" t="s">
        <v>105</v>
      </c>
      <c r="B2161" s="57" t="s">
        <v>217</v>
      </c>
      <c r="C2161" s="57">
        <v>2022</v>
      </c>
      <c r="D2161" s="58">
        <f>MATCH(B2161,{"GENNAIO","FEBBRAIO","MARZO","APRILE","MAGGIO","GIUGNO","LUGLIO","AGOSTO","SETTEMBRE","OTTOBRE","NOVEMBRE","DICEMBRE"},0)</f>
        <v>10</v>
      </c>
      <c r="E2161" s="57" t="str">
        <f t="shared" si="1752"/>
        <v>OTTOBRE 2022</v>
      </c>
      <c r="F2161" s="57" t="str">
        <f t="shared" si="1753"/>
        <v>10 OTTOBRE 2022</v>
      </c>
      <c r="G2161" s="1309" t="s">
        <v>96</v>
      </c>
      <c r="H2161" s="1309" t="str">
        <f>VLOOKUP(G2161,CATEGORIE!$H$3:$I$104,2,FALSE)</f>
        <v>COSTO SOPRAVVIVENZA</v>
      </c>
      <c r="I2161" s="59">
        <v>3.27</v>
      </c>
      <c r="J2161" s="940"/>
      <c r="K2161" s="59"/>
      <c r="L2161" s="59"/>
    </row>
    <row r="2162" spans="1:12" ht="18.600000000000001" customHeight="1">
      <c r="A2162" s="57" t="s">
        <v>135</v>
      </c>
      <c r="B2162" s="57" t="s">
        <v>217</v>
      </c>
      <c r="C2162" s="57">
        <v>2022</v>
      </c>
      <c r="D2162" s="58">
        <f>MATCH(B2162,{"GENNAIO","FEBBRAIO","MARZO","APRILE","MAGGIO","GIUGNO","LUGLIO","AGOSTO","SETTEMBRE","OTTOBRE","NOVEMBRE","DICEMBRE"},0)</f>
        <v>10</v>
      </c>
      <c r="E2162" s="57" t="str">
        <f t="shared" si="1752"/>
        <v>OTTOBRE 2022</v>
      </c>
      <c r="F2162" s="57" t="str">
        <f t="shared" si="1753"/>
        <v>10 OTTOBRE 2022</v>
      </c>
      <c r="G2162" s="1309" t="s">
        <v>132</v>
      </c>
      <c r="H2162" s="1309" t="str">
        <f>VLOOKUP(G2162,CATEGORIE!$H$3:$I$104,2,FALSE)</f>
        <v>COSTO CASA</v>
      </c>
      <c r="I2162" s="59">
        <v>19.489999999999998</v>
      </c>
      <c r="J2162" s="940"/>
      <c r="K2162" s="59"/>
      <c r="L2162" s="59"/>
    </row>
    <row r="2163" spans="1:12" ht="16.5" customHeight="1">
      <c r="A2163" s="57" t="s">
        <v>591</v>
      </c>
      <c r="B2163" s="57" t="s">
        <v>217</v>
      </c>
      <c r="C2163" s="57">
        <v>2022</v>
      </c>
      <c r="D2163" s="58">
        <f>MATCH(B2163,{"GENNAIO","FEBBRAIO","MARZO","APRILE","MAGGIO","GIUGNO","LUGLIO","AGOSTO","SETTEMBRE","OTTOBRE","NOVEMBRE","DICEMBRE"},0)</f>
        <v>10</v>
      </c>
      <c r="E2163" s="57" t="str">
        <f t="shared" si="1752"/>
        <v>OTTOBRE 2022</v>
      </c>
      <c r="F2163" s="57" t="str">
        <f t="shared" si="1753"/>
        <v>10 OTTOBRE 2022</v>
      </c>
      <c r="G2163" s="1309" t="s">
        <v>1289</v>
      </c>
      <c r="H2163" s="1309" t="str">
        <f>VLOOKUP(G2163,CATEGORIE!$H$3:$I$104,2,FALSE)</f>
        <v>COSTO SFIZI</v>
      </c>
      <c r="I2163" s="59">
        <v>121.5</v>
      </c>
      <c r="J2163" s="940"/>
      <c r="K2163" s="59"/>
      <c r="L2163" s="59"/>
    </row>
    <row r="2164" spans="1:12" ht="16.5" customHeight="1">
      <c r="A2164" s="57" t="s">
        <v>101</v>
      </c>
      <c r="B2164" s="57" t="s">
        <v>240</v>
      </c>
      <c r="C2164" s="57">
        <v>2022</v>
      </c>
      <c r="D2164" s="58">
        <f>MATCH(B2164,{"GENNAIO","FEBBRAIO","MARZO","APRILE","MAGGIO","GIUGNO","LUGLIO","AGOSTO","SETTEMBRE","OTTOBRE","NOVEMBRE","DICEMBRE"},0)</f>
        <v>9</v>
      </c>
      <c r="E2164" s="57" t="str">
        <f t="shared" si="1752"/>
        <v>SETTEMBRE 2022</v>
      </c>
      <c r="F2164" s="57" t="str">
        <f t="shared" si="1753"/>
        <v>9 SETTEMBRE 2022</v>
      </c>
      <c r="G2164" s="1309" t="s">
        <v>91</v>
      </c>
      <c r="H2164" s="1309" t="str">
        <f>VLOOKUP(G2164,CATEGORIE!$H$3:$I$104,2,FALSE)</f>
        <v>COSTO SOPRAVVIVENZA</v>
      </c>
      <c r="I2164" s="59">
        <v>0.4</v>
      </c>
      <c r="J2164" s="940"/>
      <c r="K2164" s="59"/>
      <c r="L2164" s="59"/>
    </row>
    <row r="2165" spans="1:12" ht="16.5" customHeight="1">
      <c r="A2165" s="57" t="s">
        <v>156</v>
      </c>
      <c r="B2165" s="57" t="s">
        <v>240</v>
      </c>
      <c r="C2165" s="57">
        <v>2022</v>
      </c>
      <c r="D2165" s="58">
        <f>MATCH(B2165,{"GENNAIO","FEBBRAIO","MARZO","APRILE","MAGGIO","GIUGNO","LUGLIO","AGOSTO","SETTEMBRE","OTTOBRE","NOVEMBRE","DICEMBRE"},0)</f>
        <v>9</v>
      </c>
      <c r="E2165" s="57" t="str">
        <f t="shared" si="1752"/>
        <v>SETTEMBRE 2022</v>
      </c>
      <c r="F2165" s="57" t="str">
        <f t="shared" si="1753"/>
        <v>9 SETTEMBRE 2022</v>
      </c>
      <c r="G2165" s="1309" t="s">
        <v>96</v>
      </c>
      <c r="H2165" s="1309" t="str">
        <f>VLOOKUP(G2165,CATEGORIE!$H$3:$I$104,2,FALSE)</f>
        <v>COSTO SOPRAVVIVENZA</v>
      </c>
      <c r="I2165" s="59">
        <v>10.96</v>
      </c>
      <c r="J2165" s="940"/>
      <c r="K2165" s="59"/>
      <c r="L2165" s="59"/>
    </row>
    <row r="2166" spans="1:12" ht="16.5" customHeight="1">
      <c r="A2166" s="57" t="s">
        <v>394</v>
      </c>
      <c r="B2166" s="57" t="s">
        <v>240</v>
      </c>
      <c r="C2166" s="57">
        <v>2022</v>
      </c>
      <c r="D2166" s="58">
        <f>MATCH(B2166,{"GENNAIO","FEBBRAIO","MARZO","APRILE","MAGGIO","GIUGNO","LUGLIO","AGOSTO","SETTEMBRE","OTTOBRE","NOVEMBRE","DICEMBRE"},0)</f>
        <v>9</v>
      </c>
      <c r="E2166" s="57" t="str">
        <f t="shared" si="1752"/>
        <v>SETTEMBRE 2022</v>
      </c>
      <c r="F2166" s="57" t="str">
        <f t="shared" si="1753"/>
        <v>9 SETTEMBRE 2022</v>
      </c>
      <c r="G2166" s="1309" t="s">
        <v>94</v>
      </c>
      <c r="H2166" s="1309" t="str">
        <f>VLOOKUP(G2166,CATEGORIE!$H$3:$I$104,2,FALSE)</f>
        <v>COSTO SVAGHI</v>
      </c>
      <c r="I2166" s="59">
        <v>45</v>
      </c>
      <c r="J2166" s="940"/>
      <c r="K2166" s="59"/>
      <c r="L2166" s="59"/>
    </row>
    <row r="2167" spans="1:12" ht="16.5" customHeight="1">
      <c r="A2167" s="57" t="s">
        <v>101</v>
      </c>
      <c r="B2167" s="57" t="s">
        <v>240</v>
      </c>
      <c r="C2167" s="57">
        <v>2022</v>
      </c>
      <c r="D2167" s="58">
        <f>MATCH(B2167,{"GENNAIO","FEBBRAIO","MARZO","APRILE","MAGGIO","GIUGNO","LUGLIO","AGOSTO","SETTEMBRE","OTTOBRE","NOVEMBRE","DICEMBRE"},0)</f>
        <v>9</v>
      </c>
      <c r="E2167" s="57" t="str">
        <f t="shared" si="1752"/>
        <v>SETTEMBRE 2022</v>
      </c>
      <c r="F2167" s="57" t="str">
        <f t="shared" si="1753"/>
        <v>9 SETTEMBRE 2022</v>
      </c>
      <c r="G2167" s="1309" t="s">
        <v>91</v>
      </c>
      <c r="H2167" s="1309" t="str">
        <f>VLOOKUP(G2167,CATEGORIE!$H$3:$I$104,2,FALSE)</f>
        <v>COSTO SOPRAVVIVENZA</v>
      </c>
      <c r="I2167" s="59">
        <v>0.7</v>
      </c>
      <c r="J2167" s="940"/>
      <c r="K2167" s="59"/>
      <c r="L2167" s="59"/>
    </row>
    <row r="2168" spans="1:12" ht="16.5" customHeight="1">
      <c r="A2168" s="57" t="s">
        <v>101</v>
      </c>
      <c r="B2168" s="57" t="s">
        <v>240</v>
      </c>
      <c r="C2168" s="57">
        <v>2022</v>
      </c>
      <c r="D2168" s="58">
        <f>MATCH(B2168,{"GENNAIO","FEBBRAIO","MARZO","APRILE","MAGGIO","GIUGNO","LUGLIO","AGOSTO","SETTEMBRE","OTTOBRE","NOVEMBRE","DICEMBRE"},0)</f>
        <v>9</v>
      </c>
      <c r="E2168" s="57" t="str">
        <f t="shared" si="1752"/>
        <v>SETTEMBRE 2022</v>
      </c>
      <c r="F2168" s="57" t="str">
        <f t="shared" si="1753"/>
        <v>9 SETTEMBRE 2022</v>
      </c>
      <c r="G2168" s="1309" t="s">
        <v>91</v>
      </c>
      <c r="H2168" s="1309" t="str">
        <f>VLOOKUP(G2168,CATEGORIE!$H$3:$I$104,2,FALSE)</f>
        <v>COSTO SOPRAVVIVENZA</v>
      </c>
      <c r="I2168" s="59">
        <v>0.7</v>
      </c>
      <c r="J2168" s="940"/>
      <c r="K2168" s="59"/>
      <c r="L2168" s="59"/>
    </row>
    <row r="2169" spans="1:12" ht="16.5" customHeight="1">
      <c r="A2169" s="57" t="s">
        <v>101</v>
      </c>
      <c r="B2169" s="57" t="s">
        <v>240</v>
      </c>
      <c r="C2169" s="57">
        <v>2022</v>
      </c>
      <c r="D2169" s="58">
        <f>MATCH(B2169,{"GENNAIO","FEBBRAIO","MARZO","APRILE","MAGGIO","GIUGNO","LUGLIO","AGOSTO","SETTEMBRE","OTTOBRE","NOVEMBRE","DICEMBRE"},0)</f>
        <v>9</v>
      </c>
      <c r="E2169" s="57" t="str">
        <f t="shared" ref="E2169:E2232" si="1754">CONCATENATE(,B2169," ",C2169)</f>
        <v>SETTEMBRE 2022</v>
      </c>
      <c r="F2169" s="57" t="str">
        <f t="shared" ref="F2169:F2232" si="1755">CONCATENATE(D2169," ",E2169)</f>
        <v>9 SETTEMBRE 2022</v>
      </c>
      <c r="G2169" s="1309" t="s">
        <v>91</v>
      </c>
      <c r="H2169" s="1309" t="str">
        <f>VLOOKUP(G2169,CATEGORIE!$H$3:$I$104,2,FALSE)</f>
        <v>COSTO SOPRAVVIVENZA</v>
      </c>
      <c r="I2169" s="59">
        <v>0.4</v>
      </c>
      <c r="J2169" s="940"/>
      <c r="K2169" s="59"/>
      <c r="L2169" s="59"/>
    </row>
    <row r="2170" spans="1:12" ht="16.5" customHeight="1">
      <c r="A2170" s="57" t="s">
        <v>101</v>
      </c>
      <c r="B2170" s="57" t="s">
        <v>240</v>
      </c>
      <c r="C2170" s="57">
        <v>2022</v>
      </c>
      <c r="D2170" s="58">
        <f>MATCH(B2170,{"GENNAIO","FEBBRAIO","MARZO","APRILE","MAGGIO","GIUGNO","LUGLIO","AGOSTO","SETTEMBRE","OTTOBRE","NOVEMBRE","DICEMBRE"},0)</f>
        <v>9</v>
      </c>
      <c r="E2170" s="57" t="str">
        <f t="shared" si="1754"/>
        <v>SETTEMBRE 2022</v>
      </c>
      <c r="F2170" s="57" t="str">
        <f t="shared" si="1755"/>
        <v>9 SETTEMBRE 2022</v>
      </c>
      <c r="G2170" s="1309" t="s">
        <v>91</v>
      </c>
      <c r="H2170" s="1309" t="str">
        <f>VLOOKUP(G2170,CATEGORIE!$H$3:$I$104,2,FALSE)</f>
        <v>COSTO SOPRAVVIVENZA</v>
      </c>
      <c r="I2170" s="59">
        <v>0.4</v>
      </c>
      <c r="J2170" s="940"/>
      <c r="K2170" s="59"/>
      <c r="L2170" s="59"/>
    </row>
    <row r="2171" spans="1:12" ht="16.5" customHeight="1">
      <c r="A2171" s="57" t="s">
        <v>592</v>
      </c>
      <c r="B2171" s="57" t="s">
        <v>240</v>
      </c>
      <c r="C2171" s="57">
        <v>2022</v>
      </c>
      <c r="D2171" s="58">
        <f>MATCH(B2171,{"GENNAIO","FEBBRAIO","MARZO","APRILE","MAGGIO","GIUGNO","LUGLIO","AGOSTO","SETTEMBRE","OTTOBRE","NOVEMBRE","DICEMBRE"},0)</f>
        <v>9</v>
      </c>
      <c r="E2171" s="57" t="str">
        <f t="shared" si="1754"/>
        <v>SETTEMBRE 2022</v>
      </c>
      <c r="F2171" s="57" t="str">
        <f t="shared" si="1755"/>
        <v>9 SETTEMBRE 2022</v>
      </c>
      <c r="G2171" s="1309" t="s">
        <v>94</v>
      </c>
      <c r="H2171" s="1309" t="str">
        <f>VLOOKUP(G2171,CATEGORIE!$H$3:$I$104,2,FALSE)</f>
        <v>COSTO SVAGHI</v>
      </c>
      <c r="I2171" s="59">
        <v>15</v>
      </c>
      <c r="J2171" s="940"/>
      <c r="K2171" s="59"/>
      <c r="L2171" s="59"/>
    </row>
    <row r="2172" spans="1:12" ht="16.5" customHeight="1">
      <c r="A2172" s="57" t="s">
        <v>92</v>
      </c>
      <c r="B2172" s="57" t="s">
        <v>240</v>
      </c>
      <c r="C2172" s="57">
        <v>2022</v>
      </c>
      <c r="D2172" s="58">
        <f>MATCH(B2172,{"GENNAIO","FEBBRAIO","MARZO","APRILE","MAGGIO","GIUGNO","LUGLIO","AGOSTO","SETTEMBRE","OTTOBRE","NOVEMBRE","DICEMBRE"},0)</f>
        <v>9</v>
      </c>
      <c r="E2172" s="57" t="str">
        <f t="shared" si="1754"/>
        <v>SETTEMBRE 2022</v>
      </c>
      <c r="F2172" s="57" t="str">
        <f t="shared" si="1755"/>
        <v>9 SETTEMBRE 2022</v>
      </c>
      <c r="G2172" s="1309" t="s">
        <v>94</v>
      </c>
      <c r="H2172" s="1309" t="str">
        <f>VLOOKUP(G2172,CATEGORIE!$H$3:$I$104,2,FALSE)</f>
        <v>COSTO SVAGHI</v>
      </c>
      <c r="I2172" s="59">
        <v>7.4</v>
      </c>
      <c r="J2172" s="940"/>
      <c r="K2172" s="59"/>
      <c r="L2172" s="59"/>
    </row>
    <row r="2173" spans="1:12" ht="16.5" customHeight="1">
      <c r="A2173" s="57" t="s">
        <v>101</v>
      </c>
      <c r="B2173" s="57" t="s">
        <v>240</v>
      </c>
      <c r="C2173" s="57">
        <v>2022</v>
      </c>
      <c r="D2173" s="58">
        <f>MATCH(B2173,{"GENNAIO","FEBBRAIO","MARZO","APRILE","MAGGIO","GIUGNO","LUGLIO","AGOSTO","SETTEMBRE","OTTOBRE","NOVEMBRE","DICEMBRE"},0)</f>
        <v>9</v>
      </c>
      <c r="E2173" s="57" t="str">
        <f t="shared" si="1754"/>
        <v>SETTEMBRE 2022</v>
      </c>
      <c r="F2173" s="57" t="str">
        <f t="shared" si="1755"/>
        <v>9 SETTEMBRE 2022</v>
      </c>
      <c r="G2173" s="1309" t="s">
        <v>91</v>
      </c>
      <c r="H2173" s="1309" t="str">
        <f>VLOOKUP(G2173,CATEGORIE!$H$3:$I$104,2,FALSE)</f>
        <v>COSTO SOPRAVVIVENZA</v>
      </c>
      <c r="I2173" s="59">
        <v>0.4</v>
      </c>
      <c r="J2173" s="940"/>
      <c r="K2173" s="59"/>
      <c r="L2173" s="59"/>
    </row>
    <row r="2174" spans="1:12" ht="16.5" customHeight="1">
      <c r="A2174" s="57" t="s">
        <v>101</v>
      </c>
      <c r="B2174" s="57" t="s">
        <v>240</v>
      </c>
      <c r="C2174" s="57">
        <v>2022</v>
      </c>
      <c r="D2174" s="58">
        <f>MATCH(B2174,{"GENNAIO","FEBBRAIO","MARZO","APRILE","MAGGIO","GIUGNO","LUGLIO","AGOSTO","SETTEMBRE","OTTOBRE","NOVEMBRE","DICEMBRE"},0)</f>
        <v>9</v>
      </c>
      <c r="E2174" s="57" t="str">
        <f t="shared" si="1754"/>
        <v>SETTEMBRE 2022</v>
      </c>
      <c r="F2174" s="57" t="str">
        <f t="shared" si="1755"/>
        <v>9 SETTEMBRE 2022</v>
      </c>
      <c r="G2174" s="1309" t="s">
        <v>91</v>
      </c>
      <c r="H2174" s="1309" t="str">
        <f>VLOOKUP(G2174,CATEGORIE!$H$3:$I$104,2,FALSE)</f>
        <v>COSTO SOPRAVVIVENZA</v>
      </c>
      <c r="I2174" s="59">
        <v>0.4</v>
      </c>
      <c r="J2174" s="940"/>
      <c r="K2174" s="59"/>
      <c r="L2174" s="59"/>
    </row>
    <row r="2175" spans="1:12" ht="16.5" customHeight="1">
      <c r="A2175" s="57" t="s">
        <v>101</v>
      </c>
      <c r="B2175" s="57" t="s">
        <v>240</v>
      </c>
      <c r="C2175" s="57">
        <v>2022</v>
      </c>
      <c r="D2175" s="58">
        <f>MATCH(B2175,{"GENNAIO","FEBBRAIO","MARZO","APRILE","MAGGIO","GIUGNO","LUGLIO","AGOSTO","SETTEMBRE","OTTOBRE","NOVEMBRE","DICEMBRE"},0)</f>
        <v>9</v>
      </c>
      <c r="E2175" s="57" t="str">
        <f t="shared" si="1754"/>
        <v>SETTEMBRE 2022</v>
      </c>
      <c r="F2175" s="57" t="str">
        <f t="shared" si="1755"/>
        <v>9 SETTEMBRE 2022</v>
      </c>
      <c r="G2175" s="1309" t="s">
        <v>91</v>
      </c>
      <c r="H2175" s="1309" t="str">
        <f>VLOOKUP(G2175,CATEGORIE!$H$3:$I$104,2,FALSE)</f>
        <v>COSTO SOPRAVVIVENZA</v>
      </c>
      <c r="I2175" s="59">
        <v>0.4</v>
      </c>
      <c r="J2175" s="940"/>
      <c r="K2175" s="59"/>
      <c r="L2175" s="59"/>
    </row>
    <row r="2176" spans="1:12" ht="18.600000000000001" customHeight="1">
      <c r="A2176" s="57" t="s">
        <v>92</v>
      </c>
      <c r="B2176" s="57" t="s">
        <v>240</v>
      </c>
      <c r="C2176" s="57">
        <v>2022</v>
      </c>
      <c r="D2176" s="58">
        <f>MATCH(B2176,{"GENNAIO","FEBBRAIO","MARZO","APRILE","MAGGIO","GIUGNO","LUGLIO","AGOSTO","SETTEMBRE","OTTOBRE","NOVEMBRE","DICEMBRE"},0)</f>
        <v>9</v>
      </c>
      <c r="E2176" s="57" t="str">
        <f t="shared" si="1754"/>
        <v>SETTEMBRE 2022</v>
      </c>
      <c r="F2176" s="57" t="str">
        <f t="shared" si="1755"/>
        <v>9 SETTEMBRE 2022</v>
      </c>
      <c r="G2176" s="1309" t="s">
        <v>93</v>
      </c>
      <c r="H2176" s="1309" t="str">
        <f>VLOOKUP(G2176,CATEGORIE!$H$3:$I$104,2,FALSE)</f>
        <v>COSTO SOPRAVVIVENZA</v>
      </c>
      <c r="I2176" s="59">
        <v>5</v>
      </c>
      <c r="J2176" s="940"/>
      <c r="K2176" s="59"/>
      <c r="L2176" s="59"/>
    </row>
    <row r="2177" spans="1:12" ht="16.5" customHeight="1">
      <c r="A2177" s="57" t="s">
        <v>101</v>
      </c>
      <c r="B2177" s="57" t="s">
        <v>240</v>
      </c>
      <c r="C2177" s="57">
        <v>2022</v>
      </c>
      <c r="D2177" s="58">
        <f>MATCH(B2177,{"GENNAIO","FEBBRAIO","MARZO","APRILE","MAGGIO","GIUGNO","LUGLIO","AGOSTO","SETTEMBRE","OTTOBRE","NOVEMBRE","DICEMBRE"},0)</f>
        <v>9</v>
      </c>
      <c r="E2177" s="57" t="str">
        <f t="shared" si="1754"/>
        <v>SETTEMBRE 2022</v>
      </c>
      <c r="F2177" s="57" t="str">
        <f t="shared" si="1755"/>
        <v>9 SETTEMBRE 2022</v>
      </c>
      <c r="G2177" s="1309" t="s">
        <v>91</v>
      </c>
      <c r="H2177" s="1309" t="str">
        <f>VLOOKUP(G2177,CATEGORIE!$H$3:$I$104,2,FALSE)</f>
        <v>COSTO SOPRAVVIVENZA</v>
      </c>
      <c r="I2177" s="59">
        <v>0.4</v>
      </c>
      <c r="J2177" s="940"/>
      <c r="K2177" s="59"/>
      <c r="L2177" s="59"/>
    </row>
    <row r="2178" spans="1:12" ht="18.600000000000001" customHeight="1">
      <c r="A2178" s="57" t="s">
        <v>101</v>
      </c>
      <c r="B2178" s="57" t="s">
        <v>240</v>
      </c>
      <c r="C2178" s="57">
        <v>2022</v>
      </c>
      <c r="D2178" s="58">
        <f>MATCH(B2178,{"GENNAIO","FEBBRAIO","MARZO","APRILE","MAGGIO","GIUGNO","LUGLIO","AGOSTO","SETTEMBRE","OTTOBRE","NOVEMBRE","DICEMBRE"},0)</f>
        <v>9</v>
      </c>
      <c r="E2178" s="57" t="str">
        <f t="shared" si="1754"/>
        <v>SETTEMBRE 2022</v>
      </c>
      <c r="F2178" s="57" t="str">
        <f t="shared" si="1755"/>
        <v>9 SETTEMBRE 2022</v>
      </c>
      <c r="G2178" s="1309" t="s">
        <v>91</v>
      </c>
      <c r="H2178" s="1309" t="str">
        <f>VLOOKUP(G2178,CATEGORIE!$H$3:$I$104,2,FALSE)</f>
        <v>COSTO SOPRAVVIVENZA</v>
      </c>
      <c r="I2178" s="59">
        <v>0.4</v>
      </c>
      <c r="J2178" s="940"/>
      <c r="K2178" s="59"/>
      <c r="L2178" s="59"/>
    </row>
    <row r="2179" spans="1:12" ht="16.5" customHeight="1">
      <c r="A2179" s="57" t="s">
        <v>105</v>
      </c>
      <c r="B2179" s="57" t="s">
        <v>240</v>
      </c>
      <c r="C2179" s="57">
        <v>2022</v>
      </c>
      <c r="D2179" s="58">
        <f>MATCH(B2179,{"GENNAIO","FEBBRAIO","MARZO","APRILE","MAGGIO","GIUGNO","LUGLIO","AGOSTO","SETTEMBRE","OTTOBRE","NOVEMBRE","DICEMBRE"},0)</f>
        <v>9</v>
      </c>
      <c r="E2179" s="57" t="str">
        <f t="shared" si="1754"/>
        <v>SETTEMBRE 2022</v>
      </c>
      <c r="F2179" s="57" t="str">
        <f t="shared" si="1755"/>
        <v>9 SETTEMBRE 2022</v>
      </c>
      <c r="G2179" s="1309" t="s">
        <v>96</v>
      </c>
      <c r="H2179" s="1309" t="str">
        <f>VLOOKUP(G2179,CATEGORIE!$H$3:$I$104,2,FALSE)</f>
        <v>COSTO SOPRAVVIVENZA</v>
      </c>
      <c r="I2179" s="59">
        <v>12.03</v>
      </c>
      <c r="J2179" s="940"/>
      <c r="K2179" s="59"/>
      <c r="L2179" s="59"/>
    </row>
    <row r="2180" spans="1:12" ht="16.5" customHeight="1">
      <c r="A2180" s="57" t="s">
        <v>289</v>
      </c>
      <c r="B2180" s="57" t="s">
        <v>240</v>
      </c>
      <c r="C2180" s="57">
        <v>2022</v>
      </c>
      <c r="D2180" s="58">
        <f>MATCH(B2180,{"GENNAIO","FEBBRAIO","MARZO","APRILE","MAGGIO","GIUGNO","LUGLIO","AGOSTO","SETTEMBRE","OTTOBRE","NOVEMBRE","DICEMBRE"},0)</f>
        <v>9</v>
      </c>
      <c r="E2180" s="57" t="str">
        <f t="shared" si="1754"/>
        <v>SETTEMBRE 2022</v>
      </c>
      <c r="F2180" s="57" t="str">
        <f t="shared" si="1755"/>
        <v>9 SETTEMBRE 2022</v>
      </c>
      <c r="G2180" s="1309" t="s">
        <v>108</v>
      </c>
      <c r="H2180" s="1309" t="str">
        <f>VLOOKUP(G2180,CATEGORIE!$H$3:$I$104,2,FALSE)</f>
        <v>COSTO SFIZI</v>
      </c>
      <c r="I2180" s="59">
        <v>34.9</v>
      </c>
      <c r="J2180" s="940"/>
      <c r="K2180" s="59"/>
      <c r="L2180" s="59"/>
    </row>
    <row r="2181" spans="1:12" ht="16.5" customHeight="1">
      <c r="A2181" s="57" t="s">
        <v>105</v>
      </c>
      <c r="B2181" s="57" t="s">
        <v>240</v>
      </c>
      <c r="C2181" s="57">
        <v>2022</v>
      </c>
      <c r="D2181" s="58">
        <f>MATCH(B2181,{"GENNAIO","FEBBRAIO","MARZO","APRILE","MAGGIO","GIUGNO","LUGLIO","AGOSTO","SETTEMBRE","OTTOBRE","NOVEMBRE","DICEMBRE"},0)</f>
        <v>9</v>
      </c>
      <c r="E2181" s="57" t="str">
        <f t="shared" si="1754"/>
        <v>SETTEMBRE 2022</v>
      </c>
      <c r="F2181" s="57" t="str">
        <f t="shared" si="1755"/>
        <v>9 SETTEMBRE 2022</v>
      </c>
      <c r="G2181" s="1309" t="s">
        <v>96</v>
      </c>
      <c r="H2181" s="1309" t="str">
        <f>VLOOKUP(G2181,CATEGORIE!$H$3:$I$104,2,FALSE)</f>
        <v>COSTO SOPRAVVIVENZA</v>
      </c>
      <c r="I2181" s="59">
        <v>28.8</v>
      </c>
      <c r="J2181" s="940"/>
      <c r="K2181" s="59"/>
      <c r="L2181" s="59"/>
    </row>
    <row r="2182" spans="1:12" ht="16.5" customHeight="1">
      <c r="A2182" s="57" t="s">
        <v>92</v>
      </c>
      <c r="B2182" s="57" t="s">
        <v>240</v>
      </c>
      <c r="C2182" s="57">
        <v>2022</v>
      </c>
      <c r="D2182" s="58">
        <f>MATCH(B2182,{"GENNAIO","FEBBRAIO","MARZO","APRILE","MAGGIO","GIUGNO","LUGLIO","AGOSTO","SETTEMBRE","OTTOBRE","NOVEMBRE","DICEMBRE"},0)</f>
        <v>9</v>
      </c>
      <c r="E2182" s="57" t="str">
        <f t="shared" si="1754"/>
        <v>SETTEMBRE 2022</v>
      </c>
      <c r="F2182" s="57" t="str">
        <f t="shared" si="1755"/>
        <v>9 SETTEMBRE 2022</v>
      </c>
      <c r="G2182" s="1309" t="s">
        <v>94</v>
      </c>
      <c r="H2182" s="1309" t="str">
        <f>VLOOKUP(G2182,CATEGORIE!$H$3:$I$104,2,FALSE)</f>
        <v>COSTO SVAGHI</v>
      </c>
      <c r="I2182" s="59">
        <v>10</v>
      </c>
      <c r="J2182" s="940"/>
      <c r="K2182" s="59"/>
      <c r="L2182" s="59"/>
    </row>
    <row r="2183" spans="1:12" ht="16.5" customHeight="1">
      <c r="A2183" s="57" t="s">
        <v>92</v>
      </c>
      <c r="B2183" s="57" t="s">
        <v>240</v>
      </c>
      <c r="C2183" s="57">
        <v>2022</v>
      </c>
      <c r="D2183" s="58">
        <f>MATCH(B2183,{"GENNAIO","FEBBRAIO","MARZO","APRILE","MAGGIO","GIUGNO","LUGLIO","AGOSTO","SETTEMBRE","OTTOBRE","NOVEMBRE","DICEMBRE"},0)</f>
        <v>9</v>
      </c>
      <c r="E2183" s="57" t="str">
        <f t="shared" si="1754"/>
        <v>SETTEMBRE 2022</v>
      </c>
      <c r="F2183" s="57" t="str">
        <f t="shared" si="1755"/>
        <v>9 SETTEMBRE 2022</v>
      </c>
      <c r="G2183" s="1309" t="s">
        <v>93</v>
      </c>
      <c r="H2183" s="1309" t="str">
        <f>VLOOKUP(G2183,CATEGORIE!$H$3:$I$104,2,FALSE)</f>
        <v>COSTO SOPRAVVIVENZA</v>
      </c>
      <c r="I2183" s="59">
        <v>5</v>
      </c>
      <c r="J2183" s="940"/>
      <c r="K2183" s="59"/>
      <c r="L2183" s="59"/>
    </row>
    <row r="2184" spans="1:12" ht="16.5" customHeight="1">
      <c r="A2184" s="57" t="s">
        <v>101</v>
      </c>
      <c r="B2184" s="57" t="s">
        <v>240</v>
      </c>
      <c r="C2184" s="57">
        <v>2022</v>
      </c>
      <c r="D2184" s="58">
        <f>MATCH(B2184,{"GENNAIO","FEBBRAIO","MARZO","APRILE","MAGGIO","GIUGNO","LUGLIO","AGOSTO","SETTEMBRE","OTTOBRE","NOVEMBRE","DICEMBRE"},0)</f>
        <v>9</v>
      </c>
      <c r="E2184" s="57" t="str">
        <f t="shared" si="1754"/>
        <v>SETTEMBRE 2022</v>
      </c>
      <c r="F2184" s="57" t="str">
        <f t="shared" si="1755"/>
        <v>9 SETTEMBRE 2022</v>
      </c>
      <c r="G2184" s="1309" t="s">
        <v>91</v>
      </c>
      <c r="H2184" s="1309" t="str">
        <f>VLOOKUP(G2184,CATEGORIE!$H$3:$I$104,2,FALSE)</f>
        <v>COSTO SOPRAVVIVENZA</v>
      </c>
      <c r="I2184" s="59">
        <v>0.4</v>
      </c>
      <c r="J2184" s="940"/>
      <c r="K2184" s="59"/>
      <c r="L2184" s="59"/>
    </row>
    <row r="2185" spans="1:12" ht="16.5" customHeight="1">
      <c r="A2185" s="57" t="s">
        <v>593</v>
      </c>
      <c r="B2185" s="57" t="s">
        <v>240</v>
      </c>
      <c r="C2185" s="57">
        <v>2022</v>
      </c>
      <c r="D2185" s="58">
        <f>MATCH(B2185,{"GENNAIO","FEBBRAIO","MARZO","APRILE","MAGGIO","GIUGNO","LUGLIO","AGOSTO","SETTEMBRE","OTTOBRE","NOVEMBRE","DICEMBRE"},0)</f>
        <v>9</v>
      </c>
      <c r="E2185" s="57" t="str">
        <f t="shared" si="1754"/>
        <v>SETTEMBRE 2022</v>
      </c>
      <c r="F2185" s="57" t="str">
        <f t="shared" si="1755"/>
        <v>9 SETTEMBRE 2022</v>
      </c>
      <c r="G2185" s="1309" t="s">
        <v>94</v>
      </c>
      <c r="H2185" s="1309" t="str">
        <f>VLOOKUP(G2185,CATEGORIE!$H$3:$I$104,2,FALSE)</f>
        <v>COSTO SVAGHI</v>
      </c>
      <c r="I2185" s="59">
        <v>8</v>
      </c>
      <c r="J2185" s="940"/>
      <c r="K2185" s="59"/>
      <c r="L2185" s="59"/>
    </row>
    <row r="2186" spans="1:12" ht="18.600000000000001" customHeight="1">
      <c r="A2186" s="57" t="s">
        <v>101</v>
      </c>
      <c r="B2186" s="57" t="s">
        <v>240</v>
      </c>
      <c r="C2186" s="57">
        <v>2022</v>
      </c>
      <c r="D2186" s="58">
        <f>MATCH(B2186,{"GENNAIO","FEBBRAIO","MARZO","APRILE","MAGGIO","GIUGNO","LUGLIO","AGOSTO","SETTEMBRE","OTTOBRE","NOVEMBRE","DICEMBRE"},0)</f>
        <v>9</v>
      </c>
      <c r="E2186" s="57" t="str">
        <f t="shared" si="1754"/>
        <v>SETTEMBRE 2022</v>
      </c>
      <c r="F2186" s="57" t="str">
        <f t="shared" si="1755"/>
        <v>9 SETTEMBRE 2022</v>
      </c>
      <c r="G2186" s="1309" t="s">
        <v>91</v>
      </c>
      <c r="H2186" s="1309" t="str">
        <f>VLOOKUP(G2186,CATEGORIE!$H$3:$I$104,2,FALSE)</f>
        <v>COSTO SOPRAVVIVENZA</v>
      </c>
      <c r="I2186" s="59">
        <v>0.4</v>
      </c>
      <c r="J2186" s="940"/>
      <c r="K2186" s="59"/>
      <c r="L2186" s="59"/>
    </row>
    <row r="2187" spans="1:12">
      <c r="A2187" s="57" t="s">
        <v>589</v>
      </c>
      <c r="B2187" s="57" t="s">
        <v>240</v>
      </c>
      <c r="C2187" s="57">
        <v>2022</v>
      </c>
      <c r="D2187" s="58">
        <f>MATCH(B2187,{"GENNAIO","FEBBRAIO","MARZO","APRILE","MAGGIO","GIUGNO","LUGLIO","AGOSTO","SETTEMBRE","OTTOBRE","NOVEMBRE","DICEMBRE"},0)</f>
        <v>9</v>
      </c>
      <c r="E2187" s="57" t="str">
        <f t="shared" si="1754"/>
        <v>SETTEMBRE 2022</v>
      </c>
      <c r="F2187" s="57" t="str">
        <f t="shared" si="1755"/>
        <v>9 SETTEMBRE 2022</v>
      </c>
      <c r="G2187" s="1309" t="s">
        <v>107</v>
      </c>
      <c r="H2187" s="1309" t="str">
        <f>VLOOKUP(G2187,CATEGORIE!$H$3:$I$104,2,FALSE)</f>
        <v>COSTO SOPRAVVIVENZA</v>
      </c>
      <c r="I2187" s="59">
        <v>33</v>
      </c>
      <c r="J2187" s="940"/>
      <c r="K2187" s="59"/>
      <c r="L2187" s="59"/>
    </row>
    <row r="2188" spans="1:12" ht="16.5" customHeight="1">
      <c r="A2188" s="57" t="s">
        <v>350</v>
      </c>
      <c r="B2188" s="57" t="s">
        <v>240</v>
      </c>
      <c r="C2188" s="57">
        <v>2022</v>
      </c>
      <c r="D2188" s="58">
        <f>MATCH(B2188,{"GENNAIO","FEBBRAIO","MARZO","APRILE","MAGGIO","GIUGNO","LUGLIO","AGOSTO","SETTEMBRE","OTTOBRE","NOVEMBRE","DICEMBRE"},0)</f>
        <v>9</v>
      </c>
      <c r="E2188" s="57" t="str">
        <f t="shared" si="1754"/>
        <v>SETTEMBRE 2022</v>
      </c>
      <c r="F2188" s="57" t="str">
        <f t="shared" si="1755"/>
        <v>9 SETTEMBRE 2022</v>
      </c>
      <c r="G2188" s="1309" t="s">
        <v>94</v>
      </c>
      <c r="H2188" s="1309" t="str">
        <f>VLOOKUP(G2188,CATEGORIE!$H$3:$I$104,2,FALSE)</f>
        <v>COSTO SVAGHI</v>
      </c>
      <c r="I2188" s="59">
        <v>21.5</v>
      </c>
      <c r="J2188" s="940"/>
      <c r="K2188" s="59"/>
      <c r="L2188" s="59"/>
    </row>
    <row r="2189" spans="1:12">
      <c r="A2189" s="57" t="s">
        <v>156</v>
      </c>
      <c r="B2189" s="57" t="s">
        <v>240</v>
      </c>
      <c r="C2189" s="57">
        <v>2022</v>
      </c>
      <c r="D2189" s="58">
        <f>MATCH(B2189,{"GENNAIO","FEBBRAIO","MARZO","APRILE","MAGGIO","GIUGNO","LUGLIO","AGOSTO","SETTEMBRE","OTTOBRE","NOVEMBRE","DICEMBRE"},0)</f>
        <v>9</v>
      </c>
      <c r="E2189" s="57" t="str">
        <f t="shared" si="1754"/>
        <v>SETTEMBRE 2022</v>
      </c>
      <c r="F2189" s="57" t="str">
        <f t="shared" si="1755"/>
        <v>9 SETTEMBRE 2022</v>
      </c>
      <c r="G2189" s="1309" t="s">
        <v>96</v>
      </c>
      <c r="H2189" s="1309" t="str">
        <f>VLOOKUP(G2189,CATEGORIE!$H$3:$I$104,2,FALSE)</f>
        <v>COSTO SOPRAVVIVENZA</v>
      </c>
      <c r="I2189" s="59">
        <v>9.4</v>
      </c>
      <c r="J2189" s="940"/>
      <c r="K2189" s="59"/>
      <c r="L2189" s="59"/>
    </row>
    <row r="2190" spans="1:12">
      <c r="A2190" s="57" t="s">
        <v>170</v>
      </c>
      <c r="B2190" s="57" t="s">
        <v>261</v>
      </c>
      <c r="C2190" s="57">
        <v>2022</v>
      </c>
      <c r="D2190" s="58">
        <f>MATCH(B2190,{"GENNAIO","FEBBRAIO","MARZO","APRILE","MAGGIO","GIUGNO","LUGLIO","AGOSTO","SETTEMBRE","OTTOBRE","NOVEMBRE","DICEMBRE"},0)</f>
        <v>8</v>
      </c>
      <c r="E2190" s="57" t="str">
        <f t="shared" si="1754"/>
        <v>AGOSTO 2022</v>
      </c>
      <c r="F2190" s="57" t="str">
        <f t="shared" si="1755"/>
        <v>8 AGOSTO 2022</v>
      </c>
      <c r="G2190" s="1309" t="s">
        <v>132</v>
      </c>
      <c r="H2190" s="1309" t="str">
        <f>VLOOKUP(G2190,CATEGORIE!$H$3:$I$104,2,FALSE)</f>
        <v>COSTO CASA</v>
      </c>
      <c r="I2190" s="59">
        <v>89.9</v>
      </c>
      <c r="J2190" s="940"/>
      <c r="K2190" s="59"/>
      <c r="L2190" s="59"/>
    </row>
    <row r="2191" spans="1:12" ht="16.5" customHeight="1">
      <c r="A2191" s="57" t="s">
        <v>329</v>
      </c>
      <c r="B2191" s="57" t="s">
        <v>261</v>
      </c>
      <c r="C2191" s="57">
        <v>2022</v>
      </c>
      <c r="D2191" s="58">
        <f>MATCH(B2191,{"GENNAIO","FEBBRAIO","MARZO","APRILE","MAGGIO","GIUGNO","LUGLIO","AGOSTO","SETTEMBRE","OTTOBRE","NOVEMBRE","DICEMBRE"},0)</f>
        <v>8</v>
      </c>
      <c r="E2191" s="57" t="str">
        <f t="shared" si="1754"/>
        <v>AGOSTO 2022</v>
      </c>
      <c r="F2191" s="57" t="str">
        <f t="shared" si="1755"/>
        <v>8 AGOSTO 2022</v>
      </c>
      <c r="G2191" s="1309" t="s">
        <v>94</v>
      </c>
      <c r="H2191" s="1309" t="str">
        <f>VLOOKUP(G2191,CATEGORIE!$H$3:$I$104,2,FALSE)</f>
        <v>COSTO SVAGHI</v>
      </c>
      <c r="I2191" s="59">
        <v>8</v>
      </c>
      <c r="J2191" s="940"/>
      <c r="K2191" s="59"/>
      <c r="L2191" s="59"/>
    </row>
    <row r="2192" spans="1:12" ht="16.5" customHeight="1">
      <c r="A2192" s="57" t="s">
        <v>214</v>
      </c>
      <c r="B2192" s="57" t="s">
        <v>261</v>
      </c>
      <c r="C2192" s="57">
        <v>2022</v>
      </c>
      <c r="D2192" s="58">
        <f>MATCH(B2192,{"GENNAIO","FEBBRAIO","MARZO","APRILE","MAGGIO","GIUGNO","LUGLIO","AGOSTO","SETTEMBRE","OTTOBRE","NOVEMBRE","DICEMBRE"},0)</f>
        <v>8</v>
      </c>
      <c r="E2192" s="57" t="str">
        <f t="shared" si="1754"/>
        <v>AGOSTO 2022</v>
      </c>
      <c r="F2192" s="57" t="str">
        <f t="shared" si="1755"/>
        <v>8 AGOSTO 2022</v>
      </c>
      <c r="G2192" s="1309" t="s">
        <v>100</v>
      </c>
      <c r="H2192" s="1309" t="str">
        <f>VLOOKUP(G2192,CATEGORIE!$H$3:$I$104,2,FALSE)</f>
        <v>COSTO SFIZI</v>
      </c>
      <c r="I2192" s="60">
        <v>4.8899999999999997</v>
      </c>
      <c r="J2192" s="940"/>
      <c r="K2192" s="59"/>
      <c r="L2192" s="59"/>
    </row>
    <row r="2193" spans="1:12" ht="16.5" customHeight="1">
      <c r="A2193" s="57" t="s">
        <v>135</v>
      </c>
      <c r="B2193" s="57" t="s">
        <v>261</v>
      </c>
      <c r="C2193" s="57">
        <v>2022</v>
      </c>
      <c r="D2193" s="58">
        <f>MATCH(B2193,{"GENNAIO","FEBBRAIO","MARZO","APRILE","MAGGIO","GIUGNO","LUGLIO","AGOSTO","SETTEMBRE","OTTOBRE","NOVEMBRE","DICEMBRE"},0)</f>
        <v>8</v>
      </c>
      <c r="E2193" s="57" t="str">
        <f t="shared" si="1754"/>
        <v>AGOSTO 2022</v>
      </c>
      <c r="F2193" s="57" t="str">
        <f t="shared" si="1755"/>
        <v>8 AGOSTO 2022</v>
      </c>
      <c r="G2193" s="1309" t="s">
        <v>132</v>
      </c>
      <c r="H2193" s="1309" t="str">
        <f>VLOOKUP(G2193,CATEGORIE!$H$3:$I$104,2,FALSE)</f>
        <v>COSTO CASA</v>
      </c>
      <c r="I2193" s="59">
        <v>11.99</v>
      </c>
      <c r="J2193" s="940"/>
      <c r="K2193" s="59"/>
      <c r="L2193" s="59"/>
    </row>
    <row r="2194" spans="1:12" ht="16.5" customHeight="1">
      <c r="A2194" s="57" t="s">
        <v>594</v>
      </c>
      <c r="B2194" s="57" t="s">
        <v>261</v>
      </c>
      <c r="C2194" s="57">
        <v>2022</v>
      </c>
      <c r="D2194" s="58">
        <f>MATCH(B2194,{"GENNAIO","FEBBRAIO","MARZO","APRILE","MAGGIO","GIUGNO","LUGLIO","AGOSTO","SETTEMBRE","OTTOBRE","NOVEMBRE","DICEMBRE"},0)</f>
        <v>8</v>
      </c>
      <c r="E2194" s="57" t="str">
        <f t="shared" si="1754"/>
        <v>AGOSTO 2022</v>
      </c>
      <c r="F2194" s="57" t="str">
        <f t="shared" si="1755"/>
        <v>8 AGOSTO 2022</v>
      </c>
      <c r="G2194" s="1309" t="s">
        <v>163</v>
      </c>
      <c r="H2194" s="1309" t="str">
        <f>VLOOKUP(G2194,CATEGORIE!$H$3:$I$104,2,FALSE)</f>
        <v>COSTO SVAGHI</v>
      </c>
      <c r="I2194" s="59">
        <v>45</v>
      </c>
      <c r="J2194" s="940"/>
      <c r="K2194" s="59"/>
      <c r="L2194" s="59"/>
    </row>
    <row r="2195" spans="1:12" ht="18.600000000000001" customHeight="1">
      <c r="A2195" s="57" t="s">
        <v>189</v>
      </c>
      <c r="B2195" s="57" t="s">
        <v>261</v>
      </c>
      <c r="C2195" s="57">
        <v>2022</v>
      </c>
      <c r="D2195" s="58">
        <f>MATCH(B2195,{"GENNAIO","FEBBRAIO","MARZO","APRILE","MAGGIO","GIUGNO","LUGLIO","AGOSTO","SETTEMBRE","OTTOBRE","NOVEMBRE","DICEMBRE"},0)</f>
        <v>8</v>
      </c>
      <c r="E2195" s="57" t="str">
        <f t="shared" si="1754"/>
        <v>AGOSTO 2022</v>
      </c>
      <c r="F2195" s="57" t="str">
        <f t="shared" si="1755"/>
        <v>8 AGOSTO 2022</v>
      </c>
      <c r="G2195" s="1309" t="s">
        <v>94</v>
      </c>
      <c r="H2195" s="1309" t="str">
        <f>VLOOKUP(G2195,CATEGORIE!$H$3:$I$104,2,FALSE)</f>
        <v>COSTO SVAGHI</v>
      </c>
      <c r="I2195" s="59">
        <v>7.1</v>
      </c>
      <c r="J2195" s="940"/>
      <c r="K2195" s="59"/>
      <c r="L2195" s="59"/>
    </row>
    <row r="2196" spans="1:12" ht="16.5" customHeight="1">
      <c r="A2196" s="57" t="s">
        <v>350</v>
      </c>
      <c r="B2196" s="57" t="s">
        <v>261</v>
      </c>
      <c r="C2196" s="57">
        <v>2022</v>
      </c>
      <c r="D2196" s="58">
        <f>MATCH(B2196,{"GENNAIO","FEBBRAIO","MARZO","APRILE","MAGGIO","GIUGNO","LUGLIO","AGOSTO","SETTEMBRE","OTTOBRE","NOVEMBRE","DICEMBRE"},0)</f>
        <v>8</v>
      </c>
      <c r="E2196" s="57" t="str">
        <f t="shared" si="1754"/>
        <v>AGOSTO 2022</v>
      </c>
      <c r="F2196" s="57" t="str">
        <f t="shared" si="1755"/>
        <v>8 AGOSTO 2022</v>
      </c>
      <c r="G2196" s="1309" t="s">
        <v>94</v>
      </c>
      <c r="H2196" s="1309" t="str">
        <f>VLOOKUP(G2196,CATEGORIE!$H$3:$I$104,2,FALSE)</f>
        <v>COSTO SVAGHI</v>
      </c>
      <c r="I2196" s="59">
        <v>16.5</v>
      </c>
      <c r="J2196" s="940"/>
      <c r="K2196" s="59"/>
      <c r="L2196" s="59"/>
    </row>
    <row r="2197" spans="1:12" ht="16.5" customHeight="1">
      <c r="A2197" s="57" t="s">
        <v>467</v>
      </c>
      <c r="B2197" s="57" t="s">
        <v>261</v>
      </c>
      <c r="C2197" s="57">
        <v>2022</v>
      </c>
      <c r="D2197" s="58">
        <f>MATCH(B2197,{"GENNAIO","FEBBRAIO","MARZO","APRILE","MAGGIO","GIUGNO","LUGLIO","AGOSTO","SETTEMBRE","OTTOBRE","NOVEMBRE","DICEMBRE"},0)</f>
        <v>8</v>
      </c>
      <c r="E2197" s="57" t="str">
        <f t="shared" si="1754"/>
        <v>AGOSTO 2022</v>
      </c>
      <c r="F2197" s="57" t="str">
        <f t="shared" si="1755"/>
        <v>8 AGOSTO 2022</v>
      </c>
      <c r="G2197" s="1309" t="s">
        <v>94</v>
      </c>
      <c r="H2197" s="1309" t="str">
        <f>VLOOKUP(G2197,CATEGORIE!$H$3:$I$104,2,FALSE)</f>
        <v>COSTO SVAGHI</v>
      </c>
      <c r="I2197" s="59">
        <v>27</v>
      </c>
      <c r="J2197" s="940"/>
      <c r="K2197" s="59"/>
      <c r="L2197" s="59"/>
    </row>
    <row r="2198" spans="1:12" ht="16.5" customHeight="1">
      <c r="A2198" s="57" t="s">
        <v>105</v>
      </c>
      <c r="B2198" s="57" t="s">
        <v>261</v>
      </c>
      <c r="C2198" s="57">
        <v>2022</v>
      </c>
      <c r="D2198" s="58">
        <f>MATCH(B2198,{"GENNAIO","FEBBRAIO","MARZO","APRILE","MAGGIO","GIUGNO","LUGLIO","AGOSTO","SETTEMBRE","OTTOBRE","NOVEMBRE","DICEMBRE"},0)</f>
        <v>8</v>
      </c>
      <c r="E2198" s="57" t="str">
        <f t="shared" si="1754"/>
        <v>AGOSTO 2022</v>
      </c>
      <c r="F2198" s="57" t="str">
        <f t="shared" si="1755"/>
        <v>8 AGOSTO 2022</v>
      </c>
      <c r="G2198" s="1309" t="s">
        <v>96</v>
      </c>
      <c r="H2198" s="1309" t="str">
        <f>VLOOKUP(G2198,CATEGORIE!$H$3:$I$104,2,FALSE)</f>
        <v>COSTO SOPRAVVIVENZA</v>
      </c>
      <c r="I2198" s="59">
        <v>7.02</v>
      </c>
      <c r="J2198" s="940"/>
      <c r="K2198" s="59"/>
      <c r="L2198" s="59"/>
    </row>
    <row r="2199" spans="1:12" ht="16.5" customHeight="1">
      <c r="A2199" s="57" t="s">
        <v>548</v>
      </c>
      <c r="B2199" s="57" t="s">
        <v>261</v>
      </c>
      <c r="C2199" s="57">
        <v>2022</v>
      </c>
      <c r="D2199" s="58">
        <f>MATCH(B2199,{"GENNAIO","FEBBRAIO","MARZO","APRILE","MAGGIO","GIUGNO","LUGLIO","AGOSTO","SETTEMBRE","OTTOBRE","NOVEMBRE","DICEMBRE"},0)</f>
        <v>8</v>
      </c>
      <c r="E2199" s="57" t="str">
        <f t="shared" si="1754"/>
        <v>AGOSTO 2022</v>
      </c>
      <c r="F2199" s="57" t="str">
        <f t="shared" si="1755"/>
        <v>8 AGOSTO 2022</v>
      </c>
      <c r="G2199" s="1309" t="s">
        <v>94</v>
      </c>
      <c r="H2199" s="1309" t="str">
        <f>VLOOKUP(G2199,CATEGORIE!$H$3:$I$104,2,FALSE)</f>
        <v>COSTO SVAGHI</v>
      </c>
      <c r="I2199" s="59">
        <v>6</v>
      </c>
      <c r="J2199" s="940"/>
      <c r="K2199" s="59"/>
      <c r="L2199" s="59"/>
    </row>
    <row r="2200" spans="1:12" ht="16.5" customHeight="1">
      <c r="A2200" s="57" t="s">
        <v>350</v>
      </c>
      <c r="B2200" s="57" t="s">
        <v>261</v>
      </c>
      <c r="C2200" s="57">
        <v>2022</v>
      </c>
      <c r="D2200" s="58">
        <f>MATCH(B2200,{"GENNAIO","FEBBRAIO","MARZO","APRILE","MAGGIO","GIUGNO","LUGLIO","AGOSTO","SETTEMBRE","OTTOBRE","NOVEMBRE","DICEMBRE"},0)</f>
        <v>8</v>
      </c>
      <c r="E2200" s="57" t="str">
        <f t="shared" si="1754"/>
        <v>AGOSTO 2022</v>
      </c>
      <c r="F2200" s="57" t="str">
        <f t="shared" si="1755"/>
        <v>8 AGOSTO 2022</v>
      </c>
      <c r="G2200" s="1309" t="s">
        <v>94</v>
      </c>
      <c r="H2200" s="1309" t="str">
        <f>VLOOKUP(G2200,CATEGORIE!$H$3:$I$104,2,FALSE)</f>
        <v>COSTO SVAGHI</v>
      </c>
      <c r="I2200" s="59">
        <v>8</v>
      </c>
      <c r="J2200" s="940"/>
      <c r="K2200" s="59"/>
      <c r="L2200" s="59"/>
    </row>
    <row r="2201" spans="1:12" ht="16.5" customHeight="1">
      <c r="A2201" s="57" t="s">
        <v>350</v>
      </c>
      <c r="B2201" s="57" t="s">
        <v>261</v>
      </c>
      <c r="C2201" s="57">
        <v>2022</v>
      </c>
      <c r="D2201" s="58">
        <f>MATCH(B2201,{"GENNAIO","FEBBRAIO","MARZO","APRILE","MAGGIO","GIUGNO","LUGLIO","AGOSTO","SETTEMBRE","OTTOBRE","NOVEMBRE","DICEMBRE"},0)</f>
        <v>8</v>
      </c>
      <c r="E2201" s="57" t="str">
        <f t="shared" si="1754"/>
        <v>AGOSTO 2022</v>
      </c>
      <c r="F2201" s="57" t="str">
        <f t="shared" si="1755"/>
        <v>8 AGOSTO 2022</v>
      </c>
      <c r="G2201" s="1309" t="s">
        <v>94</v>
      </c>
      <c r="H2201" s="1309" t="str">
        <f>VLOOKUP(G2201,CATEGORIE!$H$3:$I$104,2,FALSE)</f>
        <v>COSTO SVAGHI</v>
      </c>
      <c r="I2201" s="59">
        <v>15</v>
      </c>
      <c r="J2201" s="940"/>
      <c r="K2201" s="59"/>
      <c r="L2201" s="59"/>
    </row>
    <row r="2202" spans="1:12" ht="18.600000000000001" customHeight="1">
      <c r="A2202" s="57" t="s">
        <v>595</v>
      </c>
      <c r="B2202" s="57" t="s">
        <v>261</v>
      </c>
      <c r="C2202" s="57">
        <v>2022</v>
      </c>
      <c r="D2202" s="58">
        <f>MATCH(B2202,{"GENNAIO","FEBBRAIO","MARZO","APRILE","MAGGIO","GIUGNO","LUGLIO","AGOSTO","SETTEMBRE","OTTOBRE","NOVEMBRE","DICEMBRE"},0)</f>
        <v>8</v>
      </c>
      <c r="E2202" s="57" t="str">
        <f t="shared" si="1754"/>
        <v>AGOSTO 2022</v>
      </c>
      <c r="F2202" s="57" t="str">
        <f t="shared" si="1755"/>
        <v>8 AGOSTO 2022</v>
      </c>
      <c r="G2202" s="1309" t="s">
        <v>94</v>
      </c>
      <c r="H2202" s="1309" t="str">
        <f>VLOOKUP(G2202,CATEGORIE!$H$3:$I$104,2,FALSE)</f>
        <v>COSTO SVAGHI</v>
      </c>
      <c r="I2202" s="59">
        <v>31.5</v>
      </c>
      <c r="J2202" s="940"/>
      <c r="K2202" s="59"/>
      <c r="L2202" s="59"/>
    </row>
    <row r="2203" spans="1:12" ht="18.600000000000001" customHeight="1">
      <c r="A2203" s="57" t="s">
        <v>92</v>
      </c>
      <c r="B2203" s="57" t="s">
        <v>261</v>
      </c>
      <c r="C2203" s="57">
        <v>2022</v>
      </c>
      <c r="D2203" s="58">
        <f>MATCH(B2203,{"GENNAIO","FEBBRAIO","MARZO","APRILE","MAGGIO","GIUGNO","LUGLIO","AGOSTO","SETTEMBRE","OTTOBRE","NOVEMBRE","DICEMBRE"},0)</f>
        <v>8</v>
      </c>
      <c r="E2203" s="57" t="str">
        <f t="shared" si="1754"/>
        <v>AGOSTO 2022</v>
      </c>
      <c r="F2203" s="57" t="str">
        <f t="shared" si="1755"/>
        <v>8 AGOSTO 2022</v>
      </c>
      <c r="G2203" s="1309" t="s">
        <v>93</v>
      </c>
      <c r="H2203" s="1309" t="str">
        <f>VLOOKUP(G2203,CATEGORIE!$H$3:$I$104,2,FALSE)</f>
        <v>COSTO SOPRAVVIVENZA</v>
      </c>
      <c r="I2203" s="59">
        <v>5</v>
      </c>
      <c r="J2203" s="940"/>
      <c r="K2203" s="59"/>
      <c r="L2203" s="59"/>
    </row>
    <row r="2204" spans="1:12">
      <c r="A2204" s="57" t="s">
        <v>92</v>
      </c>
      <c r="B2204" s="57" t="s">
        <v>261</v>
      </c>
      <c r="C2204" s="57">
        <v>2022</v>
      </c>
      <c r="D2204" s="58">
        <f>MATCH(B2204,{"GENNAIO","FEBBRAIO","MARZO","APRILE","MAGGIO","GIUGNO","LUGLIO","AGOSTO","SETTEMBRE","OTTOBRE","NOVEMBRE","DICEMBRE"},0)</f>
        <v>8</v>
      </c>
      <c r="E2204" s="57" t="str">
        <f t="shared" si="1754"/>
        <v>AGOSTO 2022</v>
      </c>
      <c r="F2204" s="57" t="str">
        <f t="shared" si="1755"/>
        <v>8 AGOSTO 2022</v>
      </c>
      <c r="G2204" s="1309" t="s">
        <v>93</v>
      </c>
      <c r="H2204" s="1309" t="str">
        <f>VLOOKUP(G2204,CATEGORIE!$H$3:$I$104,2,FALSE)</f>
        <v>COSTO SOPRAVVIVENZA</v>
      </c>
      <c r="I2204" s="59">
        <v>5</v>
      </c>
      <c r="J2204" s="940"/>
      <c r="K2204" s="59"/>
      <c r="L2204" s="59"/>
    </row>
    <row r="2205" spans="1:12" ht="16.5" customHeight="1">
      <c r="A2205" s="57" t="s">
        <v>105</v>
      </c>
      <c r="B2205" s="57" t="s">
        <v>261</v>
      </c>
      <c r="C2205" s="57">
        <v>2022</v>
      </c>
      <c r="D2205" s="58">
        <f>MATCH(B2205,{"GENNAIO","FEBBRAIO","MARZO","APRILE","MAGGIO","GIUGNO","LUGLIO","AGOSTO","SETTEMBRE","OTTOBRE","NOVEMBRE","DICEMBRE"},0)</f>
        <v>8</v>
      </c>
      <c r="E2205" s="57" t="str">
        <f t="shared" si="1754"/>
        <v>AGOSTO 2022</v>
      </c>
      <c r="F2205" s="57" t="str">
        <f t="shared" si="1755"/>
        <v>8 AGOSTO 2022</v>
      </c>
      <c r="G2205" s="1309" t="s">
        <v>96</v>
      </c>
      <c r="H2205" s="1309" t="str">
        <f>VLOOKUP(G2205,CATEGORIE!$H$3:$I$104,2,FALSE)</f>
        <v>COSTO SOPRAVVIVENZA</v>
      </c>
      <c r="I2205" s="59">
        <v>6.83</v>
      </c>
      <c r="J2205" s="940"/>
      <c r="K2205" s="59"/>
      <c r="L2205" s="59"/>
    </row>
    <row r="2206" spans="1:12" ht="16.5" customHeight="1">
      <c r="A2206" s="57" t="s">
        <v>156</v>
      </c>
      <c r="B2206" s="57" t="s">
        <v>261</v>
      </c>
      <c r="C2206" s="57">
        <v>2022</v>
      </c>
      <c r="D2206" s="58">
        <f>MATCH(B2206,{"GENNAIO","FEBBRAIO","MARZO","APRILE","MAGGIO","GIUGNO","LUGLIO","AGOSTO","SETTEMBRE","OTTOBRE","NOVEMBRE","DICEMBRE"},0)</f>
        <v>8</v>
      </c>
      <c r="E2206" s="57" t="str">
        <f t="shared" si="1754"/>
        <v>AGOSTO 2022</v>
      </c>
      <c r="F2206" s="57" t="str">
        <f t="shared" si="1755"/>
        <v>8 AGOSTO 2022</v>
      </c>
      <c r="G2206" s="1309" t="s">
        <v>96</v>
      </c>
      <c r="H2206" s="1309" t="str">
        <f>VLOOKUP(G2206,CATEGORIE!$H$3:$I$104,2,FALSE)</f>
        <v>COSTO SOPRAVVIVENZA</v>
      </c>
      <c r="I2206" s="59">
        <v>60.39</v>
      </c>
      <c r="J2206" s="940"/>
      <c r="K2206" s="59"/>
      <c r="L2206" s="59"/>
    </row>
    <row r="2207" spans="1:12" ht="16.5" customHeight="1">
      <c r="A2207" s="57" t="s">
        <v>135</v>
      </c>
      <c r="B2207" s="57" t="s">
        <v>261</v>
      </c>
      <c r="C2207" s="57">
        <v>2022</v>
      </c>
      <c r="D2207" s="58">
        <f>MATCH(B2207,{"GENNAIO","FEBBRAIO","MARZO","APRILE","MAGGIO","GIUGNO","LUGLIO","AGOSTO","SETTEMBRE","OTTOBRE","NOVEMBRE","DICEMBRE"},0)</f>
        <v>8</v>
      </c>
      <c r="E2207" s="57" t="str">
        <f t="shared" si="1754"/>
        <v>AGOSTO 2022</v>
      </c>
      <c r="F2207" s="57" t="str">
        <f t="shared" si="1755"/>
        <v>8 AGOSTO 2022</v>
      </c>
      <c r="G2207" s="1309" t="s">
        <v>132</v>
      </c>
      <c r="H2207" s="1309" t="str">
        <f>VLOOKUP(G2207,CATEGORIE!$H$3:$I$104,2,FALSE)</f>
        <v>COSTO CASA</v>
      </c>
      <c r="I2207" s="59">
        <v>20.100000000000001</v>
      </c>
      <c r="J2207" s="940"/>
      <c r="K2207" s="59"/>
      <c r="L2207" s="59"/>
    </row>
    <row r="2208" spans="1:12" ht="16.5" customHeight="1">
      <c r="A2208" s="57" t="s">
        <v>562</v>
      </c>
      <c r="B2208" s="57" t="s">
        <v>261</v>
      </c>
      <c r="C2208" s="57">
        <v>2022</v>
      </c>
      <c r="D2208" s="58">
        <f>MATCH(B2208,{"GENNAIO","FEBBRAIO","MARZO","APRILE","MAGGIO","GIUGNO","LUGLIO","AGOSTO","SETTEMBRE","OTTOBRE","NOVEMBRE","DICEMBRE"},0)</f>
        <v>8</v>
      </c>
      <c r="E2208" s="57" t="str">
        <f t="shared" si="1754"/>
        <v>AGOSTO 2022</v>
      </c>
      <c r="F2208" s="57" t="str">
        <f t="shared" si="1755"/>
        <v>8 AGOSTO 2022</v>
      </c>
      <c r="G2208" s="1309" t="s">
        <v>94</v>
      </c>
      <c r="H2208" s="1309" t="str">
        <f>VLOOKUP(G2208,CATEGORIE!$H$3:$I$104,2,FALSE)</f>
        <v>COSTO SVAGHI</v>
      </c>
      <c r="I2208" s="59">
        <v>21.5</v>
      </c>
      <c r="J2208" s="940"/>
      <c r="K2208" s="59"/>
      <c r="L2208" s="59"/>
    </row>
    <row r="2209" spans="1:12" ht="18.600000000000001" customHeight="1">
      <c r="A2209" s="57" t="s">
        <v>596</v>
      </c>
      <c r="B2209" s="57" t="s">
        <v>261</v>
      </c>
      <c r="C2209" s="57">
        <v>2022</v>
      </c>
      <c r="D2209" s="58">
        <f>MATCH(B2209,{"GENNAIO","FEBBRAIO","MARZO","APRILE","MAGGIO","GIUGNO","LUGLIO","AGOSTO","SETTEMBRE","OTTOBRE","NOVEMBRE","DICEMBRE"},0)</f>
        <v>8</v>
      </c>
      <c r="E2209" s="57" t="str">
        <f t="shared" si="1754"/>
        <v>AGOSTO 2022</v>
      </c>
      <c r="F2209" s="57" t="str">
        <f t="shared" si="1755"/>
        <v>8 AGOSTO 2022</v>
      </c>
      <c r="G2209" s="1309" t="s">
        <v>94</v>
      </c>
      <c r="H2209" s="1309" t="str">
        <f>VLOOKUP(G2209,CATEGORIE!$H$3:$I$104,2,FALSE)</f>
        <v>COSTO SVAGHI</v>
      </c>
      <c r="I2209" s="59">
        <v>5</v>
      </c>
      <c r="J2209" s="940"/>
      <c r="K2209" s="59"/>
      <c r="L2209" s="59"/>
    </row>
    <row r="2210" spans="1:12" ht="16.5" customHeight="1">
      <c r="A2210" s="57" t="s">
        <v>160</v>
      </c>
      <c r="B2210" s="57" t="s">
        <v>261</v>
      </c>
      <c r="C2210" s="57">
        <v>2022</v>
      </c>
      <c r="D2210" s="58">
        <f>MATCH(B2210,{"GENNAIO","FEBBRAIO","MARZO","APRILE","MAGGIO","GIUGNO","LUGLIO","AGOSTO","SETTEMBRE","OTTOBRE","NOVEMBRE","DICEMBRE"},0)</f>
        <v>8</v>
      </c>
      <c r="E2210" s="57" t="str">
        <f t="shared" si="1754"/>
        <v>AGOSTO 2022</v>
      </c>
      <c r="F2210" s="57" t="str">
        <f t="shared" si="1755"/>
        <v>8 AGOSTO 2022</v>
      </c>
      <c r="G2210" s="1309" t="s">
        <v>111</v>
      </c>
      <c r="H2210" s="1309" t="str">
        <f>VLOOKUP(G2210,CATEGORIE!$H$3:$I$104,2,FALSE)</f>
        <v>COSTO MOBILITA'</v>
      </c>
      <c r="I2210" s="59">
        <v>1.7</v>
      </c>
      <c r="J2210" s="940"/>
      <c r="K2210" s="59"/>
      <c r="L2210" s="59"/>
    </row>
    <row r="2211" spans="1:12" ht="16.5" customHeight="1">
      <c r="A2211" s="57" t="s">
        <v>467</v>
      </c>
      <c r="B2211" s="57" t="s">
        <v>261</v>
      </c>
      <c r="C2211" s="57">
        <v>2022</v>
      </c>
      <c r="D2211" s="58">
        <f>MATCH(B2211,{"GENNAIO","FEBBRAIO","MARZO","APRILE","MAGGIO","GIUGNO","LUGLIO","AGOSTO","SETTEMBRE","OTTOBRE","NOVEMBRE","DICEMBRE"},0)</f>
        <v>8</v>
      </c>
      <c r="E2211" s="57" t="str">
        <f t="shared" si="1754"/>
        <v>AGOSTO 2022</v>
      </c>
      <c r="F2211" s="57" t="str">
        <f t="shared" si="1755"/>
        <v>8 AGOSTO 2022</v>
      </c>
      <c r="G2211" s="1309" t="s">
        <v>94</v>
      </c>
      <c r="H2211" s="1309" t="str">
        <f>VLOOKUP(G2211,CATEGORIE!$H$3:$I$104,2,FALSE)</f>
        <v>COSTO SVAGHI</v>
      </c>
      <c r="I2211" s="59">
        <v>37</v>
      </c>
      <c r="J2211" s="940"/>
      <c r="K2211" s="59"/>
      <c r="L2211" s="59"/>
    </row>
    <row r="2212" spans="1:12" ht="18.600000000000001" customHeight="1">
      <c r="A2212" s="57" t="s">
        <v>105</v>
      </c>
      <c r="B2212" s="57" t="s">
        <v>288</v>
      </c>
      <c r="C2212" s="57">
        <v>2022</v>
      </c>
      <c r="D2212" s="58">
        <f>MATCH(B2212,{"GENNAIO","FEBBRAIO","MARZO","APRILE","MAGGIO","GIUGNO","LUGLIO","AGOSTO","SETTEMBRE","OTTOBRE","NOVEMBRE","DICEMBRE"},0)</f>
        <v>7</v>
      </c>
      <c r="E2212" s="57" t="str">
        <f t="shared" si="1754"/>
        <v>LUGLIO 2022</v>
      </c>
      <c r="F2212" s="57" t="str">
        <f t="shared" si="1755"/>
        <v>7 LUGLIO 2022</v>
      </c>
      <c r="G2212" s="1309" t="s">
        <v>96</v>
      </c>
      <c r="H2212" s="1309" t="str">
        <f>VLOOKUP(G2212,CATEGORIE!$H$3:$I$104,2,FALSE)</f>
        <v>COSTO SOPRAVVIVENZA</v>
      </c>
      <c r="I2212" s="59">
        <v>1.97</v>
      </c>
      <c r="J2212" s="940"/>
      <c r="K2212" s="59"/>
      <c r="L2212" s="59"/>
    </row>
    <row r="2213" spans="1:12" ht="16.5" customHeight="1">
      <c r="A2213" s="57" t="s">
        <v>92</v>
      </c>
      <c r="B2213" s="57" t="s">
        <v>288</v>
      </c>
      <c r="C2213" s="57">
        <v>2022</v>
      </c>
      <c r="D2213" s="58">
        <f>MATCH(B2213,{"GENNAIO","FEBBRAIO","MARZO","APRILE","MAGGIO","GIUGNO","LUGLIO","AGOSTO","SETTEMBRE","OTTOBRE","NOVEMBRE","DICEMBRE"},0)</f>
        <v>7</v>
      </c>
      <c r="E2213" s="57" t="str">
        <f t="shared" si="1754"/>
        <v>LUGLIO 2022</v>
      </c>
      <c r="F2213" s="57" t="str">
        <f t="shared" si="1755"/>
        <v>7 LUGLIO 2022</v>
      </c>
      <c r="G2213" s="1309" t="s">
        <v>93</v>
      </c>
      <c r="H2213" s="1309" t="str">
        <f>VLOOKUP(G2213,CATEGORIE!$H$3:$I$104,2,FALSE)</f>
        <v>COSTO SOPRAVVIVENZA</v>
      </c>
      <c r="I2213" s="59">
        <v>5</v>
      </c>
      <c r="J2213" s="940"/>
      <c r="K2213" s="59"/>
      <c r="L2213" s="59"/>
    </row>
    <row r="2214" spans="1:12" ht="16.5" customHeight="1">
      <c r="A2214" s="57" t="s">
        <v>92</v>
      </c>
      <c r="B2214" s="57" t="s">
        <v>288</v>
      </c>
      <c r="C2214" s="57">
        <v>2022</v>
      </c>
      <c r="D2214" s="58">
        <f>MATCH(B2214,{"GENNAIO","FEBBRAIO","MARZO","APRILE","MAGGIO","GIUGNO","LUGLIO","AGOSTO","SETTEMBRE","OTTOBRE","NOVEMBRE","DICEMBRE"},0)</f>
        <v>7</v>
      </c>
      <c r="E2214" s="57" t="str">
        <f t="shared" si="1754"/>
        <v>LUGLIO 2022</v>
      </c>
      <c r="F2214" s="57" t="str">
        <f t="shared" si="1755"/>
        <v>7 LUGLIO 2022</v>
      </c>
      <c r="G2214" s="1309" t="s">
        <v>93</v>
      </c>
      <c r="H2214" s="1309" t="str">
        <f>VLOOKUP(G2214,CATEGORIE!$H$3:$I$104,2,FALSE)</f>
        <v>COSTO SOPRAVVIVENZA</v>
      </c>
      <c r="I2214" s="59">
        <v>5</v>
      </c>
      <c r="J2214" s="940"/>
      <c r="K2214" s="59"/>
      <c r="L2214" s="59"/>
    </row>
    <row r="2215" spans="1:12" ht="18.600000000000001" customHeight="1">
      <c r="A2215" s="57" t="s">
        <v>105</v>
      </c>
      <c r="B2215" s="57" t="s">
        <v>288</v>
      </c>
      <c r="C2215" s="57">
        <v>2022</v>
      </c>
      <c r="D2215" s="58">
        <f>MATCH(B2215,{"GENNAIO","FEBBRAIO","MARZO","APRILE","MAGGIO","GIUGNO","LUGLIO","AGOSTO","SETTEMBRE","OTTOBRE","NOVEMBRE","DICEMBRE"},0)</f>
        <v>7</v>
      </c>
      <c r="E2215" s="57" t="str">
        <f t="shared" si="1754"/>
        <v>LUGLIO 2022</v>
      </c>
      <c r="F2215" s="57" t="str">
        <f t="shared" si="1755"/>
        <v>7 LUGLIO 2022</v>
      </c>
      <c r="G2215" s="1309" t="s">
        <v>96</v>
      </c>
      <c r="H2215" s="1309" t="str">
        <f>VLOOKUP(G2215,CATEGORIE!$H$3:$I$104,2,FALSE)</f>
        <v>COSTO SOPRAVVIVENZA</v>
      </c>
      <c r="I2215" s="59">
        <v>31.44</v>
      </c>
      <c r="J2215" s="940"/>
      <c r="K2215" s="59"/>
      <c r="L2215" s="59"/>
    </row>
    <row r="2216" spans="1:12" ht="16.5" customHeight="1">
      <c r="A2216" s="57" t="s">
        <v>467</v>
      </c>
      <c r="B2216" s="57" t="s">
        <v>288</v>
      </c>
      <c r="C2216" s="57">
        <v>2022</v>
      </c>
      <c r="D2216" s="58">
        <f>MATCH(B2216,{"GENNAIO","FEBBRAIO","MARZO","APRILE","MAGGIO","GIUGNO","LUGLIO","AGOSTO","SETTEMBRE","OTTOBRE","NOVEMBRE","DICEMBRE"},0)</f>
        <v>7</v>
      </c>
      <c r="E2216" s="57" t="str">
        <f t="shared" si="1754"/>
        <v>LUGLIO 2022</v>
      </c>
      <c r="F2216" s="57" t="str">
        <f t="shared" si="1755"/>
        <v>7 LUGLIO 2022</v>
      </c>
      <c r="G2216" s="1309" t="s">
        <v>94</v>
      </c>
      <c r="H2216" s="1309" t="str">
        <f>VLOOKUP(G2216,CATEGORIE!$H$3:$I$104,2,FALSE)</f>
        <v>COSTO SVAGHI</v>
      </c>
      <c r="I2216" s="59">
        <v>25</v>
      </c>
      <c r="J2216" s="940"/>
      <c r="K2216" s="59"/>
      <c r="L2216" s="59"/>
    </row>
    <row r="2217" spans="1:12" ht="16.5" customHeight="1">
      <c r="A2217" s="57" t="s">
        <v>350</v>
      </c>
      <c r="B2217" s="57" t="s">
        <v>288</v>
      </c>
      <c r="C2217" s="57">
        <v>2022</v>
      </c>
      <c r="D2217" s="58">
        <f>MATCH(B2217,{"GENNAIO","FEBBRAIO","MARZO","APRILE","MAGGIO","GIUGNO","LUGLIO","AGOSTO","SETTEMBRE","OTTOBRE","NOVEMBRE","DICEMBRE"},0)</f>
        <v>7</v>
      </c>
      <c r="E2217" s="57" t="str">
        <f t="shared" si="1754"/>
        <v>LUGLIO 2022</v>
      </c>
      <c r="F2217" s="57" t="str">
        <f t="shared" si="1755"/>
        <v>7 LUGLIO 2022</v>
      </c>
      <c r="G2217" s="1309" t="s">
        <v>94</v>
      </c>
      <c r="H2217" s="1309" t="str">
        <f>VLOOKUP(G2217,CATEGORIE!$H$3:$I$104,2,FALSE)</f>
        <v>COSTO SVAGHI</v>
      </c>
      <c r="I2217" s="59">
        <v>30</v>
      </c>
      <c r="J2217" s="940"/>
      <c r="K2217" s="59"/>
      <c r="L2217" s="59"/>
    </row>
    <row r="2218" spans="1:12" ht="16.5" customHeight="1">
      <c r="A2218" s="57" t="s">
        <v>156</v>
      </c>
      <c r="B2218" s="57" t="s">
        <v>288</v>
      </c>
      <c r="C2218" s="57">
        <v>2022</v>
      </c>
      <c r="D2218" s="58">
        <f>MATCH(B2218,{"GENNAIO","FEBBRAIO","MARZO","APRILE","MAGGIO","GIUGNO","LUGLIO","AGOSTO","SETTEMBRE","OTTOBRE","NOVEMBRE","DICEMBRE"},0)</f>
        <v>7</v>
      </c>
      <c r="E2218" s="57" t="str">
        <f t="shared" si="1754"/>
        <v>LUGLIO 2022</v>
      </c>
      <c r="F2218" s="57" t="str">
        <f t="shared" si="1755"/>
        <v>7 LUGLIO 2022</v>
      </c>
      <c r="G2218" s="1309" t="s">
        <v>96</v>
      </c>
      <c r="H2218" s="1309" t="str">
        <f>VLOOKUP(G2218,CATEGORIE!$H$3:$I$104,2,FALSE)</f>
        <v>COSTO SOPRAVVIVENZA</v>
      </c>
      <c r="I2218" s="59">
        <v>10.34</v>
      </c>
      <c r="J2218" s="940"/>
      <c r="K2218" s="59"/>
      <c r="L2218" s="59"/>
    </row>
    <row r="2219" spans="1:12">
      <c r="A2219" s="57" t="s">
        <v>99</v>
      </c>
      <c r="B2219" s="57" t="s">
        <v>288</v>
      </c>
      <c r="C2219" s="57">
        <v>2022</v>
      </c>
      <c r="D2219" s="58">
        <f>MATCH(B2219,{"GENNAIO","FEBBRAIO","MARZO","APRILE","MAGGIO","GIUGNO","LUGLIO","AGOSTO","SETTEMBRE","OTTOBRE","NOVEMBRE","DICEMBRE"},0)</f>
        <v>7</v>
      </c>
      <c r="E2219" s="57" t="str">
        <f t="shared" si="1754"/>
        <v>LUGLIO 2022</v>
      </c>
      <c r="F2219" s="57" t="str">
        <f t="shared" si="1755"/>
        <v>7 LUGLIO 2022</v>
      </c>
      <c r="G2219" s="1309" t="s">
        <v>100</v>
      </c>
      <c r="H2219" s="1309" t="str">
        <f>VLOOKUP(G2219,CATEGORIE!$H$3:$I$104,2,FALSE)</f>
        <v>COSTO SFIZI</v>
      </c>
      <c r="I2219" s="59">
        <v>37.97</v>
      </c>
      <c r="J2219" s="940"/>
      <c r="K2219" s="57" t="s">
        <v>99</v>
      </c>
      <c r="L2219" s="59"/>
    </row>
    <row r="2220" spans="1:12" ht="16.5" customHeight="1">
      <c r="A2220" s="57" t="s">
        <v>92</v>
      </c>
      <c r="B2220" s="57" t="s">
        <v>288</v>
      </c>
      <c r="C2220" s="57">
        <v>2022</v>
      </c>
      <c r="D2220" s="58">
        <f>MATCH(B2220,{"GENNAIO","FEBBRAIO","MARZO","APRILE","MAGGIO","GIUGNO","LUGLIO","AGOSTO","SETTEMBRE","OTTOBRE","NOVEMBRE","DICEMBRE"},0)</f>
        <v>7</v>
      </c>
      <c r="E2220" s="57" t="str">
        <f t="shared" si="1754"/>
        <v>LUGLIO 2022</v>
      </c>
      <c r="F2220" s="57" t="str">
        <f t="shared" si="1755"/>
        <v>7 LUGLIO 2022</v>
      </c>
      <c r="G2220" s="1309" t="s">
        <v>93</v>
      </c>
      <c r="H2220" s="1309" t="str">
        <f>VLOOKUP(G2220,CATEGORIE!$H$3:$I$104,2,FALSE)</f>
        <v>COSTO SOPRAVVIVENZA</v>
      </c>
      <c r="I2220" s="59">
        <v>5</v>
      </c>
      <c r="J2220" s="940"/>
      <c r="K2220" s="59"/>
      <c r="L2220" s="59"/>
    </row>
    <row r="2221" spans="1:12" ht="16.5" customHeight="1">
      <c r="A2221" s="57" t="s">
        <v>99</v>
      </c>
      <c r="B2221" s="57" t="s">
        <v>288</v>
      </c>
      <c r="C2221" s="57">
        <v>2022</v>
      </c>
      <c r="D2221" s="58">
        <f>MATCH(B2221,{"GENNAIO","FEBBRAIO","MARZO","APRILE","MAGGIO","GIUGNO","LUGLIO","AGOSTO","SETTEMBRE","OTTOBRE","NOVEMBRE","DICEMBRE"},0)</f>
        <v>7</v>
      </c>
      <c r="E2221" s="57" t="str">
        <f t="shared" si="1754"/>
        <v>LUGLIO 2022</v>
      </c>
      <c r="F2221" s="57" t="str">
        <f t="shared" si="1755"/>
        <v>7 LUGLIO 2022</v>
      </c>
      <c r="G2221" s="1309" t="s">
        <v>100</v>
      </c>
      <c r="H2221" s="1309" t="str">
        <f>VLOOKUP(G2221,CATEGORIE!$H$3:$I$104,2,FALSE)</f>
        <v>COSTO SFIZI</v>
      </c>
      <c r="I2221" s="59">
        <v>2.77</v>
      </c>
      <c r="J2221" s="940"/>
      <c r="K2221" s="57" t="s">
        <v>99</v>
      </c>
      <c r="L2221" s="59"/>
    </row>
    <row r="2222" spans="1:12" ht="16.5" customHeight="1">
      <c r="A2222" s="57" t="s">
        <v>135</v>
      </c>
      <c r="B2222" s="57" t="s">
        <v>288</v>
      </c>
      <c r="C2222" s="57">
        <v>2022</v>
      </c>
      <c r="D2222" s="58">
        <f>MATCH(B2222,{"GENNAIO","FEBBRAIO","MARZO","APRILE","MAGGIO","GIUGNO","LUGLIO","AGOSTO","SETTEMBRE","OTTOBRE","NOVEMBRE","DICEMBRE"},0)</f>
        <v>7</v>
      </c>
      <c r="E2222" s="57" t="str">
        <f t="shared" si="1754"/>
        <v>LUGLIO 2022</v>
      </c>
      <c r="F2222" s="57" t="str">
        <f t="shared" si="1755"/>
        <v>7 LUGLIO 2022</v>
      </c>
      <c r="G2222" s="1309" t="s">
        <v>132</v>
      </c>
      <c r="H2222" s="1309" t="str">
        <f>VLOOKUP(G2222,CATEGORIE!$H$3:$I$104,2,FALSE)</f>
        <v>COSTO CASA</v>
      </c>
      <c r="I2222" s="59">
        <v>25.29</v>
      </c>
      <c r="J2222" s="940"/>
      <c r="K2222" s="59"/>
      <c r="L2222" s="59"/>
    </row>
    <row r="2223" spans="1:12" ht="16.5" customHeight="1">
      <c r="A2223" s="57" t="s">
        <v>548</v>
      </c>
      <c r="B2223" s="57" t="s">
        <v>288</v>
      </c>
      <c r="C2223" s="57">
        <v>2022</v>
      </c>
      <c r="D2223" s="58">
        <f>MATCH(B2223,{"GENNAIO","FEBBRAIO","MARZO","APRILE","MAGGIO","GIUGNO","LUGLIO","AGOSTO","SETTEMBRE","OTTOBRE","NOVEMBRE","DICEMBRE"},0)</f>
        <v>7</v>
      </c>
      <c r="E2223" s="57" t="str">
        <f t="shared" si="1754"/>
        <v>LUGLIO 2022</v>
      </c>
      <c r="F2223" s="57" t="str">
        <f t="shared" si="1755"/>
        <v>7 LUGLIO 2022</v>
      </c>
      <c r="G2223" s="1309" t="s">
        <v>94</v>
      </c>
      <c r="H2223" s="1309" t="str">
        <f>VLOOKUP(G2223,CATEGORIE!$H$3:$I$104,2,FALSE)</f>
        <v>COSTO SVAGHI</v>
      </c>
      <c r="I2223" s="59">
        <v>10</v>
      </c>
      <c r="J2223" s="940"/>
      <c r="K2223" s="59"/>
      <c r="L2223" s="59"/>
    </row>
    <row r="2224" spans="1:12" ht="16.5" customHeight="1">
      <c r="A2224" s="57" t="s">
        <v>350</v>
      </c>
      <c r="B2224" s="57" t="s">
        <v>288</v>
      </c>
      <c r="C2224" s="57">
        <v>2022</v>
      </c>
      <c r="D2224" s="58">
        <f>MATCH(B2224,{"GENNAIO","FEBBRAIO","MARZO","APRILE","MAGGIO","GIUGNO","LUGLIO","AGOSTO","SETTEMBRE","OTTOBRE","NOVEMBRE","DICEMBRE"},0)</f>
        <v>7</v>
      </c>
      <c r="E2224" s="57" t="str">
        <f t="shared" si="1754"/>
        <v>LUGLIO 2022</v>
      </c>
      <c r="F2224" s="57" t="str">
        <f t="shared" si="1755"/>
        <v>7 LUGLIO 2022</v>
      </c>
      <c r="G2224" s="1309" t="s">
        <v>94</v>
      </c>
      <c r="H2224" s="1309" t="str">
        <f>VLOOKUP(G2224,CATEGORIE!$H$3:$I$104,2,FALSE)</f>
        <v>COSTO SVAGHI</v>
      </c>
      <c r="I2224" s="59">
        <v>11</v>
      </c>
      <c r="J2224" s="940"/>
      <c r="K2224" s="59"/>
      <c r="L2224" s="59"/>
    </row>
    <row r="2225" spans="1:12" ht="18.600000000000001" customHeight="1">
      <c r="A2225" s="57" t="s">
        <v>350</v>
      </c>
      <c r="B2225" s="57" t="s">
        <v>288</v>
      </c>
      <c r="C2225" s="57">
        <v>2022</v>
      </c>
      <c r="D2225" s="58">
        <f>MATCH(B2225,{"GENNAIO","FEBBRAIO","MARZO","APRILE","MAGGIO","GIUGNO","LUGLIO","AGOSTO","SETTEMBRE","OTTOBRE","NOVEMBRE","DICEMBRE"},0)</f>
        <v>7</v>
      </c>
      <c r="E2225" s="57" t="str">
        <f t="shared" si="1754"/>
        <v>LUGLIO 2022</v>
      </c>
      <c r="F2225" s="57" t="str">
        <f t="shared" si="1755"/>
        <v>7 LUGLIO 2022</v>
      </c>
      <c r="G2225" s="1309" t="s">
        <v>94</v>
      </c>
      <c r="H2225" s="1309" t="str">
        <f>VLOOKUP(G2225,CATEGORIE!$H$3:$I$104,2,FALSE)</f>
        <v>COSTO SVAGHI</v>
      </c>
      <c r="I2225" s="59">
        <v>19.5</v>
      </c>
      <c r="J2225" s="940"/>
      <c r="K2225" s="59"/>
      <c r="L2225" s="59"/>
    </row>
    <row r="2226" spans="1:12" ht="16.5" customHeight="1">
      <c r="A2226" s="57" t="s">
        <v>597</v>
      </c>
      <c r="B2226" s="57" t="s">
        <v>288</v>
      </c>
      <c r="C2226" s="57">
        <v>2022</v>
      </c>
      <c r="D2226" s="58">
        <f>MATCH(B2226,{"GENNAIO","FEBBRAIO","MARZO","APRILE","MAGGIO","GIUGNO","LUGLIO","AGOSTO","SETTEMBRE","OTTOBRE","NOVEMBRE","DICEMBRE"},0)</f>
        <v>7</v>
      </c>
      <c r="E2226" s="57" t="str">
        <f t="shared" si="1754"/>
        <v>LUGLIO 2022</v>
      </c>
      <c r="F2226" s="57" t="str">
        <f t="shared" si="1755"/>
        <v>7 LUGLIO 2022</v>
      </c>
      <c r="G2226" s="1309" t="s">
        <v>188</v>
      </c>
      <c r="H2226" s="1309" t="str">
        <f>VLOOKUP(G2226,CATEGORIE!$H$3:$I$104,2,FALSE)</f>
        <v>COSTO VACANZE</v>
      </c>
      <c r="I2226" s="59">
        <v>12</v>
      </c>
      <c r="J2226" s="940"/>
      <c r="K2226" s="59"/>
      <c r="L2226" s="59"/>
    </row>
    <row r="2227" spans="1:12">
      <c r="A2227" s="57" t="s">
        <v>99</v>
      </c>
      <c r="B2227" s="57" t="s">
        <v>288</v>
      </c>
      <c r="C2227" s="57">
        <v>2022</v>
      </c>
      <c r="D2227" s="58">
        <f>MATCH(B2227,{"GENNAIO","FEBBRAIO","MARZO","APRILE","MAGGIO","GIUGNO","LUGLIO","AGOSTO","SETTEMBRE","OTTOBRE","NOVEMBRE","DICEMBRE"},0)</f>
        <v>7</v>
      </c>
      <c r="E2227" s="57" t="str">
        <f t="shared" si="1754"/>
        <v>LUGLIO 2022</v>
      </c>
      <c r="F2227" s="57" t="str">
        <f t="shared" si="1755"/>
        <v>7 LUGLIO 2022</v>
      </c>
      <c r="G2227" s="1309" t="s">
        <v>100</v>
      </c>
      <c r="H2227" s="1309" t="str">
        <f>VLOOKUP(G2227,CATEGORIE!$H$3:$I$104,2,FALSE)</f>
        <v>COSTO SFIZI</v>
      </c>
      <c r="I2227" s="59">
        <v>1.99</v>
      </c>
      <c r="J2227" s="940"/>
      <c r="K2227" s="57" t="s">
        <v>99</v>
      </c>
      <c r="L2227" s="59"/>
    </row>
    <row r="2228" spans="1:12" ht="14.25" customHeight="1">
      <c r="A2228" s="57" t="s">
        <v>105</v>
      </c>
      <c r="B2228" s="57" t="s">
        <v>288</v>
      </c>
      <c r="C2228" s="57">
        <v>2022</v>
      </c>
      <c r="D2228" s="58">
        <f>MATCH(B2228,{"GENNAIO","FEBBRAIO","MARZO","APRILE","MAGGIO","GIUGNO","LUGLIO","AGOSTO","SETTEMBRE","OTTOBRE","NOVEMBRE","DICEMBRE"},0)</f>
        <v>7</v>
      </c>
      <c r="E2228" s="57" t="str">
        <f t="shared" si="1754"/>
        <v>LUGLIO 2022</v>
      </c>
      <c r="F2228" s="57" t="str">
        <f t="shared" si="1755"/>
        <v>7 LUGLIO 2022</v>
      </c>
      <c r="G2228" s="1309" t="s">
        <v>96</v>
      </c>
      <c r="H2228" s="1309" t="str">
        <f>VLOOKUP(G2228,CATEGORIE!$H$3:$I$104,2,FALSE)</f>
        <v>COSTO SOPRAVVIVENZA</v>
      </c>
      <c r="I2228" s="59">
        <v>12.09</v>
      </c>
      <c r="J2228" s="940"/>
      <c r="K2228" s="59"/>
      <c r="L2228" s="59"/>
    </row>
    <row r="2229" spans="1:12" ht="18.600000000000001" customHeight="1">
      <c r="A2229" s="57" t="s">
        <v>573</v>
      </c>
      <c r="B2229" s="57" t="s">
        <v>288</v>
      </c>
      <c r="C2229" s="57">
        <v>2022</v>
      </c>
      <c r="D2229" s="58">
        <f>MATCH(B2229,{"GENNAIO","FEBBRAIO","MARZO","APRILE","MAGGIO","GIUGNO","LUGLIO","AGOSTO","SETTEMBRE","OTTOBRE","NOVEMBRE","DICEMBRE"},0)</f>
        <v>7</v>
      </c>
      <c r="E2229" s="57" t="str">
        <f t="shared" si="1754"/>
        <v>LUGLIO 2022</v>
      </c>
      <c r="F2229" s="57" t="str">
        <f t="shared" si="1755"/>
        <v>7 LUGLIO 2022</v>
      </c>
      <c r="G2229" s="1309" t="s">
        <v>94</v>
      </c>
      <c r="H2229" s="1309" t="str">
        <f>VLOOKUP(G2229,CATEGORIE!$H$3:$I$104,2,FALSE)</f>
        <v>COSTO SVAGHI</v>
      </c>
      <c r="I2229" s="59">
        <v>23.88</v>
      </c>
      <c r="J2229" s="940"/>
      <c r="K2229" s="59"/>
      <c r="L2229" s="59"/>
    </row>
    <row r="2230" spans="1:12" ht="16.5" customHeight="1">
      <c r="A2230" s="57" t="s">
        <v>135</v>
      </c>
      <c r="B2230" s="57" t="s">
        <v>288</v>
      </c>
      <c r="C2230" s="57">
        <v>2022</v>
      </c>
      <c r="D2230" s="58">
        <f>MATCH(B2230,{"GENNAIO","FEBBRAIO","MARZO","APRILE","MAGGIO","GIUGNO","LUGLIO","AGOSTO","SETTEMBRE","OTTOBRE","NOVEMBRE","DICEMBRE"},0)</f>
        <v>7</v>
      </c>
      <c r="E2230" s="57" t="str">
        <f t="shared" si="1754"/>
        <v>LUGLIO 2022</v>
      </c>
      <c r="F2230" s="57" t="str">
        <f t="shared" si="1755"/>
        <v>7 LUGLIO 2022</v>
      </c>
      <c r="G2230" s="1309" t="s">
        <v>132</v>
      </c>
      <c r="H2230" s="1309" t="str">
        <f>VLOOKUP(G2230,CATEGORIE!$H$3:$I$104,2,FALSE)</f>
        <v>COSTO CASA</v>
      </c>
      <c r="I2230" s="59">
        <v>16.63</v>
      </c>
      <c r="J2230" s="940"/>
      <c r="K2230" s="59"/>
      <c r="L2230" s="59"/>
    </row>
    <row r="2231" spans="1:12" ht="16.5" customHeight="1">
      <c r="A2231" s="57" t="s">
        <v>120</v>
      </c>
      <c r="B2231" s="57" t="s">
        <v>288</v>
      </c>
      <c r="C2231" s="57">
        <v>2022</v>
      </c>
      <c r="D2231" s="58">
        <f>MATCH(B2231,{"GENNAIO","FEBBRAIO","MARZO","APRILE","MAGGIO","GIUGNO","LUGLIO","AGOSTO","SETTEMBRE","OTTOBRE","NOVEMBRE","DICEMBRE"},0)</f>
        <v>7</v>
      </c>
      <c r="E2231" s="57" t="str">
        <f t="shared" si="1754"/>
        <v>LUGLIO 2022</v>
      </c>
      <c r="F2231" s="57" t="str">
        <f t="shared" si="1755"/>
        <v>7 LUGLIO 2022</v>
      </c>
      <c r="G2231" s="1309" t="s">
        <v>121</v>
      </c>
      <c r="H2231" s="1309" t="str">
        <f>VLOOKUP(G2231,CATEGORIE!$H$3:$I$104,2,FALSE)</f>
        <v>COSTO MOBILITA'</v>
      </c>
      <c r="I2231" s="59">
        <v>25</v>
      </c>
      <c r="J2231" s="940"/>
      <c r="K2231" s="59"/>
      <c r="L2231" s="59"/>
    </row>
    <row r="2232" spans="1:12" ht="16.5" customHeight="1">
      <c r="A2232" s="57" t="s">
        <v>95</v>
      </c>
      <c r="B2232" s="57" t="s">
        <v>288</v>
      </c>
      <c r="C2232" s="57">
        <v>2022</v>
      </c>
      <c r="D2232" s="58">
        <f>MATCH(B2232,{"GENNAIO","FEBBRAIO","MARZO","APRILE","MAGGIO","GIUGNO","LUGLIO","AGOSTO","SETTEMBRE","OTTOBRE","NOVEMBRE","DICEMBRE"},0)</f>
        <v>7</v>
      </c>
      <c r="E2232" s="57" t="str">
        <f t="shared" si="1754"/>
        <v>LUGLIO 2022</v>
      </c>
      <c r="F2232" s="57" t="str">
        <f t="shared" si="1755"/>
        <v>7 LUGLIO 2022</v>
      </c>
      <c r="G2232" s="1309" t="s">
        <v>96</v>
      </c>
      <c r="H2232" s="1309" t="str">
        <f>VLOOKUP(G2232,CATEGORIE!$H$3:$I$104,2,FALSE)</f>
        <v>COSTO SOPRAVVIVENZA</v>
      </c>
      <c r="I2232" s="59">
        <v>22.43</v>
      </c>
      <c r="J2232" s="940"/>
      <c r="K2232" s="59"/>
      <c r="L2232" s="59"/>
    </row>
    <row r="2233" spans="1:12" ht="18.600000000000001" customHeight="1">
      <c r="A2233" s="57" t="s">
        <v>596</v>
      </c>
      <c r="B2233" s="57" t="s">
        <v>288</v>
      </c>
      <c r="C2233" s="57">
        <v>2022</v>
      </c>
      <c r="D2233" s="58">
        <f>MATCH(B2233,{"GENNAIO","FEBBRAIO","MARZO","APRILE","MAGGIO","GIUGNO","LUGLIO","AGOSTO","SETTEMBRE","OTTOBRE","NOVEMBRE","DICEMBRE"},0)</f>
        <v>7</v>
      </c>
      <c r="E2233" s="57" t="str">
        <f t="shared" ref="E2233:E2296" si="1756">CONCATENATE(,B2233," ",C2233)</f>
        <v>LUGLIO 2022</v>
      </c>
      <c r="F2233" s="57" t="str">
        <f t="shared" ref="F2233:F2296" si="1757">CONCATENATE(D2233," ",E2233)</f>
        <v>7 LUGLIO 2022</v>
      </c>
      <c r="G2233" s="1309" t="s">
        <v>94</v>
      </c>
      <c r="H2233" s="1309" t="str">
        <f>VLOOKUP(G2233,CATEGORIE!$H$3:$I$104,2,FALSE)</f>
        <v>COSTO SVAGHI</v>
      </c>
      <c r="I2233" s="59">
        <v>5</v>
      </c>
      <c r="J2233" s="940"/>
      <c r="K2233" s="59"/>
      <c r="L2233" s="59"/>
    </row>
    <row r="2234" spans="1:12">
      <c r="A2234" s="57" t="s">
        <v>467</v>
      </c>
      <c r="B2234" s="57" t="s">
        <v>288</v>
      </c>
      <c r="C2234" s="57">
        <v>2022</v>
      </c>
      <c r="D2234" s="58">
        <f>MATCH(B2234,{"GENNAIO","FEBBRAIO","MARZO","APRILE","MAGGIO","GIUGNO","LUGLIO","AGOSTO","SETTEMBRE","OTTOBRE","NOVEMBRE","DICEMBRE"},0)</f>
        <v>7</v>
      </c>
      <c r="E2234" s="57" t="str">
        <f t="shared" si="1756"/>
        <v>LUGLIO 2022</v>
      </c>
      <c r="F2234" s="57" t="str">
        <f t="shared" si="1757"/>
        <v>7 LUGLIO 2022</v>
      </c>
      <c r="G2234" s="1309" t="s">
        <v>94</v>
      </c>
      <c r="H2234" s="1309" t="str">
        <f>VLOOKUP(G2234,CATEGORIE!$H$3:$I$104,2,FALSE)</f>
        <v>COSTO SVAGHI</v>
      </c>
      <c r="I2234" s="59">
        <v>27</v>
      </c>
      <c r="J2234" s="940"/>
      <c r="K2234" s="59"/>
      <c r="L2234" s="59"/>
    </row>
    <row r="2235" spans="1:12" ht="16.5" customHeight="1">
      <c r="A2235" s="57" t="s">
        <v>99</v>
      </c>
      <c r="B2235" s="57" t="s">
        <v>314</v>
      </c>
      <c r="C2235" s="57">
        <v>2022</v>
      </c>
      <c r="D2235" s="58">
        <f>MATCH(B2235,{"GENNAIO","FEBBRAIO","MARZO","APRILE","MAGGIO","GIUGNO","LUGLIO","AGOSTO","SETTEMBRE","OTTOBRE","NOVEMBRE","DICEMBRE"},0)</f>
        <v>6</v>
      </c>
      <c r="E2235" s="57" t="str">
        <f t="shared" si="1756"/>
        <v>GIUGNO 2022</v>
      </c>
      <c r="F2235" s="57" t="str">
        <f t="shared" si="1757"/>
        <v>6 GIUGNO 2022</v>
      </c>
      <c r="G2235" s="1309" t="s">
        <v>100</v>
      </c>
      <c r="H2235" s="1309" t="str">
        <f>VLOOKUP(G2235,CATEGORIE!$H$3:$I$104,2,FALSE)</f>
        <v>COSTO SFIZI</v>
      </c>
      <c r="I2235" s="59">
        <v>16</v>
      </c>
      <c r="J2235" s="940"/>
      <c r="K2235" s="57" t="s">
        <v>99</v>
      </c>
      <c r="L2235" s="59"/>
    </row>
    <row r="2236" spans="1:12" ht="16.5" customHeight="1">
      <c r="A2236" s="57" t="s">
        <v>465</v>
      </c>
      <c r="B2236" s="57" t="s">
        <v>314</v>
      </c>
      <c r="C2236" s="57">
        <v>2022</v>
      </c>
      <c r="D2236" s="58">
        <f>MATCH(B2236,{"GENNAIO","FEBBRAIO","MARZO","APRILE","MAGGIO","GIUGNO","LUGLIO","AGOSTO","SETTEMBRE","OTTOBRE","NOVEMBRE","DICEMBRE"},0)</f>
        <v>6</v>
      </c>
      <c r="E2236" s="57" t="str">
        <f t="shared" si="1756"/>
        <v>GIUGNO 2022</v>
      </c>
      <c r="F2236" s="57" t="str">
        <f t="shared" si="1757"/>
        <v>6 GIUGNO 2022</v>
      </c>
      <c r="G2236" s="1309" t="s">
        <v>96</v>
      </c>
      <c r="H2236" s="1309" t="str">
        <f>VLOOKUP(G2236,CATEGORIE!$H$3:$I$104,2,FALSE)</f>
        <v>COSTO SOPRAVVIVENZA</v>
      </c>
      <c r="I2236" s="59">
        <v>13.96</v>
      </c>
      <c r="J2236" s="940"/>
      <c r="K2236" s="59"/>
      <c r="L2236" s="59"/>
    </row>
    <row r="2237" spans="1:12">
      <c r="A2237" s="57" t="s">
        <v>135</v>
      </c>
      <c r="B2237" s="57" t="s">
        <v>314</v>
      </c>
      <c r="C2237" s="57">
        <v>2022</v>
      </c>
      <c r="D2237" s="58">
        <f>MATCH(B2237,{"GENNAIO","FEBBRAIO","MARZO","APRILE","MAGGIO","GIUGNO","LUGLIO","AGOSTO","SETTEMBRE","OTTOBRE","NOVEMBRE","DICEMBRE"},0)</f>
        <v>6</v>
      </c>
      <c r="E2237" s="57" t="str">
        <f t="shared" si="1756"/>
        <v>GIUGNO 2022</v>
      </c>
      <c r="F2237" s="57" t="str">
        <f t="shared" si="1757"/>
        <v>6 GIUGNO 2022</v>
      </c>
      <c r="G2237" s="1309" t="s">
        <v>132</v>
      </c>
      <c r="H2237" s="1309" t="str">
        <f>VLOOKUP(G2237,CATEGORIE!$H$3:$I$104,2,FALSE)</f>
        <v>COSTO CASA</v>
      </c>
      <c r="I2237" s="59">
        <v>15.81</v>
      </c>
      <c r="J2237" s="940"/>
      <c r="K2237" s="59"/>
      <c r="L2237" s="59"/>
    </row>
    <row r="2238" spans="1:12" ht="16.5" customHeight="1">
      <c r="A2238" s="57" t="s">
        <v>598</v>
      </c>
      <c r="B2238" s="57" t="s">
        <v>314</v>
      </c>
      <c r="C2238" s="57">
        <v>2022</v>
      </c>
      <c r="D2238" s="58">
        <f>MATCH(B2238,{"GENNAIO","FEBBRAIO","MARZO","APRILE","MAGGIO","GIUGNO","LUGLIO","AGOSTO","SETTEMBRE","OTTOBRE","NOVEMBRE","DICEMBRE"},0)</f>
        <v>6</v>
      </c>
      <c r="E2238" s="57" t="str">
        <f t="shared" si="1756"/>
        <v>GIUGNO 2022</v>
      </c>
      <c r="F2238" s="57" t="str">
        <f t="shared" si="1757"/>
        <v>6 GIUGNO 2022</v>
      </c>
      <c r="G2238" s="1309" t="s">
        <v>94</v>
      </c>
      <c r="H2238" s="1309" t="str">
        <f>VLOOKUP(G2238,CATEGORIE!$H$3:$I$104,2,FALSE)</f>
        <v>COSTO SVAGHI</v>
      </c>
      <c r="I2238" s="59">
        <v>20</v>
      </c>
      <c r="J2238" s="940"/>
      <c r="K2238" s="59"/>
      <c r="L2238" s="59"/>
    </row>
    <row r="2239" spans="1:12" ht="16.5" customHeight="1">
      <c r="A2239" s="57" t="s">
        <v>598</v>
      </c>
      <c r="B2239" s="57" t="s">
        <v>314</v>
      </c>
      <c r="C2239" s="57">
        <v>2022</v>
      </c>
      <c r="D2239" s="58">
        <f>MATCH(B2239,{"GENNAIO","FEBBRAIO","MARZO","APRILE","MAGGIO","GIUGNO","LUGLIO","AGOSTO","SETTEMBRE","OTTOBRE","NOVEMBRE","DICEMBRE"},0)</f>
        <v>6</v>
      </c>
      <c r="E2239" s="57" t="str">
        <f t="shared" si="1756"/>
        <v>GIUGNO 2022</v>
      </c>
      <c r="F2239" s="57" t="str">
        <f t="shared" si="1757"/>
        <v>6 GIUGNO 2022</v>
      </c>
      <c r="G2239" s="1309" t="s">
        <v>94</v>
      </c>
      <c r="H2239" s="1309" t="str">
        <f>VLOOKUP(G2239,CATEGORIE!$H$3:$I$104,2,FALSE)</f>
        <v>COSTO SVAGHI</v>
      </c>
      <c r="I2239" s="59">
        <v>30</v>
      </c>
      <c r="J2239" s="940"/>
      <c r="K2239" s="59"/>
      <c r="L2239" s="59"/>
    </row>
    <row r="2240" spans="1:12">
      <c r="A2240" s="57" t="s">
        <v>341</v>
      </c>
      <c r="B2240" s="57" t="s">
        <v>314</v>
      </c>
      <c r="C2240" s="57">
        <v>2022</v>
      </c>
      <c r="D2240" s="58">
        <f>MATCH(B2240,{"GENNAIO","FEBBRAIO","MARZO","APRILE","MAGGIO","GIUGNO","LUGLIO","AGOSTO","SETTEMBRE","OTTOBRE","NOVEMBRE","DICEMBRE"},0)</f>
        <v>6</v>
      </c>
      <c r="E2240" s="57" t="str">
        <f t="shared" si="1756"/>
        <v>GIUGNO 2022</v>
      </c>
      <c r="F2240" s="57" t="str">
        <f t="shared" si="1757"/>
        <v>6 GIUGNO 2022</v>
      </c>
      <c r="G2240" s="1309" t="s">
        <v>94</v>
      </c>
      <c r="H2240" s="1309" t="str">
        <f>VLOOKUP(G2240,CATEGORIE!$H$3:$I$104,2,FALSE)</f>
        <v>COSTO SVAGHI</v>
      </c>
      <c r="I2240" s="59">
        <v>3</v>
      </c>
      <c r="J2240" s="940"/>
      <c r="K2240" s="59"/>
      <c r="L2240" s="59"/>
    </row>
    <row r="2241" spans="1:12" ht="16.5" customHeight="1">
      <c r="A2241" s="57" t="s">
        <v>589</v>
      </c>
      <c r="B2241" s="57" t="s">
        <v>314</v>
      </c>
      <c r="C2241" s="57">
        <v>2022</v>
      </c>
      <c r="D2241" s="58">
        <f>MATCH(B2241,{"GENNAIO","FEBBRAIO","MARZO","APRILE","MAGGIO","GIUGNO","LUGLIO","AGOSTO","SETTEMBRE","OTTOBRE","NOVEMBRE","DICEMBRE"},0)</f>
        <v>6</v>
      </c>
      <c r="E2241" s="57" t="str">
        <f t="shared" si="1756"/>
        <v>GIUGNO 2022</v>
      </c>
      <c r="F2241" s="57" t="str">
        <f t="shared" si="1757"/>
        <v>6 GIUGNO 2022</v>
      </c>
      <c r="G2241" s="1309" t="s">
        <v>107</v>
      </c>
      <c r="H2241" s="1309" t="str">
        <f>VLOOKUP(G2241,CATEGORIE!$H$3:$I$104,2,FALSE)</f>
        <v>COSTO SOPRAVVIVENZA</v>
      </c>
      <c r="I2241" s="59">
        <v>33</v>
      </c>
      <c r="J2241" s="940"/>
      <c r="K2241" s="59"/>
      <c r="L2241" s="59"/>
    </row>
    <row r="2242" spans="1:12">
      <c r="A2242" s="57" t="s">
        <v>99</v>
      </c>
      <c r="B2242" s="57" t="s">
        <v>314</v>
      </c>
      <c r="C2242" s="57">
        <v>2022</v>
      </c>
      <c r="D2242" s="58">
        <f>MATCH(B2242,{"GENNAIO","FEBBRAIO","MARZO","APRILE","MAGGIO","GIUGNO","LUGLIO","AGOSTO","SETTEMBRE","OTTOBRE","NOVEMBRE","DICEMBRE"},0)</f>
        <v>6</v>
      </c>
      <c r="E2242" s="57" t="str">
        <f t="shared" si="1756"/>
        <v>GIUGNO 2022</v>
      </c>
      <c r="F2242" s="57" t="str">
        <f t="shared" si="1757"/>
        <v>6 GIUGNO 2022</v>
      </c>
      <c r="G2242" s="1309" t="s">
        <v>108</v>
      </c>
      <c r="H2242" s="1309" t="str">
        <f>VLOOKUP(G2242,CATEGORIE!$H$3:$I$104,2,FALSE)</f>
        <v>COSTO SFIZI</v>
      </c>
      <c r="I2242" s="59">
        <v>48.98</v>
      </c>
      <c r="J2242" s="940"/>
      <c r="K2242" s="57" t="s">
        <v>99</v>
      </c>
      <c r="L2242" s="59"/>
    </row>
    <row r="2243" spans="1:12" ht="16.5" customHeight="1">
      <c r="A2243" s="57" t="s">
        <v>229</v>
      </c>
      <c r="B2243" s="57" t="s">
        <v>314</v>
      </c>
      <c r="C2243" s="57">
        <v>2022</v>
      </c>
      <c r="D2243" s="58">
        <f>MATCH(B2243,{"GENNAIO","FEBBRAIO","MARZO","APRILE","MAGGIO","GIUGNO","LUGLIO","AGOSTO","SETTEMBRE","OTTOBRE","NOVEMBRE","DICEMBRE"},0)</f>
        <v>6</v>
      </c>
      <c r="E2243" s="57" t="str">
        <f t="shared" si="1756"/>
        <v>GIUGNO 2022</v>
      </c>
      <c r="F2243" s="57" t="str">
        <f t="shared" si="1757"/>
        <v>6 GIUGNO 2022</v>
      </c>
      <c r="G2243" s="1309" t="s">
        <v>163</v>
      </c>
      <c r="H2243" s="1309" t="str">
        <f>VLOOKUP(G2243,CATEGORIE!$H$3:$I$104,2,FALSE)</f>
        <v>COSTO SVAGHI</v>
      </c>
      <c r="I2243" s="59">
        <v>20.86</v>
      </c>
      <c r="J2243" s="940" t="s">
        <v>215</v>
      </c>
      <c r="K2243" s="59" t="s">
        <v>112</v>
      </c>
      <c r="L2243" s="59"/>
    </row>
    <row r="2244" spans="1:12" ht="16.5" customHeight="1">
      <c r="A2244" s="57" t="s">
        <v>99</v>
      </c>
      <c r="B2244" s="57" t="s">
        <v>314</v>
      </c>
      <c r="C2244" s="57">
        <v>2022</v>
      </c>
      <c r="D2244" s="58">
        <f>MATCH(B2244,{"GENNAIO","FEBBRAIO","MARZO","APRILE","MAGGIO","GIUGNO","LUGLIO","AGOSTO","SETTEMBRE","OTTOBRE","NOVEMBRE","DICEMBRE"},0)</f>
        <v>6</v>
      </c>
      <c r="E2244" s="57" t="str">
        <f t="shared" si="1756"/>
        <v>GIUGNO 2022</v>
      </c>
      <c r="F2244" s="57" t="str">
        <f t="shared" si="1757"/>
        <v>6 GIUGNO 2022</v>
      </c>
      <c r="G2244" s="1309" t="s">
        <v>100</v>
      </c>
      <c r="H2244" s="1309" t="str">
        <f>VLOOKUP(G2244,CATEGORIE!$H$3:$I$104,2,FALSE)</f>
        <v>COSTO SFIZI</v>
      </c>
      <c r="I2244" s="59">
        <v>11.58</v>
      </c>
      <c r="J2244" s="940"/>
      <c r="K2244" s="57" t="s">
        <v>99</v>
      </c>
      <c r="L2244" s="59"/>
    </row>
    <row r="2245" spans="1:12" ht="16.5" customHeight="1">
      <c r="A2245" s="57" t="s">
        <v>412</v>
      </c>
      <c r="B2245" s="57" t="s">
        <v>314</v>
      </c>
      <c r="C2245" s="57">
        <v>2022</v>
      </c>
      <c r="D2245" s="58">
        <f>MATCH(B2245,{"GENNAIO","FEBBRAIO","MARZO","APRILE","MAGGIO","GIUGNO","LUGLIO","AGOSTO","SETTEMBRE","OTTOBRE","NOVEMBRE","DICEMBRE"},0)</f>
        <v>6</v>
      </c>
      <c r="E2245" s="57" t="str">
        <f t="shared" si="1756"/>
        <v>GIUGNO 2022</v>
      </c>
      <c r="F2245" s="57" t="str">
        <f t="shared" si="1757"/>
        <v>6 GIUGNO 2022</v>
      </c>
      <c r="G2245" s="1309" t="s">
        <v>1250</v>
      </c>
      <c r="H2245" s="1309" t="str">
        <f>VLOOKUP(G2245,CATEGORIE!$H$3:$I$104,2,FALSE)</f>
        <v>COSTO VACANZE</v>
      </c>
      <c r="I2245" s="59">
        <v>31</v>
      </c>
      <c r="J2245" s="940"/>
      <c r="K2245" s="59" t="s">
        <v>112</v>
      </c>
      <c r="L2245" s="59"/>
    </row>
    <row r="2246" spans="1:12" ht="16.5" customHeight="1">
      <c r="A2246" s="57" t="s">
        <v>92</v>
      </c>
      <c r="B2246" s="57" t="s">
        <v>314</v>
      </c>
      <c r="C2246" s="57">
        <v>2022</v>
      </c>
      <c r="D2246" s="58">
        <f>MATCH(B2246,{"GENNAIO","FEBBRAIO","MARZO","APRILE","MAGGIO","GIUGNO","LUGLIO","AGOSTO","SETTEMBRE","OTTOBRE","NOVEMBRE","DICEMBRE"},0)</f>
        <v>6</v>
      </c>
      <c r="E2246" s="57" t="str">
        <f t="shared" si="1756"/>
        <v>GIUGNO 2022</v>
      </c>
      <c r="F2246" s="57" t="str">
        <f t="shared" si="1757"/>
        <v>6 GIUGNO 2022</v>
      </c>
      <c r="G2246" s="1309" t="s">
        <v>93</v>
      </c>
      <c r="H2246" s="1309" t="str">
        <f>VLOOKUP(G2246,CATEGORIE!$H$3:$I$104,2,FALSE)</f>
        <v>COSTO SOPRAVVIVENZA</v>
      </c>
      <c r="I2246" s="59">
        <v>5</v>
      </c>
      <c r="J2246" s="940"/>
      <c r="K2246" s="59"/>
      <c r="L2246" s="59"/>
    </row>
    <row r="2247" spans="1:12" ht="16.5" customHeight="1">
      <c r="A2247" s="57" t="s">
        <v>160</v>
      </c>
      <c r="B2247" s="57" t="s">
        <v>314</v>
      </c>
      <c r="C2247" s="57">
        <v>2022</v>
      </c>
      <c r="D2247" s="58">
        <f>MATCH(B2247,{"GENNAIO","FEBBRAIO","MARZO","APRILE","MAGGIO","GIUGNO","LUGLIO","AGOSTO","SETTEMBRE","OTTOBRE","NOVEMBRE","DICEMBRE"},0)</f>
        <v>6</v>
      </c>
      <c r="E2247" s="57" t="str">
        <f t="shared" si="1756"/>
        <v>GIUGNO 2022</v>
      </c>
      <c r="F2247" s="57" t="str">
        <f t="shared" si="1757"/>
        <v>6 GIUGNO 2022</v>
      </c>
      <c r="G2247" s="1309" t="s">
        <v>111</v>
      </c>
      <c r="H2247" s="1309" t="str">
        <f>VLOOKUP(G2247,CATEGORIE!$H$3:$I$104,2,FALSE)</f>
        <v>COSTO MOBILITA'</v>
      </c>
      <c r="I2247" s="59">
        <v>1.7</v>
      </c>
      <c r="J2247" s="940"/>
      <c r="K2247" s="59"/>
      <c r="L2247" s="59"/>
    </row>
    <row r="2248" spans="1:12" ht="16.5" customHeight="1">
      <c r="A2248" s="57" t="s">
        <v>467</v>
      </c>
      <c r="B2248" s="57" t="s">
        <v>314</v>
      </c>
      <c r="C2248" s="57">
        <v>2022</v>
      </c>
      <c r="D2248" s="58">
        <f>MATCH(B2248,{"GENNAIO","FEBBRAIO","MARZO","APRILE","MAGGIO","GIUGNO","LUGLIO","AGOSTO","SETTEMBRE","OTTOBRE","NOVEMBRE","DICEMBRE"},0)</f>
        <v>6</v>
      </c>
      <c r="E2248" s="57" t="str">
        <f t="shared" si="1756"/>
        <v>GIUGNO 2022</v>
      </c>
      <c r="F2248" s="57" t="str">
        <f t="shared" si="1757"/>
        <v>6 GIUGNO 2022</v>
      </c>
      <c r="G2248" s="1309" t="s">
        <v>94</v>
      </c>
      <c r="H2248" s="1309" t="str">
        <f>VLOOKUP(G2248,CATEGORIE!$H$3:$I$104,2,FALSE)</f>
        <v>COSTO SVAGHI</v>
      </c>
      <c r="I2248" s="59">
        <v>18</v>
      </c>
      <c r="J2248" s="940"/>
      <c r="K2248" s="59"/>
      <c r="L2248" s="59"/>
    </row>
    <row r="2249" spans="1:12" ht="16.5" customHeight="1">
      <c r="A2249" s="57" t="s">
        <v>92</v>
      </c>
      <c r="B2249" s="57" t="s">
        <v>314</v>
      </c>
      <c r="C2249" s="57">
        <v>2022</v>
      </c>
      <c r="D2249" s="58">
        <f>MATCH(B2249,{"GENNAIO","FEBBRAIO","MARZO","APRILE","MAGGIO","GIUGNO","LUGLIO","AGOSTO","SETTEMBRE","OTTOBRE","NOVEMBRE","DICEMBRE"},0)</f>
        <v>6</v>
      </c>
      <c r="E2249" s="57" t="str">
        <f t="shared" si="1756"/>
        <v>GIUGNO 2022</v>
      </c>
      <c r="F2249" s="57" t="str">
        <f t="shared" si="1757"/>
        <v>6 GIUGNO 2022</v>
      </c>
      <c r="G2249" s="1309" t="s">
        <v>93</v>
      </c>
      <c r="H2249" s="1309" t="str">
        <f>VLOOKUP(G2249,CATEGORIE!$H$3:$I$104,2,FALSE)</f>
        <v>COSTO SOPRAVVIVENZA</v>
      </c>
      <c r="I2249" s="59">
        <v>5</v>
      </c>
      <c r="J2249" s="940"/>
      <c r="K2249" s="59"/>
      <c r="L2249" s="59"/>
    </row>
    <row r="2250" spans="1:12" ht="16.5" customHeight="1">
      <c r="A2250" s="57" t="s">
        <v>92</v>
      </c>
      <c r="B2250" s="57" t="s">
        <v>333</v>
      </c>
      <c r="C2250" s="57">
        <v>2022</v>
      </c>
      <c r="D2250" s="58">
        <f>MATCH(B2250,{"GENNAIO","FEBBRAIO","MARZO","APRILE","MAGGIO","GIUGNO","LUGLIO","AGOSTO","SETTEMBRE","OTTOBRE","NOVEMBRE","DICEMBRE"},0)</f>
        <v>5</v>
      </c>
      <c r="E2250" s="57" t="str">
        <f t="shared" si="1756"/>
        <v>MAGGIO 2022</v>
      </c>
      <c r="F2250" s="57" t="str">
        <f t="shared" si="1757"/>
        <v>5 MAGGIO 2022</v>
      </c>
      <c r="G2250" s="1309" t="s">
        <v>93</v>
      </c>
      <c r="H2250" s="1309" t="str">
        <f>VLOOKUP(G2250,CATEGORIE!$H$3:$I$104,2,FALSE)</f>
        <v>COSTO SOPRAVVIVENZA</v>
      </c>
      <c r="I2250" s="59">
        <v>5</v>
      </c>
      <c r="J2250" s="940"/>
      <c r="K2250" s="59"/>
      <c r="L2250" s="59"/>
    </row>
    <row r="2251" spans="1:12" ht="16.5" customHeight="1">
      <c r="A2251" s="57" t="s">
        <v>599</v>
      </c>
      <c r="B2251" s="57" t="s">
        <v>333</v>
      </c>
      <c r="C2251" s="57">
        <v>2022</v>
      </c>
      <c r="D2251" s="58">
        <f>MATCH(B2251,{"GENNAIO","FEBBRAIO","MARZO","APRILE","MAGGIO","GIUGNO","LUGLIO","AGOSTO","SETTEMBRE","OTTOBRE","NOVEMBRE","DICEMBRE"},0)</f>
        <v>5</v>
      </c>
      <c r="E2251" s="57" t="str">
        <f t="shared" si="1756"/>
        <v>MAGGIO 2022</v>
      </c>
      <c r="F2251" s="57" t="str">
        <f t="shared" si="1757"/>
        <v>5 MAGGIO 2022</v>
      </c>
      <c r="G2251" s="1309" t="s">
        <v>163</v>
      </c>
      <c r="H2251" s="1309" t="str">
        <f>VLOOKUP(G2251,CATEGORIE!$H$3:$I$104,2,FALSE)</f>
        <v>COSTO SVAGHI</v>
      </c>
      <c r="I2251" s="59">
        <v>16</v>
      </c>
      <c r="J2251" s="940"/>
      <c r="K2251" s="59"/>
      <c r="L2251" s="59"/>
    </row>
    <row r="2252" spans="1:12" ht="16.5" customHeight="1">
      <c r="A2252" s="57" t="s">
        <v>599</v>
      </c>
      <c r="B2252" s="57" t="s">
        <v>333</v>
      </c>
      <c r="C2252" s="57">
        <v>2022</v>
      </c>
      <c r="D2252" s="58">
        <f>MATCH(B2252,{"GENNAIO","FEBBRAIO","MARZO","APRILE","MAGGIO","GIUGNO","LUGLIO","AGOSTO","SETTEMBRE","OTTOBRE","NOVEMBRE","DICEMBRE"},0)</f>
        <v>5</v>
      </c>
      <c r="E2252" s="57" t="str">
        <f t="shared" si="1756"/>
        <v>MAGGIO 2022</v>
      </c>
      <c r="F2252" s="57" t="str">
        <f t="shared" si="1757"/>
        <v>5 MAGGIO 2022</v>
      </c>
      <c r="G2252" s="1309" t="s">
        <v>163</v>
      </c>
      <c r="H2252" s="1309" t="str">
        <f>VLOOKUP(G2252,CATEGORIE!$H$3:$I$104,2,FALSE)</f>
        <v>COSTO SVAGHI</v>
      </c>
      <c r="I2252" s="59">
        <v>20</v>
      </c>
      <c r="J2252" s="940"/>
      <c r="K2252" s="59"/>
      <c r="L2252" s="59"/>
    </row>
    <row r="2253" spans="1:12" ht="16.5" customHeight="1">
      <c r="A2253" s="57" t="s">
        <v>92</v>
      </c>
      <c r="B2253" s="57" t="s">
        <v>333</v>
      </c>
      <c r="C2253" s="57">
        <v>2022</v>
      </c>
      <c r="D2253" s="58">
        <f>MATCH(B2253,{"GENNAIO","FEBBRAIO","MARZO","APRILE","MAGGIO","GIUGNO","LUGLIO","AGOSTO","SETTEMBRE","OTTOBRE","NOVEMBRE","DICEMBRE"},0)</f>
        <v>5</v>
      </c>
      <c r="E2253" s="57" t="str">
        <f t="shared" si="1756"/>
        <v>MAGGIO 2022</v>
      </c>
      <c r="F2253" s="57" t="str">
        <f t="shared" si="1757"/>
        <v>5 MAGGIO 2022</v>
      </c>
      <c r="G2253" s="1309" t="s">
        <v>93</v>
      </c>
      <c r="H2253" s="1309" t="str">
        <f>VLOOKUP(G2253,CATEGORIE!$H$3:$I$104,2,FALSE)</f>
        <v>COSTO SOPRAVVIVENZA</v>
      </c>
      <c r="I2253" s="59">
        <v>5</v>
      </c>
      <c r="J2253" s="940"/>
      <c r="K2253" s="59"/>
      <c r="L2253" s="59"/>
    </row>
    <row r="2254" spans="1:12" ht="16.5" customHeight="1">
      <c r="A2254" s="57" t="s">
        <v>92</v>
      </c>
      <c r="B2254" s="57" t="s">
        <v>333</v>
      </c>
      <c r="C2254" s="57">
        <v>2022</v>
      </c>
      <c r="D2254" s="58">
        <f>MATCH(B2254,{"GENNAIO","FEBBRAIO","MARZO","APRILE","MAGGIO","GIUGNO","LUGLIO","AGOSTO","SETTEMBRE","OTTOBRE","NOVEMBRE","DICEMBRE"},0)</f>
        <v>5</v>
      </c>
      <c r="E2254" s="57" t="str">
        <f t="shared" si="1756"/>
        <v>MAGGIO 2022</v>
      </c>
      <c r="F2254" s="57" t="str">
        <f t="shared" si="1757"/>
        <v>5 MAGGIO 2022</v>
      </c>
      <c r="G2254" s="1309" t="s">
        <v>93</v>
      </c>
      <c r="H2254" s="1309" t="str">
        <f>VLOOKUP(G2254,CATEGORIE!$H$3:$I$104,2,FALSE)</f>
        <v>COSTO SOPRAVVIVENZA</v>
      </c>
      <c r="I2254" s="59">
        <v>5</v>
      </c>
      <c r="J2254" s="940"/>
      <c r="K2254" s="59"/>
      <c r="L2254" s="59"/>
    </row>
    <row r="2255" spans="1:12" ht="16.5" customHeight="1">
      <c r="A2255" s="57" t="s">
        <v>160</v>
      </c>
      <c r="B2255" s="57" t="s">
        <v>333</v>
      </c>
      <c r="C2255" s="57">
        <v>2022</v>
      </c>
      <c r="D2255" s="58">
        <f>MATCH(B2255,{"GENNAIO","FEBBRAIO","MARZO","APRILE","MAGGIO","GIUGNO","LUGLIO","AGOSTO","SETTEMBRE","OTTOBRE","NOVEMBRE","DICEMBRE"},0)</f>
        <v>5</v>
      </c>
      <c r="E2255" s="57" t="str">
        <f t="shared" si="1756"/>
        <v>MAGGIO 2022</v>
      </c>
      <c r="F2255" s="57" t="str">
        <f t="shared" si="1757"/>
        <v>5 MAGGIO 2022</v>
      </c>
      <c r="G2255" s="1309" t="s">
        <v>111</v>
      </c>
      <c r="H2255" s="1309" t="str">
        <f>VLOOKUP(G2255,CATEGORIE!$H$3:$I$104,2,FALSE)</f>
        <v>COSTO MOBILITA'</v>
      </c>
      <c r="I2255" s="59">
        <v>1.7</v>
      </c>
      <c r="J2255" s="940"/>
      <c r="K2255" s="59"/>
      <c r="L2255" s="59"/>
    </row>
    <row r="2256" spans="1:12" ht="16.5" customHeight="1">
      <c r="A2256" s="57" t="s">
        <v>562</v>
      </c>
      <c r="B2256" s="57" t="s">
        <v>333</v>
      </c>
      <c r="C2256" s="57">
        <v>2022</v>
      </c>
      <c r="D2256" s="58">
        <f>MATCH(B2256,{"GENNAIO","FEBBRAIO","MARZO","APRILE","MAGGIO","GIUGNO","LUGLIO","AGOSTO","SETTEMBRE","OTTOBRE","NOVEMBRE","DICEMBRE"},0)</f>
        <v>5</v>
      </c>
      <c r="E2256" s="57" t="str">
        <f t="shared" si="1756"/>
        <v>MAGGIO 2022</v>
      </c>
      <c r="F2256" s="57" t="str">
        <f t="shared" si="1757"/>
        <v>5 MAGGIO 2022</v>
      </c>
      <c r="G2256" s="1309" t="s">
        <v>94</v>
      </c>
      <c r="H2256" s="1309" t="str">
        <f>VLOOKUP(G2256,CATEGORIE!$H$3:$I$104,2,FALSE)</f>
        <v>COSTO SVAGHI</v>
      </c>
      <c r="I2256" s="59">
        <v>9.5</v>
      </c>
      <c r="J2256" s="940"/>
      <c r="K2256" s="59"/>
      <c r="L2256" s="59"/>
    </row>
    <row r="2257" spans="1:12" ht="18.600000000000001" customHeight="1">
      <c r="A2257" s="57" t="s">
        <v>92</v>
      </c>
      <c r="B2257" s="57" t="s">
        <v>333</v>
      </c>
      <c r="C2257" s="57">
        <v>2022</v>
      </c>
      <c r="D2257" s="58">
        <f>MATCH(B2257,{"GENNAIO","FEBBRAIO","MARZO","APRILE","MAGGIO","GIUGNO","LUGLIO","AGOSTO","SETTEMBRE","OTTOBRE","NOVEMBRE","DICEMBRE"},0)</f>
        <v>5</v>
      </c>
      <c r="E2257" s="57" t="str">
        <f t="shared" si="1756"/>
        <v>MAGGIO 2022</v>
      </c>
      <c r="F2257" s="57" t="str">
        <f t="shared" si="1757"/>
        <v>5 MAGGIO 2022</v>
      </c>
      <c r="G2257" s="1309" t="s">
        <v>94</v>
      </c>
      <c r="H2257" s="1309" t="str">
        <f>VLOOKUP(G2257,CATEGORIE!$H$3:$I$104,2,FALSE)</f>
        <v>COSTO SVAGHI</v>
      </c>
      <c r="I2257" s="59">
        <v>12</v>
      </c>
      <c r="J2257" s="940"/>
      <c r="K2257" s="59"/>
      <c r="L2257" s="59"/>
    </row>
    <row r="2258" spans="1:12" ht="16.5" customHeight="1">
      <c r="A2258" s="57" t="s">
        <v>300</v>
      </c>
      <c r="B2258" s="57" t="s">
        <v>333</v>
      </c>
      <c r="C2258" s="57">
        <v>2022</v>
      </c>
      <c r="D2258" s="58">
        <f>MATCH(B2258,{"GENNAIO","FEBBRAIO","MARZO","APRILE","MAGGIO","GIUGNO","LUGLIO","AGOSTO","SETTEMBRE","OTTOBRE","NOVEMBRE","DICEMBRE"},0)</f>
        <v>5</v>
      </c>
      <c r="E2258" s="57" t="str">
        <f t="shared" si="1756"/>
        <v>MAGGIO 2022</v>
      </c>
      <c r="F2258" s="57" t="str">
        <f t="shared" si="1757"/>
        <v>5 MAGGIO 2022</v>
      </c>
      <c r="G2258" s="1309" t="s">
        <v>94</v>
      </c>
      <c r="H2258" s="1309" t="str">
        <f>VLOOKUP(G2258,CATEGORIE!$H$3:$I$104,2,FALSE)</f>
        <v>COSTO SVAGHI</v>
      </c>
      <c r="I2258" s="59">
        <v>30</v>
      </c>
      <c r="J2258" s="940"/>
      <c r="K2258" s="59"/>
      <c r="L2258" s="59"/>
    </row>
    <row r="2259" spans="1:12">
      <c r="A2259" s="57" t="s">
        <v>467</v>
      </c>
      <c r="B2259" s="57" t="s">
        <v>333</v>
      </c>
      <c r="C2259" s="57">
        <v>2022</v>
      </c>
      <c r="D2259" s="58">
        <f>MATCH(B2259,{"GENNAIO","FEBBRAIO","MARZO","APRILE","MAGGIO","GIUGNO","LUGLIO","AGOSTO","SETTEMBRE","OTTOBRE","NOVEMBRE","DICEMBRE"},0)</f>
        <v>5</v>
      </c>
      <c r="E2259" s="57" t="str">
        <f t="shared" si="1756"/>
        <v>MAGGIO 2022</v>
      </c>
      <c r="F2259" s="57" t="str">
        <f t="shared" si="1757"/>
        <v>5 MAGGIO 2022</v>
      </c>
      <c r="G2259" s="1309" t="s">
        <v>94</v>
      </c>
      <c r="H2259" s="1309" t="str">
        <f>VLOOKUP(G2259,CATEGORIE!$H$3:$I$104,2,FALSE)</f>
        <v>COSTO SVAGHI</v>
      </c>
      <c r="I2259" s="59">
        <v>30</v>
      </c>
      <c r="J2259" s="940"/>
      <c r="K2259" s="59"/>
      <c r="L2259" s="59"/>
    </row>
    <row r="2260" spans="1:12" ht="18.600000000000001" customHeight="1">
      <c r="A2260" s="57" t="s">
        <v>95</v>
      </c>
      <c r="B2260" s="57" t="s">
        <v>333</v>
      </c>
      <c r="C2260" s="57">
        <v>2022</v>
      </c>
      <c r="D2260" s="58">
        <f>MATCH(B2260,{"GENNAIO","FEBBRAIO","MARZO","APRILE","MAGGIO","GIUGNO","LUGLIO","AGOSTO","SETTEMBRE","OTTOBRE","NOVEMBRE","DICEMBRE"},0)</f>
        <v>5</v>
      </c>
      <c r="E2260" s="57" t="str">
        <f t="shared" si="1756"/>
        <v>MAGGIO 2022</v>
      </c>
      <c r="F2260" s="57" t="str">
        <f t="shared" si="1757"/>
        <v>5 MAGGIO 2022</v>
      </c>
      <c r="G2260" s="1309" t="s">
        <v>96</v>
      </c>
      <c r="H2260" s="1309" t="str">
        <f>VLOOKUP(G2260,CATEGORIE!$H$3:$I$104,2,FALSE)</f>
        <v>COSTO SOPRAVVIVENZA</v>
      </c>
      <c r="I2260" s="59">
        <v>8.36</v>
      </c>
      <c r="J2260" s="940"/>
      <c r="K2260" s="59"/>
      <c r="L2260" s="59"/>
    </row>
    <row r="2261" spans="1:12" ht="18.600000000000001" customHeight="1">
      <c r="A2261" s="57" t="s">
        <v>99</v>
      </c>
      <c r="B2261" s="57" t="s">
        <v>333</v>
      </c>
      <c r="C2261" s="57">
        <v>2022</v>
      </c>
      <c r="D2261" s="58">
        <f>MATCH(B2261,{"GENNAIO","FEBBRAIO","MARZO","APRILE","MAGGIO","GIUGNO","LUGLIO","AGOSTO","SETTEMBRE","OTTOBRE","NOVEMBRE","DICEMBRE"},0)</f>
        <v>5</v>
      </c>
      <c r="E2261" s="57" t="str">
        <f t="shared" si="1756"/>
        <v>MAGGIO 2022</v>
      </c>
      <c r="F2261" s="57" t="str">
        <f t="shared" si="1757"/>
        <v>5 MAGGIO 2022</v>
      </c>
      <c r="G2261" s="1309" t="s">
        <v>100</v>
      </c>
      <c r="H2261" s="1309" t="str">
        <f>VLOOKUP(G2261,CATEGORIE!$H$3:$I$104,2,FALSE)</f>
        <v>COSTO SFIZI</v>
      </c>
      <c r="I2261" s="59">
        <v>20.98</v>
      </c>
      <c r="J2261" s="940"/>
      <c r="K2261" s="57" t="s">
        <v>99</v>
      </c>
      <c r="L2261" s="59"/>
    </row>
    <row r="2262" spans="1:12" ht="18.600000000000001" customHeight="1">
      <c r="A2262" s="57" t="s">
        <v>135</v>
      </c>
      <c r="B2262" s="57" t="s">
        <v>333</v>
      </c>
      <c r="C2262" s="57">
        <v>2022</v>
      </c>
      <c r="D2262" s="58">
        <f>MATCH(B2262,{"GENNAIO","FEBBRAIO","MARZO","APRILE","MAGGIO","GIUGNO","LUGLIO","AGOSTO","SETTEMBRE","OTTOBRE","NOVEMBRE","DICEMBRE"},0)</f>
        <v>5</v>
      </c>
      <c r="E2262" s="57" t="str">
        <f t="shared" si="1756"/>
        <v>MAGGIO 2022</v>
      </c>
      <c r="F2262" s="57" t="str">
        <f t="shared" si="1757"/>
        <v>5 MAGGIO 2022</v>
      </c>
      <c r="G2262" s="1309" t="s">
        <v>132</v>
      </c>
      <c r="H2262" s="1309" t="str">
        <f>VLOOKUP(G2262,CATEGORIE!$H$3:$I$104,2,FALSE)</f>
        <v>COSTO CASA</v>
      </c>
      <c r="I2262" s="59">
        <v>7.9</v>
      </c>
      <c r="J2262" s="940"/>
      <c r="K2262" s="59"/>
      <c r="L2262" s="59"/>
    </row>
    <row r="2263" spans="1:12">
      <c r="A2263" s="57" t="s">
        <v>465</v>
      </c>
      <c r="B2263" s="57" t="s">
        <v>333</v>
      </c>
      <c r="C2263" s="57">
        <v>2022</v>
      </c>
      <c r="D2263" s="58">
        <f>MATCH(B2263,{"GENNAIO","FEBBRAIO","MARZO","APRILE","MAGGIO","GIUGNO","LUGLIO","AGOSTO","SETTEMBRE","OTTOBRE","NOVEMBRE","DICEMBRE"},0)</f>
        <v>5</v>
      </c>
      <c r="E2263" s="57" t="str">
        <f t="shared" si="1756"/>
        <v>MAGGIO 2022</v>
      </c>
      <c r="F2263" s="57" t="str">
        <f t="shared" si="1757"/>
        <v>5 MAGGIO 2022</v>
      </c>
      <c r="G2263" s="1309" t="s">
        <v>96</v>
      </c>
      <c r="H2263" s="1309" t="str">
        <f>VLOOKUP(G2263,CATEGORIE!$H$3:$I$104,2,FALSE)</f>
        <v>COSTO SOPRAVVIVENZA</v>
      </c>
      <c r="I2263" s="59">
        <v>22.83</v>
      </c>
      <c r="J2263" s="940"/>
      <c r="K2263" s="59"/>
      <c r="L2263" s="59"/>
    </row>
    <row r="2264" spans="1:12">
      <c r="A2264" s="57" t="s">
        <v>95</v>
      </c>
      <c r="B2264" s="57" t="s">
        <v>333</v>
      </c>
      <c r="C2264" s="57">
        <v>2022</v>
      </c>
      <c r="D2264" s="58">
        <f>MATCH(B2264,{"GENNAIO","FEBBRAIO","MARZO","APRILE","MAGGIO","GIUGNO","LUGLIO","AGOSTO","SETTEMBRE","OTTOBRE","NOVEMBRE","DICEMBRE"},0)</f>
        <v>5</v>
      </c>
      <c r="E2264" s="57" t="str">
        <f t="shared" si="1756"/>
        <v>MAGGIO 2022</v>
      </c>
      <c r="F2264" s="57" t="str">
        <f t="shared" si="1757"/>
        <v>5 MAGGIO 2022</v>
      </c>
      <c r="G2264" s="1309" t="s">
        <v>96</v>
      </c>
      <c r="H2264" s="1309" t="str">
        <f>VLOOKUP(G2264,CATEGORIE!$H$3:$I$104,2,FALSE)</f>
        <v>COSTO SOPRAVVIVENZA</v>
      </c>
      <c r="I2264" s="59">
        <v>36.659999999999997</v>
      </c>
      <c r="J2264" s="940"/>
      <c r="K2264" s="59"/>
      <c r="L2264" s="59"/>
    </row>
    <row r="2265" spans="1:12" ht="16.5" customHeight="1">
      <c r="A2265" s="57" t="s">
        <v>105</v>
      </c>
      <c r="B2265" s="57" t="s">
        <v>333</v>
      </c>
      <c r="C2265" s="57">
        <v>2022</v>
      </c>
      <c r="D2265" s="58">
        <f>MATCH(B2265,{"GENNAIO","FEBBRAIO","MARZO","APRILE","MAGGIO","GIUGNO","LUGLIO","AGOSTO","SETTEMBRE","OTTOBRE","NOVEMBRE","DICEMBRE"},0)</f>
        <v>5</v>
      </c>
      <c r="E2265" s="57" t="str">
        <f t="shared" si="1756"/>
        <v>MAGGIO 2022</v>
      </c>
      <c r="F2265" s="57" t="str">
        <f t="shared" si="1757"/>
        <v>5 MAGGIO 2022</v>
      </c>
      <c r="G2265" s="1309" t="s">
        <v>96</v>
      </c>
      <c r="H2265" s="1309" t="str">
        <f>VLOOKUP(G2265,CATEGORIE!$H$3:$I$104,2,FALSE)</f>
        <v>COSTO SOPRAVVIVENZA</v>
      </c>
      <c r="I2265" s="59">
        <v>17.75</v>
      </c>
      <c r="J2265" s="940"/>
      <c r="K2265" s="59"/>
      <c r="L2265" s="59"/>
    </row>
    <row r="2266" spans="1:12" ht="16.5" customHeight="1">
      <c r="A2266" s="57" t="s">
        <v>229</v>
      </c>
      <c r="B2266" s="57" t="s">
        <v>333</v>
      </c>
      <c r="C2266" s="57">
        <v>2022</v>
      </c>
      <c r="D2266" s="58">
        <f>MATCH(B2266,{"GENNAIO","FEBBRAIO","MARZO","APRILE","MAGGIO","GIUGNO","LUGLIO","AGOSTO","SETTEMBRE","OTTOBRE","NOVEMBRE","DICEMBRE"},0)</f>
        <v>5</v>
      </c>
      <c r="E2266" s="57" t="str">
        <f t="shared" si="1756"/>
        <v>MAGGIO 2022</v>
      </c>
      <c r="F2266" s="57" t="str">
        <f t="shared" si="1757"/>
        <v>5 MAGGIO 2022</v>
      </c>
      <c r="G2266" s="1309" t="s">
        <v>163</v>
      </c>
      <c r="H2266" s="1309" t="str">
        <f>VLOOKUP(G2266,CATEGORIE!$H$3:$I$104,2,FALSE)</f>
        <v>COSTO SVAGHI</v>
      </c>
      <c r="I2266" s="59">
        <v>20.87</v>
      </c>
      <c r="J2266" s="940" t="s">
        <v>124</v>
      </c>
      <c r="K2266" s="59" t="s">
        <v>112</v>
      </c>
      <c r="L2266" s="59"/>
    </row>
    <row r="2267" spans="1:12" ht="16.5" customHeight="1">
      <c r="A2267" s="57" t="s">
        <v>341</v>
      </c>
      <c r="B2267" s="57" t="s">
        <v>333</v>
      </c>
      <c r="C2267" s="57">
        <v>2022</v>
      </c>
      <c r="D2267" s="58">
        <f>MATCH(B2267,{"GENNAIO","FEBBRAIO","MARZO","APRILE","MAGGIO","GIUGNO","LUGLIO","AGOSTO","SETTEMBRE","OTTOBRE","NOVEMBRE","DICEMBRE"},0)</f>
        <v>5</v>
      </c>
      <c r="E2267" s="57" t="str">
        <f t="shared" si="1756"/>
        <v>MAGGIO 2022</v>
      </c>
      <c r="F2267" s="57" t="str">
        <f t="shared" si="1757"/>
        <v>5 MAGGIO 2022</v>
      </c>
      <c r="G2267" s="1309" t="s">
        <v>1250</v>
      </c>
      <c r="H2267" s="1309" t="str">
        <f>VLOOKUP(G2267,CATEGORIE!$H$3:$I$104,2,FALSE)</f>
        <v>COSTO VACANZE</v>
      </c>
      <c r="I2267" s="59">
        <v>29.16</v>
      </c>
      <c r="J2267" s="940" t="s">
        <v>215</v>
      </c>
      <c r="K2267" s="59" t="s">
        <v>112</v>
      </c>
      <c r="L2267" s="59"/>
    </row>
    <row r="2268" spans="1:12" ht="16.5" customHeight="1">
      <c r="A2268" s="57" t="s">
        <v>600</v>
      </c>
      <c r="B2268" s="57" t="s">
        <v>333</v>
      </c>
      <c r="C2268" s="57">
        <v>2022</v>
      </c>
      <c r="D2268" s="58">
        <f>MATCH(B2268,{"GENNAIO","FEBBRAIO","MARZO","APRILE","MAGGIO","GIUGNO","LUGLIO","AGOSTO","SETTEMBRE","OTTOBRE","NOVEMBRE","DICEMBRE"},0)</f>
        <v>5</v>
      </c>
      <c r="E2268" s="57" t="str">
        <f t="shared" si="1756"/>
        <v>MAGGIO 2022</v>
      </c>
      <c r="F2268" s="57" t="str">
        <f t="shared" si="1757"/>
        <v>5 MAGGIO 2022</v>
      </c>
      <c r="G2268" s="1309" t="s">
        <v>94</v>
      </c>
      <c r="H2268" s="1309" t="str">
        <f>VLOOKUP(G2268,CATEGORIE!$H$3:$I$104,2,FALSE)</f>
        <v>COSTO SVAGHI</v>
      </c>
      <c r="I2268" s="59">
        <v>9.5</v>
      </c>
      <c r="J2268" s="940"/>
      <c r="K2268" s="59"/>
      <c r="L2268" s="59"/>
    </row>
    <row r="2269" spans="1:12" ht="16.5" customHeight="1">
      <c r="A2269" s="57" t="s">
        <v>601</v>
      </c>
      <c r="B2269" s="57" t="s">
        <v>333</v>
      </c>
      <c r="C2269" s="57">
        <v>2022</v>
      </c>
      <c r="D2269" s="58">
        <f>MATCH(B2269,{"GENNAIO","FEBBRAIO","MARZO","APRILE","MAGGIO","GIUGNO","LUGLIO","AGOSTO","SETTEMBRE","OTTOBRE","NOVEMBRE","DICEMBRE"},0)</f>
        <v>5</v>
      </c>
      <c r="E2269" s="57" t="str">
        <f t="shared" si="1756"/>
        <v>MAGGIO 2022</v>
      </c>
      <c r="F2269" s="57" t="str">
        <f t="shared" si="1757"/>
        <v>5 MAGGIO 2022</v>
      </c>
      <c r="G2269" s="1309" t="s">
        <v>94</v>
      </c>
      <c r="H2269" s="1309" t="str">
        <f>VLOOKUP(G2269,CATEGORIE!$H$3:$I$104,2,FALSE)</f>
        <v>COSTO SVAGHI</v>
      </c>
      <c r="I2269" s="59">
        <v>62</v>
      </c>
      <c r="J2269" s="940"/>
      <c r="K2269" s="59"/>
      <c r="L2269" s="59"/>
    </row>
    <row r="2270" spans="1:12" ht="16.5" customHeight="1">
      <c r="A2270" s="57" t="s">
        <v>562</v>
      </c>
      <c r="B2270" s="57" t="s">
        <v>333</v>
      </c>
      <c r="C2270" s="57">
        <v>2022</v>
      </c>
      <c r="D2270" s="58">
        <f>MATCH(B2270,{"GENNAIO","FEBBRAIO","MARZO","APRILE","MAGGIO","GIUGNO","LUGLIO","AGOSTO","SETTEMBRE","OTTOBRE","NOVEMBRE","DICEMBRE"},0)</f>
        <v>5</v>
      </c>
      <c r="E2270" s="57" t="str">
        <f t="shared" si="1756"/>
        <v>MAGGIO 2022</v>
      </c>
      <c r="F2270" s="57" t="str">
        <f t="shared" si="1757"/>
        <v>5 MAGGIO 2022</v>
      </c>
      <c r="G2270" s="1309" t="s">
        <v>94</v>
      </c>
      <c r="H2270" s="1309" t="str">
        <f>VLOOKUP(G2270,CATEGORIE!$H$3:$I$104,2,FALSE)</f>
        <v>COSTO SVAGHI</v>
      </c>
      <c r="I2270" s="59">
        <v>22.5</v>
      </c>
      <c r="J2270" s="940"/>
      <c r="K2270" s="59"/>
      <c r="L2270" s="59"/>
    </row>
    <row r="2271" spans="1:12" ht="16.5" customHeight="1">
      <c r="A2271" s="57" t="s">
        <v>99</v>
      </c>
      <c r="B2271" s="57" t="s">
        <v>333</v>
      </c>
      <c r="C2271" s="57">
        <v>2022</v>
      </c>
      <c r="D2271" s="58">
        <f>MATCH(B2271,{"GENNAIO","FEBBRAIO","MARZO","APRILE","MAGGIO","GIUGNO","LUGLIO","AGOSTO","SETTEMBRE","OTTOBRE","NOVEMBRE","DICEMBRE"},0)</f>
        <v>5</v>
      </c>
      <c r="E2271" s="57" t="str">
        <f t="shared" si="1756"/>
        <v>MAGGIO 2022</v>
      </c>
      <c r="F2271" s="57" t="str">
        <f t="shared" si="1757"/>
        <v>5 MAGGIO 2022</v>
      </c>
      <c r="G2271" s="1309" t="s">
        <v>100</v>
      </c>
      <c r="H2271" s="1309" t="str">
        <f>VLOOKUP(G2271,CATEGORIE!$H$3:$I$104,2,FALSE)</f>
        <v>COSTO SFIZI</v>
      </c>
      <c r="I2271" s="59">
        <v>12.99</v>
      </c>
      <c r="J2271" s="940"/>
      <c r="K2271" s="57" t="s">
        <v>99</v>
      </c>
      <c r="L2271" s="59"/>
    </row>
    <row r="2272" spans="1:12" ht="16.5" customHeight="1">
      <c r="A2272" s="57" t="s">
        <v>99</v>
      </c>
      <c r="B2272" s="57" t="s">
        <v>333</v>
      </c>
      <c r="C2272" s="57">
        <v>2022</v>
      </c>
      <c r="D2272" s="58">
        <f>MATCH(B2272,{"GENNAIO","FEBBRAIO","MARZO","APRILE","MAGGIO","GIUGNO","LUGLIO","AGOSTO","SETTEMBRE","OTTOBRE","NOVEMBRE","DICEMBRE"},0)</f>
        <v>5</v>
      </c>
      <c r="E2272" s="57" t="str">
        <f t="shared" si="1756"/>
        <v>MAGGIO 2022</v>
      </c>
      <c r="F2272" s="57" t="str">
        <f t="shared" si="1757"/>
        <v>5 MAGGIO 2022</v>
      </c>
      <c r="G2272" s="1309" t="s">
        <v>100</v>
      </c>
      <c r="H2272" s="1309" t="str">
        <f>VLOOKUP(G2272,CATEGORIE!$H$3:$I$104,2,FALSE)</f>
        <v>COSTO SFIZI</v>
      </c>
      <c r="I2272" s="59">
        <v>45</v>
      </c>
      <c r="J2272" s="940"/>
      <c r="K2272" s="57" t="s">
        <v>99</v>
      </c>
      <c r="L2272" s="59"/>
    </row>
    <row r="2273" spans="1:12">
      <c r="A2273" s="57" t="s">
        <v>548</v>
      </c>
      <c r="B2273" s="57" t="s">
        <v>352</v>
      </c>
      <c r="C2273" s="57">
        <v>2022</v>
      </c>
      <c r="D2273" s="58">
        <f>MATCH(B2273,{"GENNAIO","FEBBRAIO","MARZO","APRILE","MAGGIO","GIUGNO","LUGLIO","AGOSTO","SETTEMBRE","OTTOBRE","NOVEMBRE","DICEMBRE"},0)</f>
        <v>4</v>
      </c>
      <c r="E2273" s="57" t="str">
        <f t="shared" si="1756"/>
        <v>APRILE 2022</v>
      </c>
      <c r="F2273" s="57" t="str">
        <f t="shared" si="1757"/>
        <v>4 APRILE 2022</v>
      </c>
      <c r="G2273" s="1309" t="s">
        <v>94</v>
      </c>
      <c r="H2273" s="1309" t="str">
        <f>VLOOKUP(G2273,CATEGORIE!$H$3:$I$104,2,FALSE)</f>
        <v>COSTO SVAGHI</v>
      </c>
      <c r="I2273" s="59">
        <v>7.5</v>
      </c>
      <c r="J2273" s="940"/>
      <c r="K2273" s="59"/>
      <c r="L2273" s="59"/>
    </row>
    <row r="2274" spans="1:12" ht="16.5" customHeight="1">
      <c r="A2274" s="57" t="s">
        <v>596</v>
      </c>
      <c r="B2274" s="57" t="s">
        <v>352</v>
      </c>
      <c r="C2274" s="57">
        <v>2022</v>
      </c>
      <c r="D2274" s="58">
        <f>MATCH(B2274,{"GENNAIO","FEBBRAIO","MARZO","APRILE","MAGGIO","GIUGNO","LUGLIO","AGOSTO","SETTEMBRE","OTTOBRE","NOVEMBRE","DICEMBRE"},0)</f>
        <v>4</v>
      </c>
      <c r="E2274" s="57" t="str">
        <f t="shared" si="1756"/>
        <v>APRILE 2022</v>
      </c>
      <c r="F2274" s="57" t="str">
        <f t="shared" si="1757"/>
        <v>4 APRILE 2022</v>
      </c>
      <c r="G2274" s="1309" t="s">
        <v>94</v>
      </c>
      <c r="H2274" s="1309" t="str">
        <f>VLOOKUP(G2274,CATEGORIE!$H$3:$I$104,2,FALSE)</f>
        <v>COSTO SVAGHI</v>
      </c>
      <c r="I2274" s="59">
        <v>7</v>
      </c>
      <c r="J2274" s="940"/>
      <c r="K2274" s="59"/>
      <c r="L2274" s="59"/>
    </row>
    <row r="2275" spans="1:12" ht="14.25" customHeight="1">
      <c r="A2275" s="57" t="s">
        <v>92</v>
      </c>
      <c r="B2275" s="57" t="s">
        <v>352</v>
      </c>
      <c r="C2275" s="57">
        <v>2022</v>
      </c>
      <c r="D2275" s="58">
        <f>MATCH(B2275,{"GENNAIO","FEBBRAIO","MARZO","APRILE","MAGGIO","GIUGNO","LUGLIO","AGOSTO","SETTEMBRE","OTTOBRE","NOVEMBRE","DICEMBRE"},0)</f>
        <v>4</v>
      </c>
      <c r="E2275" s="57" t="str">
        <f t="shared" si="1756"/>
        <v>APRILE 2022</v>
      </c>
      <c r="F2275" s="57" t="str">
        <f t="shared" si="1757"/>
        <v>4 APRILE 2022</v>
      </c>
      <c r="G2275" s="1309" t="s">
        <v>94</v>
      </c>
      <c r="H2275" s="1309" t="str">
        <f>VLOOKUP(G2275,CATEGORIE!$H$3:$I$104,2,FALSE)</f>
        <v>COSTO SVAGHI</v>
      </c>
      <c r="I2275" s="59">
        <v>7.5</v>
      </c>
      <c r="J2275" s="940"/>
      <c r="K2275" s="59"/>
      <c r="L2275" s="59"/>
    </row>
    <row r="2276" spans="1:12" ht="16.5" customHeight="1">
      <c r="A2276" s="57" t="s">
        <v>110</v>
      </c>
      <c r="B2276" s="57" t="s">
        <v>352</v>
      </c>
      <c r="C2276" s="57">
        <v>2022</v>
      </c>
      <c r="D2276" s="58">
        <f>MATCH(B2276,{"GENNAIO","FEBBRAIO","MARZO","APRILE","MAGGIO","GIUGNO","LUGLIO","AGOSTO","SETTEMBRE","OTTOBRE","NOVEMBRE","DICEMBRE"},0)</f>
        <v>4</v>
      </c>
      <c r="E2276" s="57" t="str">
        <f t="shared" si="1756"/>
        <v>APRILE 2022</v>
      </c>
      <c r="F2276" s="57" t="str">
        <f t="shared" si="1757"/>
        <v>4 APRILE 2022</v>
      </c>
      <c r="G2276" s="1309" t="s">
        <v>111</v>
      </c>
      <c r="H2276" s="1309" t="str">
        <f>VLOOKUP(G2276,CATEGORIE!$H$3:$I$104,2,FALSE)</f>
        <v>COSTO MOBILITA'</v>
      </c>
      <c r="I2276" s="59">
        <v>1.1200000000000001</v>
      </c>
      <c r="J2276" s="940"/>
      <c r="K2276" s="59" t="s">
        <v>112</v>
      </c>
      <c r="L2276" s="59"/>
    </row>
    <row r="2277" spans="1:12">
      <c r="A2277" s="57" t="s">
        <v>596</v>
      </c>
      <c r="B2277" s="57" t="s">
        <v>352</v>
      </c>
      <c r="C2277" s="57">
        <v>2022</v>
      </c>
      <c r="D2277" s="58">
        <f>MATCH(B2277,{"GENNAIO","FEBBRAIO","MARZO","APRILE","MAGGIO","GIUGNO","LUGLIO","AGOSTO","SETTEMBRE","OTTOBRE","NOVEMBRE","DICEMBRE"},0)</f>
        <v>4</v>
      </c>
      <c r="E2277" s="57" t="str">
        <f t="shared" si="1756"/>
        <v>APRILE 2022</v>
      </c>
      <c r="F2277" s="57" t="str">
        <f t="shared" si="1757"/>
        <v>4 APRILE 2022</v>
      </c>
      <c r="G2277" s="1309" t="s">
        <v>94</v>
      </c>
      <c r="H2277" s="1309" t="str">
        <f>VLOOKUP(G2277,CATEGORIE!$H$3:$I$104,2,FALSE)</f>
        <v>COSTO SVAGHI</v>
      </c>
      <c r="I2277" s="59">
        <v>5</v>
      </c>
      <c r="J2277" s="940"/>
      <c r="K2277" s="59"/>
      <c r="L2277" s="59"/>
    </row>
    <row r="2278" spans="1:12">
      <c r="A2278" s="57" t="s">
        <v>306</v>
      </c>
      <c r="B2278" s="57" t="s">
        <v>352</v>
      </c>
      <c r="C2278" s="57">
        <v>2022</v>
      </c>
      <c r="D2278" s="58">
        <f>MATCH(B2278,{"GENNAIO","FEBBRAIO","MARZO","APRILE","MAGGIO","GIUGNO","LUGLIO","AGOSTO","SETTEMBRE","OTTOBRE","NOVEMBRE","DICEMBRE"},0)</f>
        <v>4</v>
      </c>
      <c r="E2278" s="57" t="str">
        <f t="shared" si="1756"/>
        <v>APRILE 2022</v>
      </c>
      <c r="F2278" s="57" t="str">
        <f t="shared" si="1757"/>
        <v>4 APRILE 2022</v>
      </c>
      <c r="G2278" s="1309" t="s">
        <v>100</v>
      </c>
      <c r="H2278" s="1309" t="str">
        <f>VLOOKUP(G2278,CATEGORIE!$H$3:$I$104,2,FALSE)</f>
        <v>COSTO SFIZI</v>
      </c>
      <c r="I2278" s="59">
        <v>15.32</v>
      </c>
      <c r="J2278" s="940"/>
      <c r="K2278" s="59" t="s">
        <v>112</v>
      </c>
      <c r="L2278" s="59"/>
    </row>
    <row r="2279" spans="1:12">
      <c r="A2279" s="57" t="s">
        <v>99</v>
      </c>
      <c r="B2279" s="57" t="s">
        <v>352</v>
      </c>
      <c r="C2279" s="57">
        <v>2022</v>
      </c>
      <c r="D2279" s="58">
        <f>MATCH(B2279,{"GENNAIO","FEBBRAIO","MARZO","APRILE","MAGGIO","GIUGNO","LUGLIO","AGOSTO","SETTEMBRE","OTTOBRE","NOVEMBRE","DICEMBRE"},0)</f>
        <v>4</v>
      </c>
      <c r="E2279" s="57" t="str">
        <f t="shared" si="1756"/>
        <v>APRILE 2022</v>
      </c>
      <c r="F2279" s="57" t="str">
        <f t="shared" si="1757"/>
        <v>4 APRILE 2022</v>
      </c>
      <c r="G2279" s="1309" t="s">
        <v>100</v>
      </c>
      <c r="H2279" s="1309" t="str">
        <f>VLOOKUP(G2279,CATEGORIE!$H$3:$I$104,2,FALSE)</f>
        <v>COSTO SFIZI</v>
      </c>
      <c r="I2279" s="59">
        <v>6.64</v>
      </c>
      <c r="J2279" s="940"/>
      <c r="K2279" s="57" t="s">
        <v>99</v>
      </c>
      <c r="L2279" s="59"/>
    </row>
    <row r="2280" spans="1:12" ht="14.25" customHeight="1">
      <c r="A2280" s="57" t="s">
        <v>229</v>
      </c>
      <c r="B2280" s="61" t="s">
        <v>352</v>
      </c>
      <c r="C2280" s="61">
        <v>2022</v>
      </c>
      <c r="D2280" s="58">
        <f>MATCH(B2280,{"GENNAIO","FEBBRAIO","MARZO","APRILE","MAGGIO","GIUGNO","LUGLIO","AGOSTO","SETTEMBRE","OTTOBRE","NOVEMBRE","DICEMBRE"},0)</f>
        <v>4</v>
      </c>
      <c r="E2280" s="57" t="str">
        <f t="shared" si="1756"/>
        <v>APRILE 2022</v>
      </c>
      <c r="F2280" s="57" t="str">
        <f t="shared" si="1757"/>
        <v>4 APRILE 2022</v>
      </c>
      <c r="G2280" s="1309" t="s">
        <v>163</v>
      </c>
      <c r="H2280" s="1309" t="str">
        <f>VLOOKUP(G2280,CATEGORIE!$H$3:$I$104,2,FALSE)</f>
        <v>COSTO SVAGHI</v>
      </c>
      <c r="I2280" s="62">
        <v>-125.18</v>
      </c>
      <c r="J2280" s="940"/>
      <c r="K2280" s="59"/>
      <c r="L2280" s="59"/>
    </row>
    <row r="2281" spans="1:12">
      <c r="A2281" s="57" t="s">
        <v>531</v>
      </c>
      <c r="B2281" s="57" t="s">
        <v>352</v>
      </c>
      <c r="C2281" s="57">
        <v>2022</v>
      </c>
      <c r="D2281" s="58">
        <f>MATCH(B2281,{"GENNAIO","FEBBRAIO","MARZO","APRILE","MAGGIO","GIUGNO","LUGLIO","AGOSTO","SETTEMBRE","OTTOBRE","NOVEMBRE","DICEMBRE"},0)</f>
        <v>4</v>
      </c>
      <c r="E2281" s="57" t="str">
        <f t="shared" si="1756"/>
        <v>APRILE 2022</v>
      </c>
      <c r="F2281" s="57" t="str">
        <f t="shared" si="1757"/>
        <v>4 APRILE 2022</v>
      </c>
      <c r="G2281" s="1309" t="s">
        <v>108</v>
      </c>
      <c r="H2281" s="1309" t="str">
        <f>VLOOKUP(G2281,CATEGORIE!$H$3:$I$104,2,FALSE)</f>
        <v>COSTO SFIZI</v>
      </c>
      <c r="I2281" s="59">
        <v>26.1</v>
      </c>
      <c r="J2281" s="940"/>
      <c r="K2281" s="59"/>
      <c r="L2281" s="59"/>
    </row>
    <row r="2282" spans="1:12" ht="18.600000000000001" customHeight="1">
      <c r="A2282" s="57" t="s">
        <v>135</v>
      </c>
      <c r="B2282" s="57" t="s">
        <v>352</v>
      </c>
      <c r="C2282" s="57">
        <v>2022</v>
      </c>
      <c r="D2282" s="58">
        <f>MATCH(B2282,{"GENNAIO","FEBBRAIO","MARZO","APRILE","MAGGIO","GIUGNO","LUGLIO","AGOSTO","SETTEMBRE","OTTOBRE","NOVEMBRE","DICEMBRE"},0)</f>
        <v>4</v>
      </c>
      <c r="E2282" s="57" t="str">
        <f t="shared" si="1756"/>
        <v>APRILE 2022</v>
      </c>
      <c r="F2282" s="57" t="str">
        <f t="shared" si="1757"/>
        <v>4 APRILE 2022</v>
      </c>
      <c r="G2282" s="1309" t="s">
        <v>132</v>
      </c>
      <c r="H2282" s="1309" t="str">
        <f>VLOOKUP(G2282,CATEGORIE!$H$3:$I$104,2,FALSE)</f>
        <v>COSTO CASA</v>
      </c>
      <c r="I2282" s="59">
        <v>12.53</v>
      </c>
      <c r="J2282" s="940"/>
      <c r="K2282" s="59"/>
      <c r="L2282" s="59"/>
    </row>
    <row r="2283" spans="1:12" ht="16.5" customHeight="1">
      <c r="A2283" s="57" t="s">
        <v>120</v>
      </c>
      <c r="B2283" s="57" t="s">
        <v>352</v>
      </c>
      <c r="C2283" s="57">
        <v>2022</v>
      </c>
      <c r="D2283" s="58">
        <f>MATCH(B2283,{"GENNAIO","FEBBRAIO","MARZO","APRILE","MAGGIO","GIUGNO","LUGLIO","AGOSTO","SETTEMBRE","OTTOBRE","NOVEMBRE","DICEMBRE"},0)</f>
        <v>4</v>
      </c>
      <c r="E2283" s="57" t="str">
        <f t="shared" si="1756"/>
        <v>APRILE 2022</v>
      </c>
      <c r="F2283" s="57" t="str">
        <f t="shared" si="1757"/>
        <v>4 APRILE 2022</v>
      </c>
      <c r="G2283" s="1309" t="s">
        <v>121</v>
      </c>
      <c r="H2283" s="1309" t="str">
        <f>VLOOKUP(G2283,CATEGORIE!$H$3:$I$104,2,FALSE)</f>
        <v>COSTO MOBILITA'</v>
      </c>
      <c r="I2283" s="59">
        <v>25</v>
      </c>
      <c r="J2283" s="940"/>
      <c r="K2283" s="59"/>
      <c r="L2283" s="59"/>
    </row>
    <row r="2284" spans="1:12">
      <c r="A2284" s="57" t="s">
        <v>214</v>
      </c>
      <c r="B2284" s="57" t="s">
        <v>352</v>
      </c>
      <c r="C2284" s="57">
        <v>2022</v>
      </c>
      <c r="D2284" s="58">
        <f>MATCH(B2284,{"GENNAIO","FEBBRAIO","MARZO","APRILE","MAGGIO","GIUGNO","LUGLIO","AGOSTO","SETTEMBRE","OTTOBRE","NOVEMBRE","DICEMBRE"},0)</f>
        <v>4</v>
      </c>
      <c r="E2284" s="57" t="str">
        <f t="shared" si="1756"/>
        <v>APRILE 2022</v>
      </c>
      <c r="F2284" s="57" t="str">
        <f t="shared" si="1757"/>
        <v>4 APRILE 2022</v>
      </c>
      <c r="G2284" s="1309" t="s">
        <v>242</v>
      </c>
      <c r="H2284" s="1309" t="str">
        <f>VLOOKUP(G2284,CATEGORIE!$H$3:$I$104,2,FALSE)</f>
        <v>COSTO ABBONAMENTI</v>
      </c>
      <c r="I2284" s="60">
        <v>59.99</v>
      </c>
      <c r="J2284" s="940"/>
      <c r="K2284" s="59"/>
      <c r="L2284" s="59"/>
    </row>
    <row r="2285" spans="1:12">
      <c r="A2285" s="57" t="s">
        <v>357</v>
      </c>
      <c r="B2285" s="57" t="s">
        <v>352</v>
      </c>
      <c r="C2285" s="57">
        <v>2022</v>
      </c>
      <c r="D2285" s="58">
        <f>MATCH(B2285,{"GENNAIO","FEBBRAIO","MARZO","APRILE","MAGGIO","GIUGNO","LUGLIO","AGOSTO","SETTEMBRE","OTTOBRE","NOVEMBRE","DICEMBRE"},0)</f>
        <v>4</v>
      </c>
      <c r="E2285" s="57" t="str">
        <f t="shared" si="1756"/>
        <v>APRILE 2022</v>
      </c>
      <c r="F2285" s="57" t="str">
        <f t="shared" si="1757"/>
        <v>4 APRILE 2022</v>
      </c>
      <c r="G2285" s="1309" t="s">
        <v>96</v>
      </c>
      <c r="H2285" s="1309" t="str">
        <f>VLOOKUP(G2285,CATEGORIE!$H$3:$I$104,2,FALSE)</f>
        <v>COSTO SOPRAVVIVENZA</v>
      </c>
      <c r="I2285" s="59">
        <v>12.49</v>
      </c>
      <c r="J2285" s="940"/>
      <c r="K2285" s="59"/>
      <c r="L2285" s="59"/>
    </row>
    <row r="2286" spans="1:12">
      <c r="A2286" s="57" t="s">
        <v>101</v>
      </c>
      <c r="B2286" s="57" t="s">
        <v>352</v>
      </c>
      <c r="C2286" s="57">
        <v>2022</v>
      </c>
      <c r="D2286" s="58">
        <f>MATCH(B2286,{"GENNAIO","FEBBRAIO","MARZO","APRILE","MAGGIO","GIUGNO","LUGLIO","AGOSTO","SETTEMBRE","OTTOBRE","NOVEMBRE","DICEMBRE"},0)</f>
        <v>4</v>
      </c>
      <c r="E2286" s="57" t="str">
        <f t="shared" si="1756"/>
        <v>APRILE 2022</v>
      </c>
      <c r="F2286" s="57" t="str">
        <f t="shared" si="1757"/>
        <v>4 APRILE 2022</v>
      </c>
      <c r="G2286" s="1309" t="s">
        <v>91</v>
      </c>
      <c r="H2286" s="1309" t="str">
        <f>VLOOKUP(G2286,CATEGORIE!$H$3:$I$104,2,FALSE)</f>
        <v>COSTO SOPRAVVIVENZA</v>
      </c>
      <c r="I2286" s="59">
        <v>0.4</v>
      </c>
      <c r="J2286" s="940"/>
      <c r="K2286" s="59"/>
      <c r="L2286" s="59"/>
    </row>
    <row r="2287" spans="1:12">
      <c r="A2287" s="57" t="s">
        <v>229</v>
      </c>
      <c r="B2287" s="57" t="s">
        <v>352</v>
      </c>
      <c r="C2287" s="57">
        <v>2022</v>
      </c>
      <c r="D2287" s="58">
        <f>MATCH(B2287,{"GENNAIO","FEBBRAIO","MARZO","APRILE","MAGGIO","GIUGNO","LUGLIO","AGOSTO","SETTEMBRE","OTTOBRE","NOVEMBRE","DICEMBRE"},0)</f>
        <v>4</v>
      </c>
      <c r="E2287" s="57" t="str">
        <f t="shared" si="1756"/>
        <v>APRILE 2022</v>
      </c>
      <c r="F2287" s="57" t="str">
        <f t="shared" si="1757"/>
        <v>4 APRILE 2022</v>
      </c>
      <c r="G2287" s="1309" t="s">
        <v>163</v>
      </c>
      <c r="H2287" s="1309" t="str">
        <f>VLOOKUP(G2287,CATEGORIE!$H$3:$I$104,2,FALSE)</f>
        <v>COSTO SVAGHI</v>
      </c>
      <c r="I2287" s="59">
        <v>20.86</v>
      </c>
      <c r="J2287" s="940" t="s">
        <v>138</v>
      </c>
      <c r="K2287" s="59" t="s">
        <v>112</v>
      </c>
      <c r="L2287" s="59"/>
    </row>
    <row r="2288" spans="1:12">
      <c r="A2288" s="57" t="s">
        <v>229</v>
      </c>
      <c r="B2288" s="57" t="s">
        <v>352</v>
      </c>
      <c r="C2288" s="57">
        <v>2022</v>
      </c>
      <c r="D2288" s="58">
        <f>MATCH(B2288,{"GENNAIO","FEBBRAIO","MARZO","APRILE","MAGGIO","GIUGNO","LUGLIO","AGOSTO","SETTEMBRE","OTTOBRE","NOVEMBRE","DICEMBRE"},0)</f>
        <v>4</v>
      </c>
      <c r="E2288" s="57" t="str">
        <f t="shared" si="1756"/>
        <v>APRILE 2022</v>
      </c>
      <c r="F2288" s="57" t="str">
        <f t="shared" si="1757"/>
        <v>4 APRILE 2022</v>
      </c>
      <c r="G2288" s="1309" t="s">
        <v>163</v>
      </c>
      <c r="H2288" s="1309" t="str">
        <f>VLOOKUP(G2288,CATEGORIE!$H$3:$I$104,2,FALSE)</f>
        <v>COSTO SVAGHI</v>
      </c>
      <c r="I2288" s="59">
        <v>62.59</v>
      </c>
      <c r="J2288" s="940"/>
      <c r="K2288" s="59"/>
      <c r="L2288" s="59"/>
    </row>
    <row r="2289" spans="1:12" ht="14.25" customHeight="1">
      <c r="A2289" s="57" t="s">
        <v>229</v>
      </c>
      <c r="B2289" s="61" t="s">
        <v>352</v>
      </c>
      <c r="C2289" s="61">
        <v>2022</v>
      </c>
      <c r="D2289" s="58">
        <f>MATCH(B2289,{"GENNAIO","FEBBRAIO","MARZO","APRILE","MAGGIO","GIUGNO","LUGLIO","AGOSTO","SETTEMBRE","OTTOBRE","NOVEMBRE","DICEMBRE"},0)</f>
        <v>4</v>
      </c>
      <c r="E2289" s="57" t="str">
        <f t="shared" si="1756"/>
        <v>APRILE 2022</v>
      </c>
      <c r="F2289" s="57" t="str">
        <f t="shared" si="1757"/>
        <v>4 APRILE 2022</v>
      </c>
      <c r="G2289" s="1309" t="s">
        <v>163</v>
      </c>
      <c r="H2289" s="1309" t="str">
        <f>VLOOKUP(G2289,CATEGORIE!$H$3:$I$104,2,FALSE)</f>
        <v>COSTO SVAGHI</v>
      </c>
      <c r="I2289" s="62">
        <v>125.18</v>
      </c>
      <c r="J2289" s="940"/>
      <c r="K2289" s="59"/>
      <c r="L2289" s="59"/>
    </row>
    <row r="2290" spans="1:12" ht="14.25" customHeight="1">
      <c r="A2290" s="57" t="s">
        <v>341</v>
      </c>
      <c r="B2290" s="57" t="s">
        <v>352</v>
      </c>
      <c r="C2290" s="57">
        <v>2022</v>
      </c>
      <c r="D2290" s="58">
        <f>MATCH(B2290,{"GENNAIO","FEBBRAIO","MARZO","APRILE","MAGGIO","GIUGNO","LUGLIO","AGOSTO","SETTEMBRE","OTTOBRE","NOVEMBRE","DICEMBRE"},0)</f>
        <v>4</v>
      </c>
      <c r="E2290" s="57" t="str">
        <f t="shared" si="1756"/>
        <v>APRILE 2022</v>
      </c>
      <c r="F2290" s="57" t="str">
        <f t="shared" si="1757"/>
        <v>4 APRILE 2022</v>
      </c>
      <c r="G2290" s="1309" t="s">
        <v>1250</v>
      </c>
      <c r="H2290" s="1309" t="str">
        <f>VLOOKUP(G2290,CATEGORIE!$H$3:$I$104,2,FALSE)</f>
        <v>COSTO VACANZE</v>
      </c>
      <c r="I2290" s="59">
        <v>29.16</v>
      </c>
      <c r="J2290" s="940" t="s">
        <v>124</v>
      </c>
      <c r="K2290" s="59" t="s">
        <v>112</v>
      </c>
      <c r="L2290" s="59"/>
    </row>
    <row r="2291" spans="1:12">
      <c r="A2291" s="57" t="s">
        <v>229</v>
      </c>
      <c r="B2291" s="57" t="s">
        <v>352</v>
      </c>
      <c r="C2291" s="57">
        <v>2022</v>
      </c>
      <c r="D2291" s="58">
        <f>MATCH(B2291,{"GENNAIO","FEBBRAIO","MARZO","APRILE","MAGGIO","GIUGNO","LUGLIO","AGOSTO","SETTEMBRE","OTTOBRE","NOVEMBRE","DICEMBRE"},0)</f>
        <v>4</v>
      </c>
      <c r="E2291" s="57" t="str">
        <f t="shared" si="1756"/>
        <v>APRILE 2022</v>
      </c>
      <c r="F2291" s="57" t="str">
        <f t="shared" si="1757"/>
        <v>4 APRILE 2022</v>
      </c>
      <c r="G2291" s="1309" t="s">
        <v>163</v>
      </c>
      <c r="H2291" s="1309" t="str">
        <f>VLOOKUP(G2291,CATEGORIE!$H$3:$I$104,2,FALSE)</f>
        <v>COSTO SVAGHI</v>
      </c>
      <c r="I2291" s="60">
        <f>67.49*2</f>
        <v>134.97999999999999</v>
      </c>
      <c r="J2291" s="940"/>
      <c r="K2291" s="59"/>
      <c r="L2291" s="59"/>
    </row>
    <row r="2292" spans="1:12" ht="18.95" customHeight="1">
      <c r="A2292" s="57" t="s">
        <v>378</v>
      </c>
      <c r="B2292" s="57" t="s">
        <v>352</v>
      </c>
      <c r="C2292" s="57">
        <v>2022</v>
      </c>
      <c r="D2292" s="58">
        <f>MATCH(B2292,{"GENNAIO","FEBBRAIO","MARZO","APRILE","MAGGIO","GIUGNO","LUGLIO","AGOSTO","SETTEMBRE","OTTOBRE","NOVEMBRE","DICEMBRE"},0)</f>
        <v>4</v>
      </c>
      <c r="E2292" s="57" t="str">
        <f t="shared" si="1756"/>
        <v>APRILE 2022</v>
      </c>
      <c r="F2292" s="57" t="str">
        <f t="shared" si="1757"/>
        <v>4 APRILE 2022</v>
      </c>
      <c r="G2292" s="1309" t="s">
        <v>94</v>
      </c>
      <c r="H2292" s="1309" t="str">
        <f>VLOOKUP(G2292,CATEGORIE!$H$3:$I$104,2,FALSE)</f>
        <v>COSTO SVAGHI</v>
      </c>
      <c r="I2292" s="59">
        <v>10</v>
      </c>
      <c r="J2292" s="940"/>
      <c r="K2292" s="59"/>
      <c r="L2292" s="59"/>
    </row>
    <row r="2293" spans="1:12" ht="18.600000000000001" customHeight="1">
      <c r="A2293" s="57" t="s">
        <v>221</v>
      </c>
      <c r="B2293" s="57" t="s">
        <v>352</v>
      </c>
      <c r="C2293" s="57">
        <v>2022</v>
      </c>
      <c r="D2293" s="58">
        <f>MATCH(B2293,{"GENNAIO","FEBBRAIO","MARZO","APRILE","MAGGIO","GIUGNO","LUGLIO","AGOSTO","SETTEMBRE","OTTOBRE","NOVEMBRE","DICEMBRE"},0)</f>
        <v>4</v>
      </c>
      <c r="E2293" s="57" t="str">
        <f t="shared" si="1756"/>
        <v>APRILE 2022</v>
      </c>
      <c r="F2293" s="57" t="str">
        <f t="shared" si="1757"/>
        <v>4 APRILE 2022</v>
      </c>
      <c r="G2293" s="1309" t="s">
        <v>94</v>
      </c>
      <c r="H2293" s="1309" t="str">
        <f>VLOOKUP(G2293,CATEGORIE!$H$3:$I$104,2,FALSE)</f>
        <v>COSTO SVAGHI</v>
      </c>
      <c r="I2293" s="59">
        <v>88.2</v>
      </c>
      <c r="J2293" s="940"/>
      <c r="K2293" s="59"/>
      <c r="L2293" s="59"/>
    </row>
    <row r="2294" spans="1:12" ht="14.25" customHeight="1">
      <c r="A2294" s="57" t="s">
        <v>602</v>
      </c>
      <c r="B2294" s="57" t="s">
        <v>352</v>
      </c>
      <c r="C2294" s="57">
        <v>2022</v>
      </c>
      <c r="D2294" s="58">
        <f>MATCH(B2294,{"GENNAIO","FEBBRAIO","MARZO","APRILE","MAGGIO","GIUGNO","LUGLIO","AGOSTO","SETTEMBRE","OTTOBRE","NOVEMBRE","DICEMBRE"},0)</f>
        <v>4</v>
      </c>
      <c r="E2294" s="57" t="str">
        <f t="shared" si="1756"/>
        <v>APRILE 2022</v>
      </c>
      <c r="F2294" s="57" t="str">
        <f t="shared" si="1757"/>
        <v>4 APRILE 2022</v>
      </c>
      <c r="G2294" s="1309" t="s">
        <v>108</v>
      </c>
      <c r="H2294" s="1309" t="str">
        <f>VLOOKUP(G2294,CATEGORIE!$H$3:$I$104,2,FALSE)</f>
        <v>COSTO SFIZI</v>
      </c>
      <c r="I2294" s="59">
        <v>20</v>
      </c>
      <c r="J2294" s="940"/>
      <c r="K2294" s="59"/>
      <c r="L2294" s="59"/>
    </row>
    <row r="2295" spans="1:12" ht="18.95" customHeight="1">
      <c r="A2295" s="57" t="s">
        <v>92</v>
      </c>
      <c r="B2295" s="57" t="s">
        <v>352</v>
      </c>
      <c r="C2295" s="57">
        <v>2022</v>
      </c>
      <c r="D2295" s="58">
        <f>MATCH(B2295,{"GENNAIO","FEBBRAIO","MARZO","APRILE","MAGGIO","GIUGNO","LUGLIO","AGOSTO","SETTEMBRE","OTTOBRE","NOVEMBRE","DICEMBRE"},0)</f>
        <v>4</v>
      </c>
      <c r="E2295" s="57" t="str">
        <f t="shared" si="1756"/>
        <v>APRILE 2022</v>
      </c>
      <c r="F2295" s="57" t="str">
        <f t="shared" si="1757"/>
        <v>4 APRILE 2022</v>
      </c>
      <c r="G2295" s="1309" t="s">
        <v>93</v>
      </c>
      <c r="H2295" s="1309" t="str">
        <f>VLOOKUP(G2295,CATEGORIE!$H$3:$I$104,2,FALSE)</f>
        <v>COSTO SOPRAVVIVENZA</v>
      </c>
      <c r="I2295" s="59">
        <v>5</v>
      </c>
      <c r="J2295" s="940"/>
      <c r="K2295" s="59"/>
      <c r="L2295" s="59"/>
    </row>
    <row r="2296" spans="1:12" ht="16.5" customHeight="1">
      <c r="A2296" s="57" t="s">
        <v>105</v>
      </c>
      <c r="B2296" s="57" t="s">
        <v>352</v>
      </c>
      <c r="C2296" s="57">
        <v>2022</v>
      </c>
      <c r="D2296" s="58">
        <f>MATCH(B2296,{"GENNAIO","FEBBRAIO","MARZO","APRILE","MAGGIO","GIUGNO","LUGLIO","AGOSTO","SETTEMBRE","OTTOBRE","NOVEMBRE","DICEMBRE"},0)</f>
        <v>4</v>
      </c>
      <c r="E2296" s="57" t="str">
        <f t="shared" si="1756"/>
        <v>APRILE 2022</v>
      </c>
      <c r="F2296" s="57" t="str">
        <f t="shared" si="1757"/>
        <v>4 APRILE 2022</v>
      </c>
      <c r="G2296" s="1309" t="s">
        <v>96</v>
      </c>
      <c r="H2296" s="1309" t="str">
        <f>VLOOKUP(G2296,CATEGORIE!$H$3:$I$104,2,FALSE)</f>
        <v>COSTO SOPRAVVIVENZA</v>
      </c>
      <c r="I2296" s="59">
        <v>27.32</v>
      </c>
      <c r="J2296" s="940"/>
      <c r="K2296" s="59"/>
      <c r="L2296" s="59"/>
    </row>
    <row r="2297" spans="1:12">
      <c r="A2297" s="57" t="s">
        <v>603</v>
      </c>
      <c r="B2297" s="57" t="s">
        <v>90</v>
      </c>
      <c r="C2297" s="57">
        <v>2022</v>
      </c>
      <c r="D2297" s="58">
        <f>MATCH(B2297,{"GENNAIO","FEBBRAIO","MARZO","APRILE","MAGGIO","GIUGNO","LUGLIO","AGOSTO","SETTEMBRE","OTTOBRE","NOVEMBRE","DICEMBRE"},0)</f>
        <v>3</v>
      </c>
      <c r="E2297" s="57" t="str">
        <f t="shared" ref="E2297:E2360" si="1758">CONCATENATE(,B2297," ",C2297)</f>
        <v>MARZO 2022</v>
      </c>
      <c r="F2297" s="57" t="str">
        <f t="shared" ref="F2297:F2360" si="1759">CONCATENATE(D2297," ",E2297)</f>
        <v>3 MARZO 2022</v>
      </c>
      <c r="G2297" s="1309" t="s">
        <v>121</v>
      </c>
      <c r="H2297" s="1309" t="str">
        <f>VLOOKUP(G2297,CATEGORIE!$H$3:$I$104,2,FALSE)</f>
        <v>COSTO MOBILITA'</v>
      </c>
      <c r="I2297" s="59">
        <v>2.99</v>
      </c>
      <c r="J2297" s="940"/>
      <c r="K2297" s="59" t="s">
        <v>112</v>
      </c>
      <c r="L2297" s="59"/>
    </row>
    <row r="2298" spans="1:12">
      <c r="A2298" s="57" t="s">
        <v>115</v>
      </c>
      <c r="B2298" s="57" t="s">
        <v>90</v>
      </c>
      <c r="C2298" s="57">
        <v>2022</v>
      </c>
      <c r="D2298" s="58">
        <f>MATCH(B2298,{"GENNAIO","FEBBRAIO","MARZO","APRILE","MAGGIO","GIUGNO","LUGLIO","AGOSTO","SETTEMBRE","OTTOBRE","NOVEMBRE","DICEMBRE"},0)</f>
        <v>3</v>
      </c>
      <c r="E2298" s="57" t="str">
        <f t="shared" si="1758"/>
        <v>MARZO 2022</v>
      </c>
      <c r="F2298" s="57" t="str">
        <f t="shared" si="1759"/>
        <v>3 MARZO 2022</v>
      </c>
      <c r="G2298" s="1309" t="s">
        <v>116</v>
      </c>
      <c r="H2298" s="1309" t="str">
        <f>VLOOKUP(G2298,CATEGORIE!$H$3:$I$104,2,FALSE)</f>
        <v>TASSE</v>
      </c>
      <c r="I2298" s="59">
        <v>23.84</v>
      </c>
      <c r="J2298" s="940"/>
      <c r="K2298" s="59"/>
      <c r="L2298" s="59"/>
    </row>
    <row r="2299" spans="1:12" ht="16.5" customHeight="1">
      <c r="A2299" s="57" t="s">
        <v>160</v>
      </c>
      <c r="B2299" s="57" t="s">
        <v>90</v>
      </c>
      <c r="C2299" s="57">
        <v>2022</v>
      </c>
      <c r="D2299" s="58">
        <f>MATCH(B2299,{"GENNAIO","FEBBRAIO","MARZO","APRILE","MAGGIO","GIUGNO","LUGLIO","AGOSTO","SETTEMBRE","OTTOBRE","NOVEMBRE","DICEMBRE"},0)</f>
        <v>3</v>
      </c>
      <c r="E2299" s="57" t="str">
        <f t="shared" si="1758"/>
        <v>MARZO 2022</v>
      </c>
      <c r="F2299" s="57" t="str">
        <f t="shared" si="1759"/>
        <v>3 MARZO 2022</v>
      </c>
      <c r="G2299" s="1309" t="s">
        <v>111</v>
      </c>
      <c r="H2299" s="1309" t="str">
        <f>VLOOKUP(G2299,CATEGORIE!$H$3:$I$104,2,FALSE)</f>
        <v>COSTO MOBILITA'</v>
      </c>
      <c r="I2299" s="59">
        <v>1.7</v>
      </c>
      <c r="J2299" s="940"/>
      <c r="K2299" s="59"/>
      <c r="L2299" s="59"/>
    </row>
    <row r="2300" spans="1:12">
      <c r="A2300" s="57" t="s">
        <v>229</v>
      </c>
      <c r="B2300" s="57" t="s">
        <v>90</v>
      </c>
      <c r="C2300" s="57">
        <v>2022</v>
      </c>
      <c r="D2300" s="58">
        <f>MATCH(B2300,{"GENNAIO","FEBBRAIO","MARZO","APRILE","MAGGIO","GIUGNO","LUGLIO","AGOSTO","SETTEMBRE","OTTOBRE","NOVEMBRE","DICEMBRE"},0)</f>
        <v>3</v>
      </c>
      <c r="E2300" s="57" t="str">
        <f t="shared" si="1758"/>
        <v>MARZO 2022</v>
      </c>
      <c r="F2300" s="57" t="str">
        <f t="shared" si="1759"/>
        <v>3 MARZO 2022</v>
      </c>
      <c r="G2300" s="1309" t="s">
        <v>163</v>
      </c>
      <c r="H2300" s="1309" t="str">
        <f>VLOOKUP(G2300,CATEGORIE!$H$3:$I$104,2,FALSE)</f>
        <v>COSTO SVAGHI</v>
      </c>
      <c r="I2300" s="60">
        <v>21.5</v>
      </c>
      <c r="J2300" s="940"/>
      <c r="K2300" s="59"/>
      <c r="L2300" s="59"/>
    </row>
    <row r="2301" spans="1:12" ht="18.95" customHeight="1">
      <c r="A2301" s="57" t="s">
        <v>531</v>
      </c>
      <c r="B2301" s="57" t="s">
        <v>90</v>
      </c>
      <c r="C2301" s="57">
        <v>2022</v>
      </c>
      <c r="D2301" s="58">
        <f>MATCH(B2301,{"GENNAIO","FEBBRAIO","MARZO","APRILE","MAGGIO","GIUGNO","LUGLIO","AGOSTO","SETTEMBRE","OTTOBRE","NOVEMBRE","DICEMBRE"},0)</f>
        <v>3</v>
      </c>
      <c r="E2301" s="57" t="str">
        <f t="shared" si="1758"/>
        <v>MARZO 2022</v>
      </c>
      <c r="F2301" s="57" t="str">
        <f t="shared" si="1759"/>
        <v>3 MARZO 2022</v>
      </c>
      <c r="G2301" s="1309" t="s">
        <v>108</v>
      </c>
      <c r="H2301" s="1309" t="str">
        <f>VLOOKUP(G2301,CATEGORIE!$H$3:$I$104,2,FALSE)</f>
        <v>COSTO SFIZI</v>
      </c>
      <c r="I2301" s="59">
        <v>20.99</v>
      </c>
      <c r="J2301" s="940"/>
      <c r="K2301" s="59"/>
      <c r="L2301" s="59"/>
    </row>
    <row r="2302" spans="1:12" ht="16.5" customHeight="1">
      <c r="A2302" s="57" t="s">
        <v>589</v>
      </c>
      <c r="B2302" s="57" t="s">
        <v>90</v>
      </c>
      <c r="C2302" s="57">
        <v>2022</v>
      </c>
      <c r="D2302" s="58">
        <f>MATCH(B2302,{"GENNAIO","FEBBRAIO","MARZO","APRILE","MAGGIO","GIUGNO","LUGLIO","AGOSTO","SETTEMBRE","OTTOBRE","NOVEMBRE","DICEMBRE"},0)</f>
        <v>3</v>
      </c>
      <c r="E2302" s="57" t="str">
        <f t="shared" si="1758"/>
        <v>MARZO 2022</v>
      </c>
      <c r="F2302" s="57" t="str">
        <f t="shared" si="1759"/>
        <v>3 MARZO 2022</v>
      </c>
      <c r="G2302" s="1309" t="s">
        <v>107</v>
      </c>
      <c r="H2302" s="1309" t="str">
        <f>VLOOKUP(G2302,CATEGORIE!$H$3:$I$104,2,FALSE)</f>
        <v>COSTO SOPRAVVIVENZA</v>
      </c>
      <c r="I2302" s="59">
        <v>33</v>
      </c>
      <c r="J2302" s="940"/>
      <c r="K2302" s="59"/>
      <c r="L2302" s="59"/>
    </row>
    <row r="2303" spans="1:12" ht="16.5" customHeight="1">
      <c r="A2303" s="57" t="s">
        <v>341</v>
      </c>
      <c r="B2303" s="57" t="s">
        <v>90</v>
      </c>
      <c r="C2303" s="57">
        <v>2022</v>
      </c>
      <c r="D2303" s="58">
        <f>MATCH(B2303,{"GENNAIO","FEBBRAIO","MARZO","APRILE","MAGGIO","GIUGNO","LUGLIO","AGOSTO","SETTEMBRE","OTTOBRE","NOVEMBRE","DICEMBRE"},0)</f>
        <v>3</v>
      </c>
      <c r="E2303" s="57" t="str">
        <f t="shared" si="1758"/>
        <v>MARZO 2022</v>
      </c>
      <c r="F2303" s="57" t="str">
        <f t="shared" si="1759"/>
        <v>3 MARZO 2022</v>
      </c>
      <c r="G2303" s="1309" t="s">
        <v>1250</v>
      </c>
      <c r="H2303" s="1309" t="str">
        <f>VLOOKUP(G2303,CATEGORIE!$H$3:$I$104,2,FALSE)</f>
        <v>COSTO VACANZE</v>
      </c>
      <c r="I2303" s="59">
        <v>29.16</v>
      </c>
      <c r="J2303" s="940" t="s">
        <v>138</v>
      </c>
      <c r="K2303" s="59" t="s">
        <v>112</v>
      </c>
      <c r="L2303" s="59"/>
    </row>
    <row r="2304" spans="1:12" ht="18.600000000000001" customHeight="1">
      <c r="A2304" s="57" t="s">
        <v>95</v>
      </c>
      <c r="B2304" s="57" t="s">
        <v>90</v>
      </c>
      <c r="C2304" s="57">
        <v>2022</v>
      </c>
      <c r="D2304" s="58">
        <f>MATCH(B2304,{"GENNAIO","FEBBRAIO","MARZO","APRILE","MAGGIO","GIUGNO","LUGLIO","AGOSTO","SETTEMBRE","OTTOBRE","NOVEMBRE","DICEMBRE"},0)</f>
        <v>3</v>
      </c>
      <c r="E2304" s="57" t="str">
        <f t="shared" si="1758"/>
        <v>MARZO 2022</v>
      </c>
      <c r="F2304" s="57" t="str">
        <f t="shared" si="1759"/>
        <v>3 MARZO 2022</v>
      </c>
      <c r="G2304" s="1309" t="s">
        <v>96</v>
      </c>
      <c r="H2304" s="1309" t="str">
        <f>VLOOKUP(G2304,CATEGORIE!$H$3:$I$104,2,FALSE)</f>
        <v>COSTO SOPRAVVIVENZA</v>
      </c>
      <c r="I2304" s="59">
        <v>11.16</v>
      </c>
      <c r="J2304" s="940"/>
      <c r="K2304" s="59"/>
      <c r="L2304" s="59"/>
    </row>
    <row r="2305" spans="1:12">
      <c r="A2305" s="57" t="s">
        <v>99</v>
      </c>
      <c r="B2305" s="57" t="s">
        <v>90</v>
      </c>
      <c r="C2305" s="57">
        <v>2022</v>
      </c>
      <c r="D2305" s="58">
        <f>MATCH(B2305,{"GENNAIO","FEBBRAIO","MARZO","APRILE","MAGGIO","GIUGNO","LUGLIO","AGOSTO","SETTEMBRE","OTTOBRE","NOVEMBRE","DICEMBRE"},0)</f>
        <v>3</v>
      </c>
      <c r="E2305" s="57" t="str">
        <f t="shared" si="1758"/>
        <v>MARZO 2022</v>
      </c>
      <c r="F2305" s="57" t="str">
        <f t="shared" si="1759"/>
        <v>3 MARZO 2022</v>
      </c>
      <c r="G2305" s="1309" t="s">
        <v>100</v>
      </c>
      <c r="H2305" s="1309" t="str">
        <f>VLOOKUP(G2305,CATEGORIE!$H$3:$I$104,2,FALSE)</f>
        <v>COSTO SFIZI</v>
      </c>
      <c r="I2305" s="59">
        <v>31.44</v>
      </c>
      <c r="J2305" s="940"/>
      <c r="K2305" s="57" t="s">
        <v>99</v>
      </c>
      <c r="L2305" s="59"/>
    </row>
    <row r="2306" spans="1:12">
      <c r="A2306" s="57" t="s">
        <v>99</v>
      </c>
      <c r="B2306" s="57" t="s">
        <v>90</v>
      </c>
      <c r="C2306" s="57">
        <v>2022</v>
      </c>
      <c r="D2306" s="58">
        <f>MATCH(B2306,{"GENNAIO","FEBBRAIO","MARZO","APRILE","MAGGIO","GIUGNO","LUGLIO","AGOSTO","SETTEMBRE","OTTOBRE","NOVEMBRE","DICEMBRE"},0)</f>
        <v>3</v>
      </c>
      <c r="E2306" s="57" t="str">
        <f t="shared" si="1758"/>
        <v>MARZO 2022</v>
      </c>
      <c r="F2306" s="57" t="str">
        <f t="shared" si="1759"/>
        <v>3 MARZO 2022</v>
      </c>
      <c r="G2306" s="1309" t="s">
        <v>100</v>
      </c>
      <c r="H2306" s="1309" t="str">
        <f>VLOOKUP(G2306,CATEGORIE!$H$3:$I$104,2,FALSE)</f>
        <v>COSTO SFIZI</v>
      </c>
      <c r="I2306" s="59">
        <v>15.49</v>
      </c>
      <c r="J2306" s="940"/>
      <c r="K2306" s="57" t="s">
        <v>99</v>
      </c>
      <c r="L2306" s="59"/>
    </row>
    <row r="2307" spans="1:12">
      <c r="A2307" s="57" t="s">
        <v>105</v>
      </c>
      <c r="B2307" s="57" t="s">
        <v>90</v>
      </c>
      <c r="C2307" s="57">
        <v>2022</v>
      </c>
      <c r="D2307" s="58">
        <f>MATCH(B2307,{"GENNAIO","FEBBRAIO","MARZO","APRILE","MAGGIO","GIUGNO","LUGLIO","AGOSTO","SETTEMBRE","OTTOBRE","NOVEMBRE","DICEMBRE"},0)</f>
        <v>3</v>
      </c>
      <c r="E2307" s="57" t="str">
        <f t="shared" si="1758"/>
        <v>MARZO 2022</v>
      </c>
      <c r="F2307" s="57" t="str">
        <f t="shared" si="1759"/>
        <v>3 MARZO 2022</v>
      </c>
      <c r="G2307" s="1309" t="s">
        <v>96</v>
      </c>
      <c r="H2307" s="1309" t="str">
        <f>VLOOKUP(G2307,CATEGORIE!$H$3:$I$104,2,FALSE)</f>
        <v>COSTO SOPRAVVIVENZA</v>
      </c>
      <c r="I2307" s="59">
        <v>47.26</v>
      </c>
      <c r="J2307" s="940"/>
      <c r="K2307" s="59"/>
      <c r="L2307" s="59"/>
    </row>
    <row r="2308" spans="1:12">
      <c r="A2308" s="57" t="s">
        <v>604</v>
      </c>
      <c r="B2308" s="57" t="s">
        <v>90</v>
      </c>
      <c r="C2308" s="57">
        <v>2022</v>
      </c>
      <c r="D2308" s="58">
        <f>MATCH(B2308,{"GENNAIO","FEBBRAIO","MARZO","APRILE","MAGGIO","GIUGNO","LUGLIO","AGOSTO","SETTEMBRE","OTTOBRE","NOVEMBRE","DICEMBRE"},0)</f>
        <v>3</v>
      </c>
      <c r="E2308" s="57" t="str">
        <f t="shared" si="1758"/>
        <v>MARZO 2022</v>
      </c>
      <c r="F2308" s="57" t="str">
        <f t="shared" si="1759"/>
        <v>3 MARZO 2022</v>
      </c>
      <c r="G2308" s="1309" t="s">
        <v>94</v>
      </c>
      <c r="H2308" s="1309" t="str">
        <f>VLOOKUP(G2308,CATEGORIE!$H$3:$I$104,2,FALSE)</f>
        <v>COSTO SVAGHI</v>
      </c>
      <c r="I2308" s="59">
        <v>3.82</v>
      </c>
      <c r="J2308" s="940"/>
      <c r="K2308" s="59"/>
      <c r="L2308" s="59"/>
    </row>
    <row r="2309" spans="1:12" ht="16.5" customHeight="1">
      <c r="A2309" s="57" t="s">
        <v>604</v>
      </c>
      <c r="B2309" s="57" t="s">
        <v>90</v>
      </c>
      <c r="C2309" s="57">
        <v>2022</v>
      </c>
      <c r="D2309" s="58">
        <f>MATCH(B2309,{"GENNAIO","FEBBRAIO","MARZO","APRILE","MAGGIO","GIUGNO","LUGLIO","AGOSTO","SETTEMBRE","OTTOBRE","NOVEMBRE","DICEMBRE"},0)</f>
        <v>3</v>
      </c>
      <c r="E2309" s="57" t="str">
        <f t="shared" si="1758"/>
        <v>MARZO 2022</v>
      </c>
      <c r="F2309" s="57" t="str">
        <f t="shared" si="1759"/>
        <v>3 MARZO 2022</v>
      </c>
      <c r="G2309" s="1309" t="s">
        <v>94</v>
      </c>
      <c r="H2309" s="1309" t="str">
        <f>VLOOKUP(G2309,CATEGORIE!$H$3:$I$104,2,FALSE)</f>
        <v>COSTO SVAGHI</v>
      </c>
      <c r="I2309" s="59">
        <v>7.43</v>
      </c>
      <c r="J2309" s="940"/>
      <c r="K2309" s="59"/>
      <c r="L2309" s="59"/>
    </row>
    <row r="2310" spans="1:12">
      <c r="A2310" s="57" t="s">
        <v>604</v>
      </c>
      <c r="B2310" s="57" t="s">
        <v>90</v>
      </c>
      <c r="C2310" s="57">
        <v>2022</v>
      </c>
      <c r="D2310" s="58">
        <f>MATCH(B2310,{"GENNAIO","FEBBRAIO","MARZO","APRILE","MAGGIO","GIUGNO","LUGLIO","AGOSTO","SETTEMBRE","OTTOBRE","NOVEMBRE","DICEMBRE"},0)</f>
        <v>3</v>
      </c>
      <c r="E2310" s="57" t="str">
        <f t="shared" si="1758"/>
        <v>MARZO 2022</v>
      </c>
      <c r="F2310" s="57" t="str">
        <f t="shared" si="1759"/>
        <v>3 MARZO 2022</v>
      </c>
      <c r="G2310" s="1309" t="s">
        <v>94</v>
      </c>
      <c r="H2310" s="1309" t="str">
        <f>VLOOKUP(G2310,CATEGORIE!$H$3:$I$104,2,FALSE)</f>
        <v>COSTO SVAGHI</v>
      </c>
      <c r="I2310" s="59">
        <v>2.4900000000000002</v>
      </c>
      <c r="J2310" s="940"/>
      <c r="K2310" s="59"/>
      <c r="L2310" s="59"/>
    </row>
    <row r="2311" spans="1:12" ht="18.95" customHeight="1">
      <c r="A2311" s="57" t="s">
        <v>229</v>
      </c>
      <c r="B2311" s="57" t="s">
        <v>129</v>
      </c>
      <c r="C2311" s="57">
        <v>2022</v>
      </c>
      <c r="D2311" s="58">
        <f>MATCH(B2311,{"GENNAIO","FEBBRAIO","MARZO","APRILE","MAGGIO","GIUGNO","LUGLIO","AGOSTO","SETTEMBRE","OTTOBRE","NOVEMBRE","DICEMBRE"},0)</f>
        <v>2</v>
      </c>
      <c r="E2311" s="57" t="str">
        <f t="shared" si="1758"/>
        <v>FEBBRAIO 2022</v>
      </c>
      <c r="F2311" s="57" t="str">
        <f t="shared" si="1759"/>
        <v>2 FEBBRAIO 2022</v>
      </c>
      <c r="G2311" s="1309" t="s">
        <v>163</v>
      </c>
      <c r="H2311" s="1309" t="str">
        <f>VLOOKUP(G2311,CATEGORIE!$H$3:$I$104,2,FALSE)</f>
        <v>COSTO SVAGHI</v>
      </c>
      <c r="I2311" s="60">
        <v>23</v>
      </c>
      <c r="J2311" s="940"/>
      <c r="K2311" s="59"/>
      <c r="L2311" s="59"/>
    </row>
    <row r="2312" spans="1:12" ht="16.5" customHeight="1">
      <c r="A2312" s="57" t="s">
        <v>562</v>
      </c>
      <c r="B2312" s="57" t="s">
        <v>129</v>
      </c>
      <c r="C2312" s="57">
        <v>2022</v>
      </c>
      <c r="D2312" s="58">
        <f>MATCH(B2312,{"GENNAIO","FEBBRAIO","MARZO","APRILE","MAGGIO","GIUGNO","LUGLIO","AGOSTO","SETTEMBRE","OTTOBRE","NOVEMBRE","DICEMBRE"},0)</f>
        <v>2</v>
      </c>
      <c r="E2312" s="57" t="str">
        <f t="shared" si="1758"/>
        <v>FEBBRAIO 2022</v>
      </c>
      <c r="F2312" s="57" t="str">
        <f t="shared" si="1759"/>
        <v>2 FEBBRAIO 2022</v>
      </c>
      <c r="G2312" s="1309" t="s">
        <v>94</v>
      </c>
      <c r="H2312" s="1309" t="str">
        <f>VLOOKUP(G2312,CATEGORIE!$H$3:$I$104,2,FALSE)</f>
        <v>COSTO SVAGHI</v>
      </c>
      <c r="I2312" s="59">
        <v>13</v>
      </c>
      <c r="J2312" s="940"/>
      <c r="K2312" s="59"/>
      <c r="L2312" s="59"/>
    </row>
    <row r="2313" spans="1:12" ht="18.95" customHeight="1">
      <c r="A2313" s="57" t="s">
        <v>92</v>
      </c>
      <c r="B2313" s="57" t="s">
        <v>129</v>
      </c>
      <c r="C2313" s="57">
        <v>2022</v>
      </c>
      <c r="D2313" s="58">
        <f>MATCH(B2313,{"GENNAIO","FEBBRAIO","MARZO","APRILE","MAGGIO","GIUGNO","LUGLIO","AGOSTO","SETTEMBRE","OTTOBRE","NOVEMBRE","DICEMBRE"},0)</f>
        <v>2</v>
      </c>
      <c r="E2313" s="57" t="str">
        <f t="shared" si="1758"/>
        <v>FEBBRAIO 2022</v>
      </c>
      <c r="F2313" s="57" t="str">
        <f t="shared" si="1759"/>
        <v>2 FEBBRAIO 2022</v>
      </c>
      <c r="G2313" s="1309" t="s">
        <v>93</v>
      </c>
      <c r="H2313" s="1309" t="str">
        <f>VLOOKUP(G2313,CATEGORIE!$H$3:$I$104,2,FALSE)</f>
        <v>COSTO SOPRAVVIVENZA</v>
      </c>
      <c r="I2313" s="59">
        <v>5</v>
      </c>
      <c r="J2313" s="940"/>
      <c r="K2313" s="59"/>
      <c r="L2313" s="59"/>
    </row>
    <row r="2314" spans="1:12">
      <c r="A2314" s="57" t="s">
        <v>596</v>
      </c>
      <c r="B2314" s="57" t="s">
        <v>129</v>
      </c>
      <c r="C2314" s="57">
        <v>2022</v>
      </c>
      <c r="D2314" s="58">
        <f>MATCH(B2314,{"GENNAIO","FEBBRAIO","MARZO","APRILE","MAGGIO","GIUGNO","LUGLIO","AGOSTO","SETTEMBRE","OTTOBRE","NOVEMBRE","DICEMBRE"},0)</f>
        <v>2</v>
      </c>
      <c r="E2314" s="57" t="str">
        <f t="shared" si="1758"/>
        <v>FEBBRAIO 2022</v>
      </c>
      <c r="F2314" s="57" t="str">
        <f t="shared" si="1759"/>
        <v>2 FEBBRAIO 2022</v>
      </c>
      <c r="G2314" s="1309" t="s">
        <v>94</v>
      </c>
      <c r="H2314" s="1309" t="str">
        <f>VLOOKUP(G2314,CATEGORIE!$H$3:$I$104,2,FALSE)</f>
        <v>COSTO SVAGHI</v>
      </c>
      <c r="I2314" s="59">
        <v>5</v>
      </c>
      <c r="J2314" s="940"/>
      <c r="K2314" s="59"/>
      <c r="L2314" s="59"/>
    </row>
    <row r="2315" spans="1:12">
      <c r="A2315" s="57" t="s">
        <v>160</v>
      </c>
      <c r="B2315" s="57" t="s">
        <v>129</v>
      </c>
      <c r="C2315" s="57">
        <v>2022</v>
      </c>
      <c r="D2315" s="58">
        <f>MATCH(B2315,{"GENNAIO","FEBBRAIO","MARZO","APRILE","MAGGIO","GIUGNO","LUGLIO","AGOSTO","SETTEMBRE","OTTOBRE","NOVEMBRE","DICEMBRE"},0)</f>
        <v>2</v>
      </c>
      <c r="E2315" s="57" t="str">
        <f t="shared" si="1758"/>
        <v>FEBBRAIO 2022</v>
      </c>
      <c r="F2315" s="57" t="str">
        <f t="shared" si="1759"/>
        <v>2 FEBBRAIO 2022</v>
      </c>
      <c r="G2315" s="1309" t="s">
        <v>111</v>
      </c>
      <c r="H2315" s="1309" t="str">
        <f>VLOOKUP(G2315,CATEGORIE!$H$3:$I$104,2,FALSE)</f>
        <v>COSTO MOBILITA'</v>
      </c>
      <c r="I2315" s="59">
        <v>1.7</v>
      </c>
      <c r="J2315" s="940"/>
      <c r="K2315" s="59"/>
      <c r="L2315" s="59"/>
    </row>
    <row r="2316" spans="1:12" ht="18.600000000000001" customHeight="1">
      <c r="A2316" s="57" t="s">
        <v>101</v>
      </c>
      <c r="B2316" s="57" t="s">
        <v>129</v>
      </c>
      <c r="C2316" s="57">
        <v>2022</v>
      </c>
      <c r="D2316" s="58">
        <f>MATCH(B2316,{"GENNAIO","FEBBRAIO","MARZO","APRILE","MAGGIO","GIUGNO","LUGLIO","AGOSTO","SETTEMBRE","OTTOBRE","NOVEMBRE","DICEMBRE"},0)</f>
        <v>2</v>
      </c>
      <c r="E2316" s="57" t="str">
        <f t="shared" si="1758"/>
        <v>FEBBRAIO 2022</v>
      </c>
      <c r="F2316" s="57" t="str">
        <f t="shared" si="1759"/>
        <v>2 FEBBRAIO 2022</v>
      </c>
      <c r="G2316" s="1309" t="s">
        <v>91</v>
      </c>
      <c r="H2316" s="1309" t="str">
        <f>VLOOKUP(G2316,CATEGORIE!$H$3:$I$104,2,FALSE)</f>
        <v>COSTO SOPRAVVIVENZA</v>
      </c>
      <c r="I2316" s="59">
        <v>0.4</v>
      </c>
      <c r="J2316" s="940"/>
      <c r="K2316" s="59"/>
      <c r="L2316" s="59"/>
    </row>
    <row r="2317" spans="1:12" ht="18.95" customHeight="1">
      <c r="A2317" s="57" t="s">
        <v>135</v>
      </c>
      <c r="B2317" s="57" t="s">
        <v>129</v>
      </c>
      <c r="C2317" s="57">
        <v>2022</v>
      </c>
      <c r="D2317" s="58">
        <f>MATCH(B2317,{"GENNAIO","FEBBRAIO","MARZO","APRILE","MAGGIO","GIUGNO","LUGLIO","AGOSTO","SETTEMBRE","OTTOBRE","NOVEMBRE","DICEMBRE"},0)</f>
        <v>2</v>
      </c>
      <c r="E2317" s="57" t="str">
        <f t="shared" si="1758"/>
        <v>FEBBRAIO 2022</v>
      </c>
      <c r="F2317" s="57" t="str">
        <f t="shared" si="1759"/>
        <v>2 FEBBRAIO 2022</v>
      </c>
      <c r="G2317" s="1309" t="s">
        <v>132</v>
      </c>
      <c r="H2317" s="1309" t="str">
        <f>VLOOKUP(G2317,CATEGORIE!$H$3:$I$104,2,FALSE)</f>
        <v>COSTO CASA</v>
      </c>
      <c r="I2317" s="59">
        <v>3.7</v>
      </c>
      <c r="J2317" s="940"/>
      <c r="K2317" s="59"/>
      <c r="L2317" s="59"/>
    </row>
    <row r="2318" spans="1:12" ht="18.95" customHeight="1">
      <c r="A2318" s="57" t="s">
        <v>99</v>
      </c>
      <c r="B2318" s="57" t="s">
        <v>129</v>
      </c>
      <c r="C2318" s="57">
        <v>2022</v>
      </c>
      <c r="D2318" s="58">
        <f>MATCH(B2318,{"GENNAIO","FEBBRAIO","MARZO","APRILE","MAGGIO","GIUGNO","LUGLIO","AGOSTO","SETTEMBRE","OTTOBRE","NOVEMBRE","DICEMBRE"},0)</f>
        <v>2</v>
      </c>
      <c r="E2318" s="57" t="str">
        <f t="shared" si="1758"/>
        <v>FEBBRAIO 2022</v>
      </c>
      <c r="F2318" s="57" t="str">
        <f t="shared" si="1759"/>
        <v>2 FEBBRAIO 2022</v>
      </c>
      <c r="G2318" s="1309" t="s">
        <v>100</v>
      </c>
      <c r="H2318" s="1309" t="str">
        <f>VLOOKUP(G2318,CATEGORIE!$H$3:$I$104,2,FALSE)</f>
        <v>COSTO SFIZI</v>
      </c>
      <c r="I2318" s="59">
        <v>19.25</v>
      </c>
      <c r="J2318" s="940" t="s">
        <v>151</v>
      </c>
      <c r="K2318" s="57" t="s">
        <v>99</v>
      </c>
      <c r="L2318" s="59"/>
    </row>
    <row r="2319" spans="1:12" ht="18.95" customHeight="1">
      <c r="A2319" s="57" t="s">
        <v>156</v>
      </c>
      <c r="B2319" s="57" t="s">
        <v>129</v>
      </c>
      <c r="C2319" s="57">
        <v>2022</v>
      </c>
      <c r="D2319" s="58">
        <f>MATCH(B2319,{"GENNAIO","FEBBRAIO","MARZO","APRILE","MAGGIO","GIUGNO","LUGLIO","AGOSTO","SETTEMBRE","OTTOBRE","NOVEMBRE","DICEMBRE"},0)</f>
        <v>2</v>
      </c>
      <c r="E2319" s="57" t="str">
        <f t="shared" si="1758"/>
        <v>FEBBRAIO 2022</v>
      </c>
      <c r="F2319" s="57" t="str">
        <f t="shared" si="1759"/>
        <v>2 FEBBRAIO 2022</v>
      </c>
      <c r="G2319" s="1309" t="s">
        <v>96</v>
      </c>
      <c r="H2319" s="1309" t="str">
        <f>VLOOKUP(G2319,CATEGORIE!$H$3:$I$104,2,FALSE)</f>
        <v>COSTO SOPRAVVIVENZA</v>
      </c>
      <c r="I2319" s="59">
        <v>37.92</v>
      </c>
      <c r="J2319" s="940"/>
      <c r="K2319" s="59"/>
      <c r="L2319" s="59"/>
    </row>
    <row r="2320" spans="1:12" ht="18.95" customHeight="1">
      <c r="A2320" s="57" t="s">
        <v>101</v>
      </c>
      <c r="B2320" s="57" t="s">
        <v>129</v>
      </c>
      <c r="C2320" s="57">
        <v>2022</v>
      </c>
      <c r="D2320" s="58">
        <f>MATCH(B2320,{"GENNAIO","FEBBRAIO","MARZO","APRILE","MAGGIO","GIUGNO","LUGLIO","AGOSTO","SETTEMBRE","OTTOBRE","NOVEMBRE","DICEMBRE"},0)</f>
        <v>2</v>
      </c>
      <c r="E2320" s="57" t="str">
        <f t="shared" si="1758"/>
        <v>FEBBRAIO 2022</v>
      </c>
      <c r="F2320" s="57" t="str">
        <f t="shared" si="1759"/>
        <v>2 FEBBRAIO 2022</v>
      </c>
      <c r="G2320" s="1309" t="s">
        <v>91</v>
      </c>
      <c r="H2320" s="1309" t="str">
        <f>VLOOKUP(G2320,CATEGORIE!$H$3:$I$104,2,FALSE)</f>
        <v>COSTO SOPRAVVIVENZA</v>
      </c>
      <c r="I2320" s="59">
        <v>0.4</v>
      </c>
      <c r="J2320" s="940"/>
      <c r="K2320" s="59"/>
      <c r="L2320" s="59"/>
    </row>
    <row r="2321" spans="1:12" ht="18.95" customHeight="1">
      <c r="A2321" s="57" t="s">
        <v>101</v>
      </c>
      <c r="B2321" s="57" t="s">
        <v>129</v>
      </c>
      <c r="C2321" s="57">
        <v>2022</v>
      </c>
      <c r="D2321" s="58">
        <f>MATCH(B2321,{"GENNAIO","FEBBRAIO","MARZO","APRILE","MAGGIO","GIUGNO","LUGLIO","AGOSTO","SETTEMBRE","OTTOBRE","NOVEMBRE","DICEMBRE"},0)</f>
        <v>2</v>
      </c>
      <c r="E2321" s="57" t="str">
        <f t="shared" si="1758"/>
        <v>FEBBRAIO 2022</v>
      </c>
      <c r="F2321" s="57" t="str">
        <f t="shared" si="1759"/>
        <v>2 FEBBRAIO 2022</v>
      </c>
      <c r="G2321" s="1309" t="s">
        <v>91</v>
      </c>
      <c r="H2321" s="1309" t="str">
        <f>VLOOKUP(G2321,CATEGORIE!$H$3:$I$104,2,FALSE)</f>
        <v>COSTO SOPRAVVIVENZA</v>
      </c>
      <c r="I2321" s="59">
        <v>0.4</v>
      </c>
      <c r="J2321" s="940"/>
      <c r="K2321" s="59"/>
      <c r="L2321" s="59"/>
    </row>
    <row r="2322" spans="1:12" ht="18.95" customHeight="1">
      <c r="A2322" s="57" t="s">
        <v>101</v>
      </c>
      <c r="B2322" s="57" t="s">
        <v>129</v>
      </c>
      <c r="C2322" s="57">
        <v>2022</v>
      </c>
      <c r="D2322" s="58">
        <f>MATCH(B2322,{"GENNAIO","FEBBRAIO","MARZO","APRILE","MAGGIO","GIUGNO","LUGLIO","AGOSTO","SETTEMBRE","OTTOBRE","NOVEMBRE","DICEMBRE"},0)</f>
        <v>2</v>
      </c>
      <c r="E2322" s="57" t="str">
        <f t="shared" si="1758"/>
        <v>FEBBRAIO 2022</v>
      </c>
      <c r="F2322" s="57" t="str">
        <f t="shared" si="1759"/>
        <v>2 FEBBRAIO 2022</v>
      </c>
      <c r="G2322" s="1309" t="s">
        <v>91</v>
      </c>
      <c r="H2322" s="1309" t="str">
        <f>VLOOKUP(G2322,CATEGORIE!$H$3:$I$104,2,FALSE)</f>
        <v>COSTO SOPRAVVIVENZA</v>
      </c>
      <c r="I2322" s="59">
        <v>0.4</v>
      </c>
      <c r="J2322" s="940"/>
      <c r="K2322" s="59"/>
      <c r="L2322" s="59"/>
    </row>
    <row r="2323" spans="1:12" ht="18.95" customHeight="1">
      <c r="A2323" s="57" t="s">
        <v>101</v>
      </c>
      <c r="B2323" s="57" t="s">
        <v>129</v>
      </c>
      <c r="C2323" s="57">
        <v>2022</v>
      </c>
      <c r="D2323" s="58">
        <f>MATCH(B2323,{"GENNAIO","FEBBRAIO","MARZO","APRILE","MAGGIO","GIUGNO","LUGLIO","AGOSTO","SETTEMBRE","OTTOBRE","NOVEMBRE","DICEMBRE"},0)</f>
        <v>2</v>
      </c>
      <c r="E2323" s="57" t="str">
        <f t="shared" si="1758"/>
        <v>FEBBRAIO 2022</v>
      </c>
      <c r="F2323" s="57" t="str">
        <f t="shared" si="1759"/>
        <v>2 FEBBRAIO 2022</v>
      </c>
      <c r="G2323" s="1309" t="s">
        <v>91</v>
      </c>
      <c r="H2323" s="1309" t="str">
        <f>VLOOKUP(G2323,CATEGORIE!$H$3:$I$104,2,FALSE)</f>
        <v>COSTO SOPRAVVIVENZA</v>
      </c>
      <c r="I2323" s="59">
        <v>0.4</v>
      </c>
      <c r="J2323" s="940"/>
      <c r="K2323" s="59"/>
      <c r="L2323" s="59"/>
    </row>
    <row r="2324" spans="1:12" ht="18.600000000000001" customHeight="1">
      <c r="A2324" s="57" t="s">
        <v>370</v>
      </c>
      <c r="B2324" s="57" t="s">
        <v>129</v>
      </c>
      <c r="C2324" s="57">
        <v>2022</v>
      </c>
      <c r="D2324" s="58">
        <f>MATCH(B2324,{"GENNAIO","FEBBRAIO","MARZO","APRILE","MAGGIO","GIUGNO","LUGLIO","AGOSTO","SETTEMBRE","OTTOBRE","NOVEMBRE","DICEMBRE"},0)</f>
        <v>2</v>
      </c>
      <c r="E2324" s="57" t="str">
        <f t="shared" si="1758"/>
        <v>FEBBRAIO 2022</v>
      </c>
      <c r="F2324" s="57" t="str">
        <f t="shared" si="1759"/>
        <v>2 FEBBRAIO 2022</v>
      </c>
      <c r="G2324" s="1309" t="s">
        <v>132</v>
      </c>
      <c r="H2324" s="1309" t="str">
        <f>VLOOKUP(G2324,CATEGORIE!$H$3:$I$104,2,FALSE)</f>
        <v>COSTO CASA</v>
      </c>
      <c r="I2324" s="59">
        <v>24.89</v>
      </c>
      <c r="J2324" s="940"/>
      <c r="K2324" s="59"/>
      <c r="L2324" s="59" t="s">
        <v>605</v>
      </c>
    </row>
    <row r="2325" spans="1:12" ht="18.95" customHeight="1">
      <c r="A2325" s="57" t="s">
        <v>436</v>
      </c>
      <c r="B2325" s="57" t="s">
        <v>129</v>
      </c>
      <c r="C2325" s="57">
        <v>2022</v>
      </c>
      <c r="D2325" s="58">
        <f>MATCH(B2325,{"GENNAIO","FEBBRAIO","MARZO","APRILE","MAGGIO","GIUGNO","LUGLIO","AGOSTO","SETTEMBRE","OTTOBRE","NOVEMBRE","DICEMBRE"},0)</f>
        <v>2</v>
      </c>
      <c r="E2325" s="57" t="str">
        <f t="shared" si="1758"/>
        <v>FEBBRAIO 2022</v>
      </c>
      <c r="F2325" s="57" t="str">
        <f t="shared" si="1759"/>
        <v>2 FEBBRAIO 2022</v>
      </c>
      <c r="G2325" s="1309" t="s">
        <v>121</v>
      </c>
      <c r="H2325" s="1309" t="str">
        <f>VLOOKUP(G2325,CATEGORIE!$H$3:$I$104,2,FALSE)</f>
        <v>COSTO MOBILITA'</v>
      </c>
      <c r="I2325" s="59">
        <v>310</v>
      </c>
      <c r="J2325" s="940"/>
      <c r="K2325" s="59"/>
      <c r="L2325" s="59"/>
    </row>
    <row r="2326" spans="1:12" ht="18.95" customHeight="1">
      <c r="A2326" s="57" t="s">
        <v>101</v>
      </c>
      <c r="B2326" s="57" t="s">
        <v>129</v>
      </c>
      <c r="C2326" s="57">
        <v>2022</v>
      </c>
      <c r="D2326" s="58">
        <f>MATCH(B2326,{"GENNAIO","FEBBRAIO","MARZO","APRILE","MAGGIO","GIUGNO","LUGLIO","AGOSTO","SETTEMBRE","OTTOBRE","NOVEMBRE","DICEMBRE"},0)</f>
        <v>2</v>
      </c>
      <c r="E2326" s="57" t="str">
        <f t="shared" si="1758"/>
        <v>FEBBRAIO 2022</v>
      </c>
      <c r="F2326" s="57" t="str">
        <f t="shared" si="1759"/>
        <v>2 FEBBRAIO 2022</v>
      </c>
      <c r="G2326" s="1309" t="s">
        <v>91</v>
      </c>
      <c r="H2326" s="1309" t="str">
        <f>VLOOKUP(G2326,CATEGORIE!$H$3:$I$104,2,FALSE)</f>
        <v>COSTO SOPRAVVIVENZA</v>
      </c>
      <c r="I2326" s="59">
        <v>0.4</v>
      </c>
      <c r="J2326" s="940"/>
      <c r="K2326" s="59"/>
      <c r="L2326" s="59"/>
    </row>
    <row r="2327" spans="1:12" ht="18.95" customHeight="1">
      <c r="A2327" s="57" t="s">
        <v>105</v>
      </c>
      <c r="B2327" s="57" t="s">
        <v>129</v>
      </c>
      <c r="C2327" s="57">
        <v>2022</v>
      </c>
      <c r="D2327" s="58">
        <f>MATCH(B2327,{"GENNAIO","FEBBRAIO","MARZO","APRILE","MAGGIO","GIUGNO","LUGLIO","AGOSTO","SETTEMBRE","OTTOBRE","NOVEMBRE","DICEMBRE"},0)</f>
        <v>2</v>
      </c>
      <c r="E2327" s="57" t="str">
        <f t="shared" si="1758"/>
        <v>FEBBRAIO 2022</v>
      </c>
      <c r="F2327" s="57" t="str">
        <f t="shared" si="1759"/>
        <v>2 FEBBRAIO 2022</v>
      </c>
      <c r="G2327" s="1309" t="s">
        <v>96</v>
      </c>
      <c r="H2327" s="1309" t="str">
        <f>VLOOKUP(G2327,CATEGORIE!$H$3:$I$104,2,FALSE)</f>
        <v>COSTO SOPRAVVIVENZA</v>
      </c>
      <c r="I2327" s="59">
        <v>22.21</v>
      </c>
      <c r="J2327" s="940"/>
      <c r="K2327" s="59"/>
      <c r="L2327" s="59"/>
    </row>
    <row r="2328" spans="1:12" ht="18.95" customHeight="1">
      <c r="A2328" s="57" t="s">
        <v>95</v>
      </c>
      <c r="B2328" s="57" t="s">
        <v>129</v>
      </c>
      <c r="C2328" s="57">
        <v>2022</v>
      </c>
      <c r="D2328" s="58">
        <f>MATCH(B2328,{"GENNAIO","FEBBRAIO","MARZO","APRILE","MAGGIO","GIUGNO","LUGLIO","AGOSTO","SETTEMBRE","OTTOBRE","NOVEMBRE","DICEMBRE"},0)</f>
        <v>2</v>
      </c>
      <c r="E2328" s="57" t="str">
        <f t="shared" si="1758"/>
        <v>FEBBRAIO 2022</v>
      </c>
      <c r="F2328" s="57" t="str">
        <f t="shared" si="1759"/>
        <v>2 FEBBRAIO 2022</v>
      </c>
      <c r="G2328" s="1309" t="s">
        <v>96</v>
      </c>
      <c r="H2328" s="1309" t="str">
        <f>VLOOKUP(G2328,CATEGORIE!$H$3:$I$104,2,FALSE)</f>
        <v>COSTO SOPRAVVIVENZA</v>
      </c>
      <c r="I2328" s="59">
        <v>25.1</v>
      </c>
      <c r="J2328" s="940"/>
      <c r="K2328" s="59"/>
      <c r="L2328" s="59"/>
    </row>
    <row r="2329" spans="1:12" ht="18.95" customHeight="1">
      <c r="A2329" s="57" t="s">
        <v>95</v>
      </c>
      <c r="B2329" s="57" t="s">
        <v>129</v>
      </c>
      <c r="C2329" s="57">
        <v>2022</v>
      </c>
      <c r="D2329" s="58">
        <f>MATCH(B2329,{"GENNAIO","FEBBRAIO","MARZO","APRILE","MAGGIO","GIUGNO","LUGLIO","AGOSTO","SETTEMBRE","OTTOBRE","NOVEMBRE","DICEMBRE"},0)</f>
        <v>2</v>
      </c>
      <c r="E2329" s="57" t="str">
        <f t="shared" si="1758"/>
        <v>FEBBRAIO 2022</v>
      </c>
      <c r="F2329" s="57" t="str">
        <f t="shared" si="1759"/>
        <v>2 FEBBRAIO 2022</v>
      </c>
      <c r="G2329" s="1309" t="s">
        <v>96</v>
      </c>
      <c r="H2329" s="1309" t="str">
        <f>VLOOKUP(G2329,CATEGORIE!$H$3:$I$104,2,FALSE)</f>
        <v>COSTO SOPRAVVIVENZA</v>
      </c>
      <c r="I2329" s="59">
        <v>13.52</v>
      </c>
      <c r="J2329" s="940"/>
      <c r="K2329" s="59"/>
      <c r="L2329" s="59"/>
    </row>
    <row r="2330" spans="1:12" ht="18.95" customHeight="1">
      <c r="A2330" s="57" t="s">
        <v>101</v>
      </c>
      <c r="B2330" s="57" t="s">
        <v>129</v>
      </c>
      <c r="C2330" s="57">
        <v>2022</v>
      </c>
      <c r="D2330" s="58">
        <f>MATCH(B2330,{"GENNAIO","FEBBRAIO","MARZO","APRILE","MAGGIO","GIUGNO","LUGLIO","AGOSTO","SETTEMBRE","OTTOBRE","NOVEMBRE","DICEMBRE"},0)</f>
        <v>2</v>
      </c>
      <c r="E2330" s="57" t="str">
        <f t="shared" si="1758"/>
        <v>FEBBRAIO 2022</v>
      </c>
      <c r="F2330" s="57" t="str">
        <f t="shared" si="1759"/>
        <v>2 FEBBRAIO 2022</v>
      </c>
      <c r="G2330" s="1309" t="s">
        <v>91</v>
      </c>
      <c r="H2330" s="1309" t="str">
        <f>VLOOKUP(G2330,CATEGORIE!$H$3:$I$104,2,FALSE)</f>
        <v>COSTO SOPRAVVIVENZA</v>
      </c>
      <c r="I2330" s="59">
        <v>0.4</v>
      </c>
      <c r="J2330" s="940"/>
      <c r="K2330" s="59"/>
      <c r="L2330" s="59"/>
    </row>
    <row r="2331" spans="1:12" ht="18.95" customHeight="1">
      <c r="A2331" s="57" t="s">
        <v>370</v>
      </c>
      <c r="B2331" s="57" t="s">
        <v>129</v>
      </c>
      <c r="C2331" s="57">
        <v>2022</v>
      </c>
      <c r="D2331" s="58">
        <f>MATCH(B2331,{"GENNAIO","FEBBRAIO","MARZO","APRILE","MAGGIO","GIUGNO","LUGLIO","AGOSTO","SETTEMBRE","OTTOBRE","NOVEMBRE","DICEMBRE"},0)</f>
        <v>2</v>
      </c>
      <c r="E2331" s="57" t="str">
        <f t="shared" si="1758"/>
        <v>FEBBRAIO 2022</v>
      </c>
      <c r="F2331" s="57" t="str">
        <f t="shared" si="1759"/>
        <v>2 FEBBRAIO 2022</v>
      </c>
      <c r="G2331" s="1309" t="s">
        <v>132</v>
      </c>
      <c r="H2331" s="1309" t="str">
        <f>VLOOKUP(G2331,CATEGORIE!$H$3:$I$104,2,FALSE)</f>
        <v>COSTO CASA</v>
      </c>
      <c r="I2331" s="59">
        <v>45.89</v>
      </c>
      <c r="J2331" s="940"/>
      <c r="K2331" s="59"/>
      <c r="L2331" s="59" t="s">
        <v>605</v>
      </c>
    </row>
    <row r="2332" spans="1:12" ht="18.95" customHeight="1">
      <c r="A2332" s="57" t="s">
        <v>135</v>
      </c>
      <c r="B2332" s="57" t="s">
        <v>129</v>
      </c>
      <c r="C2332" s="57">
        <v>2022</v>
      </c>
      <c r="D2332" s="58">
        <f>MATCH(B2332,{"GENNAIO","FEBBRAIO","MARZO","APRILE","MAGGIO","GIUGNO","LUGLIO","AGOSTO","SETTEMBRE","OTTOBRE","NOVEMBRE","DICEMBRE"},0)</f>
        <v>2</v>
      </c>
      <c r="E2332" s="57" t="str">
        <f t="shared" si="1758"/>
        <v>FEBBRAIO 2022</v>
      </c>
      <c r="F2332" s="57" t="str">
        <f t="shared" si="1759"/>
        <v>2 FEBBRAIO 2022</v>
      </c>
      <c r="G2332" s="1309" t="s">
        <v>132</v>
      </c>
      <c r="H2332" s="1309" t="str">
        <f>VLOOKUP(G2332,CATEGORIE!$H$3:$I$104,2,FALSE)</f>
        <v>COSTO CASA</v>
      </c>
      <c r="I2332" s="59">
        <v>10.29</v>
      </c>
      <c r="J2332" s="940"/>
      <c r="K2332" s="59"/>
      <c r="L2332" s="59" t="s">
        <v>605</v>
      </c>
    </row>
    <row r="2333" spans="1:12" ht="18.95" customHeight="1">
      <c r="A2333" s="57" t="s">
        <v>370</v>
      </c>
      <c r="B2333" s="57" t="s">
        <v>129</v>
      </c>
      <c r="C2333" s="57">
        <v>2022</v>
      </c>
      <c r="D2333" s="58">
        <f>MATCH(B2333,{"GENNAIO","FEBBRAIO","MARZO","APRILE","MAGGIO","GIUGNO","LUGLIO","AGOSTO","SETTEMBRE","OTTOBRE","NOVEMBRE","DICEMBRE"},0)</f>
        <v>2</v>
      </c>
      <c r="E2333" s="57" t="str">
        <f t="shared" si="1758"/>
        <v>FEBBRAIO 2022</v>
      </c>
      <c r="F2333" s="57" t="str">
        <f t="shared" si="1759"/>
        <v>2 FEBBRAIO 2022</v>
      </c>
      <c r="G2333" s="1309" t="s">
        <v>132</v>
      </c>
      <c r="H2333" s="1309" t="str">
        <f>VLOOKUP(G2333,CATEGORIE!$H$3:$I$104,2,FALSE)</f>
        <v>COSTO CASA</v>
      </c>
      <c r="I2333" s="59">
        <v>56.62</v>
      </c>
      <c r="J2333" s="940"/>
      <c r="K2333" s="59"/>
      <c r="L2333" s="59" t="s">
        <v>605</v>
      </c>
    </row>
    <row r="2334" spans="1:12" ht="18.95" customHeight="1">
      <c r="A2334" s="57" t="s">
        <v>101</v>
      </c>
      <c r="B2334" s="57" t="s">
        <v>154</v>
      </c>
      <c r="C2334" s="57">
        <v>2022</v>
      </c>
      <c r="D2334" s="58">
        <f>MATCH(B2334,{"GENNAIO","FEBBRAIO","MARZO","APRILE","MAGGIO","GIUGNO","LUGLIO","AGOSTO","SETTEMBRE","OTTOBRE","NOVEMBRE","DICEMBRE"},0)</f>
        <v>1</v>
      </c>
      <c r="E2334" s="57" t="str">
        <f t="shared" si="1758"/>
        <v>GENNAIO 2022</v>
      </c>
      <c r="F2334" s="57" t="str">
        <f t="shared" si="1759"/>
        <v>1 GENNAIO 2022</v>
      </c>
      <c r="G2334" s="1309" t="s">
        <v>91</v>
      </c>
      <c r="H2334" s="1309" t="str">
        <f>VLOOKUP(G2334,CATEGORIE!$H$3:$I$104,2,FALSE)</f>
        <v>COSTO SOPRAVVIVENZA</v>
      </c>
      <c r="I2334" s="59">
        <v>0.4</v>
      </c>
      <c r="J2334" s="940"/>
      <c r="K2334" s="59"/>
      <c r="L2334" s="59"/>
    </row>
    <row r="2335" spans="1:12" ht="18.95" customHeight="1">
      <c r="A2335" s="57" t="s">
        <v>101</v>
      </c>
      <c r="B2335" s="57" t="s">
        <v>154</v>
      </c>
      <c r="C2335" s="57">
        <v>2022</v>
      </c>
      <c r="D2335" s="58">
        <f>MATCH(B2335,{"GENNAIO","FEBBRAIO","MARZO","APRILE","MAGGIO","GIUGNO","LUGLIO","AGOSTO","SETTEMBRE","OTTOBRE","NOVEMBRE","DICEMBRE"},0)</f>
        <v>1</v>
      </c>
      <c r="E2335" s="57" t="str">
        <f t="shared" si="1758"/>
        <v>GENNAIO 2022</v>
      </c>
      <c r="F2335" s="57" t="str">
        <f t="shared" si="1759"/>
        <v>1 GENNAIO 2022</v>
      </c>
      <c r="G2335" s="1309" t="s">
        <v>91</v>
      </c>
      <c r="H2335" s="1309" t="str">
        <f>VLOOKUP(G2335,CATEGORIE!$H$3:$I$104,2,FALSE)</f>
        <v>COSTO SOPRAVVIVENZA</v>
      </c>
      <c r="I2335" s="59">
        <v>0.4</v>
      </c>
      <c r="J2335" s="940"/>
      <c r="K2335" s="59"/>
      <c r="L2335" s="59"/>
    </row>
    <row r="2336" spans="1:12" ht="18.95" customHeight="1">
      <c r="A2336" s="57" t="s">
        <v>101</v>
      </c>
      <c r="B2336" s="57" t="s">
        <v>154</v>
      </c>
      <c r="C2336" s="57">
        <v>2022</v>
      </c>
      <c r="D2336" s="58">
        <f>MATCH(B2336,{"GENNAIO","FEBBRAIO","MARZO","APRILE","MAGGIO","GIUGNO","LUGLIO","AGOSTO","SETTEMBRE","OTTOBRE","NOVEMBRE","DICEMBRE"},0)</f>
        <v>1</v>
      </c>
      <c r="E2336" s="57" t="str">
        <f t="shared" si="1758"/>
        <v>GENNAIO 2022</v>
      </c>
      <c r="F2336" s="57" t="str">
        <f t="shared" si="1759"/>
        <v>1 GENNAIO 2022</v>
      </c>
      <c r="G2336" s="1309" t="s">
        <v>91</v>
      </c>
      <c r="H2336" s="1309" t="str">
        <f>VLOOKUP(G2336,CATEGORIE!$H$3:$I$104,2,FALSE)</f>
        <v>COSTO SOPRAVVIVENZA</v>
      </c>
      <c r="I2336" s="59">
        <v>0.4</v>
      </c>
      <c r="J2336" s="940"/>
      <c r="K2336" s="59"/>
      <c r="L2336" s="59"/>
    </row>
    <row r="2337" spans="1:12" ht="18.95" customHeight="1">
      <c r="A2337" s="57" t="s">
        <v>606</v>
      </c>
      <c r="B2337" s="57" t="s">
        <v>154</v>
      </c>
      <c r="C2337" s="57">
        <v>2022</v>
      </c>
      <c r="D2337" s="58">
        <f>MATCH(B2337,{"GENNAIO","FEBBRAIO","MARZO","APRILE","MAGGIO","GIUGNO","LUGLIO","AGOSTO","SETTEMBRE","OTTOBRE","NOVEMBRE","DICEMBRE"},0)</f>
        <v>1</v>
      </c>
      <c r="E2337" s="57" t="str">
        <f t="shared" si="1758"/>
        <v>GENNAIO 2022</v>
      </c>
      <c r="F2337" s="57" t="str">
        <f t="shared" si="1759"/>
        <v>1 GENNAIO 2022</v>
      </c>
      <c r="G2337" s="1309" t="s">
        <v>94</v>
      </c>
      <c r="H2337" s="1309" t="str">
        <f>VLOOKUP(G2337,CATEGORIE!$H$3:$I$104,2,FALSE)</f>
        <v>COSTO SVAGHI</v>
      </c>
      <c r="I2337" s="59">
        <v>24.5</v>
      </c>
      <c r="J2337" s="940"/>
      <c r="K2337" s="59"/>
      <c r="L2337" s="59"/>
    </row>
    <row r="2338" spans="1:12" ht="18.95" customHeight="1">
      <c r="A2338" s="57" t="s">
        <v>101</v>
      </c>
      <c r="B2338" s="57" t="s">
        <v>154</v>
      </c>
      <c r="C2338" s="57">
        <v>2022</v>
      </c>
      <c r="D2338" s="58">
        <f>MATCH(B2338,{"GENNAIO","FEBBRAIO","MARZO","APRILE","MAGGIO","GIUGNO","LUGLIO","AGOSTO","SETTEMBRE","OTTOBRE","NOVEMBRE","DICEMBRE"},0)</f>
        <v>1</v>
      </c>
      <c r="E2338" s="57" t="str">
        <f t="shared" si="1758"/>
        <v>GENNAIO 2022</v>
      </c>
      <c r="F2338" s="57" t="str">
        <f t="shared" si="1759"/>
        <v>1 GENNAIO 2022</v>
      </c>
      <c r="G2338" s="1309" t="s">
        <v>91</v>
      </c>
      <c r="H2338" s="1309" t="str">
        <f>VLOOKUP(G2338,CATEGORIE!$H$3:$I$104,2,FALSE)</f>
        <v>COSTO SOPRAVVIVENZA</v>
      </c>
      <c r="I2338" s="59">
        <v>0.4</v>
      </c>
      <c r="J2338" s="940"/>
      <c r="K2338" s="59"/>
      <c r="L2338" s="59"/>
    </row>
    <row r="2339" spans="1:12">
      <c r="A2339" s="57" t="s">
        <v>101</v>
      </c>
      <c r="B2339" s="57" t="s">
        <v>154</v>
      </c>
      <c r="C2339" s="57">
        <v>2022</v>
      </c>
      <c r="D2339" s="58">
        <f>MATCH(B2339,{"GENNAIO","FEBBRAIO","MARZO","APRILE","MAGGIO","GIUGNO","LUGLIO","AGOSTO","SETTEMBRE","OTTOBRE","NOVEMBRE","DICEMBRE"},0)</f>
        <v>1</v>
      </c>
      <c r="E2339" s="57" t="str">
        <f t="shared" si="1758"/>
        <v>GENNAIO 2022</v>
      </c>
      <c r="F2339" s="57" t="str">
        <f t="shared" si="1759"/>
        <v>1 GENNAIO 2022</v>
      </c>
      <c r="G2339" s="1309" t="s">
        <v>91</v>
      </c>
      <c r="H2339" s="1309" t="str">
        <f>VLOOKUP(G2339,CATEGORIE!$H$3:$I$104,2,FALSE)</f>
        <v>COSTO SOPRAVVIVENZA</v>
      </c>
      <c r="I2339" s="59">
        <v>0.4</v>
      </c>
      <c r="J2339" s="940"/>
      <c r="K2339" s="59"/>
      <c r="L2339" s="59"/>
    </row>
    <row r="2340" spans="1:12">
      <c r="A2340" s="57" t="s">
        <v>101</v>
      </c>
      <c r="B2340" s="57" t="s">
        <v>154</v>
      </c>
      <c r="C2340" s="57">
        <v>2022</v>
      </c>
      <c r="D2340" s="58">
        <f>MATCH(B2340,{"GENNAIO","FEBBRAIO","MARZO","APRILE","MAGGIO","GIUGNO","LUGLIO","AGOSTO","SETTEMBRE","OTTOBRE","NOVEMBRE","DICEMBRE"},0)</f>
        <v>1</v>
      </c>
      <c r="E2340" s="57" t="str">
        <f t="shared" si="1758"/>
        <v>GENNAIO 2022</v>
      </c>
      <c r="F2340" s="57" t="str">
        <f t="shared" si="1759"/>
        <v>1 GENNAIO 2022</v>
      </c>
      <c r="G2340" s="1309" t="s">
        <v>91</v>
      </c>
      <c r="H2340" s="1309" t="str">
        <f>VLOOKUP(G2340,CATEGORIE!$H$3:$I$104,2,FALSE)</f>
        <v>COSTO SOPRAVVIVENZA</v>
      </c>
      <c r="I2340" s="59">
        <v>0.4</v>
      </c>
      <c r="J2340" s="940"/>
      <c r="K2340" s="59"/>
      <c r="L2340" s="59"/>
    </row>
    <row r="2341" spans="1:12" ht="18.95" customHeight="1">
      <c r="A2341" s="57" t="s">
        <v>101</v>
      </c>
      <c r="B2341" s="57" t="s">
        <v>154</v>
      </c>
      <c r="C2341" s="57">
        <v>2022</v>
      </c>
      <c r="D2341" s="58">
        <f>MATCH(B2341,{"GENNAIO","FEBBRAIO","MARZO","APRILE","MAGGIO","GIUGNO","LUGLIO","AGOSTO","SETTEMBRE","OTTOBRE","NOVEMBRE","DICEMBRE"},0)</f>
        <v>1</v>
      </c>
      <c r="E2341" s="57" t="str">
        <f t="shared" si="1758"/>
        <v>GENNAIO 2022</v>
      </c>
      <c r="F2341" s="57" t="str">
        <f t="shared" si="1759"/>
        <v>1 GENNAIO 2022</v>
      </c>
      <c r="G2341" s="1309" t="s">
        <v>91</v>
      </c>
      <c r="H2341" s="1309" t="str">
        <f>VLOOKUP(G2341,CATEGORIE!$H$3:$I$104,2,FALSE)</f>
        <v>COSTO SOPRAVVIVENZA</v>
      </c>
      <c r="I2341" s="59">
        <v>0.4</v>
      </c>
      <c r="J2341" s="940"/>
      <c r="K2341" s="59"/>
      <c r="L2341" s="59"/>
    </row>
    <row r="2342" spans="1:12" ht="18.95" customHeight="1">
      <c r="A2342" s="57" t="s">
        <v>105</v>
      </c>
      <c r="B2342" s="57" t="s">
        <v>154</v>
      </c>
      <c r="C2342" s="57">
        <v>2022</v>
      </c>
      <c r="D2342" s="58">
        <f>MATCH(B2342,{"GENNAIO","FEBBRAIO","MARZO","APRILE","MAGGIO","GIUGNO","LUGLIO","AGOSTO","SETTEMBRE","OTTOBRE","NOVEMBRE","DICEMBRE"},0)</f>
        <v>1</v>
      </c>
      <c r="E2342" s="57" t="str">
        <f t="shared" si="1758"/>
        <v>GENNAIO 2022</v>
      </c>
      <c r="F2342" s="57" t="str">
        <f t="shared" si="1759"/>
        <v>1 GENNAIO 2022</v>
      </c>
      <c r="G2342" s="1309" t="s">
        <v>96</v>
      </c>
      <c r="H2342" s="1309" t="str">
        <f>VLOOKUP(G2342,CATEGORIE!$H$3:$I$104,2,FALSE)</f>
        <v>COSTO SOPRAVVIVENZA</v>
      </c>
      <c r="I2342" s="59">
        <v>23.84</v>
      </c>
      <c r="J2342" s="940"/>
      <c r="K2342" s="59"/>
      <c r="L2342" s="59"/>
    </row>
    <row r="2343" spans="1:12">
      <c r="A2343" s="57" t="s">
        <v>92</v>
      </c>
      <c r="B2343" s="57" t="s">
        <v>154</v>
      </c>
      <c r="C2343" s="57">
        <v>2022</v>
      </c>
      <c r="D2343" s="58">
        <f>MATCH(B2343,{"GENNAIO","FEBBRAIO","MARZO","APRILE","MAGGIO","GIUGNO","LUGLIO","AGOSTO","SETTEMBRE","OTTOBRE","NOVEMBRE","DICEMBRE"},0)</f>
        <v>1</v>
      </c>
      <c r="E2343" s="57" t="str">
        <f t="shared" si="1758"/>
        <v>GENNAIO 2022</v>
      </c>
      <c r="F2343" s="57" t="str">
        <f t="shared" si="1759"/>
        <v>1 GENNAIO 2022</v>
      </c>
      <c r="G2343" s="1309" t="s">
        <v>94</v>
      </c>
      <c r="H2343" s="1309" t="str">
        <f>VLOOKUP(G2343,CATEGORIE!$H$3:$I$104,2,FALSE)</f>
        <v>COSTO SVAGHI</v>
      </c>
      <c r="I2343" s="59">
        <v>7.5</v>
      </c>
      <c r="J2343" s="940"/>
      <c r="K2343" s="59"/>
      <c r="L2343" s="59"/>
    </row>
    <row r="2344" spans="1:12" ht="16.5" customHeight="1">
      <c r="A2344" s="57" t="s">
        <v>101</v>
      </c>
      <c r="B2344" s="57" t="s">
        <v>154</v>
      </c>
      <c r="C2344" s="57">
        <v>2022</v>
      </c>
      <c r="D2344" s="58">
        <f>MATCH(B2344,{"GENNAIO","FEBBRAIO","MARZO","APRILE","MAGGIO","GIUGNO","LUGLIO","AGOSTO","SETTEMBRE","OTTOBRE","NOVEMBRE","DICEMBRE"},0)</f>
        <v>1</v>
      </c>
      <c r="E2344" s="57" t="str">
        <f t="shared" si="1758"/>
        <v>GENNAIO 2022</v>
      </c>
      <c r="F2344" s="57" t="str">
        <f t="shared" si="1759"/>
        <v>1 GENNAIO 2022</v>
      </c>
      <c r="G2344" s="1309" t="s">
        <v>91</v>
      </c>
      <c r="H2344" s="1309" t="str">
        <f>VLOOKUP(G2344,CATEGORIE!$H$3:$I$104,2,FALSE)</f>
        <v>COSTO SOPRAVVIVENZA</v>
      </c>
      <c r="I2344" s="59">
        <v>0.4</v>
      </c>
      <c r="J2344" s="940"/>
      <c r="K2344" s="59"/>
      <c r="L2344" s="59"/>
    </row>
    <row r="2345" spans="1:12">
      <c r="A2345" s="57" t="s">
        <v>101</v>
      </c>
      <c r="B2345" s="57" t="s">
        <v>154</v>
      </c>
      <c r="C2345" s="57">
        <v>2022</v>
      </c>
      <c r="D2345" s="58">
        <f>MATCH(B2345,{"GENNAIO","FEBBRAIO","MARZO","APRILE","MAGGIO","GIUGNO","LUGLIO","AGOSTO","SETTEMBRE","OTTOBRE","NOVEMBRE","DICEMBRE"},0)</f>
        <v>1</v>
      </c>
      <c r="E2345" s="57" t="str">
        <f t="shared" si="1758"/>
        <v>GENNAIO 2022</v>
      </c>
      <c r="F2345" s="57" t="str">
        <f t="shared" si="1759"/>
        <v>1 GENNAIO 2022</v>
      </c>
      <c r="G2345" s="1309" t="s">
        <v>91</v>
      </c>
      <c r="H2345" s="1309" t="str">
        <f>VLOOKUP(G2345,CATEGORIE!$H$3:$I$104,2,FALSE)</f>
        <v>COSTO SOPRAVVIVENZA</v>
      </c>
      <c r="I2345" s="59">
        <v>0.4</v>
      </c>
      <c r="J2345" s="940"/>
      <c r="K2345" s="59"/>
      <c r="L2345" s="59"/>
    </row>
    <row r="2346" spans="1:12" ht="14.25" customHeight="1">
      <c r="A2346" s="57" t="s">
        <v>99</v>
      </c>
      <c r="B2346" s="57" t="s">
        <v>154</v>
      </c>
      <c r="C2346" s="57">
        <v>2022</v>
      </c>
      <c r="D2346" s="58">
        <f>MATCH(B2346,{"GENNAIO","FEBBRAIO","MARZO","APRILE","MAGGIO","GIUGNO","LUGLIO","AGOSTO","SETTEMBRE","OTTOBRE","NOVEMBRE","DICEMBRE"},0)</f>
        <v>1</v>
      </c>
      <c r="E2346" s="57" t="str">
        <f t="shared" si="1758"/>
        <v>GENNAIO 2022</v>
      </c>
      <c r="F2346" s="57" t="str">
        <f t="shared" si="1759"/>
        <v>1 GENNAIO 2022</v>
      </c>
      <c r="G2346" s="1309" t="s">
        <v>100</v>
      </c>
      <c r="H2346" s="1309" t="str">
        <f>VLOOKUP(G2346,CATEGORIE!$H$3:$I$104,2,FALSE)</f>
        <v>COSTO SFIZI</v>
      </c>
      <c r="I2346" s="59">
        <v>19.25</v>
      </c>
      <c r="J2346" s="940" t="s">
        <v>167</v>
      </c>
      <c r="K2346" s="57" t="s">
        <v>99</v>
      </c>
      <c r="L2346" s="59"/>
    </row>
    <row r="2347" spans="1:12" ht="16.5" customHeight="1">
      <c r="A2347" s="57" t="s">
        <v>101</v>
      </c>
      <c r="B2347" s="57" t="s">
        <v>154</v>
      </c>
      <c r="C2347" s="57">
        <v>2022</v>
      </c>
      <c r="D2347" s="58">
        <f>MATCH(B2347,{"GENNAIO","FEBBRAIO","MARZO","APRILE","MAGGIO","GIUGNO","LUGLIO","AGOSTO","SETTEMBRE","OTTOBRE","NOVEMBRE","DICEMBRE"},0)</f>
        <v>1</v>
      </c>
      <c r="E2347" s="57" t="str">
        <f t="shared" si="1758"/>
        <v>GENNAIO 2022</v>
      </c>
      <c r="F2347" s="57" t="str">
        <f t="shared" si="1759"/>
        <v>1 GENNAIO 2022</v>
      </c>
      <c r="G2347" s="1309" t="s">
        <v>91</v>
      </c>
      <c r="H2347" s="1309" t="str">
        <f>VLOOKUP(G2347,CATEGORIE!$H$3:$I$104,2,FALSE)</f>
        <v>COSTO SOPRAVVIVENZA</v>
      </c>
      <c r="I2347" s="59">
        <v>0.4</v>
      </c>
      <c r="J2347" s="940"/>
      <c r="K2347" s="59"/>
      <c r="L2347" s="59"/>
    </row>
    <row r="2348" spans="1:12">
      <c r="A2348" s="57" t="s">
        <v>105</v>
      </c>
      <c r="B2348" s="57" t="s">
        <v>154</v>
      </c>
      <c r="C2348" s="57">
        <v>2022</v>
      </c>
      <c r="D2348" s="58">
        <f>MATCH(B2348,{"GENNAIO","FEBBRAIO","MARZO","APRILE","MAGGIO","GIUGNO","LUGLIO","AGOSTO","SETTEMBRE","OTTOBRE","NOVEMBRE","DICEMBRE"},0)</f>
        <v>1</v>
      </c>
      <c r="E2348" s="57" t="str">
        <f t="shared" si="1758"/>
        <v>GENNAIO 2022</v>
      </c>
      <c r="F2348" s="57" t="str">
        <f t="shared" si="1759"/>
        <v>1 GENNAIO 2022</v>
      </c>
      <c r="G2348" s="1309" t="s">
        <v>96</v>
      </c>
      <c r="H2348" s="1309" t="str">
        <f>VLOOKUP(G2348,CATEGORIE!$H$3:$I$104,2,FALSE)</f>
        <v>COSTO SOPRAVVIVENZA</v>
      </c>
      <c r="I2348" s="59">
        <v>19.170000000000002</v>
      </c>
      <c r="J2348" s="940"/>
      <c r="K2348" s="59"/>
      <c r="L2348" s="59"/>
    </row>
    <row r="2349" spans="1:12">
      <c r="A2349" s="57" t="s">
        <v>120</v>
      </c>
      <c r="B2349" s="57" t="s">
        <v>154</v>
      </c>
      <c r="C2349" s="57">
        <v>2022</v>
      </c>
      <c r="D2349" s="58">
        <f>MATCH(B2349,{"GENNAIO","FEBBRAIO","MARZO","APRILE","MAGGIO","GIUGNO","LUGLIO","AGOSTO","SETTEMBRE","OTTOBRE","NOVEMBRE","DICEMBRE"},0)</f>
        <v>1</v>
      </c>
      <c r="E2349" s="57" t="str">
        <f t="shared" si="1758"/>
        <v>GENNAIO 2022</v>
      </c>
      <c r="F2349" s="57" t="str">
        <f t="shared" si="1759"/>
        <v>1 GENNAIO 2022</v>
      </c>
      <c r="G2349" s="1309" t="s">
        <v>121</v>
      </c>
      <c r="H2349" s="1309" t="str">
        <f>VLOOKUP(G2349,CATEGORIE!$H$3:$I$104,2,FALSE)</f>
        <v>COSTO MOBILITA'</v>
      </c>
      <c r="I2349" s="59">
        <v>25</v>
      </c>
      <c r="J2349" s="940"/>
      <c r="K2349" s="59"/>
      <c r="L2349" s="59"/>
    </row>
    <row r="2350" spans="1:12">
      <c r="A2350" s="57" t="s">
        <v>607</v>
      </c>
      <c r="B2350" s="61" t="s">
        <v>154</v>
      </c>
      <c r="C2350" s="61">
        <v>2022</v>
      </c>
      <c r="D2350" s="58">
        <f>MATCH(B2350,{"GENNAIO","FEBBRAIO","MARZO","APRILE","MAGGIO","GIUGNO","LUGLIO","AGOSTO","SETTEMBRE","OTTOBRE","NOVEMBRE","DICEMBRE"},0)</f>
        <v>1</v>
      </c>
      <c r="E2350" s="57" t="str">
        <f t="shared" si="1758"/>
        <v>GENNAIO 2022</v>
      </c>
      <c r="F2350" s="57" t="str">
        <f t="shared" si="1759"/>
        <v>1 GENNAIO 2022</v>
      </c>
      <c r="G2350" s="1309" t="s">
        <v>418</v>
      </c>
      <c r="H2350" s="1309" t="str">
        <f>VLOOKUP(G2350,CATEGORIE!$H$3:$I$104,2,FALSE)</f>
        <v>COSTO SOPRAVVIVENZA</v>
      </c>
      <c r="I2350" s="60">
        <v>18</v>
      </c>
      <c r="J2350" s="940"/>
      <c r="K2350" s="59"/>
      <c r="L2350" s="59"/>
    </row>
    <row r="2351" spans="1:12">
      <c r="A2351" s="57" t="s">
        <v>156</v>
      </c>
      <c r="B2351" s="57" t="s">
        <v>154</v>
      </c>
      <c r="C2351" s="57">
        <v>2022</v>
      </c>
      <c r="D2351" s="58">
        <f>MATCH(B2351,{"GENNAIO","FEBBRAIO","MARZO","APRILE","MAGGIO","GIUGNO","LUGLIO","AGOSTO","SETTEMBRE","OTTOBRE","NOVEMBRE","DICEMBRE"},0)</f>
        <v>1</v>
      </c>
      <c r="E2351" s="57" t="str">
        <f t="shared" si="1758"/>
        <v>GENNAIO 2022</v>
      </c>
      <c r="F2351" s="57" t="str">
        <f t="shared" si="1759"/>
        <v>1 GENNAIO 2022</v>
      </c>
      <c r="G2351" s="1309" t="s">
        <v>96</v>
      </c>
      <c r="H2351" s="1309" t="str">
        <f>VLOOKUP(G2351,CATEGORIE!$H$3:$I$104,2,FALSE)</f>
        <v>COSTO SOPRAVVIVENZA</v>
      </c>
      <c r="I2351" s="59">
        <v>58.27</v>
      </c>
      <c r="J2351" s="940"/>
      <c r="K2351" s="59"/>
      <c r="L2351" s="59"/>
    </row>
    <row r="2352" spans="1:12">
      <c r="A2352" s="57" t="s">
        <v>131</v>
      </c>
      <c r="B2352" s="57" t="s">
        <v>154</v>
      </c>
      <c r="C2352" s="57">
        <v>2022</v>
      </c>
      <c r="D2352" s="58">
        <f>MATCH(B2352,{"GENNAIO","FEBBRAIO","MARZO","APRILE","MAGGIO","GIUGNO","LUGLIO","AGOSTO","SETTEMBRE","OTTOBRE","NOVEMBRE","DICEMBRE"},0)</f>
        <v>1</v>
      </c>
      <c r="E2352" s="57" t="str">
        <f t="shared" si="1758"/>
        <v>GENNAIO 2022</v>
      </c>
      <c r="F2352" s="57" t="str">
        <f t="shared" si="1759"/>
        <v>1 GENNAIO 2022</v>
      </c>
      <c r="G2352" s="1309" t="s">
        <v>132</v>
      </c>
      <c r="H2352" s="1309" t="str">
        <f>VLOOKUP(G2352,CATEGORIE!$H$3:$I$104,2,FALSE)</f>
        <v>COSTO CASA</v>
      </c>
      <c r="I2352" s="59">
        <v>34.950000000000003</v>
      </c>
      <c r="J2352" s="940"/>
      <c r="K2352" s="59"/>
      <c r="L2352" s="59"/>
    </row>
    <row r="2353" spans="1:12" ht="16.5" customHeight="1">
      <c r="A2353" s="57" t="s">
        <v>229</v>
      </c>
      <c r="B2353" s="57" t="s">
        <v>154</v>
      </c>
      <c r="C2353" s="57">
        <v>2022</v>
      </c>
      <c r="D2353" s="58">
        <f>MATCH(B2353,{"GENNAIO","FEBBRAIO","MARZO","APRILE","MAGGIO","GIUGNO","LUGLIO","AGOSTO","SETTEMBRE","OTTOBRE","NOVEMBRE","DICEMBRE"},0)</f>
        <v>1</v>
      </c>
      <c r="E2353" s="57" t="str">
        <f t="shared" si="1758"/>
        <v>GENNAIO 2022</v>
      </c>
      <c r="F2353" s="57" t="str">
        <f t="shared" si="1759"/>
        <v>1 GENNAIO 2022</v>
      </c>
      <c r="G2353" s="1309" t="s">
        <v>163</v>
      </c>
      <c r="H2353" s="1309" t="str">
        <f>VLOOKUP(G2353,CATEGORIE!$H$3:$I$104,2,FALSE)</f>
        <v>COSTO SVAGHI</v>
      </c>
      <c r="I2353" s="60">
        <v>45.45</v>
      </c>
      <c r="J2353" s="940"/>
      <c r="K2353" s="59"/>
      <c r="L2353" s="59"/>
    </row>
    <row r="2354" spans="1:12" ht="16.5" customHeight="1">
      <c r="A2354" s="57" t="s">
        <v>156</v>
      </c>
      <c r="B2354" s="57" t="s">
        <v>154</v>
      </c>
      <c r="C2354" s="57">
        <v>2022</v>
      </c>
      <c r="D2354" s="58">
        <f>MATCH(B2354,{"GENNAIO","FEBBRAIO","MARZO","APRILE","MAGGIO","GIUGNO","LUGLIO","AGOSTO","SETTEMBRE","OTTOBRE","NOVEMBRE","DICEMBRE"},0)</f>
        <v>1</v>
      </c>
      <c r="E2354" s="57" t="str">
        <f t="shared" si="1758"/>
        <v>GENNAIO 2022</v>
      </c>
      <c r="F2354" s="57" t="str">
        <f t="shared" si="1759"/>
        <v>1 GENNAIO 2022</v>
      </c>
      <c r="G2354" s="1309" t="s">
        <v>96</v>
      </c>
      <c r="H2354" s="1309" t="str">
        <f>VLOOKUP(G2354,CATEGORIE!$H$3:$I$104,2,FALSE)</f>
        <v>COSTO SOPRAVVIVENZA</v>
      </c>
      <c r="I2354" s="59">
        <v>32.86</v>
      </c>
      <c r="J2354" s="940"/>
      <c r="K2354" s="59"/>
      <c r="L2354" s="59"/>
    </row>
    <row r="2355" spans="1:12" ht="16.5" customHeight="1">
      <c r="A2355" s="57" t="s">
        <v>99</v>
      </c>
      <c r="B2355" s="57" t="s">
        <v>173</v>
      </c>
      <c r="C2355" s="57">
        <v>2021</v>
      </c>
      <c r="D2355" s="58">
        <f>MATCH(B2355,{"GENNAIO","FEBBRAIO","MARZO","APRILE","MAGGIO","GIUGNO","LUGLIO","AGOSTO","SETTEMBRE","OTTOBRE","NOVEMBRE","DICEMBRE"},0)</f>
        <v>12</v>
      </c>
      <c r="E2355" s="57" t="str">
        <f t="shared" si="1758"/>
        <v>DICEMBRE 2021</v>
      </c>
      <c r="F2355" s="57" t="str">
        <f t="shared" si="1759"/>
        <v>12 DICEMBRE 2021</v>
      </c>
      <c r="G2355" s="1309" t="s">
        <v>100</v>
      </c>
      <c r="H2355" s="1309" t="str">
        <f>VLOOKUP(G2355,CATEGORIE!$H$3:$I$104,2,FALSE)</f>
        <v>COSTO SFIZI</v>
      </c>
      <c r="I2355" s="59">
        <v>1.99</v>
      </c>
      <c r="J2355" s="940"/>
      <c r="K2355" s="57" t="s">
        <v>99</v>
      </c>
      <c r="L2355" s="59"/>
    </row>
    <row r="2356" spans="1:12" ht="16.5" customHeight="1">
      <c r="A2356" s="57" t="s">
        <v>289</v>
      </c>
      <c r="B2356" s="57" t="s">
        <v>173</v>
      </c>
      <c r="C2356" s="57">
        <v>2021</v>
      </c>
      <c r="D2356" s="58">
        <f>MATCH(B2356,{"GENNAIO","FEBBRAIO","MARZO","APRILE","MAGGIO","GIUGNO","LUGLIO","AGOSTO","SETTEMBRE","OTTOBRE","NOVEMBRE","DICEMBRE"},0)</f>
        <v>12</v>
      </c>
      <c r="E2356" s="57" t="str">
        <f t="shared" si="1758"/>
        <v>DICEMBRE 2021</v>
      </c>
      <c r="F2356" s="57" t="str">
        <f t="shared" si="1759"/>
        <v>12 DICEMBRE 2021</v>
      </c>
      <c r="G2356" s="1309" t="s">
        <v>108</v>
      </c>
      <c r="H2356" s="1309" t="str">
        <f>VLOOKUP(G2356,CATEGORIE!$H$3:$I$104,2,FALSE)</f>
        <v>COSTO SFIZI</v>
      </c>
      <c r="I2356" s="59">
        <v>25.9</v>
      </c>
      <c r="J2356" s="940"/>
      <c r="K2356" s="59"/>
      <c r="L2356" s="59"/>
    </row>
    <row r="2357" spans="1:12">
      <c r="A2357" s="57" t="s">
        <v>99</v>
      </c>
      <c r="B2357" s="57" t="s">
        <v>173</v>
      </c>
      <c r="C2357" s="57">
        <v>2021</v>
      </c>
      <c r="D2357" s="58">
        <f>MATCH(B2357,{"GENNAIO","FEBBRAIO","MARZO","APRILE","MAGGIO","GIUGNO","LUGLIO","AGOSTO","SETTEMBRE","OTTOBRE","NOVEMBRE","DICEMBRE"},0)</f>
        <v>12</v>
      </c>
      <c r="E2357" s="57" t="str">
        <f t="shared" si="1758"/>
        <v>DICEMBRE 2021</v>
      </c>
      <c r="F2357" s="57" t="str">
        <f t="shared" si="1759"/>
        <v>12 DICEMBRE 2021</v>
      </c>
      <c r="G2357" s="1309" t="s">
        <v>100</v>
      </c>
      <c r="H2357" s="1309" t="str">
        <f>VLOOKUP(G2357,CATEGORIE!$H$3:$I$104,2,FALSE)</f>
        <v>COSTO SFIZI</v>
      </c>
      <c r="I2357" s="59">
        <v>19.98</v>
      </c>
      <c r="J2357" s="940"/>
      <c r="K2357" s="57" t="s">
        <v>99</v>
      </c>
      <c r="L2357" s="59"/>
    </row>
    <row r="2358" spans="1:12" ht="16.5" customHeight="1">
      <c r="A2358" s="57" t="s">
        <v>251</v>
      </c>
      <c r="B2358" s="57" t="s">
        <v>173</v>
      </c>
      <c r="C2358" s="57">
        <v>2021</v>
      </c>
      <c r="D2358" s="58">
        <f>MATCH(B2358,{"GENNAIO","FEBBRAIO","MARZO","APRILE","MAGGIO","GIUGNO","LUGLIO","AGOSTO","SETTEMBRE","OTTOBRE","NOVEMBRE","DICEMBRE"},0)</f>
        <v>12</v>
      </c>
      <c r="E2358" s="57" t="str">
        <f t="shared" si="1758"/>
        <v>DICEMBRE 2021</v>
      </c>
      <c r="F2358" s="57" t="str">
        <f t="shared" si="1759"/>
        <v>12 DICEMBRE 2021</v>
      </c>
      <c r="G2358" s="1309" t="s">
        <v>108</v>
      </c>
      <c r="H2358" s="1309" t="str">
        <f>VLOOKUP(G2358,CATEGORIE!$H$3:$I$104,2,FALSE)</f>
        <v>COSTO SFIZI</v>
      </c>
      <c r="I2358" s="59">
        <v>30.14</v>
      </c>
      <c r="J2358" s="940"/>
      <c r="K2358" s="59"/>
      <c r="L2358" s="59"/>
    </row>
    <row r="2359" spans="1:12">
      <c r="A2359" s="57" t="s">
        <v>160</v>
      </c>
      <c r="B2359" s="57" t="s">
        <v>173</v>
      </c>
      <c r="C2359" s="57">
        <v>2021</v>
      </c>
      <c r="D2359" s="58">
        <f>MATCH(B2359,{"GENNAIO","FEBBRAIO","MARZO","APRILE","MAGGIO","GIUGNO","LUGLIO","AGOSTO","SETTEMBRE","OTTOBRE","NOVEMBRE","DICEMBRE"},0)</f>
        <v>12</v>
      </c>
      <c r="E2359" s="57" t="str">
        <f t="shared" si="1758"/>
        <v>DICEMBRE 2021</v>
      </c>
      <c r="F2359" s="57" t="str">
        <f t="shared" si="1759"/>
        <v>12 DICEMBRE 2021</v>
      </c>
      <c r="G2359" s="1309" t="s">
        <v>111</v>
      </c>
      <c r="H2359" s="1309" t="str">
        <f>VLOOKUP(G2359,CATEGORIE!$H$3:$I$104,2,FALSE)</f>
        <v>COSTO MOBILITA'</v>
      </c>
      <c r="I2359" s="59">
        <v>1.7</v>
      </c>
      <c r="J2359" s="940"/>
      <c r="K2359" s="59"/>
      <c r="L2359" s="59"/>
    </row>
    <row r="2360" spans="1:12" ht="16.5" customHeight="1">
      <c r="A2360" s="57" t="s">
        <v>156</v>
      </c>
      <c r="B2360" s="57" t="s">
        <v>173</v>
      </c>
      <c r="C2360" s="57">
        <v>2021</v>
      </c>
      <c r="D2360" s="58">
        <f>MATCH(B2360,{"GENNAIO","FEBBRAIO","MARZO","APRILE","MAGGIO","GIUGNO","LUGLIO","AGOSTO","SETTEMBRE","OTTOBRE","NOVEMBRE","DICEMBRE"},0)</f>
        <v>12</v>
      </c>
      <c r="E2360" s="57" t="str">
        <f t="shared" si="1758"/>
        <v>DICEMBRE 2021</v>
      </c>
      <c r="F2360" s="57" t="str">
        <f t="shared" si="1759"/>
        <v>12 DICEMBRE 2021</v>
      </c>
      <c r="G2360" s="1309" t="s">
        <v>96</v>
      </c>
      <c r="H2360" s="1309" t="str">
        <f>VLOOKUP(G2360,CATEGORIE!$H$3:$I$104,2,FALSE)</f>
        <v>COSTO SOPRAVVIVENZA</v>
      </c>
      <c r="I2360" s="59">
        <v>21.05</v>
      </c>
      <c r="J2360" s="940"/>
      <c r="K2360" s="59"/>
      <c r="L2360" s="59"/>
    </row>
    <row r="2361" spans="1:12">
      <c r="A2361" s="57" t="s">
        <v>589</v>
      </c>
      <c r="B2361" s="57" t="s">
        <v>173</v>
      </c>
      <c r="C2361" s="57">
        <v>2021</v>
      </c>
      <c r="D2361" s="58">
        <f>MATCH(B2361,{"GENNAIO","FEBBRAIO","MARZO","APRILE","MAGGIO","GIUGNO","LUGLIO","AGOSTO","SETTEMBRE","OTTOBRE","NOVEMBRE","DICEMBRE"},0)</f>
        <v>12</v>
      </c>
      <c r="E2361" s="57" t="str">
        <f t="shared" ref="E2361:E2424" si="1760">CONCATENATE(,B2361," ",C2361)</f>
        <v>DICEMBRE 2021</v>
      </c>
      <c r="F2361" s="57" t="str">
        <f t="shared" ref="F2361:F2424" si="1761">CONCATENATE(D2361," ",E2361)</f>
        <v>12 DICEMBRE 2021</v>
      </c>
      <c r="G2361" s="1309" t="s">
        <v>107</v>
      </c>
      <c r="H2361" s="1309" t="str">
        <f>VLOOKUP(G2361,CATEGORIE!$H$3:$I$104,2,FALSE)</f>
        <v>COSTO SOPRAVVIVENZA</v>
      </c>
      <c r="I2361" s="59">
        <v>33</v>
      </c>
      <c r="J2361" s="940"/>
      <c r="K2361" s="59"/>
      <c r="L2361" s="59"/>
    </row>
    <row r="2362" spans="1:12" ht="16.5" customHeight="1">
      <c r="A2362" s="57" t="s">
        <v>99</v>
      </c>
      <c r="B2362" s="57" t="s">
        <v>173</v>
      </c>
      <c r="C2362" s="57">
        <v>2021</v>
      </c>
      <c r="D2362" s="58">
        <f>MATCH(B2362,{"GENNAIO","FEBBRAIO","MARZO","APRILE","MAGGIO","GIUGNO","LUGLIO","AGOSTO","SETTEMBRE","OTTOBRE","NOVEMBRE","DICEMBRE"},0)</f>
        <v>12</v>
      </c>
      <c r="E2362" s="57" t="str">
        <f t="shared" si="1760"/>
        <v>DICEMBRE 2021</v>
      </c>
      <c r="F2362" s="57" t="str">
        <f t="shared" si="1761"/>
        <v>12 DICEMBRE 2021</v>
      </c>
      <c r="G2362" s="1309" t="s">
        <v>100</v>
      </c>
      <c r="H2362" s="1309" t="str">
        <f>VLOOKUP(G2362,CATEGORIE!$H$3:$I$104,2,FALSE)</f>
        <v>COSTO SFIZI</v>
      </c>
      <c r="I2362" s="59">
        <v>19.25</v>
      </c>
      <c r="J2362" s="940" t="s">
        <v>197</v>
      </c>
      <c r="K2362" s="57" t="s">
        <v>99</v>
      </c>
      <c r="L2362" s="59"/>
    </row>
    <row r="2363" spans="1:12" ht="16.5" customHeight="1">
      <c r="A2363" s="57" t="s">
        <v>131</v>
      </c>
      <c r="B2363" s="57" t="s">
        <v>173</v>
      </c>
      <c r="C2363" s="57">
        <v>2021</v>
      </c>
      <c r="D2363" s="58">
        <f>MATCH(B2363,{"GENNAIO","FEBBRAIO","MARZO","APRILE","MAGGIO","GIUGNO","LUGLIO","AGOSTO","SETTEMBRE","OTTOBRE","NOVEMBRE","DICEMBRE"},0)</f>
        <v>12</v>
      </c>
      <c r="E2363" s="57" t="str">
        <f t="shared" si="1760"/>
        <v>DICEMBRE 2021</v>
      </c>
      <c r="F2363" s="57" t="str">
        <f t="shared" si="1761"/>
        <v>12 DICEMBRE 2021</v>
      </c>
      <c r="G2363" s="1309" t="s">
        <v>132</v>
      </c>
      <c r="H2363" s="1309" t="str">
        <f>VLOOKUP(G2363,CATEGORIE!$H$3:$I$104,2,FALSE)</f>
        <v>COSTO CASA</v>
      </c>
      <c r="I2363" s="59">
        <v>55.6</v>
      </c>
      <c r="J2363" s="940"/>
      <c r="K2363" s="59"/>
      <c r="L2363" s="59"/>
    </row>
    <row r="2364" spans="1:12" ht="15.75" customHeight="1">
      <c r="A2364" s="57" t="s">
        <v>156</v>
      </c>
      <c r="B2364" s="57" t="s">
        <v>173</v>
      </c>
      <c r="C2364" s="57">
        <v>2021</v>
      </c>
      <c r="D2364" s="58">
        <f>MATCH(B2364,{"GENNAIO","FEBBRAIO","MARZO","APRILE","MAGGIO","GIUGNO","LUGLIO","AGOSTO","SETTEMBRE","OTTOBRE","NOVEMBRE","DICEMBRE"},0)</f>
        <v>12</v>
      </c>
      <c r="E2364" s="57" t="str">
        <f t="shared" si="1760"/>
        <v>DICEMBRE 2021</v>
      </c>
      <c r="F2364" s="57" t="str">
        <f t="shared" si="1761"/>
        <v>12 DICEMBRE 2021</v>
      </c>
      <c r="G2364" s="1309" t="s">
        <v>96</v>
      </c>
      <c r="H2364" s="1309" t="str">
        <f>VLOOKUP(G2364,CATEGORIE!$H$3:$I$104,2,FALSE)</f>
        <v>COSTO SOPRAVVIVENZA</v>
      </c>
      <c r="I2364" s="59">
        <v>116.28</v>
      </c>
      <c r="J2364" s="940"/>
      <c r="K2364" s="59"/>
      <c r="L2364" s="59" t="s">
        <v>514</v>
      </c>
    </row>
    <row r="2365" spans="1:12" ht="16.5" customHeight="1">
      <c r="A2365" s="57" t="s">
        <v>394</v>
      </c>
      <c r="B2365" s="57" t="s">
        <v>173</v>
      </c>
      <c r="C2365" s="57">
        <v>2021</v>
      </c>
      <c r="D2365" s="58">
        <f>MATCH(B2365,{"GENNAIO","FEBBRAIO","MARZO","APRILE","MAGGIO","GIUGNO","LUGLIO","AGOSTO","SETTEMBRE","OTTOBRE","NOVEMBRE","DICEMBRE"},0)</f>
        <v>12</v>
      </c>
      <c r="E2365" s="57" t="str">
        <f t="shared" si="1760"/>
        <v>DICEMBRE 2021</v>
      </c>
      <c r="F2365" s="57" t="str">
        <f t="shared" si="1761"/>
        <v>12 DICEMBRE 2021</v>
      </c>
      <c r="G2365" s="1309" t="s">
        <v>94</v>
      </c>
      <c r="H2365" s="1309" t="str">
        <f>VLOOKUP(G2365,CATEGORIE!$H$3:$I$104,2,FALSE)</f>
        <v>COSTO SVAGHI</v>
      </c>
      <c r="I2365" s="59">
        <v>40</v>
      </c>
      <c r="J2365" s="940"/>
      <c r="K2365" s="59"/>
      <c r="L2365" s="59" t="s">
        <v>514</v>
      </c>
    </row>
    <row r="2366" spans="1:12" ht="16.5" customHeight="1">
      <c r="A2366" s="57" t="s">
        <v>101</v>
      </c>
      <c r="B2366" s="57" t="s">
        <v>173</v>
      </c>
      <c r="C2366" s="57">
        <v>2021</v>
      </c>
      <c r="D2366" s="58">
        <f>MATCH(B2366,{"GENNAIO","FEBBRAIO","MARZO","APRILE","MAGGIO","GIUGNO","LUGLIO","AGOSTO","SETTEMBRE","OTTOBRE","NOVEMBRE","DICEMBRE"},0)</f>
        <v>12</v>
      </c>
      <c r="E2366" s="57" t="str">
        <f t="shared" si="1760"/>
        <v>DICEMBRE 2021</v>
      </c>
      <c r="F2366" s="57" t="str">
        <f t="shared" si="1761"/>
        <v>12 DICEMBRE 2021</v>
      </c>
      <c r="G2366" s="1309" t="s">
        <v>91</v>
      </c>
      <c r="H2366" s="1309" t="str">
        <f>VLOOKUP(G2366,CATEGORIE!$H$3:$I$104,2,FALSE)</f>
        <v>COSTO SOPRAVVIVENZA</v>
      </c>
      <c r="I2366" s="59">
        <v>0.6</v>
      </c>
      <c r="J2366" s="940"/>
      <c r="K2366" s="59"/>
      <c r="L2366" s="59"/>
    </row>
    <row r="2367" spans="1:12" ht="16.5" customHeight="1">
      <c r="A2367" s="57" t="s">
        <v>95</v>
      </c>
      <c r="B2367" s="57" t="s">
        <v>173</v>
      </c>
      <c r="C2367" s="57">
        <v>2021</v>
      </c>
      <c r="D2367" s="58">
        <f>MATCH(B2367,{"GENNAIO","FEBBRAIO","MARZO","APRILE","MAGGIO","GIUGNO","LUGLIO","AGOSTO","SETTEMBRE","OTTOBRE","NOVEMBRE","DICEMBRE"},0)</f>
        <v>12</v>
      </c>
      <c r="E2367" s="57" t="str">
        <f t="shared" si="1760"/>
        <v>DICEMBRE 2021</v>
      </c>
      <c r="F2367" s="57" t="str">
        <f t="shared" si="1761"/>
        <v>12 DICEMBRE 2021</v>
      </c>
      <c r="G2367" s="1309" t="s">
        <v>96</v>
      </c>
      <c r="H2367" s="1309" t="str">
        <f>VLOOKUP(G2367,CATEGORIE!$H$3:$I$104,2,FALSE)</f>
        <v>COSTO SOPRAVVIVENZA</v>
      </c>
      <c r="I2367" s="59">
        <v>37.93</v>
      </c>
      <c r="J2367" s="940"/>
      <c r="K2367" s="59"/>
      <c r="L2367" s="59" t="s">
        <v>514</v>
      </c>
    </row>
    <row r="2368" spans="1:12" ht="16.5" customHeight="1">
      <c r="A2368" s="57" t="s">
        <v>101</v>
      </c>
      <c r="B2368" s="57" t="s">
        <v>173</v>
      </c>
      <c r="C2368" s="57">
        <v>2021</v>
      </c>
      <c r="D2368" s="58">
        <f>MATCH(B2368,{"GENNAIO","FEBBRAIO","MARZO","APRILE","MAGGIO","GIUGNO","LUGLIO","AGOSTO","SETTEMBRE","OTTOBRE","NOVEMBRE","DICEMBRE"},0)</f>
        <v>12</v>
      </c>
      <c r="E2368" s="57" t="str">
        <f t="shared" si="1760"/>
        <v>DICEMBRE 2021</v>
      </c>
      <c r="F2368" s="57" t="str">
        <f t="shared" si="1761"/>
        <v>12 DICEMBRE 2021</v>
      </c>
      <c r="G2368" s="1309" t="s">
        <v>91</v>
      </c>
      <c r="H2368" s="1309" t="str">
        <f>VLOOKUP(G2368,CATEGORIE!$H$3:$I$104,2,FALSE)</f>
        <v>COSTO SOPRAVVIVENZA</v>
      </c>
      <c r="I2368" s="59">
        <v>0.4</v>
      </c>
      <c r="J2368" s="940"/>
      <c r="K2368" s="59"/>
      <c r="L2368" s="59"/>
    </row>
    <row r="2369" spans="1:12" ht="16.5" customHeight="1">
      <c r="A2369" s="57" t="s">
        <v>101</v>
      </c>
      <c r="B2369" s="57" t="s">
        <v>173</v>
      </c>
      <c r="C2369" s="57">
        <v>2021</v>
      </c>
      <c r="D2369" s="58">
        <f>MATCH(B2369,{"GENNAIO","FEBBRAIO","MARZO","APRILE","MAGGIO","GIUGNO","LUGLIO","AGOSTO","SETTEMBRE","OTTOBRE","NOVEMBRE","DICEMBRE"},0)</f>
        <v>12</v>
      </c>
      <c r="E2369" s="57" t="str">
        <f t="shared" si="1760"/>
        <v>DICEMBRE 2021</v>
      </c>
      <c r="F2369" s="57" t="str">
        <f t="shared" si="1761"/>
        <v>12 DICEMBRE 2021</v>
      </c>
      <c r="G2369" s="1309" t="s">
        <v>91</v>
      </c>
      <c r="H2369" s="1309" t="str">
        <f>VLOOKUP(G2369,CATEGORIE!$H$3:$I$104,2,FALSE)</f>
        <v>COSTO SOPRAVVIVENZA</v>
      </c>
      <c r="I2369" s="59">
        <v>0.4</v>
      </c>
      <c r="J2369" s="940"/>
      <c r="K2369" s="59"/>
      <c r="L2369" s="59"/>
    </row>
    <row r="2370" spans="1:12" ht="16.5" customHeight="1">
      <c r="A2370" s="57" t="s">
        <v>99</v>
      </c>
      <c r="B2370" s="57" t="s">
        <v>173</v>
      </c>
      <c r="C2370" s="57">
        <v>2021</v>
      </c>
      <c r="D2370" s="58">
        <f>MATCH(B2370,{"GENNAIO","FEBBRAIO","MARZO","APRILE","MAGGIO","GIUGNO","LUGLIO","AGOSTO","SETTEMBRE","OTTOBRE","NOVEMBRE","DICEMBRE"},0)</f>
        <v>12</v>
      </c>
      <c r="E2370" s="57" t="str">
        <f t="shared" si="1760"/>
        <v>DICEMBRE 2021</v>
      </c>
      <c r="F2370" s="57" t="str">
        <f t="shared" si="1761"/>
        <v>12 DICEMBRE 2021</v>
      </c>
      <c r="G2370" s="1309" t="s">
        <v>100</v>
      </c>
      <c r="H2370" s="1309" t="str">
        <f>VLOOKUP(G2370,CATEGORIE!$H$3:$I$104,2,FALSE)</f>
        <v>COSTO SFIZI</v>
      </c>
      <c r="I2370" s="59">
        <v>39.99</v>
      </c>
      <c r="J2370" s="940"/>
      <c r="K2370" s="57" t="s">
        <v>99</v>
      </c>
      <c r="L2370" s="59"/>
    </row>
    <row r="2371" spans="1:12" ht="16.5" customHeight="1">
      <c r="A2371" s="57" t="s">
        <v>562</v>
      </c>
      <c r="B2371" s="57" t="s">
        <v>173</v>
      </c>
      <c r="C2371" s="57">
        <v>2021</v>
      </c>
      <c r="D2371" s="58">
        <f>MATCH(B2371,{"GENNAIO","FEBBRAIO","MARZO","APRILE","MAGGIO","GIUGNO","LUGLIO","AGOSTO","SETTEMBRE","OTTOBRE","NOVEMBRE","DICEMBRE"},0)</f>
        <v>12</v>
      </c>
      <c r="E2371" s="57" t="str">
        <f t="shared" si="1760"/>
        <v>DICEMBRE 2021</v>
      </c>
      <c r="F2371" s="57" t="str">
        <f t="shared" si="1761"/>
        <v>12 DICEMBRE 2021</v>
      </c>
      <c r="G2371" s="1309" t="s">
        <v>94</v>
      </c>
      <c r="H2371" s="1309" t="str">
        <f>VLOOKUP(G2371,CATEGORIE!$H$3:$I$104,2,FALSE)</f>
        <v>COSTO SVAGHI</v>
      </c>
      <c r="I2371" s="59">
        <v>21.5</v>
      </c>
      <c r="J2371" s="940"/>
      <c r="K2371" s="59"/>
      <c r="L2371" s="59"/>
    </row>
    <row r="2372" spans="1:12">
      <c r="A2372" s="57" t="s">
        <v>101</v>
      </c>
      <c r="B2372" s="57" t="s">
        <v>173</v>
      </c>
      <c r="C2372" s="57">
        <v>2021</v>
      </c>
      <c r="D2372" s="58">
        <f>MATCH(B2372,{"GENNAIO","FEBBRAIO","MARZO","APRILE","MAGGIO","GIUGNO","LUGLIO","AGOSTO","SETTEMBRE","OTTOBRE","NOVEMBRE","DICEMBRE"},0)</f>
        <v>12</v>
      </c>
      <c r="E2372" s="57" t="str">
        <f t="shared" si="1760"/>
        <v>DICEMBRE 2021</v>
      </c>
      <c r="F2372" s="57" t="str">
        <f t="shared" si="1761"/>
        <v>12 DICEMBRE 2021</v>
      </c>
      <c r="G2372" s="1309" t="s">
        <v>91</v>
      </c>
      <c r="H2372" s="1309" t="str">
        <f>VLOOKUP(G2372,CATEGORIE!$H$3:$I$104,2,FALSE)</f>
        <v>COSTO SOPRAVVIVENZA</v>
      </c>
      <c r="I2372" s="59">
        <v>0.4</v>
      </c>
      <c r="J2372" s="940"/>
      <c r="K2372" s="59"/>
      <c r="L2372" s="59"/>
    </row>
    <row r="2373" spans="1:12" ht="16.5" customHeight="1">
      <c r="A2373" s="57" t="s">
        <v>101</v>
      </c>
      <c r="B2373" s="57" t="s">
        <v>173</v>
      </c>
      <c r="C2373" s="57">
        <v>2021</v>
      </c>
      <c r="D2373" s="58">
        <f>MATCH(B2373,{"GENNAIO","FEBBRAIO","MARZO","APRILE","MAGGIO","GIUGNO","LUGLIO","AGOSTO","SETTEMBRE","OTTOBRE","NOVEMBRE","DICEMBRE"},0)</f>
        <v>12</v>
      </c>
      <c r="E2373" s="57" t="str">
        <f t="shared" si="1760"/>
        <v>DICEMBRE 2021</v>
      </c>
      <c r="F2373" s="57" t="str">
        <f t="shared" si="1761"/>
        <v>12 DICEMBRE 2021</v>
      </c>
      <c r="G2373" s="1309" t="s">
        <v>91</v>
      </c>
      <c r="H2373" s="1309" t="str">
        <f>VLOOKUP(G2373,CATEGORIE!$H$3:$I$104,2,FALSE)</f>
        <v>COSTO SOPRAVVIVENZA</v>
      </c>
      <c r="I2373" s="59">
        <v>0.4</v>
      </c>
      <c r="J2373" s="940"/>
      <c r="K2373" s="59"/>
      <c r="L2373" s="59"/>
    </row>
    <row r="2374" spans="1:12" ht="16.5" customHeight="1">
      <c r="A2374" s="57" t="s">
        <v>590</v>
      </c>
      <c r="B2374" s="57" t="s">
        <v>173</v>
      </c>
      <c r="C2374" s="57">
        <v>2021</v>
      </c>
      <c r="D2374" s="58">
        <f>MATCH(B2374,{"GENNAIO","FEBBRAIO","MARZO","APRILE","MAGGIO","GIUGNO","LUGLIO","AGOSTO","SETTEMBRE","OTTOBRE","NOVEMBRE","DICEMBRE"},0)</f>
        <v>12</v>
      </c>
      <c r="E2374" s="57" t="str">
        <f t="shared" si="1760"/>
        <v>DICEMBRE 2021</v>
      </c>
      <c r="F2374" s="57" t="str">
        <f t="shared" si="1761"/>
        <v>12 DICEMBRE 2021</v>
      </c>
      <c r="G2374" s="1309" t="s">
        <v>418</v>
      </c>
      <c r="H2374" s="1309" t="str">
        <f>VLOOKUP(G2374,CATEGORIE!$H$3:$I$104,2,FALSE)</f>
        <v>COSTO SOPRAVVIVENZA</v>
      </c>
      <c r="I2374" s="60">
        <v>19.5</v>
      </c>
      <c r="J2374" s="940"/>
      <c r="K2374" s="59"/>
      <c r="L2374" s="59"/>
    </row>
    <row r="2375" spans="1:12" ht="16.5" customHeight="1">
      <c r="A2375" s="57" t="s">
        <v>156</v>
      </c>
      <c r="B2375" s="57" t="s">
        <v>200</v>
      </c>
      <c r="C2375" s="57">
        <v>2021</v>
      </c>
      <c r="D2375" s="58">
        <f>MATCH(B2375,{"GENNAIO","FEBBRAIO","MARZO","APRILE","MAGGIO","GIUGNO","LUGLIO","AGOSTO","SETTEMBRE","OTTOBRE","NOVEMBRE","DICEMBRE"},0)</f>
        <v>11</v>
      </c>
      <c r="E2375" s="57" t="str">
        <f t="shared" si="1760"/>
        <v>NOVEMBRE 2021</v>
      </c>
      <c r="F2375" s="57" t="str">
        <f t="shared" si="1761"/>
        <v>11 NOVEMBRE 2021</v>
      </c>
      <c r="G2375" s="1309" t="s">
        <v>96</v>
      </c>
      <c r="H2375" s="1309" t="str">
        <f>VLOOKUP(G2375,CATEGORIE!$H$3:$I$104,2,FALSE)</f>
        <v>COSTO SOPRAVVIVENZA</v>
      </c>
      <c r="I2375" s="59">
        <v>15.81</v>
      </c>
      <c r="J2375" s="940"/>
      <c r="K2375" s="59"/>
      <c r="L2375" s="59"/>
    </row>
    <row r="2376" spans="1:12" ht="16.5" customHeight="1">
      <c r="A2376" s="57" t="s">
        <v>608</v>
      </c>
      <c r="B2376" s="57" t="s">
        <v>200</v>
      </c>
      <c r="C2376" s="57">
        <v>2021</v>
      </c>
      <c r="D2376" s="58">
        <f>MATCH(B2376,{"GENNAIO","FEBBRAIO","MARZO","APRILE","MAGGIO","GIUGNO","LUGLIO","AGOSTO","SETTEMBRE","OTTOBRE","NOVEMBRE","DICEMBRE"},0)</f>
        <v>11</v>
      </c>
      <c r="E2376" s="57" t="str">
        <f t="shared" si="1760"/>
        <v>NOVEMBRE 2021</v>
      </c>
      <c r="F2376" s="57" t="str">
        <f t="shared" si="1761"/>
        <v>11 NOVEMBRE 2021</v>
      </c>
      <c r="G2376" s="1309" t="s">
        <v>242</v>
      </c>
      <c r="H2376" s="1309" t="str">
        <f>VLOOKUP(G2376,CATEGORIE!$H$3:$I$104,2,FALSE)</f>
        <v>COSTO ABBONAMENTI</v>
      </c>
      <c r="I2376" s="59">
        <v>24.99</v>
      </c>
      <c r="J2376" s="940"/>
      <c r="K2376" s="59"/>
      <c r="L2376" s="59"/>
    </row>
    <row r="2377" spans="1:12" ht="16.5" customHeight="1">
      <c r="A2377" s="57" t="s">
        <v>101</v>
      </c>
      <c r="B2377" s="57" t="s">
        <v>200</v>
      </c>
      <c r="C2377" s="57">
        <v>2021</v>
      </c>
      <c r="D2377" s="58">
        <f>MATCH(B2377,{"GENNAIO","FEBBRAIO","MARZO","APRILE","MAGGIO","GIUGNO","LUGLIO","AGOSTO","SETTEMBRE","OTTOBRE","NOVEMBRE","DICEMBRE"},0)</f>
        <v>11</v>
      </c>
      <c r="E2377" s="57" t="str">
        <f t="shared" si="1760"/>
        <v>NOVEMBRE 2021</v>
      </c>
      <c r="F2377" s="57" t="str">
        <f t="shared" si="1761"/>
        <v>11 NOVEMBRE 2021</v>
      </c>
      <c r="G2377" s="1309" t="s">
        <v>91</v>
      </c>
      <c r="H2377" s="1309" t="str">
        <f>VLOOKUP(G2377,CATEGORIE!$H$3:$I$104,2,FALSE)</f>
        <v>COSTO SOPRAVVIVENZA</v>
      </c>
      <c r="I2377" s="59">
        <v>0.4</v>
      </c>
      <c r="J2377" s="940"/>
      <c r="K2377" s="59"/>
      <c r="L2377" s="59"/>
    </row>
    <row r="2378" spans="1:12" ht="16.5" customHeight="1">
      <c r="A2378" s="57" t="s">
        <v>101</v>
      </c>
      <c r="B2378" s="57" t="s">
        <v>200</v>
      </c>
      <c r="C2378" s="57">
        <v>2021</v>
      </c>
      <c r="D2378" s="58">
        <f>MATCH(B2378,{"GENNAIO","FEBBRAIO","MARZO","APRILE","MAGGIO","GIUGNO","LUGLIO","AGOSTO","SETTEMBRE","OTTOBRE","NOVEMBRE","DICEMBRE"},0)</f>
        <v>11</v>
      </c>
      <c r="E2378" s="57" t="str">
        <f t="shared" si="1760"/>
        <v>NOVEMBRE 2021</v>
      </c>
      <c r="F2378" s="57" t="str">
        <f t="shared" si="1761"/>
        <v>11 NOVEMBRE 2021</v>
      </c>
      <c r="G2378" s="1309" t="s">
        <v>91</v>
      </c>
      <c r="H2378" s="1309" t="str">
        <f>VLOOKUP(G2378,CATEGORIE!$H$3:$I$104,2,FALSE)</f>
        <v>COSTO SOPRAVVIVENZA</v>
      </c>
      <c r="I2378" s="59">
        <v>0.4</v>
      </c>
      <c r="J2378" s="940"/>
      <c r="K2378" s="59"/>
      <c r="L2378" s="59"/>
    </row>
    <row r="2379" spans="1:12">
      <c r="A2379" s="57" t="s">
        <v>101</v>
      </c>
      <c r="B2379" s="57" t="s">
        <v>200</v>
      </c>
      <c r="C2379" s="57">
        <v>2021</v>
      </c>
      <c r="D2379" s="58">
        <f>MATCH(B2379,{"GENNAIO","FEBBRAIO","MARZO","APRILE","MAGGIO","GIUGNO","LUGLIO","AGOSTO","SETTEMBRE","OTTOBRE","NOVEMBRE","DICEMBRE"},0)</f>
        <v>11</v>
      </c>
      <c r="E2379" s="57" t="str">
        <f t="shared" si="1760"/>
        <v>NOVEMBRE 2021</v>
      </c>
      <c r="F2379" s="57" t="str">
        <f t="shared" si="1761"/>
        <v>11 NOVEMBRE 2021</v>
      </c>
      <c r="G2379" s="1309" t="s">
        <v>91</v>
      </c>
      <c r="H2379" s="1309" t="str">
        <f>VLOOKUP(G2379,CATEGORIE!$H$3:$I$104,2,FALSE)</f>
        <v>COSTO SOPRAVVIVENZA</v>
      </c>
      <c r="I2379" s="59">
        <v>0.4</v>
      </c>
      <c r="J2379" s="940"/>
      <c r="K2379" s="59"/>
      <c r="L2379" s="59"/>
    </row>
    <row r="2380" spans="1:12">
      <c r="A2380" s="57" t="s">
        <v>101</v>
      </c>
      <c r="B2380" s="57" t="s">
        <v>200</v>
      </c>
      <c r="C2380" s="57">
        <v>2021</v>
      </c>
      <c r="D2380" s="58">
        <f>MATCH(B2380,{"GENNAIO","FEBBRAIO","MARZO","APRILE","MAGGIO","GIUGNO","LUGLIO","AGOSTO","SETTEMBRE","OTTOBRE","NOVEMBRE","DICEMBRE"},0)</f>
        <v>11</v>
      </c>
      <c r="E2380" s="57" t="str">
        <f t="shared" si="1760"/>
        <v>NOVEMBRE 2021</v>
      </c>
      <c r="F2380" s="57" t="str">
        <f t="shared" si="1761"/>
        <v>11 NOVEMBRE 2021</v>
      </c>
      <c r="G2380" s="1309" t="s">
        <v>91</v>
      </c>
      <c r="H2380" s="1309" t="str">
        <f>VLOOKUP(G2380,CATEGORIE!$H$3:$I$104,2,FALSE)</f>
        <v>COSTO SOPRAVVIVENZA</v>
      </c>
      <c r="I2380" s="59">
        <v>0.4</v>
      </c>
      <c r="J2380" s="940"/>
      <c r="K2380" s="59"/>
      <c r="L2380" s="59"/>
    </row>
    <row r="2381" spans="1:12">
      <c r="A2381" s="57" t="s">
        <v>101</v>
      </c>
      <c r="B2381" s="57" t="s">
        <v>200</v>
      </c>
      <c r="C2381" s="57">
        <v>2021</v>
      </c>
      <c r="D2381" s="58">
        <f>MATCH(B2381,{"GENNAIO","FEBBRAIO","MARZO","APRILE","MAGGIO","GIUGNO","LUGLIO","AGOSTO","SETTEMBRE","OTTOBRE","NOVEMBRE","DICEMBRE"},0)</f>
        <v>11</v>
      </c>
      <c r="E2381" s="57" t="str">
        <f t="shared" si="1760"/>
        <v>NOVEMBRE 2021</v>
      </c>
      <c r="F2381" s="57" t="str">
        <f t="shared" si="1761"/>
        <v>11 NOVEMBRE 2021</v>
      </c>
      <c r="G2381" s="1309" t="s">
        <v>91</v>
      </c>
      <c r="H2381" s="1309" t="str">
        <f>VLOOKUP(G2381,CATEGORIE!$H$3:$I$104,2,FALSE)</f>
        <v>COSTO SOPRAVVIVENZA</v>
      </c>
      <c r="I2381" s="59">
        <v>0.4</v>
      </c>
      <c r="J2381" s="940"/>
      <c r="K2381" s="59"/>
      <c r="L2381" s="59"/>
    </row>
    <row r="2382" spans="1:12">
      <c r="A2382" s="57" t="s">
        <v>156</v>
      </c>
      <c r="B2382" s="57" t="s">
        <v>200</v>
      </c>
      <c r="C2382" s="57">
        <v>2021</v>
      </c>
      <c r="D2382" s="58">
        <f>MATCH(B2382,{"GENNAIO","FEBBRAIO","MARZO","APRILE","MAGGIO","GIUGNO","LUGLIO","AGOSTO","SETTEMBRE","OTTOBRE","NOVEMBRE","DICEMBRE"},0)</f>
        <v>11</v>
      </c>
      <c r="E2382" s="57" t="str">
        <f t="shared" si="1760"/>
        <v>NOVEMBRE 2021</v>
      </c>
      <c r="F2382" s="57" t="str">
        <f t="shared" si="1761"/>
        <v>11 NOVEMBRE 2021</v>
      </c>
      <c r="G2382" s="1309" t="s">
        <v>96</v>
      </c>
      <c r="H2382" s="1309" t="str">
        <f>VLOOKUP(G2382,CATEGORIE!$H$3:$I$104,2,FALSE)</f>
        <v>COSTO SOPRAVVIVENZA</v>
      </c>
      <c r="I2382" s="59">
        <v>6.69</v>
      </c>
      <c r="J2382" s="940"/>
      <c r="K2382" s="59"/>
      <c r="L2382" s="59"/>
    </row>
    <row r="2383" spans="1:12">
      <c r="A2383" s="57" t="s">
        <v>95</v>
      </c>
      <c r="B2383" s="57" t="s">
        <v>200</v>
      </c>
      <c r="C2383" s="57">
        <v>2021</v>
      </c>
      <c r="D2383" s="58">
        <f>MATCH(B2383,{"GENNAIO","FEBBRAIO","MARZO","APRILE","MAGGIO","GIUGNO","LUGLIO","AGOSTO","SETTEMBRE","OTTOBRE","NOVEMBRE","DICEMBRE"},0)</f>
        <v>11</v>
      </c>
      <c r="E2383" s="57" t="str">
        <f t="shared" si="1760"/>
        <v>NOVEMBRE 2021</v>
      </c>
      <c r="F2383" s="57" t="str">
        <f t="shared" si="1761"/>
        <v>11 NOVEMBRE 2021</v>
      </c>
      <c r="G2383" s="1309" t="s">
        <v>96</v>
      </c>
      <c r="H2383" s="1309" t="str">
        <f>VLOOKUP(G2383,CATEGORIE!$H$3:$I$104,2,FALSE)</f>
        <v>COSTO SOPRAVVIVENZA</v>
      </c>
      <c r="I2383" s="59">
        <v>8.35</v>
      </c>
      <c r="J2383" s="940"/>
      <c r="K2383" s="59"/>
      <c r="L2383" s="59"/>
    </row>
    <row r="2384" spans="1:12">
      <c r="A2384" s="57" t="s">
        <v>99</v>
      </c>
      <c r="B2384" s="57" t="s">
        <v>200</v>
      </c>
      <c r="C2384" s="57">
        <v>2021</v>
      </c>
      <c r="D2384" s="58">
        <f>MATCH(B2384,{"GENNAIO","FEBBRAIO","MARZO","APRILE","MAGGIO","GIUGNO","LUGLIO","AGOSTO","SETTEMBRE","OTTOBRE","NOVEMBRE","DICEMBRE"},0)</f>
        <v>11</v>
      </c>
      <c r="E2384" s="57" t="str">
        <f t="shared" si="1760"/>
        <v>NOVEMBRE 2021</v>
      </c>
      <c r="F2384" s="57" t="str">
        <f t="shared" si="1761"/>
        <v>11 NOVEMBRE 2021</v>
      </c>
      <c r="G2384" s="1309" t="s">
        <v>100</v>
      </c>
      <c r="H2384" s="1309" t="str">
        <f>VLOOKUP(G2384,CATEGORIE!$H$3:$I$104,2,FALSE)</f>
        <v>COSTO SFIZI</v>
      </c>
      <c r="I2384" s="59">
        <v>8.99</v>
      </c>
      <c r="J2384" s="940"/>
      <c r="K2384" s="57" t="s">
        <v>99</v>
      </c>
      <c r="L2384" s="59"/>
    </row>
    <row r="2385" spans="1:12">
      <c r="A2385" s="57" t="s">
        <v>99</v>
      </c>
      <c r="B2385" s="57" t="s">
        <v>200</v>
      </c>
      <c r="C2385" s="57">
        <v>2021</v>
      </c>
      <c r="D2385" s="58">
        <f>MATCH(B2385,{"GENNAIO","FEBBRAIO","MARZO","APRILE","MAGGIO","GIUGNO","LUGLIO","AGOSTO","SETTEMBRE","OTTOBRE","NOVEMBRE","DICEMBRE"},0)</f>
        <v>11</v>
      </c>
      <c r="E2385" s="57" t="str">
        <f t="shared" si="1760"/>
        <v>NOVEMBRE 2021</v>
      </c>
      <c r="F2385" s="57" t="str">
        <f t="shared" si="1761"/>
        <v>11 NOVEMBRE 2021</v>
      </c>
      <c r="G2385" s="1309" t="s">
        <v>100</v>
      </c>
      <c r="H2385" s="1309" t="str">
        <f>VLOOKUP(G2385,CATEGORIE!$H$3:$I$104,2,FALSE)</f>
        <v>COSTO SFIZI</v>
      </c>
      <c r="I2385" s="59">
        <v>19.25</v>
      </c>
      <c r="J2385" s="940" t="s">
        <v>126</v>
      </c>
      <c r="K2385" s="57" t="s">
        <v>99</v>
      </c>
      <c r="L2385" s="59"/>
    </row>
    <row r="2386" spans="1:12">
      <c r="A2386" s="57" t="s">
        <v>609</v>
      </c>
      <c r="B2386" s="57" t="s">
        <v>200</v>
      </c>
      <c r="C2386" s="57">
        <v>2021</v>
      </c>
      <c r="D2386" s="58">
        <f>MATCH(B2386,{"GENNAIO","FEBBRAIO","MARZO","APRILE","MAGGIO","GIUGNO","LUGLIO","AGOSTO","SETTEMBRE","OTTOBRE","NOVEMBRE","DICEMBRE"},0)</f>
        <v>11</v>
      </c>
      <c r="E2386" s="57" t="str">
        <f t="shared" si="1760"/>
        <v>NOVEMBRE 2021</v>
      </c>
      <c r="F2386" s="57" t="str">
        <f t="shared" si="1761"/>
        <v>11 NOVEMBRE 2021</v>
      </c>
      <c r="G2386" s="1309" t="s">
        <v>100</v>
      </c>
      <c r="H2386" s="1309" t="str">
        <f>VLOOKUP(G2386,CATEGORIE!$H$3:$I$104,2,FALSE)</f>
        <v>COSTO SFIZI</v>
      </c>
      <c r="I2386" s="59">
        <v>19.989999999999998</v>
      </c>
      <c r="J2386" s="940"/>
      <c r="K2386" s="59"/>
      <c r="L2386" s="59"/>
    </row>
    <row r="2387" spans="1:12">
      <c r="A2387" s="57" t="s">
        <v>609</v>
      </c>
      <c r="B2387" s="57" t="s">
        <v>200</v>
      </c>
      <c r="C2387" s="57">
        <v>2021</v>
      </c>
      <c r="D2387" s="58">
        <f>MATCH(B2387,{"GENNAIO","FEBBRAIO","MARZO","APRILE","MAGGIO","GIUGNO","LUGLIO","AGOSTO","SETTEMBRE","OTTOBRE","NOVEMBRE","DICEMBRE"},0)</f>
        <v>11</v>
      </c>
      <c r="E2387" s="57" t="str">
        <f t="shared" si="1760"/>
        <v>NOVEMBRE 2021</v>
      </c>
      <c r="F2387" s="57" t="str">
        <f t="shared" si="1761"/>
        <v>11 NOVEMBRE 2021</v>
      </c>
      <c r="G2387" s="1309" t="s">
        <v>100</v>
      </c>
      <c r="H2387" s="1309" t="str">
        <f>VLOOKUP(G2387,CATEGORIE!$H$3:$I$104,2,FALSE)</f>
        <v>COSTO SFIZI</v>
      </c>
      <c r="I2387" s="59">
        <v>49.99</v>
      </c>
      <c r="J2387" s="940"/>
      <c r="K2387" s="59"/>
      <c r="L2387" s="59"/>
    </row>
    <row r="2388" spans="1:12">
      <c r="A2388" s="57" t="s">
        <v>99</v>
      </c>
      <c r="B2388" s="57" t="s">
        <v>200</v>
      </c>
      <c r="C2388" s="57">
        <v>2021</v>
      </c>
      <c r="D2388" s="58">
        <f>MATCH(B2388,{"GENNAIO","FEBBRAIO","MARZO","APRILE","MAGGIO","GIUGNO","LUGLIO","AGOSTO","SETTEMBRE","OTTOBRE","NOVEMBRE","DICEMBRE"},0)</f>
        <v>11</v>
      </c>
      <c r="E2388" s="57" t="str">
        <f t="shared" si="1760"/>
        <v>NOVEMBRE 2021</v>
      </c>
      <c r="F2388" s="57" t="str">
        <f t="shared" si="1761"/>
        <v>11 NOVEMBRE 2021</v>
      </c>
      <c r="G2388" s="1309" t="s">
        <v>100</v>
      </c>
      <c r="H2388" s="1309" t="str">
        <f>VLOOKUP(G2388,CATEGORIE!$H$3:$I$104,2,FALSE)</f>
        <v>COSTO SFIZI</v>
      </c>
      <c r="I2388" s="59">
        <v>10.88</v>
      </c>
      <c r="J2388" s="940"/>
      <c r="K2388" s="57" t="s">
        <v>99</v>
      </c>
      <c r="L2388" s="59"/>
    </row>
    <row r="2389" spans="1:12">
      <c r="A2389" s="57" t="s">
        <v>610</v>
      </c>
      <c r="B2389" s="57" t="s">
        <v>200</v>
      </c>
      <c r="C2389" s="57">
        <v>2021</v>
      </c>
      <c r="D2389" s="58">
        <f>MATCH(B2389,{"GENNAIO","FEBBRAIO","MARZO","APRILE","MAGGIO","GIUGNO","LUGLIO","AGOSTO","SETTEMBRE","OTTOBRE","NOVEMBRE","DICEMBRE"},0)</f>
        <v>11</v>
      </c>
      <c r="E2389" s="57" t="str">
        <f t="shared" si="1760"/>
        <v>NOVEMBRE 2021</v>
      </c>
      <c r="F2389" s="57" t="str">
        <f t="shared" si="1761"/>
        <v>11 NOVEMBRE 2021</v>
      </c>
      <c r="G2389" s="1309" t="s">
        <v>1250</v>
      </c>
      <c r="H2389" s="1309" t="str">
        <f>VLOOKUP(G2389,CATEGORIE!$H$3:$I$104,2,FALSE)</f>
        <v>COSTO VACANZE</v>
      </c>
      <c r="I2389" s="59">
        <v>41.6</v>
      </c>
      <c r="J2389" s="940"/>
      <c r="K2389" s="59"/>
      <c r="L2389" s="59"/>
    </row>
    <row r="2390" spans="1:12">
      <c r="A2390" s="57" t="s">
        <v>92</v>
      </c>
      <c r="B2390" s="57" t="s">
        <v>200</v>
      </c>
      <c r="C2390" s="57">
        <v>2021</v>
      </c>
      <c r="D2390" s="58">
        <f>MATCH(B2390,{"GENNAIO","FEBBRAIO","MARZO","APRILE","MAGGIO","GIUGNO","LUGLIO","AGOSTO","SETTEMBRE","OTTOBRE","NOVEMBRE","DICEMBRE"},0)</f>
        <v>11</v>
      </c>
      <c r="E2390" s="57" t="str">
        <f t="shared" si="1760"/>
        <v>NOVEMBRE 2021</v>
      </c>
      <c r="F2390" s="57" t="str">
        <f t="shared" si="1761"/>
        <v>11 NOVEMBRE 2021</v>
      </c>
      <c r="G2390" s="1309" t="s">
        <v>93</v>
      </c>
      <c r="H2390" s="1309" t="str">
        <f>VLOOKUP(G2390,CATEGORIE!$H$3:$I$104,2,FALSE)</f>
        <v>COSTO SOPRAVVIVENZA</v>
      </c>
      <c r="I2390" s="59">
        <v>5</v>
      </c>
      <c r="J2390" s="940"/>
      <c r="K2390" s="59"/>
      <c r="L2390" s="59"/>
    </row>
    <row r="2391" spans="1:12">
      <c r="A2391" s="57" t="s">
        <v>611</v>
      </c>
      <c r="B2391" s="57" t="s">
        <v>200</v>
      </c>
      <c r="C2391" s="57">
        <v>2021</v>
      </c>
      <c r="D2391" s="58">
        <f>MATCH(B2391,{"GENNAIO","FEBBRAIO","MARZO","APRILE","MAGGIO","GIUGNO","LUGLIO","AGOSTO","SETTEMBRE","OTTOBRE","NOVEMBRE","DICEMBRE"},0)</f>
        <v>11</v>
      </c>
      <c r="E2391" s="57" t="str">
        <f t="shared" si="1760"/>
        <v>NOVEMBRE 2021</v>
      </c>
      <c r="F2391" s="57" t="str">
        <f t="shared" si="1761"/>
        <v>11 NOVEMBRE 2021</v>
      </c>
      <c r="G2391" s="1309" t="s">
        <v>96</v>
      </c>
      <c r="H2391" s="1309" t="str">
        <f>VLOOKUP(G2391,CATEGORIE!$H$3:$I$104,2,FALSE)</f>
        <v>COSTO SOPRAVVIVENZA</v>
      </c>
      <c r="I2391" s="59">
        <v>7.63</v>
      </c>
      <c r="J2391" s="940"/>
      <c r="K2391" s="59"/>
      <c r="L2391" s="59"/>
    </row>
    <row r="2392" spans="1:12">
      <c r="A2392" s="57" t="s">
        <v>612</v>
      </c>
      <c r="B2392" s="57" t="s">
        <v>200</v>
      </c>
      <c r="C2392" s="57">
        <v>2021</v>
      </c>
      <c r="D2392" s="58">
        <f>MATCH(B2392,{"GENNAIO","FEBBRAIO","MARZO","APRILE","MAGGIO","GIUGNO","LUGLIO","AGOSTO","SETTEMBRE","OTTOBRE","NOVEMBRE","DICEMBRE"},0)</f>
        <v>11</v>
      </c>
      <c r="E2392" s="57" t="str">
        <f t="shared" si="1760"/>
        <v>NOVEMBRE 2021</v>
      </c>
      <c r="F2392" s="57" t="str">
        <f t="shared" si="1761"/>
        <v>11 NOVEMBRE 2021</v>
      </c>
      <c r="G2392" s="1309" t="s">
        <v>94</v>
      </c>
      <c r="H2392" s="1309" t="str">
        <f>VLOOKUP(G2392,CATEGORIE!$H$3:$I$104,2,FALSE)</f>
        <v>COSTO SVAGHI</v>
      </c>
      <c r="I2392" s="59">
        <v>9.9700000000000006</v>
      </c>
      <c r="J2392" s="940"/>
      <c r="K2392" s="59"/>
      <c r="L2392" s="59"/>
    </row>
    <row r="2393" spans="1:12">
      <c r="A2393" s="57" t="s">
        <v>613</v>
      </c>
      <c r="B2393" s="57" t="s">
        <v>200</v>
      </c>
      <c r="C2393" s="57">
        <v>2021</v>
      </c>
      <c r="D2393" s="58">
        <f>MATCH(B2393,{"GENNAIO","FEBBRAIO","MARZO","APRILE","MAGGIO","GIUGNO","LUGLIO","AGOSTO","SETTEMBRE","OTTOBRE","NOVEMBRE","DICEMBRE"},0)</f>
        <v>11</v>
      </c>
      <c r="E2393" s="57" t="str">
        <f t="shared" si="1760"/>
        <v>NOVEMBRE 2021</v>
      </c>
      <c r="F2393" s="57" t="str">
        <f t="shared" si="1761"/>
        <v>11 NOVEMBRE 2021</v>
      </c>
      <c r="G2393" s="1309" t="s">
        <v>96</v>
      </c>
      <c r="H2393" s="1309" t="str">
        <f>VLOOKUP(G2393,CATEGORIE!$H$3:$I$104,2,FALSE)</f>
        <v>COSTO SOPRAVVIVENZA</v>
      </c>
      <c r="I2393" s="59">
        <v>7.49</v>
      </c>
      <c r="J2393" s="940"/>
      <c r="K2393" s="59"/>
      <c r="L2393" s="59"/>
    </row>
    <row r="2394" spans="1:12">
      <c r="A2394" s="57" t="s">
        <v>99</v>
      </c>
      <c r="B2394" s="57" t="s">
        <v>200</v>
      </c>
      <c r="C2394" s="57">
        <v>2021</v>
      </c>
      <c r="D2394" s="58">
        <f>MATCH(B2394,{"GENNAIO","FEBBRAIO","MARZO","APRILE","MAGGIO","GIUGNO","LUGLIO","AGOSTO","SETTEMBRE","OTTOBRE","NOVEMBRE","DICEMBRE"},0)</f>
        <v>11</v>
      </c>
      <c r="E2394" s="57" t="str">
        <f t="shared" si="1760"/>
        <v>NOVEMBRE 2021</v>
      </c>
      <c r="F2394" s="57" t="str">
        <f t="shared" si="1761"/>
        <v>11 NOVEMBRE 2021</v>
      </c>
      <c r="G2394" s="1309" t="s">
        <v>100</v>
      </c>
      <c r="H2394" s="1309" t="str">
        <f>VLOOKUP(G2394,CATEGORIE!$H$3:$I$104,2,FALSE)</f>
        <v>COSTO SFIZI</v>
      </c>
      <c r="I2394" s="59">
        <v>31.97</v>
      </c>
      <c r="J2394" s="940"/>
      <c r="K2394" s="57" t="s">
        <v>99</v>
      </c>
      <c r="L2394" s="59"/>
    </row>
    <row r="2395" spans="1:12" ht="16.5" customHeight="1">
      <c r="A2395" s="57" t="s">
        <v>99</v>
      </c>
      <c r="B2395" s="57" t="s">
        <v>200</v>
      </c>
      <c r="C2395" s="57">
        <v>2021</v>
      </c>
      <c r="D2395" s="58">
        <f>MATCH(B2395,{"GENNAIO","FEBBRAIO","MARZO","APRILE","MAGGIO","GIUGNO","LUGLIO","AGOSTO","SETTEMBRE","OTTOBRE","NOVEMBRE","DICEMBRE"},0)</f>
        <v>11</v>
      </c>
      <c r="E2395" s="57" t="str">
        <f t="shared" si="1760"/>
        <v>NOVEMBRE 2021</v>
      </c>
      <c r="F2395" s="57" t="str">
        <f t="shared" si="1761"/>
        <v>11 NOVEMBRE 2021</v>
      </c>
      <c r="G2395" s="1309" t="s">
        <v>100</v>
      </c>
      <c r="H2395" s="1309" t="str">
        <f>VLOOKUP(G2395,CATEGORIE!$H$3:$I$104,2,FALSE)</f>
        <v>COSTO SFIZI</v>
      </c>
      <c r="I2395" s="59">
        <v>23.89</v>
      </c>
      <c r="J2395" s="940"/>
      <c r="K2395" s="57" t="s">
        <v>99</v>
      </c>
      <c r="L2395" s="59"/>
    </row>
    <row r="2396" spans="1:12">
      <c r="A2396" s="57" t="s">
        <v>614</v>
      </c>
      <c r="B2396" s="57" t="s">
        <v>200</v>
      </c>
      <c r="C2396" s="57">
        <v>2021</v>
      </c>
      <c r="D2396" s="58">
        <f>MATCH(B2396,{"GENNAIO","FEBBRAIO","MARZO","APRILE","MAGGIO","GIUGNO","LUGLIO","AGOSTO","SETTEMBRE","OTTOBRE","NOVEMBRE","DICEMBRE"},0)</f>
        <v>11</v>
      </c>
      <c r="E2396" s="57" t="str">
        <f t="shared" si="1760"/>
        <v>NOVEMBRE 2021</v>
      </c>
      <c r="F2396" s="57" t="str">
        <f t="shared" si="1761"/>
        <v>11 NOVEMBRE 2021</v>
      </c>
      <c r="G2396" s="1309" t="s">
        <v>111</v>
      </c>
      <c r="H2396" s="1309" t="str">
        <f>VLOOKUP(G2396,CATEGORIE!$H$3:$I$104,2,FALSE)</f>
        <v>COSTO MOBILITA'</v>
      </c>
      <c r="I2396" s="59">
        <v>12.3</v>
      </c>
      <c r="J2396" s="940"/>
      <c r="K2396" s="59"/>
      <c r="L2396" s="59"/>
    </row>
    <row r="2397" spans="1:12">
      <c r="A2397" s="57" t="s">
        <v>92</v>
      </c>
      <c r="B2397" s="57" t="s">
        <v>200</v>
      </c>
      <c r="C2397" s="57">
        <v>2021</v>
      </c>
      <c r="D2397" s="58">
        <f>MATCH(B2397,{"GENNAIO","FEBBRAIO","MARZO","APRILE","MAGGIO","GIUGNO","LUGLIO","AGOSTO","SETTEMBRE","OTTOBRE","NOVEMBRE","DICEMBRE"},0)</f>
        <v>11</v>
      </c>
      <c r="E2397" s="57" t="str">
        <f t="shared" si="1760"/>
        <v>NOVEMBRE 2021</v>
      </c>
      <c r="F2397" s="57" t="str">
        <f t="shared" si="1761"/>
        <v>11 NOVEMBRE 2021</v>
      </c>
      <c r="G2397" s="1309" t="s">
        <v>94</v>
      </c>
      <c r="H2397" s="1309" t="str">
        <f>VLOOKUP(G2397,CATEGORIE!$H$3:$I$104,2,FALSE)</f>
        <v>COSTO SVAGHI</v>
      </c>
      <c r="I2397" s="59">
        <v>4.0999999999999996</v>
      </c>
      <c r="J2397" s="940"/>
      <c r="K2397" s="59"/>
      <c r="L2397" s="59"/>
    </row>
    <row r="2398" spans="1:12">
      <c r="A2398" s="57" t="s">
        <v>101</v>
      </c>
      <c r="B2398" s="57" t="s">
        <v>217</v>
      </c>
      <c r="C2398" s="57">
        <v>2021</v>
      </c>
      <c r="D2398" s="58">
        <f>MATCH(B2398,{"GENNAIO","FEBBRAIO","MARZO","APRILE","MAGGIO","GIUGNO","LUGLIO","AGOSTO","SETTEMBRE","OTTOBRE","NOVEMBRE","DICEMBRE"},0)</f>
        <v>10</v>
      </c>
      <c r="E2398" s="57" t="str">
        <f t="shared" si="1760"/>
        <v>OTTOBRE 2021</v>
      </c>
      <c r="F2398" s="57" t="str">
        <f t="shared" si="1761"/>
        <v>10 OTTOBRE 2021</v>
      </c>
      <c r="G2398" s="1309" t="s">
        <v>91</v>
      </c>
      <c r="H2398" s="1309" t="str">
        <f>VLOOKUP(G2398,CATEGORIE!$H$3:$I$104,2,FALSE)</f>
        <v>COSTO SOPRAVVIVENZA</v>
      </c>
      <c r="I2398" s="59">
        <v>0.4</v>
      </c>
      <c r="J2398" s="940"/>
      <c r="K2398" s="59"/>
      <c r="L2398" s="59"/>
    </row>
    <row r="2399" spans="1:12" ht="16.5" customHeight="1">
      <c r="A2399" s="57" t="s">
        <v>99</v>
      </c>
      <c r="B2399" s="57" t="s">
        <v>217</v>
      </c>
      <c r="C2399" s="57">
        <v>2021</v>
      </c>
      <c r="D2399" s="58">
        <f>MATCH(B2399,{"GENNAIO","FEBBRAIO","MARZO","APRILE","MAGGIO","GIUGNO","LUGLIO","AGOSTO","SETTEMBRE","OTTOBRE","NOVEMBRE","DICEMBRE"},0)</f>
        <v>10</v>
      </c>
      <c r="E2399" s="57" t="str">
        <f t="shared" si="1760"/>
        <v>OTTOBRE 2021</v>
      </c>
      <c r="F2399" s="57" t="str">
        <f t="shared" si="1761"/>
        <v>10 OTTOBRE 2021</v>
      </c>
      <c r="G2399" s="1309" t="s">
        <v>100</v>
      </c>
      <c r="H2399" s="1309" t="str">
        <f>VLOOKUP(G2399,CATEGORIE!$H$3:$I$104,2,FALSE)</f>
        <v>COSTO SFIZI</v>
      </c>
      <c r="I2399" s="59">
        <v>-19.95</v>
      </c>
      <c r="J2399" s="940"/>
      <c r="K2399" s="57" t="s">
        <v>99</v>
      </c>
      <c r="L2399" s="59"/>
    </row>
    <row r="2400" spans="1:12" ht="16.5" customHeight="1">
      <c r="A2400" s="57" t="s">
        <v>99</v>
      </c>
      <c r="B2400" s="57" t="s">
        <v>217</v>
      </c>
      <c r="C2400" s="57">
        <v>2021</v>
      </c>
      <c r="D2400" s="58">
        <f>MATCH(B2400,{"GENNAIO","FEBBRAIO","MARZO","APRILE","MAGGIO","GIUGNO","LUGLIO","AGOSTO","SETTEMBRE","OTTOBRE","NOVEMBRE","DICEMBRE"},0)</f>
        <v>10</v>
      </c>
      <c r="E2400" s="57" t="str">
        <f t="shared" si="1760"/>
        <v>OTTOBRE 2021</v>
      </c>
      <c r="F2400" s="57" t="str">
        <f t="shared" si="1761"/>
        <v>10 OTTOBRE 2021</v>
      </c>
      <c r="G2400" s="1309" t="s">
        <v>100</v>
      </c>
      <c r="H2400" s="1309" t="str">
        <f>VLOOKUP(G2400,CATEGORIE!$H$3:$I$104,2,FALSE)</f>
        <v>COSTO SFIZI</v>
      </c>
      <c r="I2400" s="59">
        <v>19.25</v>
      </c>
      <c r="J2400" s="940" t="s">
        <v>145</v>
      </c>
      <c r="K2400" s="57" t="s">
        <v>99</v>
      </c>
      <c r="L2400" s="59"/>
    </row>
    <row r="2401" spans="1:12">
      <c r="A2401" s="57" t="s">
        <v>135</v>
      </c>
      <c r="B2401" s="57" t="s">
        <v>217</v>
      </c>
      <c r="C2401" s="57">
        <v>2021</v>
      </c>
      <c r="D2401" s="58">
        <f>MATCH(B2401,{"GENNAIO","FEBBRAIO","MARZO","APRILE","MAGGIO","GIUGNO","LUGLIO","AGOSTO","SETTEMBRE","OTTOBRE","NOVEMBRE","DICEMBRE"},0)</f>
        <v>10</v>
      </c>
      <c r="E2401" s="57" t="str">
        <f t="shared" si="1760"/>
        <v>OTTOBRE 2021</v>
      </c>
      <c r="F2401" s="57" t="str">
        <f t="shared" si="1761"/>
        <v>10 OTTOBRE 2021</v>
      </c>
      <c r="G2401" s="1309" t="s">
        <v>132</v>
      </c>
      <c r="H2401" s="1309" t="str">
        <f>VLOOKUP(G2401,CATEGORIE!$H$3:$I$104,2,FALSE)</f>
        <v>COSTO CASA</v>
      </c>
      <c r="I2401" s="59">
        <v>33.19</v>
      </c>
      <c r="J2401" s="940"/>
      <c r="K2401" s="59"/>
      <c r="L2401" s="59"/>
    </row>
    <row r="2402" spans="1:12" ht="16.5" customHeight="1">
      <c r="A2402" s="57" t="s">
        <v>131</v>
      </c>
      <c r="B2402" s="57" t="s">
        <v>217</v>
      </c>
      <c r="C2402" s="57">
        <v>2021</v>
      </c>
      <c r="D2402" s="58">
        <f>MATCH(B2402,{"GENNAIO","FEBBRAIO","MARZO","APRILE","MAGGIO","GIUGNO","LUGLIO","AGOSTO","SETTEMBRE","OTTOBRE","NOVEMBRE","DICEMBRE"},0)</f>
        <v>10</v>
      </c>
      <c r="E2402" s="57" t="str">
        <f t="shared" si="1760"/>
        <v>OTTOBRE 2021</v>
      </c>
      <c r="F2402" s="57" t="str">
        <f t="shared" si="1761"/>
        <v>10 OTTOBRE 2021</v>
      </c>
      <c r="G2402" s="1309" t="s">
        <v>132</v>
      </c>
      <c r="H2402" s="1309" t="str">
        <f>VLOOKUP(G2402,CATEGORIE!$H$3:$I$104,2,FALSE)</f>
        <v>COSTO CASA</v>
      </c>
      <c r="I2402" s="59">
        <v>19.95</v>
      </c>
      <c r="J2402" s="940"/>
      <c r="K2402" s="59"/>
      <c r="L2402" s="59"/>
    </row>
    <row r="2403" spans="1:12">
      <c r="A2403" s="57" t="s">
        <v>214</v>
      </c>
      <c r="B2403" s="57" t="s">
        <v>217</v>
      </c>
      <c r="C2403" s="57">
        <v>2021</v>
      </c>
      <c r="D2403" s="58">
        <f>MATCH(B2403,{"GENNAIO","FEBBRAIO","MARZO","APRILE","MAGGIO","GIUGNO","LUGLIO","AGOSTO","SETTEMBRE","OTTOBRE","NOVEMBRE","DICEMBRE"},0)</f>
        <v>10</v>
      </c>
      <c r="E2403" s="57" t="str">
        <f t="shared" si="1760"/>
        <v>OTTOBRE 2021</v>
      </c>
      <c r="F2403" s="57" t="str">
        <f t="shared" si="1761"/>
        <v>10 OTTOBRE 2021</v>
      </c>
      <c r="G2403" s="1309" t="s">
        <v>100</v>
      </c>
      <c r="H2403" s="1309" t="str">
        <f>VLOOKUP(G2403,CATEGORIE!$H$3:$I$104,2,FALSE)</f>
        <v>COSTO SFIZI</v>
      </c>
      <c r="I2403" s="60">
        <v>1.59</v>
      </c>
      <c r="J2403" s="940"/>
      <c r="K2403" s="59"/>
      <c r="L2403" s="59"/>
    </row>
    <row r="2404" spans="1:12">
      <c r="A2404" s="57" t="s">
        <v>99</v>
      </c>
      <c r="B2404" s="57" t="s">
        <v>217</v>
      </c>
      <c r="C2404" s="57">
        <v>2021</v>
      </c>
      <c r="D2404" s="58">
        <f>MATCH(B2404,{"GENNAIO","FEBBRAIO","MARZO","APRILE","MAGGIO","GIUGNO","LUGLIO","AGOSTO","SETTEMBRE","OTTOBRE","NOVEMBRE","DICEMBRE"},0)</f>
        <v>10</v>
      </c>
      <c r="E2404" s="57" t="str">
        <f t="shared" si="1760"/>
        <v>OTTOBRE 2021</v>
      </c>
      <c r="F2404" s="57" t="str">
        <f t="shared" si="1761"/>
        <v>10 OTTOBRE 2021</v>
      </c>
      <c r="G2404" s="1309" t="s">
        <v>100</v>
      </c>
      <c r="H2404" s="1309" t="str">
        <f>VLOOKUP(G2404,CATEGORIE!$H$3:$I$104,2,FALSE)</f>
        <v>COSTO SFIZI</v>
      </c>
      <c r="I2404" s="59">
        <v>14.99</v>
      </c>
      <c r="J2404" s="940"/>
      <c r="K2404" s="57" t="s">
        <v>99</v>
      </c>
      <c r="L2404" s="59"/>
    </row>
    <row r="2405" spans="1:12" ht="16.5" customHeight="1">
      <c r="A2405" s="57" t="s">
        <v>214</v>
      </c>
      <c r="B2405" s="57" t="s">
        <v>240</v>
      </c>
      <c r="C2405" s="57">
        <v>2021</v>
      </c>
      <c r="D2405" s="58">
        <f>MATCH(B2405,{"GENNAIO","FEBBRAIO","MARZO","APRILE","MAGGIO","GIUGNO","LUGLIO","AGOSTO","SETTEMBRE","OTTOBRE","NOVEMBRE","DICEMBRE"},0)</f>
        <v>9</v>
      </c>
      <c r="E2405" s="57" t="str">
        <f t="shared" si="1760"/>
        <v>SETTEMBRE 2021</v>
      </c>
      <c r="F2405" s="57" t="str">
        <f t="shared" si="1761"/>
        <v>9 SETTEMBRE 2021</v>
      </c>
      <c r="G2405" s="1309" t="s">
        <v>242</v>
      </c>
      <c r="H2405" s="1309" t="str">
        <f>VLOOKUP(G2405,CATEGORIE!$H$3:$I$104,2,FALSE)</f>
        <v>COSTO ABBONAMENTI</v>
      </c>
      <c r="I2405" s="60">
        <v>8.49</v>
      </c>
      <c r="J2405" s="940"/>
      <c r="K2405" s="59"/>
      <c r="L2405" s="59"/>
    </row>
    <row r="2406" spans="1:12">
      <c r="A2406" s="57" t="s">
        <v>156</v>
      </c>
      <c r="B2406" s="57" t="s">
        <v>240</v>
      </c>
      <c r="C2406" s="57">
        <v>2021</v>
      </c>
      <c r="D2406" s="58">
        <f>MATCH(B2406,{"GENNAIO","FEBBRAIO","MARZO","APRILE","MAGGIO","GIUGNO","LUGLIO","AGOSTO","SETTEMBRE","OTTOBRE","NOVEMBRE","DICEMBRE"},0)</f>
        <v>9</v>
      </c>
      <c r="E2406" s="57" t="str">
        <f t="shared" si="1760"/>
        <v>SETTEMBRE 2021</v>
      </c>
      <c r="F2406" s="57" t="str">
        <f t="shared" si="1761"/>
        <v>9 SETTEMBRE 2021</v>
      </c>
      <c r="G2406" s="1309" t="s">
        <v>96</v>
      </c>
      <c r="H2406" s="1309" t="str">
        <f>VLOOKUP(G2406,CATEGORIE!$H$3:$I$104,2,FALSE)</f>
        <v>COSTO SOPRAVVIVENZA</v>
      </c>
      <c r="I2406" s="59">
        <v>17.66</v>
      </c>
      <c r="J2406" s="940"/>
      <c r="K2406" s="59"/>
      <c r="L2406" s="59"/>
    </row>
    <row r="2407" spans="1:12">
      <c r="A2407" s="57" t="s">
        <v>92</v>
      </c>
      <c r="B2407" s="57" t="s">
        <v>240</v>
      </c>
      <c r="C2407" s="57">
        <v>2021</v>
      </c>
      <c r="D2407" s="58">
        <f>MATCH(B2407,{"GENNAIO","FEBBRAIO","MARZO","APRILE","MAGGIO","GIUGNO","LUGLIO","AGOSTO","SETTEMBRE","OTTOBRE","NOVEMBRE","DICEMBRE"},0)</f>
        <v>9</v>
      </c>
      <c r="E2407" s="57" t="str">
        <f t="shared" si="1760"/>
        <v>SETTEMBRE 2021</v>
      </c>
      <c r="F2407" s="57" t="str">
        <f t="shared" si="1761"/>
        <v>9 SETTEMBRE 2021</v>
      </c>
      <c r="G2407" s="1309" t="s">
        <v>94</v>
      </c>
      <c r="H2407" s="1309" t="str">
        <f>VLOOKUP(G2407,CATEGORIE!$H$3:$I$104,2,FALSE)</f>
        <v>COSTO SVAGHI</v>
      </c>
      <c r="I2407" s="59">
        <v>5.0999999999999996</v>
      </c>
      <c r="J2407" s="940"/>
      <c r="K2407" s="59"/>
      <c r="L2407" s="59"/>
    </row>
    <row r="2408" spans="1:12" ht="16.5" customHeight="1">
      <c r="A2408" s="57" t="s">
        <v>92</v>
      </c>
      <c r="B2408" s="57" t="s">
        <v>240</v>
      </c>
      <c r="C2408" s="57">
        <v>2021</v>
      </c>
      <c r="D2408" s="58">
        <f>MATCH(B2408,{"GENNAIO","FEBBRAIO","MARZO","APRILE","MAGGIO","GIUGNO","LUGLIO","AGOSTO","SETTEMBRE","OTTOBRE","NOVEMBRE","DICEMBRE"},0)</f>
        <v>9</v>
      </c>
      <c r="E2408" s="57" t="str">
        <f t="shared" si="1760"/>
        <v>SETTEMBRE 2021</v>
      </c>
      <c r="F2408" s="57" t="str">
        <f t="shared" si="1761"/>
        <v>9 SETTEMBRE 2021</v>
      </c>
      <c r="G2408" s="1309" t="s">
        <v>93</v>
      </c>
      <c r="H2408" s="1309" t="str">
        <f>VLOOKUP(G2408,CATEGORIE!$H$3:$I$104,2,FALSE)</f>
        <v>COSTO SOPRAVVIVENZA</v>
      </c>
      <c r="I2408" s="59">
        <v>5</v>
      </c>
      <c r="J2408" s="940"/>
      <c r="K2408" s="59"/>
      <c r="L2408" s="59"/>
    </row>
    <row r="2409" spans="1:12">
      <c r="A2409" s="57" t="s">
        <v>156</v>
      </c>
      <c r="B2409" s="57" t="s">
        <v>240</v>
      </c>
      <c r="C2409" s="57">
        <v>2021</v>
      </c>
      <c r="D2409" s="58">
        <f>MATCH(B2409,{"GENNAIO","FEBBRAIO","MARZO","APRILE","MAGGIO","GIUGNO","LUGLIO","AGOSTO","SETTEMBRE","OTTOBRE","NOVEMBRE","DICEMBRE"},0)</f>
        <v>9</v>
      </c>
      <c r="E2409" s="57" t="str">
        <f t="shared" si="1760"/>
        <v>SETTEMBRE 2021</v>
      </c>
      <c r="F2409" s="57" t="str">
        <f t="shared" si="1761"/>
        <v>9 SETTEMBRE 2021</v>
      </c>
      <c r="G2409" s="1309" t="s">
        <v>96</v>
      </c>
      <c r="H2409" s="1309" t="str">
        <f>VLOOKUP(G2409,CATEGORIE!$H$3:$I$104,2,FALSE)</f>
        <v>COSTO SOPRAVVIVENZA</v>
      </c>
      <c r="I2409" s="59">
        <v>14.28</v>
      </c>
      <c r="J2409" s="940"/>
      <c r="K2409" s="59"/>
      <c r="L2409" s="59"/>
    </row>
    <row r="2410" spans="1:12">
      <c r="A2410" s="57" t="s">
        <v>135</v>
      </c>
      <c r="B2410" s="57" t="s">
        <v>240</v>
      </c>
      <c r="C2410" s="57">
        <v>2021</v>
      </c>
      <c r="D2410" s="58">
        <f>MATCH(B2410,{"GENNAIO","FEBBRAIO","MARZO","APRILE","MAGGIO","GIUGNO","LUGLIO","AGOSTO","SETTEMBRE","OTTOBRE","NOVEMBRE","DICEMBRE"},0)</f>
        <v>9</v>
      </c>
      <c r="E2410" s="57" t="str">
        <f t="shared" si="1760"/>
        <v>SETTEMBRE 2021</v>
      </c>
      <c r="F2410" s="57" t="str">
        <f t="shared" si="1761"/>
        <v>9 SETTEMBRE 2021</v>
      </c>
      <c r="G2410" s="1309" t="s">
        <v>132</v>
      </c>
      <c r="H2410" s="1309" t="str">
        <f>VLOOKUP(G2410,CATEGORIE!$H$3:$I$104,2,FALSE)</f>
        <v>COSTO CASA</v>
      </c>
      <c r="I2410" s="59">
        <v>11.96</v>
      </c>
      <c r="J2410" s="940"/>
      <c r="K2410" s="59"/>
      <c r="L2410" s="59"/>
    </row>
    <row r="2411" spans="1:12">
      <c r="A2411" s="57" t="s">
        <v>92</v>
      </c>
      <c r="B2411" s="57" t="s">
        <v>240</v>
      </c>
      <c r="C2411" s="57">
        <v>2021</v>
      </c>
      <c r="D2411" s="58">
        <f>MATCH(B2411,{"GENNAIO","FEBBRAIO","MARZO","APRILE","MAGGIO","GIUGNO","LUGLIO","AGOSTO","SETTEMBRE","OTTOBRE","NOVEMBRE","DICEMBRE"},0)</f>
        <v>9</v>
      </c>
      <c r="E2411" s="57" t="str">
        <f t="shared" si="1760"/>
        <v>SETTEMBRE 2021</v>
      </c>
      <c r="F2411" s="57" t="str">
        <f t="shared" si="1761"/>
        <v>9 SETTEMBRE 2021</v>
      </c>
      <c r="G2411" s="1309" t="s">
        <v>93</v>
      </c>
      <c r="H2411" s="1309" t="str">
        <f>VLOOKUP(G2411,CATEGORIE!$H$3:$I$104,2,FALSE)</f>
        <v>COSTO SOPRAVVIVENZA</v>
      </c>
      <c r="I2411" s="59">
        <v>5</v>
      </c>
      <c r="J2411" s="940"/>
      <c r="K2411" s="59"/>
      <c r="L2411" s="59"/>
    </row>
    <row r="2412" spans="1:12" ht="16.5" customHeight="1">
      <c r="A2412" s="57" t="s">
        <v>156</v>
      </c>
      <c r="B2412" s="57" t="s">
        <v>240</v>
      </c>
      <c r="C2412" s="57">
        <v>2021</v>
      </c>
      <c r="D2412" s="58">
        <f>MATCH(B2412,{"GENNAIO","FEBBRAIO","MARZO","APRILE","MAGGIO","GIUGNO","LUGLIO","AGOSTO","SETTEMBRE","OTTOBRE","NOVEMBRE","DICEMBRE"},0)</f>
        <v>9</v>
      </c>
      <c r="E2412" s="57" t="str">
        <f t="shared" si="1760"/>
        <v>SETTEMBRE 2021</v>
      </c>
      <c r="F2412" s="57" t="str">
        <f t="shared" si="1761"/>
        <v>9 SETTEMBRE 2021</v>
      </c>
      <c r="G2412" s="1309" t="s">
        <v>96</v>
      </c>
      <c r="H2412" s="1309" t="str">
        <f>VLOOKUP(G2412,CATEGORIE!$H$3:$I$104,2,FALSE)</f>
        <v>COSTO SOPRAVVIVENZA</v>
      </c>
      <c r="I2412" s="59">
        <v>24.57</v>
      </c>
      <c r="J2412" s="940"/>
      <c r="K2412" s="59"/>
      <c r="L2412" s="59"/>
    </row>
    <row r="2413" spans="1:12">
      <c r="A2413" s="57" t="s">
        <v>170</v>
      </c>
      <c r="B2413" s="57" t="s">
        <v>240</v>
      </c>
      <c r="C2413" s="57">
        <v>2021</v>
      </c>
      <c r="D2413" s="58">
        <f>MATCH(B2413,{"GENNAIO","FEBBRAIO","MARZO","APRILE","MAGGIO","GIUGNO","LUGLIO","AGOSTO","SETTEMBRE","OTTOBRE","NOVEMBRE","DICEMBRE"},0)</f>
        <v>9</v>
      </c>
      <c r="E2413" s="57" t="str">
        <f t="shared" si="1760"/>
        <v>SETTEMBRE 2021</v>
      </c>
      <c r="F2413" s="57" t="str">
        <f t="shared" si="1761"/>
        <v>9 SETTEMBRE 2021</v>
      </c>
      <c r="G2413" s="1309" t="s">
        <v>132</v>
      </c>
      <c r="H2413" s="1309" t="str">
        <f>VLOOKUP(G2413,CATEGORIE!$H$3:$I$104,2,FALSE)</f>
        <v>COSTO CASA</v>
      </c>
      <c r="I2413" s="59">
        <v>19.510000000000002</v>
      </c>
      <c r="J2413" s="940"/>
      <c r="K2413" s="59"/>
      <c r="L2413" s="59"/>
    </row>
    <row r="2414" spans="1:12">
      <c r="A2414" s="57" t="s">
        <v>156</v>
      </c>
      <c r="B2414" s="57" t="s">
        <v>240</v>
      </c>
      <c r="C2414" s="57">
        <v>2021</v>
      </c>
      <c r="D2414" s="58">
        <f>MATCH(B2414,{"GENNAIO","FEBBRAIO","MARZO","APRILE","MAGGIO","GIUGNO","LUGLIO","AGOSTO","SETTEMBRE","OTTOBRE","NOVEMBRE","DICEMBRE"},0)</f>
        <v>9</v>
      </c>
      <c r="E2414" s="57" t="str">
        <f t="shared" si="1760"/>
        <v>SETTEMBRE 2021</v>
      </c>
      <c r="F2414" s="57" t="str">
        <f t="shared" si="1761"/>
        <v>9 SETTEMBRE 2021</v>
      </c>
      <c r="G2414" s="1309" t="s">
        <v>96</v>
      </c>
      <c r="H2414" s="1309" t="str">
        <f>VLOOKUP(G2414,CATEGORIE!$H$3:$I$104,2,FALSE)</f>
        <v>COSTO SOPRAVVIVENZA</v>
      </c>
      <c r="I2414" s="59">
        <v>42.01</v>
      </c>
      <c r="J2414" s="940"/>
      <c r="K2414" s="59"/>
      <c r="L2414" s="59"/>
    </row>
    <row r="2415" spans="1:12">
      <c r="A2415" s="57" t="s">
        <v>229</v>
      </c>
      <c r="B2415" s="57" t="s">
        <v>261</v>
      </c>
      <c r="C2415" s="57">
        <v>2021</v>
      </c>
      <c r="D2415" s="58">
        <f>MATCH(B2415,{"GENNAIO","FEBBRAIO","MARZO","APRILE","MAGGIO","GIUGNO","LUGLIO","AGOSTO","SETTEMBRE","OTTOBRE","NOVEMBRE","DICEMBRE"},0)</f>
        <v>8</v>
      </c>
      <c r="E2415" s="57" t="str">
        <f t="shared" si="1760"/>
        <v>AGOSTO 2021</v>
      </c>
      <c r="F2415" s="57" t="str">
        <f t="shared" si="1761"/>
        <v>8 AGOSTO 2021</v>
      </c>
      <c r="G2415" s="1309" t="s">
        <v>163</v>
      </c>
      <c r="H2415" s="1309" t="str">
        <f>VLOOKUP(G2415,CATEGORIE!$H$3:$I$104,2,FALSE)</f>
        <v>COSTO SVAGHI</v>
      </c>
      <c r="I2415" s="60">
        <v>26.59</v>
      </c>
      <c r="J2415" s="940"/>
      <c r="K2415" s="59"/>
      <c r="L2415" s="59"/>
    </row>
    <row r="2416" spans="1:12">
      <c r="A2416" s="57" t="s">
        <v>156</v>
      </c>
      <c r="B2416" s="57" t="s">
        <v>261</v>
      </c>
      <c r="C2416" s="57">
        <v>2021</v>
      </c>
      <c r="D2416" s="58">
        <f>MATCH(B2416,{"GENNAIO","FEBBRAIO","MARZO","APRILE","MAGGIO","GIUGNO","LUGLIO","AGOSTO","SETTEMBRE","OTTOBRE","NOVEMBRE","DICEMBRE"},0)</f>
        <v>8</v>
      </c>
      <c r="E2416" s="57" t="str">
        <f t="shared" si="1760"/>
        <v>AGOSTO 2021</v>
      </c>
      <c r="F2416" s="57" t="str">
        <f t="shared" si="1761"/>
        <v>8 AGOSTO 2021</v>
      </c>
      <c r="G2416" s="1309" t="s">
        <v>96</v>
      </c>
      <c r="H2416" s="1309" t="str">
        <f>VLOOKUP(G2416,CATEGORIE!$H$3:$I$104,2,FALSE)</f>
        <v>COSTO SOPRAVVIVENZA</v>
      </c>
      <c r="I2416" s="59">
        <v>48.52</v>
      </c>
      <c r="J2416" s="940"/>
      <c r="K2416" s="59"/>
      <c r="L2416" s="59"/>
    </row>
    <row r="2417" spans="1:12">
      <c r="A2417" s="57" t="s">
        <v>398</v>
      </c>
      <c r="B2417" s="57" t="s">
        <v>261</v>
      </c>
      <c r="C2417" s="57">
        <v>2021</v>
      </c>
      <c r="D2417" s="58">
        <f>MATCH(B2417,{"GENNAIO","FEBBRAIO","MARZO","APRILE","MAGGIO","GIUGNO","LUGLIO","AGOSTO","SETTEMBRE","OTTOBRE","NOVEMBRE","DICEMBRE"},0)</f>
        <v>8</v>
      </c>
      <c r="E2417" s="57" t="str">
        <f t="shared" si="1760"/>
        <v>AGOSTO 2021</v>
      </c>
      <c r="F2417" s="57" t="str">
        <f t="shared" si="1761"/>
        <v>8 AGOSTO 2021</v>
      </c>
      <c r="G2417" s="1309" t="s">
        <v>94</v>
      </c>
      <c r="H2417" s="1309" t="str">
        <f>VLOOKUP(G2417,CATEGORIE!$H$3:$I$104,2,FALSE)</f>
        <v>COSTO SVAGHI</v>
      </c>
      <c r="I2417" s="59">
        <v>12.85</v>
      </c>
      <c r="J2417" s="940"/>
      <c r="K2417" s="59"/>
      <c r="L2417" s="59"/>
    </row>
    <row r="2418" spans="1:12">
      <c r="A2418" s="57" t="s">
        <v>214</v>
      </c>
      <c r="B2418" s="57" t="s">
        <v>261</v>
      </c>
      <c r="C2418" s="57">
        <v>2021</v>
      </c>
      <c r="D2418" s="58">
        <f>MATCH(B2418,{"GENNAIO","FEBBRAIO","MARZO","APRILE","MAGGIO","GIUGNO","LUGLIO","AGOSTO","SETTEMBRE","OTTOBRE","NOVEMBRE","DICEMBRE"},0)</f>
        <v>8</v>
      </c>
      <c r="E2418" s="57" t="str">
        <f t="shared" si="1760"/>
        <v>AGOSTO 2021</v>
      </c>
      <c r="F2418" s="57" t="str">
        <f t="shared" si="1761"/>
        <v>8 AGOSTO 2021</v>
      </c>
      <c r="G2418" s="1309" t="s">
        <v>100</v>
      </c>
      <c r="H2418" s="1309" t="str">
        <f>VLOOKUP(G2418,CATEGORIE!$H$3:$I$104,2,FALSE)</f>
        <v>COSTO SFIZI</v>
      </c>
      <c r="I2418" s="60">
        <v>4.99</v>
      </c>
      <c r="J2418" s="940"/>
      <c r="K2418" s="59"/>
      <c r="L2418" s="59"/>
    </row>
    <row r="2419" spans="1:12">
      <c r="A2419" s="57" t="s">
        <v>170</v>
      </c>
      <c r="B2419" s="57" t="s">
        <v>261</v>
      </c>
      <c r="C2419" s="57">
        <v>2021</v>
      </c>
      <c r="D2419" s="58">
        <f>MATCH(B2419,{"GENNAIO","FEBBRAIO","MARZO","APRILE","MAGGIO","GIUGNO","LUGLIO","AGOSTO","SETTEMBRE","OTTOBRE","NOVEMBRE","DICEMBRE"},0)</f>
        <v>8</v>
      </c>
      <c r="E2419" s="57" t="str">
        <f t="shared" si="1760"/>
        <v>AGOSTO 2021</v>
      </c>
      <c r="F2419" s="57" t="str">
        <f t="shared" si="1761"/>
        <v>8 AGOSTO 2021</v>
      </c>
      <c r="G2419" s="1309" t="s">
        <v>132</v>
      </c>
      <c r="H2419" s="1309" t="str">
        <f>VLOOKUP(G2419,CATEGORIE!$H$3:$I$104,2,FALSE)</f>
        <v>COSTO CASA</v>
      </c>
      <c r="I2419" s="59">
        <v>23.65</v>
      </c>
      <c r="J2419" s="940"/>
      <c r="K2419" s="59"/>
      <c r="L2419" s="59"/>
    </row>
    <row r="2420" spans="1:12">
      <c r="A2420" s="57" t="s">
        <v>170</v>
      </c>
      <c r="B2420" s="57" t="s">
        <v>261</v>
      </c>
      <c r="C2420" s="57">
        <v>2021</v>
      </c>
      <c r="D2420" s="58">
        <f>MATCH(B2420,{"GENNAIO","FEBBRAIO","MARZO","APRILE","MAGGIO","GIUGNO","LUGLIO","AGOSTO","SETTEMBRE","OTTOBRE","NOVEMBRE","DICEMBRE"},0)</f>
        <v>8</v>
      </c>
      <c r="E2420" s="57" t="str">
        <f t="shared" si="1760"/>
        <v>AGOSTO 2021</v>
      </c>
      <c r="F2420" s="57" t="str">
        <f t="shared" si="1761"/>
        <v>8 AGOSTO 2021</v>
      </c>
      <c r="G2420" s="1309" t="s">
        <v>132</v>
      </c>
      <c r="H2420" s="1309" t="str">
        <f>VLOOKUP(G2420,CATEGORIE!$H$3:$I$104,2,FALSE)</f>
        <v>COSTO CASA</v>
      </c>
      <c r="I2420" s="59">
        <v>78.5</v>
      </c>
      <c r="J2420" s="940"/>
      <c r="K2420" s="59"/>
      <c r="L2420" s="59"/>
    </row>
    <row r="2421" spans="1:12">
      <c r="A2421" s="57" t="s">
        <v>615</v>
      </c>
      <c r="B2421" s="57" t="s">
        <v>261</v>
      </c>
      <c r="C2421" s="57">
        <v>2021</v>
      </c>
      <c r="D2421" s="58">
        <f>MATCH(B2421,{"GENNAIO","FEBBRAIO","MARZO","APRILE","MAGGIO","GIUGNO","LUGLIO","AGOSTO","SETTEMBRE","OTTOBRE","NOVEMBRE","DICEMBRE"},0)</f>
        <v>8</v>
      </c>
      <c r="E2421" s="57" t="str">
        <f t="shared" si="1760"/>
        <v>AGOSTO 2021</v>
      </c>
      <c r="F2421" s="57" t="str">
        <f t="shared" si="1761"/>
        <v>8 AGOSTO 2021</v>
      </c>
      <c r="G2421" s="1309" t="s">
        <v>100</v>
      </c>
      <c r="H2421" s="1309" t="str">
        <f>VLOOKUP(G2421,CATEGORIE!$H$3:$I$104,2,FALSE)</f>
        <v>COSTO SFIZI</v>
      </c>
      <c r="I2421" s="59">
        <v>51.7</v>
      </c>
      <c r="J2421" s="940"/>
      <c r="K2421" s="59"/>
      <c r="L2421" s="59"/>
    </row>
    <row r="2422" spans="1:12">
      <c r="A2422" s="57" t="s">
        <v>99</v>
      </c>
      <c r="B2422" s="57" t="s">
        <v>261</v>
      </c>
      <c r="C2422" s="57">
        <v>2021</v>
      </c>
      <c r="D2422" s="58">
        <f>MATCH(B2422,{"GENNAIO","FEBBRAIO","MARZO","APRILE","MAGGIO","GIUGNO","LUGLIO","AGOSTO","SETTEMBRE","OTTOBRE","NOVEMBRE","DICEMBRE"},0)</f>
        <v>8</v>
      </c>
      <c r="E2422" s="57" t="str">
        <f t="shared" si="1760"/>
        <v>AGOSTO 2021</v>
      </c>
      <c r="F2422" s="57" t="str">
        <f t="shared" si="1761"/>
        <v>8 AGOSTO 2021</v>
      </c>
      <c r="G2422" s="1309" t="s">
        <v>100</v>
      </c>
      <c r="H2422" s="1309" t="str">
        <f>VLOOKUP(G2422,CATEGORIE!$H$3:$I$104,2,FALSE)</f>
        <v>COSTO SFIZI</v>
      </c>
      <c r="I2422" s="59">
        <v>58.93</v>
      </c>
      <c r="J2422" s="940"/>
      <c r="K2422" s="57" t="s">
        <v>99</v>
      </c>
      <c r="L2422" s="59"/>
    </row>
    <row r="2423" spans="1:12">
      <c r="A2423" s="57" t="s">
        <v>329</v>
      </c>
      <c r="B2423" s="57" t="s">
        <v>261</v>
      </c>
      <c r="C2423" s="57">
        <v>2021</v>
      </c>
      <c r="D2423" s="58">
        <f>MATCH(B2423,{"GENNAIO","FEBBRAIO","MARZO","APRILE","MAGGIO","GIUGNO","LUGLIO","AGOSTO","SETTEMBRE","OTTOBRE","NOVEMBRE","DICEMBRE"},0)</f>
        <v>8</v>
      </c>
      <c r="E2423" s="57" t="str">
        <f t="shared" si="1760"/>
        <v>AGOSTO 2021</v>
      </c>
      <c r="F2423" s="57" t="str">
        <f t="shared" si="1761"/>
        <v>8 AGOSTO 2021</v>
      </c>
      <c r="G2423" s="1309" t="s">
        <v>94</v>
      </c>
      <c r="H2423" s="1309" t="str">
        <f>VLOOKUP(G2423,CATEGORIE!$H$3:$I$104,2,FALSE)</f>
        <v>COSTO SVAGHI</v>
      </c>
      <c r="I2423" s="59">
        <v>20</v>
      </c>
      <c r="J2423" s="940"/>
      <c r="K2423" s="59"/>
      <c r="L2423" s="59"/>
    </row>
    <row r="2424" spans="1:12">
      <c r="A2424" s="57" t="s">
        <v>99</v>
      </c>
      <c r="B2424" s="57" t="s">
        <v>261</v>
      </c>
      <c r="C2424" s="57">
        <v>2021</v>
      </c>
      <c r="D2424" s="58">
        <f>MATCH(B2424,{"GENNAIO","FEBBRAIO","MARZO","APRILE","MAGGIO","GIUGNO","LUGLIO","AGOSTO","SETTEMBRE","OTTOBRE","NOVEMBRE","DICEMBRE"},0)</f>
        <v>8</v>
      </c>
      <c r="E2424" s="57" t="str">
        <f t="shared" si="1760"/>
        <v>AGOSTO 2021</v>
      </c>
      <c r="F2424" s="57" t="str">
        <f t="shared" si="1761"/>
        <v>8 AGOSTO 2021</v>
      </c>
      <c r="G2424" s="1309" t="s">
        <v>100</v>
      </c>
      <c r="H2424" s="1309" t="str">
        <f>VLOOKUP(G2424,CATEGORIE!$H$3:$I$104,2,FALSE)</f>
        <v>COSTO SFIZI</v>
      </c>
      <c r="I2424" s="59">
        <v>29.9</v>
      </c>
      <c r="J2424" s="940"/>
      <c r="K2424" s="57" t="s">
        <v>99</v>
      </c>
      <c r="L2424" s="59"/>
    </row>
    <row r="2425" spans="1:12">
      <c r="A2425" s="57" t="s">
        <v>171</v>
      </c>
      <c r="B2425" s="57" t="s">
        <v>261</v>
      </c>
      <c r="C2425" s="57">
        <v>2021</v>
      </c>
      <c r="D2425" s="58">
        <f>MATCH(B2425,{"GENNAIO","FEBBRAIO","MARZO","APRILE","MAGGIO","GIUGNO","LUGLIO","AGOSTO","SETTEMBRE","OTTOBRE","NOVEMBRE","DICEMBRE"},0)</f>
        <v>8</v>
      </c>
      <c r="E2425" s="57" t="str">
        <f t="shared" ref="E2425:E2488" si="1762">CONCATENATE(,B2425," ",C2425)</f>
        <v>AGOSTO 2021</v>
      </c>
      <c r="F2425" s="57" t="str">
        <f t="shared" ref="F2425:F2488" si="1763">CONCATENATE(D2425," ",E2425)</f>
        <v>8 AGOSTO 2021</v>
      </c>
      <c r="G2425" s="1309" t="s">
        <v>132</v>
      </c>
      <c r="H2425" s="1309" t="str">
        <f>VLOOKUP(G2425,CATEGORIE!$H$3:$I$104,2,FALSE)</f>
        <v>COSTO CASA</v>
      </c>
      <c r="I2425" s="59">
        <v>19.5</v>
      </c>
      <c r="J2425" s="940"/>
      <c r="K2425" s="59"/>
      <c r="L2425" s="59"/>
    </row>
    <row r="2426" spans="1:12">
      <c r="A2426" s="57" t="s">
        <v>616</v>
      </c>
      <c r="B2426" s="57" t="s">
        <v>261</v>
      </c>
      <c r="C2426" s="57">
        <v>2021</v>
      </c>
      <c r="D2426" s="58">
        <f>MATCH(B2426,{"GENNAIO","FEBBRAIO","MARZO","APRILE","MAGGIO","GIUGNO","LUGLIO","AGOSTO","SETTEMBRE","OTTOBRE","NOVEMBRE","DICEMBRE"},0)</f>
        <v>8</v>
      </c>
      <c r="E2426" s="57" t="str">
        <f t="shared" si="1762"/>
        <v>AGOSTO 2021</v>
      </c>
      <c r="F2426" s="57" t="str">
        <f t="shared" si="1763"/>
        <v>8 AGOSTO 2021</v>
      </c>
      <c r="G2426" s="1309" t="s">
        <v>100</v>
      </c>
      <c r="H2426" s="1309" t="str">
        <f>VLOOKUP(G2426,CATEGORIE!$H$3:$I$104,2,FALSE)</f>
        <v>COSTO SFIZI</v>
      </c>
      <c r="I2426" s="59">
        <v>91.7</v>
      </c>
      <c r="J2426" s="940"/>
      <c r="K2426" s="59"/>
      <c r="L2426" s="59"/>
    </row>
    <row r="2427" spans="1:12">
      <c r="A2427" s="57" t="s">
        <v>617</v>
      </c>
      <c r="B2427" s="57" t="s">
        <v>261</v>
      </c>
      <c r="C2427" s="57">
        <v>2021</v>
      </c>
      <c r="D2427" s="58">
        <f>MATCH(B2427,{"GENNAIO","FEBBRAIO","MARZO","APRILE","MAGGIO","GIUGNO","LUGLIO","AGOSTO","SETTEMBRE","OTTOBRE","NOVEMBRE","DICEMBRE"},0)</f>
        <v>8</v>
      </c>
      <c r="E2427" s="57" t="str">
        <f t="shared" si="1762"/>
        <v>AGOSTO 2021</v>
      </c>
      <c r="F2427" s="57" t="str">
        <f t="shared" si="1763"/>
        <v>8 AGOSTO 2021</v>
      </c>
      <c r="G2427" s="1309" t="s">
        <v>94</v>
      </c>
      <c r="H2427" s="1309" t="str">
        <f>VLOOKUP(G2427,CATEGORIE!$H$3:$I$104,2,FALSE)</f>
        <v>COSTO SVAGHI</v>
      </c>
      <c r="I2427" s="59">
        <v>5.5</v>
      </c>
      <c r="J2427" s="940"/>
      <c r="K2427" s="59"/>
      <c r="L2427" s="59"/>
    </row>
    <row r="2428" spans="1:12" ht="16.5" customHeight="1">
      <c r="A2428" s="57" t="s">
        <v>92</v>
      </c>
      <c r="B2428" s="57" t="s">
        <v>261</v>
      </c>
      <c r="C2428" s="57">
        <v>2021</v>
      </c>
      <c r="D2428" s="58">
        <f>MATCH(B2428,{"GENNAIO","FEBBRAIO","MARZO","APRILE","MAGGIO","GIUGNO","LUGLIO","AGOSTO","SETTEMBRE","OTTOBRE","NOVEMBRE","DICEMBRE"},0)</f>
        <v>8</v>
      </c>
      <c r="E2428" s="57" t="str">
        <f t="shared" si="1762"/>
        <v>AGOSTO 2021</v>
      </c>
      <c r="F2428" s="57" t="str">
        <f t="shared" si="1763"/>
        <v>8 AGOSTO 2021</v>
      </c>
      <c r="G2428" s="1309" t="s">
        <v>94</v>
      </c>
      <c r="H2428" s="1309" t="str">
        <f>VLOOKUP(G2428,CATEGORIE!$H$3:$I$104,2,FALSE)</f>
        <v>COSTO SVAGHI</v>
      </c>
      <c r="I2428" s="59">
        <v>5.0999999999999996</v>
      </c>
      <c r="J2428" s="940"/>
      <c r="K2428" s="59"/>
      <c r="L2428" s="59"/>
    </row>
    <row r="2429" spans="1:12" ht="16.5" customHeight="1">
      <c r="A2429" s="57" t="s">
        <v>618</v>
      </c>
      <c r="B2429" s="57" t="s">
        <v>261</v>
      </c>
      <c r="C2429" s="57">
        <v>2021</v>
      </c>
      <c r="D2429" s="58">
        <f>MATCH(B2429,{"GENNAIO","FEBBRAIO","MARZO","APRILE","MAGGIO","GIUGNO","LUGLIO","AGOSTO","SETTEMBRE","OTTOBRE","NOVEMBRE","DICEMBRE"},0)</f>
        <v>8</v>
      </c>
      <c r="E2429" s="57" t="str">
        <f t="shared" si="1762"/>
        <v>AGOSTO 2021</v>
      </c>
      <c r="F2429" s="57" t="str">
        <f t="shared" si="1763"/>
        <v>8 AGOSTO 2021</v>
      </c>
      <c r="G2429" s="1309" t="s">
        <v>242</v>
      </c>
      <c r="H2429" s="1309" t="str">
        <f>VLOOKUP(G2429,CATEGORIE!$H$3:$I$104,2,FALSE)</f>
        <v>COSTO ABBONAMENTI</v>
      </c>
      <c r="I2429" s="59">
        <v>7.99</v>
      </c>
      <c r="J2429" s="940"/>
      <c r="K2429" s="59"/>
      <c r="L2429" s="59"/>
    </row>
    <row r="2430" spans="1:12" ht="16.5" customHeight="1">
      <c r="A2430" s="57" t="s">
        <v>99</v>
      </c>
      <c r="B2430" s="57" t="s">
        <v>261</v>
      </c>
      <c r="C2430" s="57">
        <v>2021</v>
      </c>
      <c r="D2430" s="58">
        <f>MATCH(B2430,{"GENNAIO","FEBBRAIO","MARZO","APRILE","MAGGIO","GIUGNO","LUGLIO","AGOSTO","SETTEMBRE","OTTOBRE","NOVEMBRE","DICEMBRE"},0)</f>
        <v>8</v>
      </c>
      <c r="E2430" s="57" t="str">
        <f t="shared" si="1762"/>
        <v>AGOSTO 2021</v>
      </c>
      <c r="F2430" s="57" t="str">
        <f t="shared" si="1763"/>
        <v>8 AGOSTO 2021</v>
      </c>
      <c r="G2430" s="1309" t="s">
        <v>100</v>
      </c>
      <c r="H2430" s="1309" t="str">
        <f>VLOOKUP(G2430,CATEGORIE!$H$3:$I$104,2,FALSE)</f>
        <v>COSTO SFIZI</v>
      </c>
      <c r="I2430" s="59">
        <v>159.96</v>
      </c>
      <c r="J2430" s="940"/>
      <c r="K2430" s="57" t="s">
        <v>99</v>
      </c>
      <c r="L2430" s="59"/>
    </row>
    <row r="2431" spans="1:12">
      <c r="A2431" s="57" t="s">
        <v>619</v>
      </c>
      <c r="B2431" s="57" t="s">
        <v>261</v>
      </c>
      <c r="C2431" s="57">
        <v>2021</v>
      </c>
      <c r="D2431" s="58">
        <f>MATCH(B2431,{"GENNAIO","FEBBRAIO","MARZO","APRILE","MAGGIO","GIUGNO","LUGLIO","AGOSTO","SETTEMBRE","OTTOBRE","NOVEMBRE","DICEMBRE"},0)</f>
        <v>8</v>
      </c>
      <c r="E2431" s="57" t="str">
        <f t="shared" si="1762"/>
        <v>AGOSTO 2021</v>
      </c>
      <c r="F2431" s="57" t="str">
        <f t="shared" si="1763"/>
        <v>8 AGOSTO 2021</v>
      </c>
      <c r="G2431" s="1309" t="s">
        <v>111</v>
      </c>
      <c r="H2431" s="1309" t="str">
        <f>VLOOKUP(G2431,CATEGORIE!$H$3:$I$104,2,FALSE)</f>
        <v>COSTO MOBILITA'</v>
      </c>
      <c r="I2431" s="59">
        <v>0.62</v>
      </c>
      <c r="J2431" s="940"/>
      <c r="K2431" s="59"/>
      <c r="L2431" s="59"/>
    </row>
    <row r="2432" spans="1:12">
      <c r="A2432" s="57" t="s">
        <v>620</v>
      </c>
      <c r="B2432" s="57" t="s">
        <v>261</v>
      </c>
      <c r="C2432" s="57">
        <v>2021</v>
      </c>
      <c r="D2432" s="58">
        <f>MATCH(B2432,{"GENNAIO","FEBBRAIO","MARZO","APRILE","MAGGIO","GIUGNO","LUGLIO","AGOSTO","SETTEMBRE","OTTOBRE","NOVEMBRE","DICEMBRE"},0)</f>
        <v>8</v>
      </c>
      <c r="E2432" s="57" t="str">
        <f t="shared" si="1762"/>
        <v>AGOSTO 2021</v>
      </c>
      <c r="F2432" s="57" t="str">
        <f t="shared" si="1763"/>
        <v>8 AGOSTO 2021</v>
      </c>
      <c r="G2432" s="1309" t="s">
        <v>1250</v>
      </c>
      <c r="H2432" s="1309" t="str">
        <f>VLOOKUP(G2432,CATEGORIE!$H$3:$I$104,2,FALSE)</f>
        <v>COSTO VACANZE</v>
      </c>
      <c r="I2432" s="59">
        <v>32.08</v>
      </c>
      <c r="J2432" s="940"/>
      <c r="K2432" s="59"/>
      <c r="L2432" s="59"/>
    </row>
    <row r="2433" spans="1:12" ht="16.5" customHeight="1">
      <c r="A2433" s="57" t="s">
        <v>621</v>
      </c>
      <c r="B2433" s="57" t="s">
        <v>261</v>
      </c>
      <c r="C2433" s="57">
        <v>2021</v>
      </c>
      <c r="D2433" s="58">
        <f>MATCH(B2433,{"GENNAIO","FEBBRAIO","MARZO","APRILE","MAGGIO","GIUGNO","LUGLIO","AGOSTO","SETTEMBRE","OTTOBRE","NOVEMBRE","DICEMBRE"},0)</f>
        <v>8</v>
      </c>
      <c r="E2433" s="57" t="str">
        <f t="shared" si="1762"/>
        <v>AGOSTO 2021</v>
      </c>
      <c r="F2433" s="57" t="str">
        <f t="shared" si="1763"/>
        <v>8 AGOSTO 2021</v>
      </c>
      <c r="G2433" s="1309" t="s">
        <v>188</v>
      </c>
      <c r="H2433" s="1309" t="str">
        <f>VLOOKUP(G2433,CATEGORIE!$H$3:$I$104,2,FALSE)</f>
        <v>COSTO VACANZE</v>
      </c>
      <c r="I2433" s="59">
        <v>106.5</v>
      </c>
      <c r="J2433" s="940"/>
      <c r="K2433" s="59"/>
      <c r="L2433" s="59"/>
    </row>
    <row r="2434" spans="1:12">
      <c r="A2434" s="57" t="s">
        <v>92</v>
      </c>
      <c r="B2434" s="57" t="s">
        <v>261</v>
      </c>
      <c r="C2434" s="57">
        <v>2021</v>
      </c>
      <c r="D2434" s="58">
        <f>MATCH(B2434,{"GENNAIO","FEBBRAIO","MARZO","APRILE","MAGGIO","GIUGNO","LUGLIO","AGOSTO","SETTEMBRE","OTTOBRE","NOVEMBRE","DICEMBRE"},0)</f>
        <v>8</v>
      </c>
      <c r="E2434" s="57" t="str">
        <f t="shared" si="1762"/>
        <v>AGOSTO 2021</v>
      </c>
      <c r="F2434" s="57" t="str">
        <f t="shared" si="1763"/>
        <v>8 AGOSTO 2021</v>
      </c>
      <c r="G2434" s="1309" t="s">
        <v>94</v>
      </c>
      <c r="H2434" s="1309" t="str">
        <f>VLOOKUP(G2434,CATEGORIE!$H$3:$I$104,2,FALSE)</f>
        <v>COSTO SVAGHI</v>
      </c>
      <c r="I2434" s="59">
        <v>4</v>
      </c>
      <c r="J2434" s="940"/>
      <c r="K2434" s="59"/>
      <c r="L2434" s="59"/>
    </row>
    <row r="2435" spans="1:12" ht="16.5" customHeight="1">
      <c r="A2435" s="57" t="s">
        <v>92</v>
      </c>
      <c r="B2435" s="57" t="s">
        <v>288</v>
      </c>
      <c r="C2435" s="57">
        <v>2021</v>
      </c>
      <c r="D2435" s="58">
        <f>MATCH(B2435,{"GENNAIO","FEBBRAIO","MARZO","APRILE","MAGGIO","GIUGNO","LUGLIO","AGOSTO","SETTEMBRE","OTTOBRE","NOVEMBRE","DICEMBRE"},0)</f>
        <v>7</v>
      </c>
      <c r="E2435" s="57" t="str">
        <f t="shared" si="1762"/>
        <v>LUGLIO 2021</v>
      </c>
      <c r="F2435" s="57" t="str">
        <f t="shared" si="1763"/>
        <v>7 LUGLIO 2021</v>
      </c>
      <c r="G2435" s="1309" t="s">
        <v>94</v>
      </c>
      <c r="H2435" s="1309" t="str">
        <f>VLOOKUP(G2435,CATEGORIE!$H$3:$I$104,2,FALSE)</f>
        <v>COSTO SVAGHI</v>
      </c>
      <c r="I2435" s="59">
        <v>4.0999999999999996</v>
      </c>
      <c r="J2435" s="940"/>
      <c r="K2435" s="59"/>
      <c r="L2435" s="59"/>
    </row>
    <row r="2436" spans="1:12">
      <c r="A2436" s="57" t="s">
        <v>119</v>
      </c>
      <c r="B2436" s="57" t="s">
        <v>288</v>
      </c>
      <c r="C2436" s="57">
        <v>2021</v>
      </c>
      <c r="D2436" s="58">
        <f>MATCH(B2436,{"GENNAIO","FEBBRAIO","MARZO","APRILE","MAGGIO","GIUGNO","LUGLIO","AGOSTO","SETTEMBRE","OTTOBRE","NOVEMBRE","DICEMBRE"},0)</f>
        <v>7</v>
      </c>
      <c r="E2436" s="57" t="str">
        <f t="shared" si="1762"/>
        <v>LUGLIO 2021</v>
      </c>
      <c r="F2436" s="57" t="str">
        <f t="shared" si="1763"/>
        <v>7 LUGLIO 2021</v>
      </c>
      <c r="G2436" s="1309" t="s">
        <v>108</v>
      </c>
      <c r="H2436" s="1309" t="str">
        <f>VLOOKUP(G2436,CATEGORIE!$H$3:$I$104,2,FALSE)</f>
        <v>COSTO SFIZI</v>
      </c>
      <c r="I2436" s="59">
        <v>89.9</v>
      </c>
      <c r="J2436" s="940"/>
      <c r="K2436" s="59"/>
      <c r="L2436" s="59"/>
    </row>
    <row r="2437" spans="1:12" ht="16.5" customHeight="1">
      <c r="A2437" s="57" t="s">
        <v>92</v>
      </c>
      <c r="B2437" s="57" t="s">
        <v>288</v>
      </c>
      <c r="C2437" s="57">
        <v>2021</v>
      </c>
      <c r="D2437" s="58">
        <f>MATCH(B2437,{"GENNAIO","FEBBRAIO","MARZO","APRILE","MAGGIO","GIUGNO","LUGLIO","AGOSTO","SETTEMBRE","OTTOBRE","NOVEMBRE","DICEMBRE"},0)</f>
        <v>7</v>
      </c>
      <c r="E2437" s="57" t="str">
        <f t="shared" si="1762"/>
        <v>LUGLIO 2021</v>
      </c>
      <c r="F2437" s="57" t="str">
        <f t="shared" si="1763"/>
        <v>7 LUGLIO 2021</v>
      </c>
      <c r="G2437" s="1309" t="s">
        <v>94</v>
      </c>
      <c r="H2437" s="1309" t="str">
        <f>VLOOKUP(G2437,CATEGORIE!$H$3:$I$104,2,FALSE)</f>
        <v>COSTO SVAGHI</v>
      </c>
      <c r="I2437" s="59">
        <v>5.0999999999999996</v>
      </c>
      <c r="J2437" s="940"/>
      <c r="K2437" s="59"/>
      <c r="L2437" s="59"/>
    </row>
    <row r="2438" spans="1:12">
      <c r="A2438" s="57" t="s">
        <v>187</v>
      </c>
      <c r="B2438" s="57" t="s">
        <v>288</v>
      </c>
      <c r="C2438" s="57">
        <v>2021</v>
      </c>
      <c r="D2438" s="58">
        <f>MATCH(B2438,{"GENNAIO","FEBBRAIO","MARZO","APRILE","MAGGIO","GIUGNO","LUGLIO","AGOSTO","SETTEMBRE","OTTOBRE","NOVEMBRE","DICEMBRE"},0)</f>
        <v>7</v>
      </c>
      <c r="E2438" s="57" t="str">
        <f t="shared" si="1762"/>
        <v>LUGLIO 2021</v>
      </c>
      <c r="F2438" s="57" t="str">
        <f t="shared" si="1763"/>
        <v>7 LUGLIO 2021</v>
      </c>
      <c r="G2438" s="1309" t="s">
        <v>188</v>
      </c>
      <c r="H2438" s="1309" t="str">
        <f>VLOOKUP(G2438,CATEGORIE!$H$3:$I$104,2,FALSE)</f>
        <v>COSTO VACANZE</v>
      </c>
      <c r="I2438" s="59">
        <v>341.27</v>
      </c>
      <c r="J2438" s="940"/>
      <c r="K2438" s="59"/>
      <c r="L2438" s="59"/>
    </row>
    <row r="2439" spans="1:12">
      <c r="A2439" s="57" t="s">
        <v>92</v>
      </c>
      <c r="B2439" s="57" t="s">
        <v>288</v>
      </c>
      <c r="C2439" s="57">
        <v>2021</v>
      </c>
      <c r="D2439" s="58">
        <f>MATCH(B2439,{"GENNAIO","FEBBRAIO","MARZO","APRILE","MAGGIO","GIUGNO","LUGLIO","AGOSTO","SETTEMBRE","OTTOBRE","NOVEMBRE","DICEMBRE"},0)</f>
        <v>7</v>
      </c>
      <c r="E2439" s="57" t="str">
        <f t="shared" si="1762"/>
        <v>LUGLIO 2021</v>
      </c>
      <c r="F2439" s="57" t="str">
        <f t="shared" si="1763"/>
        <v>7 LUGLIO 2021</v>
      </c>
      <c r="G2439" s="1309" t="s">
        <v>94</v>
      </c>
      <c r="H2439" s="1309" t="str">
        <f>VLOOKUP(G2439,CATEGORIE!$H$3:$I$104,2,FALSE)</f>
        <v>COSTO SVAGHI</v>
      </c>
      <c r="I2439" s="59">
        <v>5.0999999999999996</v>
      </c>
      <c r="J2439" s="940"/>
      <c r="K2439" s="59"/>
      <c r="L2439" s="59"/>
    </row>
    <row r="2440" spans="1:12">
      <c r="A2440" s="57" t="s">
        <v>622</v>
      </c>
      <c r="B2440" s="57" t="s">
        <v>288</v>
      </c>
      <c r="C2440" s="57">
        <v>2021</v>
      </c>
      <c r="D2440" s="58">
        <f>MATCH(B2440,{"GENNAIO","FEBBRAIO","MARZO","APRILE","MAGGIO","GIUGNO","LUGLIO","AGOSTO","SETTEMBRE","OTTOBRE","NOVEMBRE","DICEMBRE"},0)</f>
        <v>7</v>
      </c>
      <c r="E2440" s="57" t="str">
        <f t="shared" si="1762"/>
        <v>LUGLIO 2021</v>
      </c>
      <c r="F2440" s="57" t="str">
        <f t="shared" si="1763"/>
        <v>7 LUGLIO 2021</v>
      </c>
      <c r="G2440" s="1309" t="s">
        <v>365</v>
      </c>
      <c r="H2440" s="1309" t="str">
        <f>VLOOKUP(G2440,CATEGORIE!$H$3:$I$104,2,FALSE)</f>
        <v>COSTO SOPRAVVIVENZA</v>
      </c>
      <c r="I2440" s="59">
        <v>66.59</v>
      </c>
      <c r="J2440" s="940"/>
      <c r="K2440" s="59"/>
      <c r="L2440" s="59"/>
    </row>
    <row r="2441" spans="1:12">
      <c r="A2441" s="57" t="s">
        <v>156</v>
      </c>
      <c r="B2441" s="57" t="s">
        <v>288</v>
      </c>
      <c r="C2441" s="57">
        <v>2021</v>
      </c>
      <c r="D2441" s="58">
        <f>MATCH(B2441,{"GENNAIO","FEBBRAIO","MARZO","APRILE","MAGGIO","GIUGNO","LUGLIO","AGOSTO","SETTEMBRE","OTTOBRE","NOVEMBRE","DICEMBRE"},0)</f>
        <v>7</v>
      </c>
      <c r="E2441" s="57" t="str">
        <f t="shared" si="1762"/>
        <v>LUGLIO 2021</v>
      </c>
      <c r="F2441" s="57" t="str">
        <f t="shared" si="1763"/>
        <v>7 LUGLIO 2021</v>
      </c>
      <c r="G2441" s="1309" t="s">
        <v>96</v>
      </c>
      <c r="H2441" s="1309" t="str">
        <f>VLOOKUP(G2441,CATEGORIE!$H$3:$I$104,2,FALSE)</f>
        <v>COSTO SOPRAVVIVENZA</v>
      </c>
      <c r="I2441" s="59">
        <v>31.87</v>
      </c>
      <c r="J2441" s="940"/>
      <c r="K2441" s="59"/>
      <c r="L2441" s="59"/>
    </row>
    <row r="2442" spans="1:12">
      <c r="A2442" s="57" t="s">
        <v>135</v>
      </c>
      <c r="B2442" s="57" t="s">
        <v>288</v>
      </c>
      <c r="C2442" s="57">
        <v>2021</v>
      </c>
      <c r="D2442" s="58">
        <f>MATCH(B2442,{"GENNAIO","FEBBRAIO","MARZO","APRILE","MAGGIO","GIUGNO","LUGLIO","AGOSTO","SETTEMBRE","OTTOBRE","NOVEMBRE","DICEMBRE"},0)</f>
        <v>7</v>
      </c>
      <c r="E2442" s="57" t="str">
        <f t="shared" si="1762"/>
        <v>LUGLIO 2021</v>
      </c>
      <c r="F2442" s="57" t="str">
        <f t="shared" si="1763"/>
        <v>7 LUGLIO 2021</v>
      </c>
      <c r="G2442" s="1309" t="s">
        <v>132</v>
      </c>
      <c r="H2442" s="1309" t="str">
        <f>VLOOKUP(G2442,CATEGORIE!$H$3:$I$104,2,FALSE)</f>
        <v>COSTO CASA</v>
      </c>
      <c r="I2442" s="59">
        <v>55.49</v>
      </c>
      <c r="J2442" s="940"/>
      <c r="K2442" s="59"/>
      <c r="L2442" s="59"/>
    </row>
    <row r="2443" spans="1:12">
      <c r="A2443" s="57" t="s">
        <v>611</v>
      </c>
      <c r="B2443" s="57" t="s">
        <v>288</v>
      </c>
      <c r="C2443" s="57">
        <v>2021</v>
      </c>
      <c r="D2443" s="58">
        <f>MATCH(B2443,{"GENNAIO","FEBBRAIO","MARZO","APRILE","MAGGIO","GIUGNO","LUGLIO","AGOSTO","SETTEMBRE","OTTOBRE","NOVEMBRE","DICEMBRE"},0)</f>
        <v>7</v>
      </c>
      <c r="E2443" s="57" t="str">
        <f t="shared" si="1762"/>
        <v>LUGLIO 2021</v>
      </c>
      <c r="F2443" s="57" t="str">
        <f t="shared" si="1763"/>
        <v>7 LUGLIO 2021</v>
      </c>
      <c r="G2443" s="1309" t="s">
        <v>96</v>
      </c>
      <c r="H2443" s="1309" t="str">
        <f>VLOOKUP(G2443,CATEGORIE!$H$3:$I$104,2,FALSE)</f>
        <v>COSTO SOPRAVVIVENZA</v>
      </c>
      <c r="I2443" s="59">
        <v>68.430000000000007</v>
      </c>
      <c r="J2443" s="940"/>
      <c r="K2443" s="59"/>
      <c r="L2443" s="59"/>
    </row>
    <row r="2444" spans="1:12">
      <c r="A2444" s="57" t="s">
        <v>623</v>
      </c>
      <c r="B2444" s="57" t="s">
        <v>288</v>
      </c>
      <c r="C2444" s="57">
        <v>2021</v>
      </c>
      <c r="D2444" s="58">
        <f>MATCH(B2444,{"GENNAIO","FEBBRAIO","MARZO","APRILE","MAGGIO","GIUGNO","LUGLIO","AGOSTO","SETTEMBRE","OTTOBRE","NOVEMBRE","DICEMBRE"},0)</f>
        <v>7</v>
      </c>
      <c r="E2444" s="57" t="str">
        <f t="shared" si="1762"/>
        <v>LUGLIO 2021</v>
      </c>
      <c r="F2444" s="57" t="str">
        <f t="shared" si="1763"/>
        <v>7 LUGLIO 2021</v>
      </c>
      <c r="G2444" s="1309" t="s">
        <v>94</v>
      </c>
      <c r="H2444" s="1309" t="str">
        <f>VLOOKUP(G2444,CATEGORIE!$H$3:$I$104,2,FALSE)</f>
        <v>COSTO SVAGHI</v>
      </c>
      <c r="I2444" s="59">
        <v>33</v>
      </c>
      <c r="J2444" s="940"/>
      <c r="K2444" s="59"/>
      <c r="L2444" s="59"/>
    </row>
    <row r="2445" spans="1:12">
      <c r="A2445" s="57" t="s">
        <v>99</v>
      </c>
      <c r="B2445" s="57" t="s">
        <v>288</v>
      </c>
      <c r="C2445" s="57">
        <v>2021</v>
      </c>
      <c r="D2445" s="58">
        <f>MATCH(B2445,{"GENNAIO","FEBBRAIO","MARZO","APRILE","MAGGIO","GIUGNO","LUGLIO","AGOSTO","SETTEMBRE","OTTOBRE","NOVEMBRE","DICEMBRE"},0)</f>
        <v>7</v>
      </c>
      <c r="E2445" s="57" t="str">
        <f t="shared" si="1762"/>
        <v>LUGLIO 2021</v>
      </c>
      <c r="F2445" s="57" t="str">
        <f t="shared" si="1763"/>
        <v>7 LUGLIO 2021</v>
      </c>
      <c r="G2445" s="1309" t="s">
        <v>100</v>
      </c>
      <c r="H2445" s="1309" t="str">
        <f>VLOOKUP(G2445,CATEGORIE!$H$3:$I$104,2,FALSE)</f>
        <v>COSTO SFIZI</v>
      </c>
      <c r="I2445" s="59">
        <v>38.630000000000003</v>
      </c>
      <c r="J2445" s="940" t="s">
        <v>151</v>
      </c>
      <c r="K2445" s="57" t="s">
        <v>99</v>
      </c>
      <c r="L2445" s="59" t="s">
        <v>624</v>
      </c>
    </row>
    <row r="2446" spans="1:12">
      <c r="A2446" s="57" t="s">
        <v>99</v>
      </c>
      <c r="B2446" s="57" t="s">
        <v>314</v>
      </c>
      <c r="C2446" s="57">
        <v>2021</v>
      </c>
      <c r="D2446" s="58">
        <f>MATCH(B2446,{"GENNAIO","FEBBRAIO","MARZO","APRILE","MAGGIO","GIUGNO","LUGLIO","AGOSTO","SETTEMBRE","OTTOBRE","NOVEMBRE","DICEMBRE"},0)</f>
        <v>6</v>
      </c>
      <c r="E2446" s="57" t="str">
        <f t="shared" si="1762"/>
        <v>GIUGNO 2021</v>
      </c>
      <c r="F2446" s="57" t="str">
        <f t="shared" si="1763"/>
        <v>6 GIUGNO 2021</v>
      </c>
      <c r="G2446" s="1309" t="s">
        <v>100</v>
      </c>
      <c r="H2446" s="1309" t="str">
        <f>VLOOKUP(G2446,CATEGORIE!$H$3:$I$104,2,FALSE)</f>
        <v>COSTO SFIZI</v>
      </c>
      <c r="I2446" s="59">
        <v>13.3</v>
      </c>
      <c r="J2446" s="940"/>
      <c r="K2446" s="57" t="s">
        <v>99</v>
      </c>
      <c r="L2446" s="59"/>
    </row>
    <row r="2447" spans="1:12">
      <c r="A2447" s="57" t="s">
        <v>99</v>
      </c>
      <c r="B2447" s="57" t="s">
        <v>314</v>
      </c>
      <c r="C2447" s="57">
        <v>2021</v>
      </c>
      <c r="D2447" s="58">
        <f>MATCH(B2447,{"GENNAIO","FEBBRAIO","MARZO","APRILE","MAGGIO","GIUGNO","LUGLIO","AGOSTO","SETTEMBRE","OTTOBRE","NOVEMBRE","DICEMBRE"},0)</f>
        <v>6</v>
      </c>
      <c r="E2447" s="57" t="str">
        <f t="shared" si="1762"/>
        <v>GIUGNO 2021</v>
      </c>
      <c r="F2447" s="57" t="str">
        <f t="shared" si="1763"/>
        <v>6 GIUGNO 2021</v>
      </c>
      <c r="G2447" s="1309" t="s">
        <v>100</v>
      </c>
      <c r="H2447" s="1309" t="str">
        <f>VLOOKUP(G2447,CATEGORIE!$H$3:$I$104,2,FALSE)</f>
        <v>COSTO SFIZI</v>
      </c>
      <c r="I2447" s="59">
        <v>19.97</v>
      </c>
      <c r="J2447" s="940"/>
      <c r="K2447" s="57" t="s">
        <v>99</v>
      </c>
      <c r="L2447" s="59"/>
    </row>
    <row r="2448" spans="1:12">
      <c r="A2448" s="57" t="s">
        <v>99</v>
      </c>
      <c r="B2448" s="57" t="s">
        <v>314</v>
      </c>
      <c r="C2448" s="57">
        <v>2021</v>
      </c>
      <c r="D2448" s="58">
        <f>MATCH(B2448,{"GENNAIO","FEBBRAIO","MARZO","APRILE","MAGGIO","GIUGNO","LUGLIO","AGOSTO","SETTEMBRE","OTTOBRE","NOVEMBRE","DICEMBRE"},0)</f>
        <v>6</v>
      </c>
      <c r="E2448" s="57" t="str">
        <f t="shared" si="1762"/>
        <v>GIUGNO 2021</v>
      </c>
      <c r="F2448" s="57" t="str">
        <f t="shared" si="1763"/>
        <v>6 GIUGNO 2021</v>
      </c>
      <c r="G2448" s="1309" t="s">
        <v>100</v>
      </c>
      <c r="H2448" s="1309" t="str">
        <f>VLOOKUP(G2448,CATEGORIE!$H$3:$I$104,2,FALSE)</f>
        <v>COSTO SFIZI</v>
      </c>
      <c r="I2448" s="59">
        <v>15.18</v>
      </c>
      <c r="J2448" s="940"/>
      <c r="K2448" s="57" t="s">
        <v>99</v>
      </c>
      <c r="L2448" s="59"/>
    </row>
    <row r="2449" spans="1:12">
      <c r="A2449" s="57" t="s">
        <v>617</v>
      </c>
      <c r="B2449" s="57" t="s">
        <v>314</v>
      </c>
      <c r="C2449" s="57">
        <v>2021</v>
      </c>
      <c r="D2449" s="58">
        <f>MATCH(B2449,{"GENNAIO","FEBBRAIO","MARZO","APRILE","MAGGIO","GIUGNO","LUGLIO","AGOSTO","SETTEMBRE","OTTOBRE","NOVEMBRE","DICEMBRE"},0)</f>
        <v>6</v>
      </c>
      <c r="E2449" s="57" t="str">
        <f t="shared" si="1762"/>
        <v>GIUGNO 2021</v>
      </c>
      <c r="F2449" s="57" t="str">
        <f t="shared" si="1763"/>
        <v>6 GIUGNO 2021</v>
      </c>
      <c r="G2449" s="1309" t="s">
        <v>94</v>
      </c>
      <c r="H2449" s="1309" t="str">
        <f>VLOOKUP(G2449,CATEGORIE!$H$3:$I$104,2,FALSE)</f>
        <v>COSTO SVAGHI</v>
      </c>
      <c r="I2449" s="59">
        <v>5.5</v>
      </c>
      <c r="J2449" s="940"/>
      <c r="K2449" s="59"/>
      <c r="L2449" s="59"/>
    </row>
    <row r="2450" spans="1:12">
      <c r="A2450" s="57" t="s">
        <v>92</v>
      </c>
      <c r="B2450" s="57" t="s">
        <v>314</v>
      </c>
      <c r="C2450" s="57">
        <v>2021</v>
      </c>
      <c r="D2450" s="58">
        <f>MATCH(B2450,{"GENNAIO","FEBBRAIO","MARZO","APRILE","MAGGIO","GIUGNO","LUGLIO","AGOSTO","SETTEMBRE","OTTOBRE","NOVEMBRE","DICEMBRE"},0)</f>
        <v>6</v>
      </c>
      <c r="E2450" s="57" t="str">
        <f t="shared" si="1762"/>
        <v>GIUGNO 2021</v>
      </c>
      <c r="F2450" s="57" t="str">
        <f t="shared" si="1763"/>
        <v>6 GIUGNO 2021</v>
      </c>
      <c r="G2450" s="1309" t="s">
        <v>94</v>
      </c>
      <c r="H2450" s="1309" t="str">
        <f>VLOOKUP(G2450,CATEGORIE!$H$3:$I$104,2,FALSE)</f>
        <v>COSTO SVAGHI</v>
      </c>
      <c r="I2450" s="59">
        <v>4.0999999999999996</v>
      </c>
      <c r="J2450" s="940"/>
      <c r="K2450" s="59"/>
      <c r="L2450" s="59"/>
    </row>
    <row r="2451" spans="1:12">
      <c r="A2451" s="57" t="s">
        <v>92</v>
      </c>
      <c r="B2451" s="57" t="s">
        <v>314</v>
      </c>
      <c r="C2451" s="57">
        <v>2021</v>
      </c>
      <c r="D2451" s="58">
        <f>MATCH(B2451,{"GENNAIO","FEBBRAIO","MARZO","APRILE","MAGGIO","GIUGNO","LUGLIO","AGOSTO","SETTEMBRE","OTTOBRE","NOVEMBRE","DICEMBRE"},0)</f>
        <v>6</v>
      </c>
      <c r="E2451" s="57" t="str">
        <f t="shared" si="1762"/>
        <v>GIUGNO 2021</v>
      </c>
      <c r="F2451" s="57" t="str">
        <f t="shared" si="1763"/>
        <v>6 GIUGNO 2021</v>
      </c>
      <c r="G2451" s="1309" t="s">
        <v>94</v>
      </c>
      <c r="H2451" s="1309" t="str">
        <f>VLOOKUP(G2451,CATEGORIE!$H$3:$I$104,2,FALSE)</f>
        <v>COSTO SVAGHI</v>
      </c>
      <c r="I2451" s="59">
        <v>5.0999999999999996</v>
      </c>
      <c r="J2451" s="940"/>
      <c r="K2451" s="59"/>
      <c r="L2451" s="59"/>
    </row>
    <row r="2452" spans="1:12">
      <c r="A2452" s="57" t="s">
        <v>92</v>
      </c>
      <c r="B2452" s="57" t="s">
        <v>314</v>
      </c>
      <c r="C2452" s="57">
        <v>2021</v>
      </c>
      <c r="D2452" s="58">
        <f>MATCH(B2452,{"GENNAIO","FEBBRAIO","MARZO","APRILE","MAGGIO","GIUGNO","LUGLIO","AGOSTO","SETTEMBRE","OTTOBRE","NOVEMBRE","DICEMBRE"},0)</f>
        <v>6</v>
      </c>
      <c r="E2452" s="57" t="str">
        <f t="shared" si="1762"/>
        <v>GIUGNO 2021</v>
      </c>
      <c r="F2452" s="57" t="str">
        <f t="shared" si="1763"/>
        <v>6 GIUGNO 2021</v>
      </c>
      <c r="G2452" s="1309" t="s">
        <v>94</v>
      </c>
      <c r="H2452" s="1309" t="str">
        <f>VLOOKUP(G2452,CATEGORIE!$H$3:$I$104,2,FALSE)</f>
        <v>COSTO SVAGHI</v>
      </c>
      <c r="I2452" s="59">
        <v>4.0999999999999996</v>
      </c>
      <c r="J2452" s="940"/>
      <c r="K2452" s="59"/>
      <c r="L2452" s="59"/>
    </row>
    <row r="2453" spans="1:12">
      <c r="A2453" s="57" t="s">
        <v>625</v>
      </c>
      <c r="B2453" s="57" t="s">
        <v>314</v>
      </c>
      <c r="C2453" s="57">
        <v>2021</v>
      </c>
      <c r="D2453" s="58">
        <f>MATCH(B2453,{"GENNAIO","FEBBRAIO","MARZO","APRILE","MAGGIO","GIUGNO","LUGLIO","AGOSTO","SETTEMBRE","OTTOBRE","NOVEMBRE","DICEMBRE"},0)</f>
        <v>6</v>
      </c>
      <c r="E2453" s="57" t="str">
        <f t="shared" si="1762"/>
        <v>GIUGNO 2021</v>
      </c>
      <c r="F2453" s="57" t="str">
        <f t="shared" si="1763"/>
        <v>6 GIUGNO 2021</v>
      </c>
      <c r="G2453" s="1309" t="s">
        <v>94</v>
      </c>
      <c r="H2453" s="1309" t="str">
        <f>VLOOKUP(G2453,CATEGORIE!$H$3:$I$104,2,FALSE)</f>
        <v>COSTO SVAGHI</v>
      </c>
      <c r="I2453" s="59">
        <v>31.5</v>
      </c>
      <c r="J2453" s="940"/>
      <c r="K2453" s="59"/>
      <c r="L2453" s="59"/>
    </row>
    <row r="2454" spans="1:12">
      <c r="A2454" s="57" t="s">
        <v>626</v>
      </c>
      <c r="B2454" s="57" t="s">
        <v>314</v>
      </c>
      <c r="C2454" s="57">
        <v>2021</v>
      </c>
      <c r="D2454" s="58">
        <f>MATCH(B2454,{"GENNAIO","FEBBRAIO","MARZO","APRILE","MAGGIO","GIUGNO","LUGLIO","AGOSTO","SETTEMBRE","OTTOBRE","NOVEMBRE","DICEMBRE"},0)</f>
        <v>6</v>
      </c>
      <c r="E2454" s="57" t="str">
        <f t="shared" si="1762"/>
        <v>GIUGNO 2021</v>
      </c>
      <c r="F2454" s="57" t="str">
        <f t="shared" si="1763"/>
        <v>6 GIUGNO 2021</v>
      </c>
      <c r="G2454" s="1309" t="s">
        <v>132</v>
      </c>
      <c r="H2454" s="1309" t="str">
        <f>VLOOKUP(G2454,CATEGORIE!$H$3:$I$104,2,FALSE)</f>
        <v>COSTO CASA</v>
      </c>
      <c r="I2454" s="59">
        <v>33.9</v>
      </c>
      <c r="J2454" s="940"/>
      <c r="K2454" s="59"/>
      <c r="L2454" s="59"/>
    </row>
    <row r="2455" spans="1:12">
      <c r="A2455" s="57" t="s">
        <v>92</v>
      </c>
      <c r="B2455" s="57" t="s">
        <v>314</v>
      </c>
      <c r="C2455" s="57">
        <v>2021</v>
      </c>
      <c r="D2455" s="58">
        <f>MATCH(B2455,{"GENNAIO","FEBBRAIO","MARZO","APRILE","MAGGIO","GIUGNO","LUGLIO","AGOSTO","SETTEMBRE","OTTOBRE","NOVEMBRE","DICEMBRE"},0)</f>
        <v>6</v>
      </c>
      <c r="E2455" s="57" t="str">
        <f t="shared" si="1762"/>
        <v>GIUGNO 2021</v>
      </c>
      <c r="F2455" s="57" t="str">
        <f t="shared" si="1763"/>
        <v>6 GIUGNO 2021</v>
      </c>
      <c r="G2455" s="1309" t="s">
        <v>93</v>
      </c>
      <c r="H2455" s="1309" t="str">
        <f>VLOOKUP(G2455,CATEGORIE!$H$3:$I$104,2,FALSE)</f>
        <v>COSTO SOPRAVVIVENZA</v>
      </c>
      <c r="I2455" s="59">
        <v>5</v>
      </c>
      <c r="J2455" s="940"/>
      <c r="K2455" s="59"/>
      <c r="L2455" s="59"/>
    </row>
    <row r="2456" spans="1:12">
      <c r="A2456" s="57" t="s">
        <v>626</v>
      </c>
      <c r="B2456" s="57" t="s">
        <v>314</v>
      </c>
      <c r="C2456" s="57">
        <v>2021</v>
      </c>
      <c r="D2456" s="58">
        <f>MATCH(B2456,{"GENNAIO","FEBBRAIO","MARZO","APRILE","MAGGIO","GIUGNO","LUGLIO","AGOSTO","SETTEMBRE","OTTOBRE","NOVEMBRE","DICEMBRE"},0)</f>
        <v>6</v>
      </c>
      <c r="E2456" s="57" t="str">
        <f t="shared" si="1762"/>
        <v>GIUGNO 2021</v>
      </c>
      <c r="F2456" s="57" t="str">
        <f t="shared" si="1763"/>
        <v>6 GIUGNO 2021</v>
      </c>
      <c r="G2456" s="1309" t="s">
        <v>132</v>
      </c>
      <c r="H2456" s="1309" t="str">
        <f>VLOOKUP(G2456,CATEGORIE!$H$3:$I$104,2,FALSE)</f>
        <v>COSTO CASA</v>
      </c>
      <c r="I2456" s="59">
        <v>18.899999999999999</v>
      </c>
      <c r="J2456" s="940"/>
      <c r="K2456" s="59"/>
      <c r="L2456" s="59"/>
    </row>
    <row r="2457" spans="1:12">
      <c r="A2457" s="57" t="s">
        <v>626</v>
      </c>
      <c r="B2457" s="57" t="s">
        <v>314</v>
      </c>
      <c r="C2457" s="57">
        <v>2021</v>
      </c>
      <c r="D2457" s="58">
        <f>MATCH(B2457,{"GENNAIO","FEBBRAIO","MARZO","APRILE","MAGGIO","GIUGNO","LUGLIO","AGOSTO","SETTEMBRE","OTTOBRE","NOVEMBRE","DICEMBRE"},0)</f>
        <v>6</v>
      </c>
      <c r="E2457" s="57" t="str">
        <f t="shared" si="1762"/>
        <v>GIUGNO 2021</v>
      </c>
      <c r="F2457" s="57" t="str">
        <f t="shared" si="1763"/>
        <v>6 GIUGNO 2021</v>
      </c>
      <c r="G2457" s="1309" t="s">
        <v>132</v>
      </c>
      <c r="H2457" s="1309" t="str">
        <f>VLOOKUP(G2457,CATEGORIE!$H$3:$I$104,2,FALSE)</f>
        <v>COSTO CASA</v>
      </c>
      <c r="I2457" s="59">
        <v>11.9</v>
      </c>
      <c r="J2457" s="940"/>
      <c r="K2457" s="59"/>
      <c r="L2457" s="59"/>
    </row>
    <row r="2458" spans="1:12">
      <c r="A2458" s="57" t="s">
        <v>626</v>
      </c>
      <c r="B2458" s="57" t="s">
        <v>314</v>
      </c>
      <c r="C2458" s="57">
        <v>2021</v>
      </c>
      <c r="D2458" s="58">
        <f>MATCH(B2458,{"GENNAIO","FEBBRAIO","MARZO","APRILE","MAGGIO","GIUGNO","LUGLIO","AGOSTO","SETTEMBRE","OTTOBRE","NOVEMBRE","DICEMBRE"},0)</f>
        <v>6</v>
      </c>
      <c r="E2458" s="57" t="str">
        <f t="shared" si="1762"/>
        <v>GIUGNO 2021</v>
      </c>
      <c r="F2458" s="57" t="str">
        <f t="shared" si="1763"/>
        <v>6 GIUGNO 2021</v>
      </c>
      <c r="G2458" s="1309" t="s">
        <v>132</v>
      </c>
      <c r="H2458" s="1309" t="str">
        <f>VLOOKUP(G2458,CATEGORIE!$H$3:$I$104,2,FALSE)</f>
        <v>COSTO CASA</v>
      </c>
      <c r="I2458" s="59">
        <v>16.2</v>
      </c>
      <c r="J2458" s="940"/>
      <c r="K2458" s="59"/>
      <c r="L2458" s="59"/>
    </row>
    <row r="2459" spans="1:12">
      <c r="A2459" s="57" t="s">
        <v>626</v>
      </c>
      <c r="B2459" s="57" t="s">
        <v>314</v>
      </c>
      <c r="C2459" s="57">
        <v>2021</v>
      </c>
      <c r="D2459" s="58">
        <f>MATCH(B2459,{"GENNAIO","FEBBRAIO","MARZO","APRILE","MAGGIO","GIUGNO","LUGLIO","AGOSTO","SETTEMBRE","OTTOBRE","NOVEMBRE","DICEMBRE"},0)</f>
        <v>6</v>
      </c>
      <c r="E2459" s="57" t="str">
        <f t="shared" si="1762"/>
        <v>GIUGNO 2021</v>
      </c>
      <c r="F2459" s="57" t="str">
        <f t="shared" si="1763"/>
        <v>6 GIUGNO 2021</v>
      </c>
      <c r="G2459" s="1309" t="s">
        <v>132</v>
      </c>
      <c r="H2459" s="1309" t="str">
        <f>VLOOKUP(G2459,CATEGORIE!$H$3:$I$104,2,FALSE)</f>
        <v>COSTO CASA</v>
      </c>
      <c r="I2459" s="59">
        <v>57</v>
      </c>
      <c r="J2459" s="940"/>
      <c r="K2459" s="59"/>
      <c r="L2459" s="59"/>
    </row>
    <row r="2460" spans="1:12">
      <c r="A2460" s="57" t="s">
        <v>627</v>
      </c>
      <c r="B2460" s="57" t="s">
        <v>314</v>
      </c>
      <c r="C2460" s="57">
        <v>2021</v>
      </c>
      <c r="D2460" s="58">
        <f>MATCH(B2460,{"GENNAIO","FEBBRAIO","MARZO","APRILE","MAGGIO","GIUGNO","LUGLIO","AGOSTO","SETTEMBRE","OTTOBRE","NOVEMBRE","DICEMBRE"},0)</f>
        <v>6</v>
      </c>
      <c r="E2460" s="57" t="str">
        <f t="shared" si="1762"/>
        <v>GIUGNO 2021</v>
      </c>
      <c r="F2460" s="57" t="str">
        <f t="shared" si="1763"/>
        <v>6 GIUGNO 2021</v>
      </c>
      <c r="G2460" s="1309" t="s">
        <v>94</v>
      </c>
      <c r="H2460" s="1309" t="str">
        <f>VLOOKUP(G2460,CATEGORIE!$H$3:$I$104,2,FALSE)</f>
        <v>COSTO SVAGHI</v>
      </c>
      <c r="I2460" s="59">
        <v>69.599999999999994</v>
      </c>
      <c r="J2460" s="940"/>
      <c r="K2460" s="59"/>
      <c r="L2460" s="59"/>
    </row>
    <row r="2461" spans="1:12">
      <c r="A2461" s="57" t="s">
        <v>99</v>
      </c>
      <c r="B2461" s="57" t="s">
        <v>314</v>
      </c>
      <c r="C2461" s="57">
        <v>2021</v>
      </c>
      <c r="D2461" s="58">
        <f>MATCH(B2461,{"GENNAIO","FEBBRAIO","MARZO","APRILE","MAGGIO","GIUGNO","LUGLIO","AGOSTO","SETTEMBRE","OTTOBRE","NOVEMBRE","DICEMBRE"},0)</f>
        <v>6</v>
      </c>
      <c r="E2461" s="57" t="str">
        <f t="shared" si="1762"/>
        <v>GIUGNO 2021</v>
      </c>
      <c r="F2461" s="57" t="str">
        <f t="shared" si="1763"/>
        <v>6 GIUGNO 2021</v>
      </c>
      <c r="G2461" s="1309" t="s">
        <v>100</v>
      </c>
      <c r="H2461" s="1309" t="str">
        <f>VLOOKUP(G2461,CATEGORIE!$H$3:$I$104,2,FALSE)</f>
        <v>COSTO SFIZI</v>
      </c>
      <c r="I2461" s="59">
        <v>59.99</v>
      </c>
      <c r="J2461" s="940"/>
      <c r="K2461" s="57" t="s">
        <v>99</v>
      </c>
      <c r="L2461" s="59"/>
    </row>
    <row r="2462" spans="1:12">
      <c r="A2462" s="57" t="s">
        <v>99</v>
      </c>
      <c r="B2462" s="57" t="s">
        <v>314</v>
      </c>
      <c r="C2462" s="57">
        <v>2021</v>
      </c>
      <c r="D2462" s="58">
        <f>MATCH(B2462,{"GENNAIO","FEBBRAIO","MARZO","APRILE","MAGGIO","GIUGNO","LUGLIO","AGOSTO","SETTEMBRE","OTTOBRE","NOVEMBRE","DICEMBRE"},0)</f>
        <v>6</v>
      </c>
      <c r="E2462" s="57" t="str">
        <f t="shared" si="1762"/>
        <v>GIUGNO 2021</v>
      </c>
      <c r="F2462" s="57" t="str">
        <f t="shared" si="1763"/>
        <v>6 GIUGNO 2021</v>
      </c>
      <c r="G2462" s="1309" t="s">
        <v>100</v>
      </c>
      <c r="H2462" s="1309" t="str">
        <f>VLOOKUP(G2462,CATEGORIE!$H$3:$I$104,2,FALSE)</f>
        <v>COSTO SFIZI</v>
      </c>
      <c r="I2462" s="59">
        <v>21.26</v>
      </c>
      <c r="J2462" s="940"/>
      <c r="K2462" s="57" t="s">
        <v>99</v>
      </c>
      <c r="L2462" s="59"/>
    </row>
    <row r="2463" spans="1:12">
      <c r="A2463" s="57" t="s">
        <v>99</v>
      </c>
      <c r="B2463" s="57" t="s">
        <v>314</v>
      </c>
      <c r="C2463" s="57">
        <v>2021</v>
      </c>
      <c r="D2463" s="58">
        <f>MATCH(B2463,{"GENNAIO","FEBBRAIO","MARZO","APRILE","MAGGIO","GIUGNO","LUGLIO","AGOSTO","SETTEMBRE","OTTOBRE","NOVEMBRE","DICEMBRE"},0)</f>
        <v>6</v>
      </c>
      <c r="E2463" s="57" t="str">
        <f t="shared" si="1762"/>
        <v>GIUGNO 2021</v>
      </c>
      <c r="F2463" s="57" t="str">
        <f t="shared" si="1763"/>
        <v>6 GIUGNO 2021</v>
      </c>
      <c r="G2463" s="1309" t="s">
        <v>100</v>
      </c>
      <c r="H2463" s="1309" t="str">
        <f>VLOOKUP(G2463,CATEGORIE!$H$3:$I$104,2,FALSE)</f>
        <v>COSTO SFIZI</v>
      </c>
      <c r="I2463" s="59">
        <v>38.630000000000003</v>
      </c>
      <c r="J2463" s="940" t="s">
        <v>167</v>
      </c>
      <c r="K2463" s="57" t="s">
        <v>99</v>
      </c>
      <c r="L2463" s="59" t="s">
        <v>624</v>
      </c>
    </row>
    <row r="2464" spans="1:12">
      <c r="A2464" s="57" t="s">
        <v>99</v>
      </c>
      <c r="B2464" s="57" t="s">
        <v>314</v>
      </c>
      <c r="C2464" s="57">
        <v>2021</v>
      </c>
      <c r="D2464" s="58">
        <f>MATCH(B2464,{"GENNAIO","FEBBRAIO","MARZO","APRILE","MAGGIO","GIUGNO","LUGLIO","AGOSTO","SETTEMBRE","OTTOBRE","NOVEMBRE","DICEMBRE"},0)</f>
        <v>6</v>
      </c>
      <c r="E2464" s="57" t="str">
        <f t="shared" si="1762"/>
        <v>GIUGNO 2021</v>
      </c>
      <c r="F2464" s="57" t="str">
        <f t="shared" si="1763"/>
        <v>6 GIUGNO 2021</v>
      </c>
      <c r="G2464" s="1309" t="s">
        <v>100</v>
      </c>
      <c r="H2464" s="1309" t="str">
        <f>VLOOKUP(G2464,CATEGORIE!$H$3:$I$104,2,FALSE)</f>
        <v>COSTO SFIZI</v>
      </c>
      <c r="I2464" s="59">
        <v>28.99</v>
      </c>
      <c r="J2464" s="940"/>
      <c r="K2464" s="57" t="s">
        <v>99</v>
      </c>
      <c r="L2464" s="59"/>
    </row>
    <row r="2465" spans="1:12">
      <c r="A2465" s="57" t="s">
        <v>610</v>
      </c>
      <c r="B2465" s="57" t="s">
        <v>314</v>
      </c>
      <c r="C2465" s="57">
        <v>2021</v>
      </c>
      <c r="D2465" s="58">
        <f>MATCH(B2465,{"GENNAIO","FEBBRAIO","MARZO","APRILE","MAGGIO","GIUGNO","LUGLIO","AGOSTO","SETTEMBRE","OTTOBRE","NOVEMBRE","DICEMBRE"},0)</f>
        <v>6</v>
      </c>
      <c r="E2465" s="57" t="str">
        <f t="shared" si="1762"/>
        <v>GIUGNO 2021</v>
      </c>
      <c r="F2465" s="57" t="str">
        <f t="shared" si="1763"/>
        <v>6 GIUGNO 2021</v>
      </c>
      <c r="G2465" s="1309" t="s">
        <v>100</v>
      </c>
      <c r="H2465" s="1309" t="str">
        <f>VLOOKUP(G2465,CATEGORIE!$H$3:$I$104,2,FALSE)</f>
        <v>COSTO SFIZI</v>
      </c>
      <c r="I2465" s="59">
        <v>20.8</v>
      </c>
      <c r="J2465" s="940"/>
      <c r="K2465" s="59"/>
      <c r="L2465" s="59"/>
    </row>
    <row r="2466" spans="1:12">
      <c r="A2466" s="57" t="s">
        <v>627</v>
      </c>
      <c r="B2466" s="57" t="s">
        <v>314</v>
      </c>
      <c r="C2466" s="57">
        <v>2021</v>
      </c>
      <c r="D2466" s="58">
        <f>MATCH(B2466,{"GENNAIO","FEBBRAIO","MARZO","APRILE","MAGGIO","GIUGNO","LUGLIO","AGOSTO","SETTEMBRE","OTTOBRE","NOVEMBRE","DICEMBRE"},0)</f>
        <v>6</v>
      </c>
      <c r="E2466" s="57" t="str">
        <f t="shared" si="1762"/>
        <v>GIUGNO 2021</v>
      </c>
      <c r="F2466" s="57" t="str">
        <f t="shared" si="1763"/>
        <v>6 GIUGNO 2021</v>
      </c>
      <c r="G2466" s="1309" t="s">
        <v>94</v>
      </c>
      <c r="H2466" s="1309" t="str">
        <f>VLOOKUP(G2466,CATEGORIE!$H$3:$I$104,2,FALSE)</f>
        <v>COSTO SVAGHI</v>
      </c>
      <c r="I2466" s="59">
        <v>18.3</v>
      </c>
      <c r="J2466" s="940"/>
      <c r="K2466" s="59"/>
      <c r="L2466" s="59"/>
    </row>
    <row r="2467" spans="1:12">
      <c r="A2467" s="57" t="s">
        <v>341</v>
      </c>
      <c r="B2467" s="57" t="s">
        <v>314</v>
      </c>
      <c r="C2467" s="57">
        <v>2021</v>
      </c>
      <c r="D2467" s="58">
        <f>MATCH(B2467,{"GENNAIO","FEBBRAIO","MARZO","APRILE","MAGGIO","GIUGNO","LUGLIO","AGOSTO","SETTEMBRE","OTTOBRE","NOVEMBRE","DICEMBRE"},0)</f>
        <v>6</v>
      </c>
      <c r="E2467" s="57" t="str">
        <f t="shared" si="1762"/>
        <v>GIUGNO 2021</v>
      </c>
      <c r="F2467" s="57" t="str">
        <f t="shared" si="1763"/>
        <v>6 GIUGNO 2021</v>
      </c>
      <c r="G2467" s="1309" t="s">
        <v>1250</v>
      </c>
      <c r="H2467" s="1309" t="str">
        <f>VLOOKUP(G2467,CATEGORIE!$H$3:$I$104,2,FALSE)</f>
        <v>COSTO VACANZE</v>
      </c>
      <c r="I2467" s="59">
        <v>66.48</v>
      </c>
      <c r="J2467" s="940"/>
      <c r="K2467" s="59"/>
      <c r="L2467" s="59"/>
    </row>
    <row r="2468" spans="1:12">
      <c r="A2468" s="57" t="s">
        <v>99</v>
      </c>
      <c r="B2468" s="57" t="s">
        <v>314</v>
      </c>
      <c r="C2468" s="57">
        <v>2021</v>
      </c>
      <c r="D2468" s="58">
        <f>MATCH(B2468,{"GENNAIO","FEBBRAIO","MARZO","APRILE","MAGGIO","GIUGNO","LUGLIO","AGOSTO","SETTEMBRE","OTTOBRE","NOVEMBRE","DICEMBRE"},0)</f>
        <v>6</v>
      </c>
      <c r="E2468" s="57" t="str">
        <f t="shared" si="1762"/>
        <v>GIUGNO 2021</v>
      </c>
      <c r="F2468" s="57" t="str">
        <f t="shared" si="1763"/>
        <v>6 GIUGNO 2021</v>
      </c>
      <c r="G2468" s="1309" t="s">
        <v>100</v>
      </c>
      <c r="H2468" s="1309" t="str">
        <f>VLOOKUP(G2468,CATEGORIE!$H$3:$I$104,2,FALSE)</f>
        <v>COSTO SFIZI</v>
      </c>
      <c r="I2468" s="59">
        <v>38</v>
      </c>
      <c r="J2468" s="940"/>
      <c r="K2468" s="57" t="s">
        <v>99</v>
      </c>
      <c r="L2468" s="59"/>
    </row>
    <row r="2469" spans="1:12">
      <c r="A2469" s="57" t="s">
        <v>224</v>
      </c>
      <c r="B2469" s="57" t="s">
        <v>333</v>
      </c>
      <c r="C2469" s="57">
        <v>2021</v>
      </c>
      <c r="D2469" s="58">
        <f>MATCH(B2469,{"GENNAIO","FEBBRAIO","MARZO","APRILE","MAGGIO","GIUGNO","LUGLIO","AGOSTO","SETTEMBRE","OTTOBRE","NOVEMBRE","DICEMBRE"},0)</f>
        <v>5</v>
      </c>
      <c r="E2469" s="57" t="str">
        <f t="shared" si="1762"/>
        <v>MAGGIO 2021</v>
      </c>
      <c r="F2469" s="57" t="str">
        <f t="shared" si="1763"/>
        <v>5 MAGGIO 2021</v>
      </c>
      <c r="G2469" s="1309" t="s">
        <v>402</v>
      </c>
      <c r="H2469" s="1309" t="str">
        <f>VLOOKUP(G2469,CATEGORIE!$H$3:$I$104,2,FALSE)</f>
        <v>COSTO SFIZI</v>
      </c>
      <c r="I2469" s="59">
        <v>136.85</v>
      </c>
      <c r="J2469" s="940"/>
      <c r="K2469" s="59"/>
      <c r="L2469" s="59"/>
    </row>
    <row r="2470" spans="1:12">
      <c r="A2470" s="57" t="s">
        <v>156</v>
      </c>
      <c r="B2470" s="57" t="s">
        <v>333</v>
      </c>
      <c r="C2470" s="57">
        <v>2021</v>
      </c>
      <c r="D2470" s="58">
        <f>MATCH(B2470,{"GENNAIO","FEBBRAIO","MARZO","APRILE","MAGGIO","GIUGNO","LUGLIO","AGOSTO","SETTEMBRE","OTTOBRE","NOVEMBRE","DICEMBRE"},0)</f>
        <v>5</v>
      </c>
      <c r="E2470" s="57" t="str">
        <f t="shared" si="1762"/>
        <v>MAGGIO 2021</v>
      </c>
      <c r="F2470" s="57" t="str">
        <f t="shared" si="1763"/>
        <v>5 MAGGIO 2021</v>
      </c>
      <c r="G2470" s="1309" t="s">
        <v>96</v>
      </c>
      <c r="H2470" s="1309" t="str">
        <f>VLOOKUP(G2470,CATEGORIE!$H$3:$I$104,2,FALSE)</f>
        <v>COSTO SOPRAVVIVENZA</v>
      </c>
      <c r="I2470" s="59">
        <v>34.49</v>
      </c>
      <c r="J2470" s="940"/>
      <c r="K2470" s="59"/>
      <c r="L2470" s="59"/>
    </row>
    <row r="2471" spans="1:12">
      <c r="A2471" s="57" t="s">
        <v>131</v>
      </c>
      <c r="B2471" s="57" t="s">
        <v>333</v>
      </c>
      <c r="C2471" s="57">
        <v>2021</v>
      </c>
      <c r="D2471" s="58">
        <f>MATCH(B2471,{"GENNAIO","FEBBRAIO","MARZO","APRILE","MAGGIO","GIUGNO","LUGLIO","AGOSTO","SETTEMBRE","OTTOBRE","NOVEMBRE","DICEMBRE"},0)</f>
        <v>5</v>
      </c>
      <c r="E2471" s="57" t="str">
        <f t="shared" si="1762"/>
        <v>MAGGIO 2021</v>
      </c>
      <c r="F2471" s="57" t="str">
        <f t="shared" si="1763"/>
        <v>5 MAGGIO 2021</v>
      </c>
      <c r="G2471" s="1309" t="s">
        <v>132</v>
      </c>
      <c r="H2471" s="1309" t="str">
        <f>VLOOKUP(G2471,CATEGORIE!$H$3:$I$104,2,FALSE)</f>
        <v>COSTO CASA</v>
      </c>
      <c r="I2471" s="59">
        <v>50.95</v>
      </c>
      <c r="J2471" s="940"/>
      <c r="K2471" s="59"/>
      <c r="L2471" s="59"/>
    </row>
    <row r="2472" spans="1:12">
      <c r="A2472" s="57" t="s">
        <v>628</v>
      </c>
      <c r="B2472" s="57" t="s">
        <v>333</v>
      </c>
      <c r="C2472" s="57">
        <v>2021</v>
      </c>
      <c r="D2472" s="58">
        <f>MATCH(B2472,{"GENNAIO","FEBBRAIO","MARZO","APRILE","MAGGIO","GIUGNO","LUGLIO","AGOSTO","SETTEMBRE","OTTOBRE","NOVEMBRE","DICEMBRE"},0)</f>
        <v>5</v>
      </c>
      <c r="E2472" s="57" t="str">
        <f t="shared" si="1762"/>
        <v>MAGGIO 2021</v>
      </c>
      <c r="F2472" s="57" t="str">
        <f t="shared" si="1763"/>
        <v>5 MAGGIO 2021</v>
      </c>
      <c r="G2472" s="1309" t="s">
        <v>94</v>
      </c>
      <c r="H2472" s="1309" t="str">
        <f>VLOOKUP(G2472,CATEGORIE!$H$3:$I$104,2,FALSE)</f>
        <v>COSTO SVAGHI</v>
      </c>
      <c r="I2472" s="59">
        <v>200</v>
      </c>
      <c r="J2472" s="940"/>
      <c r="K2472" s="59"/>
      <c r="L2472" s="59"/>
    </row>
    <row r="2473" spans="1:12">
      <c r="A2473" s="57" t="s">
        <v>171</v>
      </c>
      <c r="B2473" s="57" t="s">
        <v>333</v>
      </c>
      <c r="C2473" s="57">
        <v>2021</v>
      </c>
      <c r="D2473" s="58">
        <f>MATCH(B2473,{"GENNAIO","FEBBRAIO","MARZO","APRILE","MAGGIO","GIUGNO","LUGLIO","AGOSTO","SETTEMBRE","OTTOBRE","NOVEMBRE","DICEMBRE"},0)</f>
        <v>5</v>
      </c>
      <c r="E2473" s="57" t="str">
        <f t="shared" si="1762"/>
        <v>MAGGIO 2021</v>
      </c>
      <c r="F2473" s="57" t="str">
        <f t="shared" si="1763"/>
        <v>5 MAGGIO 2021</v>
      </c>
      <c r="G2473" s="1309" t="s">
        <v>132</v>
      </c>
      <c r="H2473" s="1309" t="str">
        <f>VLOOKUP(G2473,CATEGORIE!$H$3:$I$104,2,FALSE)</f>
        <v>COSTO CASA</v>
      </c>
      <c r="I2473" s="59">
        <v>71.849999999999994</v>
      </c>
      <c r="J2473" s="940"/>
      <c r="K2473" s="59"/>
      <c r="L2473" s="59"/>
    </row>
    <row r="2474" spans="1:12">
      <c r="A2474" s="57" t="s">
        <v>135</v>
      </c>
      <c r="B2474" s="57" t="s">
        <v>333</v>
      </c>
      <c r="C2474" s="57">
        <v>2021</v>
      </c>
      <c r="D2474" s="58">
        <f>MATCH(B2474,{"GENNAIO","FEBBRAIO","MARZO","APRILE","MAGGIO","GIUGNO","LUGLIO","AGOSTO","SETTEMBRE","OTTOBRE","NOVEMBRE","DICEMBRE"},0)</f>
        <v>5</v>
      </c>
      <c r="E2474" s="57" t="str">
        <f t="shared" si="1762"/>
        <v>MAGGIO 2021</v>
      </c>
      <c r="F2474" s="57" t="str">
        <f t="shared" si="1763"/>
        <v>5 MAGGIO 2021</v>
      </c>
      <c r="G2474" s="1309" t="s">
        <v>132</v>
      </c>
      <c r="H2474" s="1309" t="str">
        <f>VLOOKUP(G2474,CATEGORIE!$H$3:$I$104,2,FALSE)</f>
        <v>COSTO CASA</v>
      </c>
      <c r="I2474" s="59">
        <v>24.99</v>
      </c>
      <c r="J2474" s="940"/>
      <c r="K2474" s="59"/>
      <c r="L2474" s="59"/>
    </row>
    <row r="2475" spans="1:12">
      <c r="A2475" s="57" t="s">
        <v>629</v>
      </c>
      <c r="B2475" s="57" t="s">
        <v>333</v>
      </c>
      <c r="C2475" s="57">
        <v>2021</v>
      </c>
      <c r="D2475" s="58">
        <f>MATCH(B2475,{"GENNAIO","FEBBRAIO","MARZO","APRILE","MAGGIO","GIUGNO","LUGLIO","AGOSTO","SETTEMBRE","OTTOBRE","NOVEMBRE","DICEMBRE"},0)</f>
        <v>5</v>
      </c>
      <c r="E2475" s="57" t="str">
        <f t="shared" si="1762"/>
        <v>MAGGIO 2021</v>
      </c>
      <c r="F2475" s="57" t="str">
        <f t="shared" si="1763"/>
        <v>5 MAGGIO 2021</v>
      </c>
      <c r="G2475" s="1309" t="s">
        <v>100</v>
      </c>
      <c r="H2475" s="1309" t="str">
        <f>VLOOKUP(G2475,CATEGORIE!$H$3:$I$104,2,FALSE)</f>
        <v>COSTO SFIZI</v>
      </c>
      <c r="I2475" s="59">
        <v>150</v>
      </c>
      <c r="J2475" s="940"/>
      <c r="K2475" s="59"/>
      <c r="L2475" s="59"/>
    </row>
    <row r="2476" spans="1:12">
      <c r="A2476" s="57" t="s">
        <v>99</v>
      </c>
      <c r="B2476" s="57" t="s">
        <v>333</v>
      </c>
      <c r="C2476" s="57">
        <v>2021</v>
      </c>
      <c r="D2476" s="58">
        <f>MATCH(B2476,{"GENNAIO","FEBBRAIO","MARZO","APRILE","MAGGIO","GIUGNO","LUGLIO","AGOSTO","SETTEMBRE","OTTOBRE","NOVEMBRE","DICEMBRE"},0)</f>
        <v>5</v>
      </c>
      <c r="E2476" s="57" t="str">
        <f t="shared" si="1762"/>
        <v>MAGGIO 2021</v>
      </c>
      <c r="F2476" s="57" t="str">
        <f t="shared" si="1763"/>
        <v>5 MAGGIO 2021</v>
      </c>
      <c r="G2476" s="1309" t="s">
        <v>100</v>
      </c>
      <c r="H2476" s="1309" t="str">
        <f>VLOOKUP(G2476,CATEGORIE!$H$3:$I$104,2,FALSE)</f>
        <v>COSTO SFIZI</v>
      </c>
      <c r="I2476" s="59">
        <v>38.630000000000003</v>
      </c>
      <c r="J2476" s="940" t="s">
        <v>197</v>
      </c>
      <c r="K2476" s="57" t="s">
        <v>99</v>
      </c>
      <c r="L2476" s="59" t="s">
        <v>624</v>
      </c>
    </row>
    <row r="2477" spans="1:12">
      <c r="A2477" s="57" t="s">
        <v>99</v>
      </c>
      <c r="B2477" s="57" t="s">
        <v>333</v>
      </c>
      <c r="C2477" s="57">
        <v>2021</v>
      </c>
      <c r="D2477" s="58">
        <f>MATCH(B2477,{"GENNAIO","FEBBRAIO","MARZO","APRILE","MAGGIO","GIUGNO","LUGLIO","AGOSTO","SETTEMBRE","OTTOBRE","NOVEMBRE","DICEMBRE"},0)</f>
        <v>5</v>
      </c>
      <c r="E2477" s="57" t="str">
        <f t="shared" si="1762"/>
        <v>MAGGIO 2021</v>
      </c>
      <c r="F2477" s="57" t="str">
        <f t="shared" si="1763"/>
        <v>5 MAGGIO 2021</v>
      </c>
      <c r="G2477" s="1309" t="s">
        <v>100</v>
      </c>
      <c r="H2477" s="1309" t="str">
        <f>VLOOKUP(G2477,CATEGORIE!$H$3:$I$104,2,FALSE)</f>
        <v>COSTO SFIZI</v>
      </c>
      <c r="I2477" s="59">
        <v>27.45</v>
      </c>
      <c r="J2477" s="940"/>
      <c r="K2477" s="57" t="s">
        <v>99</v>
      </c>
      <c r="L2477" s="59"/>
    </row>
    <row r="2478" spans="1:12">
      <c r="A2478" s="57" t="s">
        <v>99</v>
      </c>
      <c r="B2478" s="57" t="s">
        <v>333</v>
      </c>
      <c r="C2478" s="57">
        <v>2021</v>
      </c>
      <c r="D2478" s="58">
        <f>MATCH(B2478,{"GENNAIO","FEBBRAIO","MARZO","APRILE","MAGGIO","GIUGNO","LUGLIO","AGOSTO","SETTEMBRE","OTTOBRE","NOVEMBRE","DICEMBRE"},0)</f>
        <v>5</v>
      </c>
      <c r="E2478" s="57" t="str">
        <f t="shared" si="1762"/>
        <v>MAGGIO 2021</v>
      </c>
      <c r="F2478" s="57" t="str">
        <f t="shared" si="1763"/>
        <v>5 MAGGIO 2021</v>
      </c>
      <c r="G2478" s="1309" t="s">
        <v>100</v>
      </c>
      <c r="H2478" s="1309" t="str">
        <f>VLOOKUP(G2478,CATEGORIE!$H$3:$I$104,2,FALSE)</f>
        <v>COSTO SFIZI</v>
      </c>
      <c r="I2478" s="59">
        <v>38</v>
      </c>
      <c r="J2478" s="940"/>
      <c r="K2478" s="57" t="s">
        <v>99</v>
      </c>
      <c r="L2478" s="59"/>
    </row>
    <row r="2479" spans="1:12">
      <c r="A2479" s="57" t="s">
        <v>341</v>
      </c>
      <c r="B2479" s="57" t="s">
        <v>333</v>
      </c>
      <c r="C2479" s="57">
        <v>2021</v>
      </c>
      <c r="D2479" s="58">
        <f>MATCH(B2479,{"GENNAIO","FEBBRAIO","MARZO","APRILE","MAGGIO","GIUGNO","LUGLIO","AGOSTO","SETTEMBRE","OTTOBRE","NOVEMBRE","DICEMBRE"},0)</f>
        <v>5</v>
      </c>
      <c r="E2479" s="57" t="str">
        <f t="shared" si="1762"/>
        <v>MAGGIO 2021</v>
      </c>
      <c r="F2479" s="57" t="str">
        <f t="shared" si="1763"/>
        <v>5 MAGGIO 2021</v>
      </c>
      <c r="G2479" s="1309" t="s">
        <v>1250</v>
      </c>
      <c r="H2479" s="1309" t="str">
        <f>VLOOKUP(G2479,CATEGORIE!$H$3:$I$104,2,FALSE)</f>
        <v>COSTO VACANZE</v>
      </c>
      <c r="I2479" s="59">
        <v>132.76</v>
      </c>
      <c r="J2479" s="940"/>
      <c r="K2479" s="59"/>
      <c r="L2479" s="59"/>
    </row>
    <row r="2480" spans="1:12">
      <c r="A2480" s="57" t="s">
        <v>630</v>
      </c>
      <c r="B2480" s="57" t="s">
        <v>333</v>
      </c>
      <c r="C2480" s="57">
        <v>2021</v>
      </c>
      <c r="D2480" s="58">
        <f>MATCH(B2480,{"GENNAIO","FEBBRAIO","MARZO","APRILE","MAGGIO","GIUGNO","LUGLIO","AGOSTO","SETTEMBRE","OTTOBRE","NOVEMBRE","DICEMBRE"},0)</f>
        <v>5</v>
      </c>
      <c r="E2480" s="57" t="str">
        <f t="shared" si="1762"/>
        <v>MAGGIO 2021</v>
      </c>
      <c r="F2480" s="57" t="str">
        <f t="shared" si="1763"/>
        <v>5 MAGGIO 2021</v>
      </c>
      <c r="G2480" s="1309" t="s">
        <v>132</v>
      </c>
      <c r="H2480" s="1309" t="str">
        <f>VLOOKUP(G2480,CATEGORIE!$H$3:$I$104,2,FALSE)</f>
        <v>COSTO CASA</v>
      </c>
      <c r="I2480" s="59">
        <v>132</v>
      </c>
      <c r="J2480" s="940"/>
      <c r="K2480" s="59"/>
      <c r="L2480" s="59"/>
    </row>
    <row r="2481" spans="1:12">
      <c r="A2481" s="57" t="s">
        <v>631</v>
      </c>
      <c r="B2481" s="57" t="s">
        <v>352</v>
      </c>
      <c r="C2481" s="57">
        <v>2021</v>
      </c>
      <c r="D2481" s="58">
        <f>MATCH(B2481,{"GENNAIO","FEBBRAIO","MARZO","APRILE","MAGGIO","GIUGNO","LUGLIO","AGOSTO","SETTEMBRE","OTTOBRE","NOVEMBRE","DICEMBRE"},0)</f>
        <v>4</v>
      </c>
      <c r="E2481" s="57" t="str">
        <f t="shared" si="1762"/>
        <v>APRILE 2021</v>
      </c>
      <c r="F2481" s="57" t="str">
        <f t="shared" si="1763"/>
        <v>4 APRILE 2021</v>
      </c>
      <c r="G2481" s="1309" t="s">
        <v>1235</v>
      </c>
      <c r="H2481" s="1309" t="str">
        <f>VLOOKUP(G2481,CATEGORIE!$H$3:$I$104,2,FALSE)</f>
        <v>COSTO CASA</v>
      </c>
      <c r="I2481" s="59">
        <v>207.33</v>
      </c>
      <c r="J2481" s="940"/>
      <c r="K2481" s="59"/>
      <c r="L2481" s="59"/>
    </row>
    <row r="2482" spans="1:12">
      <c r="A2482" s="57" t="s">
        <v>370</v>
      </c>
      <c r="B2482" s="57" t="s">
        <v>352</v>
      </c>
      <c r="C2482" s="57">
        <v>2021</v>
      </c>
      <c r="D2482" s="58">
        <f>MATCH(B2482,{"GENNAIO","FEBBRAIO","MARZO","APRILE","MAGGIO","GIUGNO","LUGLIO","AGOSTO","SETTEMBRE","OTTOBRE","NOVEMBRE","DICEMBRE"},0)</f>
        <v>4</v>
      </c>
      <c r="E2482" s="57" t="str">
        <f t="shared" si="1762"/>
        <v>APRILE 2021</v>
      </c>
      <c r="F2482" s="57" t="str">
        <f t="shared" si="1763"/>
        <v>4 APRILE 2021</v>
      </c>
      <c r="G2482" s="1309" t="s">
        <v>132</v>
      </c>
      <c r="H2482" s="1309" t="str">
        <f>VLOOKUP(G2482,CATEGORIE!$H$3:$I$104,2,FALSE)</f>
        <v>COSTO CASA</v>
      </c>
      <c r="I2482" s="59">
        <v>91.73</v>
      </c>
      <c r="J2482" s="940"/>
      <c r="K2482" s="59"/>
      <c r="L2482" s="59"/>
    </row>
    <row r="2483" spans="1:12">
      <c r="A2483" s="57" t="s">
        <v>92</v>
      </c>
      <c r="B2483" s="57" t="s">
        <v>352</v>
      </c>
      <c r="C2483" s="57">
        <v>2021</v>
      </c>
      <c r="D2483" s="58">
        <f>MATCH(B2483,{"GENNAIO","FEBBRAIO","MARZO","APRILE","MAGGIO","GIUGNO","LUGLIO","AGOSTO","SETTEMBRE","OTTOBRE","NOVEMBRE","DICEMBRE"},0)</f>
        <v>4</v>
      </c>
      <c r="E2483" s="57" t="str">
        <f t="shared" si="1762"/>
        <v>APRILE 2021</v>
      </c>
      <c r="F2483" s="57" t="str">
        <f t="shared" si="1763"/>
        <v>4 APRILE 2021</v>
      </c>
      <c r="G2483" s="1309" t="s">
        <v>94</v>
      </c>
      <c r="H2483" s="1309" t="str">
        <f>VLOOKUP(G2483,CATEGORIE!$H$3:$I$104,2,FALSE)</f>
        <v>COSTO SVAGHI</v>
      </c>
      <c r="I2483" s="59">
        <v>10.1</v>
      </c>
      <c r="J2483" s="940"/>
      <c r="K2483" s="59"/>
      <c r="L2483" s="59"/>
    </row>
    <row r="2484" spans="1:12">
      <c r="A2484" s="57" t="s">
        <v>99</v>
      </c>
      <c r="B2484" s="57" t="s">
        <v>352</v>
      </c>
      <c r="C2484" s="57">
        <v>2021</v>
      </c>
      <c r="D2484" s="58">
        <f>MATCH(B2484,{"GENNAIO","FEBBRAIO","MARZO","APRILE","MAGGIO","GIUGNO","LUGLIO","AGOSTO","SETTEMBRE","OTTOBRE","NOVEMBRE","DICEMBRE"},0)</f>
        <v>4</v>
      </c>
      <c r="E2484" s="57" t="str">
        <f t="shared" si="1762"/>
        <v>APRILE 2021</v>
      </c>
      <c r="F2484" s="57" t="str">
        <f t="shared" si="1763"/>
        <v>4 APRILE 2021</v>
      </c>
      <c r="G2484" s="1309" t="s">
        <v>100</v>
      </c>
      <c r="H2484" s="1309" t="str">
        <f>VLOOKUP(G2484,CATEGORIE!$H$3:$I$104,2,FALSE)</f>
        <v>COSTO SFIZI</v>
      </c>
      <c r="I2484" s="59">
        <v>39.99</v>
      </c>
      <c r="J2484" s="940"/>
      <c r="K2484" s="57" t="s">
        <v>99</v>
      </c>
      <c r="L2484" s="59"/>
    </row>
    <row r="2485" spans="1:12">
      <c r="A2485" s="57" t="s">
        <v>627</v>
      </c>
      <c r="B2485" s="57" t="s">
        <v>352</v>
      </c>
      <c r="C2485" s="57">
        <v>2021</v>
      </c>
      <c r="D2485" s="58">
        <f>MATCH(B2485,{"GENNAIO","FEBBRAIO","MARZO","APRILE","MAGGIO","GIUGNO","LUGLIO","AGOSTO","SETTEMBRE","OTTOBRE","NOVEMBRE","DICEMBRE"},0)</f>
        <v>4</v>
      </c>
      <c r="E2485" s="57" t="str">
        <f t="shared" si="1762"/>
        <v>APRILE 2021</v>
      </c>
      <c r="F2485" s="57" t="str">
        <f t="shared" si="1763"/>
        <v>4 APRILE 2021</v>
      </c>
      <c r="G2485" s="1309" t="s">
        <v>94</v>
      </c>
      <c r="H2485" s="1309" t="str">
        <f>VLOOKUP(G2485,CATEGORIE!$H$3:$I$104,2,FALSE)</f>
        <v>COSTO SVAGHI</v>
      </c>
      <c r="I2485" s="59">
        <v>12</v>
      </c>
      <c r="J2485" s="940"/>
      <c r="K2485" s="59"/>
      <c r="L2485" s="59"/>
    </row>
    <row r="2486" spans="1:12">
      <c r="A2486" s="57" t="s">
        <v>226</v>
      </c>
      <c r="B2486" s="57" t="s">
        <v>352</v>
      </c>
      <c r="C2486" s="57">
        <v>2021</v>
      </c>
      <c r="D2486" s="58">
        <f>MATCH(B2486,{"GENNAIO","FEBBRAIO","MARZO","APRILE","MAGGIO","GIUGNO","LUGLIO","AGOSTO","SETTEMBRE","OTTOBRE","NOVEMBRE","DICEMBRE"},0)</f>
        <v>4</v>
      </c>
      <c r="E2486" s="57" t="str">
        <f t="shared" si="1762"/>
        <v>APRILE 2021</v>
      </c>
      <c r="F2486" s="57" t="str">
        <f t="shared" si="1763"/>
        <v>4 APRILE 2021</v>
      </c>
      <c r="G2486" s="1309" t="s">
        <v>132</v>
      </c>
      <c r="H2486" s="1309" t="str">
        <f>VLOOKUP(G2486,CATEGORIE!$H$3:$I$104,2,FALSE)</f>
        <v>COSTO CASA</v>
      </c>
      <c r="I2486" s="59">
        <v>19.989999999999998</v>
      </c>
      <c r="J2486" s="940"/>
      <c r="K2486" s="59"/>
      <c r="L2486" s="59"/>
    </row>
    <row r="2487" spans="1:12">
      <c r="A2487" s="57" t="s">
        <v>99</v>
      </c>
      <c r="B2487" s="57" t="s">
        <v>352</v>
      </c>
      <c r="C2487" s="57">
        <v>2021</v>
      </c>
      <c r="D2487" s="58">
        <f>MATCH(B2487,{"GENNAIO","FEBBRAIO","MARZO","APRILE","MAGGIO","GIUGNO","LUGLIO","AGOSTO","SETTEMBRE","OTTOBRE","NOVEMBRE","DICEMBRE"},0)</f>
        <v>4</v>
      </c>
      <c r="E2487" s="57" t="str">
        <f t="shared" si="1762"/>
        <v>APRILE 2021</v>
      </c>
      <c r="F2487" s="57" t="str">
        <f t="shared" si="1763"/>
        <v>4 APRILE 2021</v>
      </c>
      <c r="G2487" s="1309" t="s">
        <v>100</v>
      </c>
      <c r="H2487" s="1309" t="str">
        <f>VLOOKUP(G2487,CATEGORIE!$H$3:$I$104,2,FALSE)</f>
        <v>COSTO SFIZI</v>
      </c>
      <c r="I2487" s="59">
        <v>34.99</v>
      </c>
      <c r="J2487" s="940"/>
      <c r="K2487" s="57" t="s">
        <v>99</v>
      </c>
      <c r="L2487" s="59"/>
    </row>
    <row r="2488" spans="1:12">
      <c r="A2488" s="57" t="s">
        <v>95</v>
      </c>
      <c r="B2488" s="57" t="s">
        <v>352</v>
      </c>
      <c r="C2488" s="57">
        <v>2021</v>
      </c>
      <c r="D2488" s="58">
        <f>MATCH(B2488,{"GENNAIO","FEBBRAIO","MARZO","APRILE","MAGGIO","GIUGNO","LUGLIO","AGOSTO","SETTEMBRE","OTTOBRE","NOVEMBRE","DICEMBRE"},0)</f>
        <v>4</v>
      </c>
      <c r="E2488" s="57" t="str">
        <f t="shared" si="1762"/>
        <v>APRILE 2021</v>
      </c>
      <c r="F2488" s="57" t="str">
        <f t="shared" si="1763"/>
        <v>4 APRILE 2021</v>
      </c>
      <c r="G2488" s="1309" t="s">
        <v>96</v>
      </c>
      <c r="H2488" s="1309" t="str">
        <f>VLOOKUP(G2488,CATEGORIE!$H$3:$I$104,2,FALSE)</f>
        <v>COSTO SOPRAVVIVENZA</v>
      </c>
      <c r="I2488" s="59">
        <v>79</v>
      </c>
      <c r="J2488" s="940"/>
      <c r="K2488" s="59"/>
      <c r="L2488" s="59"/>
    </row>
    <row r="2489" spans="1:12">
      <c r="A2489" s="57" t="s">
        <v>617</v>
      </c>
      <c r="B2489" s="57" t="s">
        <v>352</v>
      </c>
      <c r="C2489" s="57">
        <v>2021</v>
      </c>
      <c r="D2489" s="58">
        <f>MATCH(B2489,{"GENNAIO","FEBBRAIO","MARZO","APRILE","MAGGIO","GIUGNO","LUGLIO","AGOSTO","SETTEMBRE","OTTOBRE","NOVEMBRE","DICEMBRE"},0)</f>
        <v>4</v>
      </c>
      <c r="E2489" s="57" t="str">
        <f t="shared" ref="E2489:E2552" si="1764">CONCATENATE(,B2489," ",C2489)</f>
        <v>APRILE 2021</v>
      </c>
      <c r="F2489" s="57" t="str">
        <f t="shared" ref="F2489:F2552" si="1765">CONCATENATE(D2489," ",E2489)</f>
        <v>4 APRILE 2021</v>
      </c>
      <c r="G2489" s="1309" t="s">
        <v>94</v>
      </c>
      <c r="H2489" s="1309" t="str">
        <f>VLOOKUP(G2489,CATEGORIE!$H$3:$I$104,2,FALSE)</f>
        <v>COSTO SVAGHI</v>
      </c>
      <c r="I2489" s="59">
        <v>4</v>
      </c>
      <c r="J2489" s="940"/>
      <c r="K2489" s="59"/>
      <c r="L2489" s="59"/>
    </row>
    <row r="2490" spans="1:12">
      <c r="A2490" s="57" t="s">
        <v>92</v>
      </c>
      <c r="B2490" s="57" t="s">
        <v>352</v>
      </c>
      <c r="C2490" s="57">
        <v>2021</v>
      </c>
      <c r="D2490" s="58">
        <f>MATCH(B2490,{"GENNAIO","FEBBRAIO","MARZO","APRILE","MAGGIO","GIUGNO","LUGLIO","AGOSTO","SETTEMBRE","OTTOBRE","NOVEMBRE","DICEMBRE"},0)</f>
        <v>4</v>
      </c>
      <c r="E2490" s="57" t="str">
        <f t="shared" si="1764"/>
        <v>APRILE 2021</v>
      </c>
      <c r="F2490" s="57" t="str">
        <f t="shared" si="1765"/>
        <v>4 APRILE 2021</v>
      </c>
      <c r="G2490" s="1309" t="s">
        <v>94</v>
      </c>
      <c r="H2490" s="1309" t="str">
        <f>VLOOKUP(G2490,CATEGORIE!$H$3:$I$104,2,FALSE)</f>
        <v>COSTO SVAGHI</v>
      </c>
      <c r="I2490" s="59">
        <v>5.0999999999999996</v>
      </c>
      <c r="J2490" s="940"/>
      <c r="K2490" s="59"/>
      <c r="L2490" s="59"/>
    </row>
    <row r="2491" spans="1:12">
      <c r="A2491" s="57" t="s">
        <v>92</v>
      </c>
      <c r="B2491" s="57" t="s">
        <v>352</v>
      </c>
      <c r="C2491" s="57">
        <v>2021</v>
      </c>
      <c r="D2491" s="58">
        <f>MATCH(B2491,{"GENNAIO","FEBBRAIO","MARZO","APRILE","MAGGIO","GIUGNO","LUGLIO","AGOSTO","SETTEMBRE","OTTOBRE","NOVEMBRE","DICEMBRE"},0)</f>
        <v>4</v>
      </c>
      <c r="E2491" s="57" t="str">
        <f t="shared" si="1764"/>
        <v>APRILE 2021</v>
      </c>
      <c r="F2491" s="57" t="str">
        <f t="shared" si="1765"/>
        <v>4 APRILE 2021</v>
      </c>
      <c r="G2491" s="1309" t="s">
        <v>94</v>
      </c>
      <c r="H2491" s="1309" t="str">
        <f>VLOOKUP(G2491,CATEGORIE!$H$3:$I$104,2,FALSE)</f>
        <v>COSTO SVAGHI</v>
      </c>
      <c r="I2491" s="59">
        <v>5.0999999999999996</v>
      </c>
      <c r="J2491" s="940"/>
      <c r="K2491" s="59"/>
      <c r="L2491" s="59"/>
    </row>
    <row r="2492" spans="1:12">
      <c r="A2492" s="57" t="s">
        <v>156</v>
      </c>
      <c r="B2492" s="57" t="s">
        <v>352</v>
      </c>
      <c r="C2492" s="57">
        <v>2021</v>
      </c>
      <c r="D2492" s="58">
        <f>MATCH(B2492,{"GENNAIO","FEBBRAIO","MARZO","APRILE","MAGGIO","GIUGNO","LUGLIO","AGOSTO","SETTEMBRE","OTTOBRE","NOVEMBRE","DICEMBRE"},0)</f>
        <v>4</v>
      </c>
      <c r="E2492" s="57" t="str">
        <f t="shared" si="1764"/>
        <v>APRILE 2021</v>
      </c>
      <c r="F2492" s="57" t="str">
        <f t="shared" si="1765"/>
        <v>4 APRILE 2021</v>
      </c>
      <c r="G2492" s="1309" t="s">
        <v>96</v>
      </c>
      <c r="H2492" s="1309" t="str">
        <f>VLOOKUP(G2492,CATEGORIE!$H$3:$I$104,2,FALSE)</f>
        <v>COSTO SOPRAVVIVENZA</v>
      </c>
      <c r="I2492" s="59">
        <v>79.16</v>
      </c>
      <c r="J2492" s="940"/>
      <c r="K2492" s="59"/>
      <c r="L2492" s="59"/>
    </row>
    <row r="2493" spans="1:12">
      <c r="A2493" s="57" t="s">
        <v>156</v>
      </c>
      <c r="B2493" s="57" t="s">
        <v>352</v>
      </c>
      <c r="C2493" s="57">
        <v>2021</v>
      </c>
      <c r="D2493" s="58">
        <f>MATCH(B2493,{"GENNAIO","FEBBRAIO","MARZO","APRILE","MAGGIO","GIUGNO","LUGLIO","AGOSTO","SETTEMBRE","OTTOBRE","NOVEMBRE","DICEMBRE"},0)</f>
        <v>4</v>
      </c>
      <c r="E2493" s="57" t="str">
        <f t="shared" si="1764"/>
        <v>APRILE 2021</v>
      </c>
      <c r="F2493" s="57" t="str">
        <f t="shared" si="1765"/>
        <v>4 APRILE 2021</v>
      </c>
      <c r="G2493" s="1309" t="s">
        <v>96</v>
      </c>
      <c r="H2493" s="1309" t="str">
        <f>VLOOKUP(G2493,CATEGORIE!$H$3:$I$104,2,FALSE)</f>
        <v>COSTO SOPRAVVIVENZA</v>
      </c>
      <c r="I2493" s="59">
        <v>34.36</v>
      </c>
      <c r="J2493" s="940"/>
      <c r="K2493" s="59"/>
      <c r="L2493" s="59"/>
    </row>
    <row r="2494" spans="1:12">
      <c r="A2494" s="57" t="s">
        <v>633</v>
      </c>
      <c r="B2494" s="57" t="s">
        <v>352</v>
      </c>
      <c r="C2494" s="57">
        <v>2021</v>
      </c>
      <c r="D2494" s="58">
        <f>MATCH(B2494,{"GENNAIO","FEBBRAIO","MARZO","APRILE","MAGGIO","GIUGNO","LUGLIO","AGOSTO","SETTEMBRE","OTTOBRE","NOVEMBRE","DICEMBRE"},0)</f>
        <v>4</v>
      </c>
      <c r="E2494" s="57" t="str">
        <f t="shared" si="1764"/>
        <v>APRILE 2021</v>
      </c>
      <c r="F2494" s="57" t="str">
        <f t="shared" si="1765"/>
        <v>4 APRILE 2021</v>
      </c>
      <c r="G2494" s="1309" t="s">
        <v>94</v>
      </c>
      <c r="H2494" s="1309" t="str">
        <f>VLOOKUP(G2494,CATEGORIE!$H$3:$I$104,2,FALSE)</f>
        <v>COSTO SVAGHI</v>
      </c>
      <c r="I2494" s="59">
        <v>39</v>
      </c>
      <c r="J2494" s="940"/>
      <c r="K2494" s="59"/>
      <c r="L2494" s="59"/>
    </row>
    <row r="2495" spans="1:12">
      <c r="A2495" s="57" t="s">
        <v>92</v>
      </c>
      <c r="B2495" s="57" t="s">
        <v>352</v>
      </c>
      <c r="C2495" s="57">
        <v>2021</v>
      </c>
      <c r="D2495" s="58">
        <f>MATCH(B2495,{"GENNAIO","FEBBRAIO","MARZO","APRILE","MAGGIO","GIUGNO","LUGLIO","AGOSTO","SETTEMBRE","OTTOBRE","NOVEMBRE","DICEMBRE"},0)</f>
        <v>4</v>
      </c>
      <c r="E2495" s="57" t="str">
        <f t="shared" si="1764"/>
        <v>APRILE 2021</v>
      </c>
      <c r="F2495" s="57" t="str">
        <f t="shared" si="1765"/>
        <v>4 APRILE 2021</v>
      </c>
      <c r="G2495" s="1309" t="s">
        <v>94</v>
      </c>
      <c r="H2495" s="1309" t="str">
        <f>VLOOKUP(G2495,CATEGORIE!$H$3:$I$104,2,FALSE)</f>
        <v>COSTO SVAGHI</v>
      </c>
      <c r="I2495" s="59">
        <v>24.1</v>
      </c>
      <c r="J2495" s="940"/>
      <c r="K2495" s="59"/>
      <c r="L2495" s="59"/>
    </row>
    <row r="2496" spans="1:12">
      <c r="A2496" s="57" t="s">
        <v>611</v>
      </c>
      <c r="B2496" s="57" t="s">
        <v>352</v>
      </c>
      <c r="C2496" s="57">
        <v>2021</v>
      </c>
      <c r="D2496" s="58">
        <f>MATCH(B2496,{"GENNAIO","FEBBRAIO","MARZO","APRILE","MAGGIO","GIUGNO","LUGLIO","AGOSTO","SETTEMBRE","OTTOBRE","NOVEMBRE","DICEMBRE"},0)</f>
        <v>4</v>
      </c>
      <c r="E2496" s="57" t="str">
        <f t="shared" si="1764"/>
        <v>APRILE 2021</v>
      </c>
      <c r="F2496" s="57" t="str">
        <f t="shared" si="1765"/>
        <v>4 APRILE 2021</v>
      </c>
      <c r="G2496" s="1309" t="s">
        <v>96</v>
      </c>
      <c r="H2496" s="1309" t="str">
        <f>VLOOKUP(G2496,CATEGORIE!$H$3:$I$104,2,FALSE)</f>
        <v>COSTO SOPRAVVIVENZA</v>
      </c>
      <c r="I2496" s="59">
        <v>38.119999999999997</v>
      </c>
      <c r="J2496" s="940"/>
      <c r="K2496" s="59"/>
      <c r="L2496" s="59"/>
    </row>
    <row r="2497" spans="1:12">
      <c r="A2497" s="57" t="s">
        <v>99</v>
      </c>
      <c r="B2497" s="57" t="s">
        <v>352</v>
      </c>
      <c r="C2497" s="57">
        <v>2021</v>
      </c>
      <c r="D2497" s="58">
        <f>MATCH(B2497,{"GENNAIO","FEBBRAIO","MARZO","APRILE","MAGGIO","GIUGNO","LUGLIO","AGOSTO","SETTEMBRE","OTTOBRE","NOVEMBRE","DICEMBRE"},0)</f>
        <v>4</v>
      </c>
      <c r="E2497" s="57" t="str">
        <f t="shared" si="1764"/>
        <v>APRILE 2021</v>
      </c>
      <c r="F2497" s="57" t="str">
        <f t="shared" si="1765"/>
        <v>4 APRILE 2021</v>
      </c>
      <c r="G2497" s="1309" t="s">
        <v>100</v>
      </c>
      <c r="H2497" s="1309" t="str">
        <f>VLOOKUP(G2497,CATEGORIE!$H$3:$I$104,2,FALSE)</f>
        <v>COSTO SFIZI</v>
      </c>
      <c r="I2497" s="59">
        <v>38.630000000000003</v>
      </c>
      <c r="J2497" s="940" t="s">
        <v>126</v>
      </c>
      <c r="K2497" s="57" t="s">
        <v>99</v>
      </c>
      <c r="L2497" s="59" t="s">
        <v>624</v>
      </c>
    </row>
    <row r="2498" spans="1:12">
      <c r="A2498" s="57" t="s">
        <v>92</v>
      </c>
      <c r="B2498" s="57" t="s">
        <v>352</v>
      </c>
      <c r="C2498" s="57">
        <v>2021</v>
      </c>
      <c r="D2498" s="58">
        <f>MATCH(B2498,{"GENNAIO","FEBBRAIO","MARZO","APRILE","MAGGIO","GIUGNO","LUGLIO","AGOSTO","SETTEMBRE","OTTOBRE","NOVEMBRE","DICEMBRE"},0)</f>
        <v>4</v>
      </c>
      <c r="E2498" s="57" t="str">
        <f t="shared" si="1764"/>
        <v>APRILE 2021</v>
      </c>
      <c r="F2498" s="57" t="str">
        <f t="shared" si="1765"/>
        <v>4 APRILE 2021</v>
      </c>
      <c r="G2498" s="1309" t="s">
        <v>94</v>
      </c>
      <c r="H2498" s="1309" t="str">
        <f>VLOOKUP(G2498,CATEGORIE!$H$3:$I$104,2,FALSE)</f>
        <v>COSTO SVAGHI</v>
      </c>
      <c r="I2498" s="59">
        <v>5.0999999999999996</v>
      </c>
      <c r="J2498" s="940"/>
      <c r="K2498" s="59"/>
      <c r="L2498" s="59"/>
    </row>
    <row r="2499" spans="1:12">
      <c r="A2499" s="57" t="s">
        <v>99</v>
      </c>
      <c r="B2499" s="57" t="s">
        <v>352</v>
      </c>
      <c r="C2499" s="57">
        <v>2021</v>
      </c>
      <c r="D2499" s="58">
        <f>MATCH(B2499,{"GENNAIO","FEBBRAIO","MARZO","APRILE","MAGGIO","GIUGNO","LUGLIO","AGOSTO","SETTEMBRE","OTTOBRE","NOVEMBRE","DICEMBRE"},0)</f>
        <v>4</v>
      </c>
      <c r="E2499" s="57" t="str">
        <f t="shared" si="1764"/>
        <v>APRILE 2021</v>
      </c>
      <c r="F2499" s="57" t="str">
        <f t="shared" si="1765"/>
        <v>4 APRILE 2021</v>
      </c>
      <c r="G2499" s="1309" t="s">
        <v>100</v>
      </c>
      <c r="H2499" s="1309" t="str">
        <f>VLOOKUP(G2499,CATEGORIE!$H$3:$I$104,2,FALSE)</f>
        <v>COSTO SFIZI</v>
      </c>
      <c r="I2499" s="59">
        <v>97.96</v>
      </c>
      <c r="J2499" s="940"/>
      <c r="K2499" s="57" t="s">
        <v>99</v>
      </c>
      <c r="L2499" s="59"/>
    </row>
    <row r="2500" spans="1:12">
      <c r="A2500" s="57" t="s">
        <v>617</v>
      </c>
      <c r="B2500" s="57" t="s">
        <v>352</v>
      </c>
      <c r="C2500" s="57">
        <v>2021</v>
      </c>
      <c r="D2500" s="58">
        <f>MATCH(B2500,{"GENNAIO","FEBBRAIO","MARZO","APRILE","MAGGIO","GIUGNO","LUGLIO","AGOSTO","SETTEMBRE","OTTOBRE","NOVEMBRE","DICEMBRE"},0)</f>
        <v>4</v>
      </c>
      <c r="E2500" s="57" t="str">
        <f t="shared" si="1764"/>
        <v>APRILE 2021</v>
      </c>
      <c r="F2500" s="57" t="str">
        <f t="shared" si="1765"/>
        <v>4 APRILE 2021</v>
      </c>
      <c r="G2500" s="1309" t="s">
        <v>94</v>
      </c>
      <c r="H2500" s="1309" t="str">
        <f>VLOOKUP(G2500,CATEGORIE!$H$3:$I$104,2,FALSE)</f>
        <v>COSTO SVAGHI</v>
      </c>
      <c r="I2500" s="59">
        <v>11</v>
      </c>
      <c r="J2500" s="940"/>
      <c r="K2500" s="59"/>
      <c r="L2500" s="59"/>
    </row>
    <row r="2501" spans="1:12" ht="14.25" customHeight="1">
      <c r="A2501" s="57" t="s">
        <v>99</v>
      </c>
      <c r="B2501" s="57" t="s">
        <v>352</v>
      </c>
      <c r="C2501" s="57">
        <v>2021</v>
      </c>
      <c r="D2501" s="58">
        <f>MATCH(B2501,{"GENNAIO","FEBBRAIO","MARZO","APRILE","MAGGIO","GIUGNO","LUGLIO","AGOSTO","SETTEMBRE","OTTOBRE","NOVEMBRE","DICEMBRE"},0)</f>
        <v>4</v>
      </c>
      <c r="E2501" s="57" t="str">
        <f t="shared" si="1764"/>
        <v>APRILE 2021</v>
      </c>
      <c r="F2501" s="57" t="str">
        <f t="shared" si="1765"/>
        <v>4 APRILE 2021</v>
      </c>
      <c r="G2501" s="1309" t="s">
        <v>100</v>
      </c>
      <c r="H2501" s="1309" t="str">
        <f>VLOOKUP(G2501,CATEGORIE!$H$3:$I$104,2,FALSE)</f>
        <v>COSTO SFIZI</v>
      </c>
      <c r="I2501" s="59">
        <v>32</v>
      </c>
      <c r="J2501" s="940"/>
      <c r="K2501" s="57" t="s">
        <v>99</v>
      </c>
      <c r="L2501" s="59"/>
    </row>
    <row r="2502" spans="1:12">
      <c r="A2502" s="57" t="s">
        <v>99</v>
      </c>
      <c r="B2502" s="57" t="s">
        <v>352</v>
      </c>
      <c r="C2502" s="57">
        <v>2021</v>
      </c>
      <c r="D2502" s="58">
        <f>MATCH(B2502,{"GENNAIO","FEBBRAIO","MARZO","APRILE","MAGGIO","GIUGNO","LUGLIO","AGOSTO","SETTEMBRE","OTTOBRE","NOVEMBRE","DICEMBRE"},0)</f>
        <v>4</v>
      </c>
      <c r="E2502" s="57" t="str">
        <f t="shared" si="1764"/>
        <v>APRILE 2021</v>
      </c>
      <c r="F2502" s="57" t="str">
        <f t="shared" si="1765"/>
        <v>4 APRILE 2021</v>
      </c>
      <c r="G2502" s="1309" t="s">
        <v>100</v>
      </c>
      <c r="H2502" s="1309" t="str">
        <f>VLOOKUP(G2502,CATEGORIE!$H$3:$I$104,2,FALSE)</f>
        <v>COSTO SFIZI</v>
      </c>
      <c r="I2502" s="59">
        <v>18.23</v>
      </c>
      <c r="J2502" s="940"/>
      <c r="K2502" s="57" t="s">
        <v>99</v>
      </c>
      <c r="L2502" s="59"/>
    </row>
    <row r="2503" spans="1:12">
      <c r="A2503" s="57" t="s">
        <v>92</v>
      </c>
      <c r="B2503" s="57" t="s">
        <v>90</v>
      </c>
      <c r="C2503" s="57">
        <v>2021</v>
      </c>
      <c r="D2503" s="58">
        <f>MATCH(B2503,{"GENNAIO","FEBBRAIO","MARZO","APRILE","MAGGIO","GIUGNO","LUGLIO","AGOSTO","SETTEMBRE","OTTOBRE","NOVEMBRE","DICEMBRE"},0)</f>
        <v>3</v>
      </c>
      <c r="E2503" s="57" t="str">
        <f t="shared" si="1764"/>
        <v>MARZO 2021</v>
      </c>
      <c r="F2503" s="57" t="str">
        <f t="shared" si="1765"/>
        <v>3 MARZO 2021</v>
      </c>
      <c r="G2503" s="1309" t="s">
        <v>94</v>
      </c>
      <c r="H2503" s="1309" t="str">
        <f>VLOOKUP(G2503,CATEGORIE!$H$3:$I$104,2,FALSE)</f>
        <v>COSTO SVAGHI</v>
      </c>
      <c r="I2503" s="59">
        <v>5.0999999999999996</v>
      </c>
      <c r="J2503" s="940"/>
      <c r="K2503" s="59"/>
      <c r="L2503" s="59"/>
    </row>
    <row r="2504" spans="1:12">
      <c r="A2504" s="57" t="s">
        <v>589</v>
      </c>
      <c r="B2504" s="57" t="s">
        <v>90</v>
      </c>
      <c r="C2504" s="57">
        <v>2021</v>
      </c>
      <c r="D2504" s="58">
        <f>MATCH(B2504,{"GENNAIO","FEBBRAIO","MARZO","APRILE","MAGGIO","GIUGNO","LUGLIO","AGOSTO","SETTEMBRE","OTTOBRE","NOVEMBRE","DICEMBRE"},0)</f>
        <v>3</v>
      </c>
      <c r="E2504" s="57" t="str">
        <f t="shared" si="1764"/>
        <v>MARZO 2021</v>
      </c>
      <c r="F2504" s="57" t="str">
        <f t="shared" si="1765"/>
        <v>3 MARZO 2021</v>
      </c>
      <c r="G2504" s="1309" t="s">
        <v>107</v>
      </c>
      <c r="H2504" s="1309" t="str">
        <f>VLOOKUP(G2504,CATEGORIE!$H$3:$I$104,2,FALSE)</f>
        <v>COSTO SOPRAVVIVENZA</v>
      </c>
      <c r="I2504" s="59">
        <v>105</v>
      </c>
      <c r="J2504" s="940"/>
      <c r="K2504" s="59"/>
      <c r="L2504" s="59"/>
    </row>
    <row r="2505" spans="1:12">
      <c r="A2505" s="57" t="s">
        <v>92</v>
      </c>
      <c r="B2505" s="57" t="s">
        <v>90</v>
      </c>
      <c r="C2505" s="57">
        <v>2021</v>
      </c>
      <c r="D2505" s="58">
        <f>MATCH(B2505,{"GENNAIO","FEBBRAIO","MARZO","APRILE","MAGGIO","GIUGNO","LUGLIO","AGOSTO","SETTEMBRE","OTTOBRE","NOVEMBRE","DICEMBRE"},0)</f>
        <v>3</v>
      </c>
      <c r="E2505" s="57" t="str">
        <f t="shared" si="1764"/>
        <v>MARZO 2021</v>
      </c>
      <c r="F2505" s="57" t="str">
        <f t="shared" si="1765"/>
        <v>3 MARZO 2021</v>
      </c>
      <c r="G2505" s="1309" t="s">
        <v>94</v>
      </c>
      <c r="H2505" s="1309" t="str">
        <f>VLOOKUP(G2505,CATEGORIE!$H$3:$I$104,2,FALSE)</f>
        <v>COSTO SVAGHI</v>
      </c>
      <c r="I2505" s="59">
        <v>5.0999999999999996</v>
      </c>
      <c r="J2505" s="940"/>
      <c r="K2505" s="59"/>
      <c r="L2505" s="59"/>
    </row>
    <row r="2506" spans="1:12">
      <c r="A2506" s="57" t="s">
        <v>347</v>
      </c>
      <c r="B2506" s="57" t="s">
        <v>90</v>
      </c>
      <c r="C2506" s="57">
        <v>2021</v>
      </c>
      <c r="D2506" s="58">
        <f>MATCH(B2506,{"GENNAIO","FEBBRAIO","MARZO","APRILE","MAGGIO","GIUGNO","LUGLIO","AGOSTO","SETTEMBRE","OTTOBRE","NOVEMBRE","DICEMBRE"},0)</f>
        <v>3</v>
      </c>
      <c r="E2506" s="57" t="str">
        <f t="shared" si="1764"/>
        <v>MARZO 2021</v>
      </c>
      <c r="F2506" s="57" t="str">
        <f t="shared" si="1765"/>
        <v>3 MARZO 2021</v>
      </c>
      <c r="G2506" s="1309" t="s">
        <v>108</v>
      </c>
      <c r="H2506" s="1309" t="str">
        <f>VLOOKUP(G2506,CATEGORIE!$H$3:$I$104,2,FALSE)</f>
        <v>COSTO SFIZI</v>
      </c>
      <c r="I2506" s="59">
        <v>54.99</v>
      </c>
      <c r="J2506" s="940"/>
      <c r="K2506" s="59"/>
      <c r="L2506" s="59"/>
    </row>
    <row r="2507" spans="1:12">
      <c r="A2507" s="57" t="s">
        <v>627</v>
      </c>
      <c r="B2507" s="57" t="s">
        <v>90</v>
      </c>
      <c r="C2507" s="57">
        <v>2021</v>
      </c>
      <c r="D2507" s="58">
        <f>MATCH(B2507,{"GENNAIO","FEBBRAIO","MARZO","APRILE","MAGGIO","GIUGNO","LUGLIO","AGOSTO","SETTEMBRE","OTTOBRE","NOVEMBRE","DICEMBRE"},0)</f>
        <v>3</v>
      </c>
      <c r="E2507" s="57" t="str">
        <f t="shared" si="1764"/>
        <v>MARZO 2021</v>
      </c>
      <c r="F2507" s="57" t="str">
        <f t="shared" si="1765"/>
        <v>3 MARZO 2021</v>
      </c>
      <c r="G2507" s="1309" t="s">
        <v>94</v>
      </c>
      <c r="H2507" s="1309" t="str">
        <f>VLOOKUP(G2507,CATEGORIE!$H$3:$I$104,2,FALSE)</f>
        <v>COSTO SVAGHI</v>
      </c>
      <c r="I2507" s="59">
        <v>15.3</v>
      </c>
      <c r="J2507" s="940"/>
      <c r="K2507" s="59"/>
      <c r="L2507" s="59"/>
    </row>
    <row r="2508" spans="1:12" ht="14.25" customHeight="1">
      <c r="A2508" s="57" t="s">
        <v>92</v>
      </c>
      <c r="B2508" s="57" t="s">
        <v>90</v>
      </c>
      <c r="C2508" s="57">
        <v>2021</v>
      </c>
      <c r="D2508" s="58">
        <f>MATCH(B2508,{"GENNAIO","FEBBRAIO","MARZO","APRILE","MAGGIO","GIUGNO","LUGLIO","AGOSTO","SETTEMBRE","OTTOBRE","NOVEMBRE","DICEMBRE"},0)</f>
        <v>3</v>
      </c>
      <c r="E2508" s="57" t="str">
        <f t="shared" si="1764"/>
        <v>MARZO 2021</v>
      </c>
      <c r="F2508" s="57" t="str">
        <f t="shared" si="1765"/>
        <v>3 MARZO 2021</v>
      </c>
      <c r="G2508" s="1309" t="s">
        <v>94</v>
      </c>
      <c r="H2508" s="1309" t="str">
        <f>VLOOKUP(G2508,CATEGORIE!$H$3:$I$104,2,FALSE)</f>
        <v>COSTO SVAGHI</v>
      </c>
      <c r="I2508" s="59">
        <v>4.0999999999999996</v>
      </c>
      <c r="J2508" s="940"/>
      <c r="K2508" s="59"/>
      <c r="L2508" s="59"/>
    </row>
    <row r="2509" spans="1:12" ht="14.25" customHeight="1">
      <c r="A2509" s="57" t="s">
        <v>99</v>
      </c>
      <c r="B2509" s="57" t="s">
        <v>90</v>
      </c>
      <c r="C2509" s="57">
        <v>2021</v>
      </c>
      <c r="D2509" s="58">
        <f>MATCH(B2509,{"GENNAIO","FEBBRAIO","MARZO","APRILE","MAGGIO","GIUGNO","LUGLIO","AGOSTO","SETTEMBRE","OTTOBRE","NOVEMBRE","DICEMBRE"},0)</f>
        <v>3</v>
      </c>
      <c r="E2509" s="57" t="str">
        <f t="shared" si="1764"/>
        <v>MARZO 2021</v>
      </c>
      <c r="F2509" s="57" t="str">
        <f t="shared" si="1765"/>
        <v>3 MARZO 2021</v>
      </c>
      <c r="G2509" s="1309" t="s">
        <v>100</v>
      </c>
      <c r="H2509" s="1309" t="str">
        <f>VLOOKUP(G2509,CATEGORIE!$H$3:$I$104,2,FALSE)</f>
        <v>COSTO SFIZI</v>
      </c>
      <c r="I2509" s="59">
        <v>93</v>
      </c>
      <c r="J2509" s="940"/>
      <c r="K2509" s="57" t="s">
        <v>99</v>
      </c>
      <c r="L2509" s="59"/>
    </row>
    <row r="2510" spans="1:12">
      <c r="A2510" s="57" t="s">
        <v>99</v>
      </c>
      <c r="B2510" s="57" t="s">
        <v>90</v>
      </c>
      <c r="C2510" s="57">
        <v>2021</v>
      </c>
      <c r="D2510" s="58">
        <f>MATCH(B2510,{"GENNAIO","FEBBRAIO","MARZO","APRILE","MAGGIO","GIUGNO","LUGLIO","AGOSTO","SETTEMBRE","OTTOBRE","NOVEMBRE","DICEMBRE"},0)</f>
        <v>3</v>
      </c>
      <c r="E2510" s="57" t="str">
        <f t="shared" si="1764"/>
        <v>MARZO 2021</v>
      </c>
      <c r="F2510" s="57" t="str">
        <f t="shared" si="1765"/>
        <v>3 MARZO 2021</v>
      </c>
      <c r="G2510" s="1309" t="s">
        <v>100</v>
      </c>
      <c r="H2510" s="1309" t="str">
        <f>VLOOKUP(G2510,CATEGORIE!$H$3:$I$104,2,FALSE)</f>
        <v>COSTO SFIZI</v>
      </c>
      <c r="I2510" s="59">
        <v>40.380000000000003</v>
      </c>
      <c r="J2510" s="940"/>
      <c r="K2510" s="57" t="s">
        <v>99</v>
      </c>
      <c r="L2510" s="59"/>
    </row>
    <row r="2511" spans="1:12">
      <c r="A2511" s="57" t="s">
        <v>160</v>
      </c>
      <c r="B2511" s="57" t="s">
        <v>90</v>
      </c>
      <c r="C2511" s="57">
        <v>2021</v>
      </c>
      <c r="D2511" s="58">
        <f>MATCH(B2511,{"GENNAIO","FEBBRAIO","MARZO","APRILE","MAGGIO","GIUGNO","LUGLIO","AGOSTO","SETTEMBRE","OTTOBRE","NOVEMBRE","DICEMBRE"},0)</f>
        <v>3</v>
      </c>
      <c r="E2511" s="57" t="str">
        <f t="shared" si="1764"/>
        <v>MARZO 2021</v>
      </c>
      <c r="F2511" s="57" t="str">
        <f t="shared" si="1765"/>
        <v>3 MARZO 2021</v>
      </c>
      <c r="G2511" s="1309" t="s">
        <v>111</v>
      </c>
      <c r="H2511" s="1309" t="str">
        <f>VLOOKUP(G2511,CATEGORIE!$H$3:$I$104,2,FALSE)</f>
        <v>COSTO MOBILITA'</v>
      </c>
      <c r="I2511" s="59">
        <v>1.7</v>
      </c>
      <c r="J2511" s="940"/>
      <c r="K2511" s="59"/>
      <c r="L2511" s="59"/>
    </row>
    <row r="2512" spans="1:12">
      <c r="A2512" s="57" t="s">
        <v>160</v>
      </c>
      <c r="B2512" s="57" t="s">
        <v>90</v>
      </c>
      <c r="C2512" s="57">
        <v>2021</v>
      </c>
      <c r="D2512" s="58">
        <f>MATCH(B2512,{"GENNAIO","FEBBRAIO","MARZO","APRILE","MAGGIO","GIUGNO","LUGLIO","AGOSTO","SETTEMBRE","OTTOBRE","NOVEMBRE","DICEMBRE"},0)</f>
        <v>3</v>
      </c>
      <c r="E2512" s="57" t="str">
        <f t="shared" si="1764"/>
        <v>MARZO 2021</v>
      </c>
      <c r="F2512" s="57" t="str">
        <f t="shared" si="1765"/>
        <v>3 MARZO 2021</v>
      </c>
      <c r="G2512" s="1309" t="s">
        <v>111</v>
      </c>
      <c r="H2512" s="1309" t="str">
        <f>VLOOKUP(G2512,CATEGORIE!$H$3:$I$104,2,FALSE)</f>
        <v>COSTO MOBILITA'</v>
      </c>
      <c r="I2512" s="59">
        <v>1.7</v>
      </c>
      <c r="J2512" s="940"/>
      <c r="K2512" s="59"/>
      <c r="L2512" s="59"/>
    </row>
    <row r="2513" spans="1:12" ht="14.25" customHeight="1">
      <c r="A2513" s="57" t="s">
        <v>131</v>
      </c>
      <c r="B2513" s="57" t="s">
        <v>90</v>
      </c>
      <c r="C2513" s="57">
        <v>2021</v>
      </c>
      <c r="D2513" s="58">
        <f>MATCH(B2513,{"GENNAIO","FEBBRAIO","MARZO","APRILE","MAGGIO","GIUGNO","LUGLIO","AGOSTO","SETTEMBRE","OTTOBRE","NOVEMBRE","DICEMBRE"},0)</f>
        <v>3</v>
      </c>
      <c r="E2513" s="57" t="str">
        <f t="shared" si="1764"/>
        <v>MARZO 2021</v>
      </c>
      <c r="F2513" s="57" t="str">
        <f t="shared" si="1765"/>
        <v>3 MARZO 2021</v>
      </c>
      <c r="G2513" s="1309" t="s">
        <v>132</v>
      </c>
      <c r="H2513" s="1309" t="str">
        <f>VLOOKUP(G2513,CATEGORIE!$H$3:$I$104,2,FALSE)</f>
        <v>COSTO CASA</v>
      </c>
      <c r="I2513" s="59">
        <v>20</v>
      </c>
      <c r="J2513" s="940"/>
      <c r="K2513" s="59"/>
      <c r="L2513" s="59"/>
    </row>
    <row r="2514" spans="1:12">
      <c r="A2514" s="57" t="s">
        <v>99</v>
      </c>
      <c r="B2514" s="57" t="s">
        <v>90</v>
      </c>
      <c r="C2514" s="57">
        <v>2021</v>
      </c>
      <c r="D2514" s="58">
        <f>MATCH(B2514,{"GENNAIO","FEBBRAIO","MARZO","APRILE","MAGGIO","GIUGNO","LUGLIO","AGOSTO","SETTEMBRE","OTTOBRE","NOVEMBRE","DICEMBRE"},0)</f>
        <v>3</v>
      </c>
      <c r="E2514" s="57" t="str">
        <f t="shared" si="1764"/>
        <v>MARZO 2021</v>
      </c>
      <c r="F2514" s="57" t="str">
        <f t="shared" si="1765"/>
        <v>3 MARZO 2021</v>
      </c>
      <c r="G2514" s="1309" t="s">
        <v>100</v>
      </c>
      <c r="H2514" s="1309" t="str">
        <f>VLOOKUP(G2514,CATEGORIE!$H$3:$I$104,2,FALSE)</f>
        <v>COSTO SFIZI</v>
      </c>
      <c r="I2514" s="59">
        <v>56.91</v>
      </c>
      <c r="J2514" s="940"/>
      <c r="K2514" s="57" t="s">
        <v>99</v>
      </c>
      <c r="L2514" s="59"/>
    </row>
    <row r="2515" spans="1:12">
      <c r="A2515" s="57" t="s">
        <v>633</v>
      </c>
      <c r="B2515" s="57" t="s">
        <v>90</v>
      </c>
      <c r="C2515" s="57">
        <v>2021</v>
      </c>
      <c r="D2515" s="58">
        <f>MATCH(B2515,{"GENNAIO","FEBBRAIO","MARZO","APRILE","MAGGIO","GIUGNO","LUGLIO","AGOSTO","SETTEMBRE","OTTOBRE","NOVEMBRE","DICEMBRE"},0)</f>
        <v>3</v>
      </c>
      <c r="E2515" s="57" t="str">
        <f t="shared" si="1764"/>
        <v>MARZO 2021</v>
      </c>
      <c r="F2515" s="57" t="str">
        <f t="shared" si="1765"/>
        <v>3 MARZO 2021</v>
      </c>
      <c r="G2515" s="1309" t="s">
        <v>94</v>
      </c>
      <c r="H2515" s="1309" t="str">
        <f>VLOOKUP(G2515,CATEGORIE!$H$3:$I$104,2,FALSE)</f>
        <v>COSTO SVAGHI</v>
      </c>
      <c r="I2515" s="59">
        <v>46.4</v>
      </c>
      <c r="J2515" s="940"/>
      <c r="K2515" s="59"/>
      <c r="L2515" s="59"/>
    </row>
    <row r="2516" spans="1:12">
      <c r="A2516" s="57" t="s">
        <v>120</v>
      </c>
      <c r="B2516" s="57" t="s">
        <v>90</v>
      </c>
      <c r="C2516" s="57">
        <v>2021</v>
      </c>
      <c r="D2516" s="58">
        <f>MATCH(B2516,{"GENNAIO","FEBBRAIO","MARZO","APRILE","MAGGIO","GIUGNO","LUGLIO","AGOSTO","SETTEMBRE","OTTOBRE","NOVEMBRE","DICEMBRE"},0)</f>
        <v>3</v>
      </c>
      <c r="E2516" s="57" t="str">
        <f t="shared" si="1764"/>
        <v>MARZO 2021</v>
      </c>
      <c r="F2516" s="57" t="str">
        <f t="shared" si="1765"/>
        <v>3 MARZO 2021</v>
      </c>
      <c r="G2516" s="1309" t="s">
        <v>121</v>
      </c>
      <c r="H2516" s="1309" t="str">
        <f>VLOOKUP(G2516,CATEGORIE!$H$3:$I$104,2,FALSE)</f>
        <v>COSTO MOBILITA'</v>
      </c>
      <c r="I2516" s="59">
        <v>32</v>
      </c>
      <c r="J2516" s="940"/>
      <c r="K2516" s="59"/>
      <c r="L2516" s="59"/>
    </row>
    <row r="2517" spans="1:12">
      <c r="A2517" s="57" t="s">
        <v>131</v>
      </c>
      <c r="B2517" s="57" t="s">
        <v>90</v>
      </c>
      <c r="C2517" s="57">
        <v>2021</v>
      </c>
      <c r="D2517" s="58">
        <f>MATCH(B2517,{"GENNAIO","FEBBRAIO","MARZO","APRILE","MAGGIO","GIUGNO","LUGLIO","AGOSTO","SETTEMBRE","OTTOBRE","NOVEMBRE","DICEMBRE"},0)</f>
        <v>3</v>
      </c>
      <c r="E2517" s="57" t="str">
        <f t="shared" si="1764"/>
        <v>MARZO 2021</v>
      </c>
      <c r="F2517" s="57" t="str">
        <f t="shared" si="1765"/>
        <v>3 MARZO 2021</v>
      </c>
      <c r="G2517" s="1309" t="s">
        <v>132</v>
      </c>
      <c r="H2517" s="1309" t="str">
        <f>VLOOKUP(G2517,CATEGORIE!$H$3:$I$104,2,FALSE)</f>
        <v>COSTO CASA</v>
      </c>
      <c r="I2517" s="59">
        <v>30</v>
      </c>
      <c r="J2517" s="940"/>
      <c r="K2517" s="59"/>
      <c r="L2517" s="59"/>
    </row>
    <row r="2518" spans="1:12">
      <c r="A2518" s="57" t="s">
        <v>99</v>
      </c>
      <c r="B2518" s="57" t="s">
        <v>90</v>
      </c>
      <c r="C2518" s="57">
        <v>2021</v>
      </c>
      <c r="D2518" s="58">
        <f>MATCH(B2518,{"GENNAIO","FEBBRAIO","MARZO","APRILE","MAGGIO","GIUGNO","LUGLIO","AGOSTO","SETTEMBRE","OTTOBRE","NOVEMBRE","DICEMBRE"},0)</f>
        <v>3</v>
      </c>
      <c r="E2518" s="57" t="str">
        <f t="shared" si="1764"/>
        <v>MARZO 2021</v>
      </c>
      <c r="F2518" s="57" t="str">
        <f t="shared" si="1765"/>
        <v>3 MARZO 2021</v>
      </c>
      <c r="G2518" s="1309" t="s">
        <v>100</v>
      </c>
      <c r="H2518" s="1309" t="str">
        <f>VLOOKUP(G2518,CATEGORIE!$H$3:$I$104,2,FALSE)</f>
        <v>COSTO SFIZI</v>
      </c>
      <c r="I2518" s="59">
        <v>38.630000000000003</v>
      </c>
      <c r="J2518" s="940" t="s">
        <v>145</v>
      </c>
      <c r="K2518" s="57" t="s">
        <v>99</v>
      </c>
      <c r="L2518" s="59" t="s">
        <v>624</v>
      </c>
    </row>
    <row r="2519" spans="1:12">
      <c r="A2519" s="57" t="s">
        <v>99</v>
      </c>
      <c r="B2519" s="57" t="s">
        <v>90</v>
      </c>
      <c r="C2519" s="57">
        <v>2021</v>
      </c>
      <c r="D2519" s="58">
        <f>MATCH(B2519,{"GENNAIO","FEBBRAIO","MARZO","APRILE","MAGGIO","GIUGNO","LUGLIO","AGOSTO","SETTEMBRE","OTTOBRE","NOVEMBRE","DICEMBRE"},0)</f>
        <v>3</v>
      </c>
      <c r="E2519" s="57" t="str">
        <f t="shared" si="1764"/>
        <v>MARZO 2021</v>
      </c>
      <c r="F2519" s="57" t="str">
        <f t="shared" si="1765"/>
        <v>3 MARZO 2021</v>
      </c>
      <c r="G2519" s="1309" t="s">
        <v>100</v>
      </c>
      <c r="H2519" s="1309" t="str">
        <f>VLOOKUP(G2519,CATEGORIE!$H$3:$I$104,2,FALSE)</f>
        <v>COSTO SFIZI</v>
      </c>
      <c r="I2519" s="59">
        <v>9.02</v>
      </c>
      <c r="J2519" s="940"/>
      <c r="K2519" s="57" t="s">
        <v>99</v>
      </c>
      <c r="L2519" s="59"/>
    </row>
    <row r="2520" spans="1:12">
      <c r="A2520" s="57" t="s">
        <v>99</v>
      </c>
      <c r="B2520" s="57" t="s">
        <v>90</v>
      </c>
      <c r="C2520" s="57">
        <v>2021</v>
      </c>
      <c r="D2520" s="58">
        <f>MATCH(B2520,{"GENNAIO","FEBBRAIO","MARZO","APRILE","MAGGIO","GIUGNO","LUGLIO","AGOSTO","SETTEMBRE","OTTOBRE","NOVEMBRE","DICEMBRE"},0)</f>
        <v>3</v>
      </c>
      <c r="E2520" s="57" t="str">
        <f t="shared" si="1764"/>
        <v>MARZO 2021</v>
      </c>
      <c r="F2520" s="57" t="str">
        <f t="shared" si="1765"/>
        <v>3 MARZO 2021</v>
      </c>
      <c r="G2520" s="1309" t="s">
        <v>100</v>
      </c>
      <c r="H2520" s="1309" t="str">
        <f>VLOOKUP(G2520,CATEGORIE!$H$3:$I$104,2,FALSE)</f>
        <v>COSTO SFIZI</v>
      </c>
      <c r="I2520" s="59">
        <v>5.3</v>
      </c>
      <c r="J2520" s="940"/>
      <c r="K2520" s="57" t="s">
        <v>99</v>
      </c>
      <c r="L2520" s="59"/>
    </row>
    <row r="2521" spans="1:12">
      <c r="A2521" s="57" t="s">
        <v>99</v>
      </c>
      <c r="B2521" s="57" t="s">
        <v>90</v>
      </c>
      <c r="C2521" s="57">
        <v>2021</v>
      </c>
      <c r="D2521" s="58">
        <f>MATCH(B2521,{"GENNAIO","FEBBRAIO","MARZO","APRILE","MAGGIO","GIUGNO","LUGLIO","AGOSTO","SETTEMBRE","OTTOBRE","NOVEMBRE","DICEMBRE"},0)</f>
        <v>3</v>
      </c>
      <c r="E2521" s="57" t="str">
        <f t="shared" si="1764"/>
        <v>MARZO 2021</v>
      </c>
      <c r="F2521" s="57" t="str">
        <f t="shared" si="1765"/>
        <v>3 MARZO 2021</v>
      </c>
      <c r="G2521" s="1309" t="s">
        <v>100</v>
      </c>
      <c r="H2521" s="1309" t="str">
        <f>VLOOKUP(G2521,CATEGORIE!$H$3:$I$104,2,FALSE)</f>
        <v>COSTO SFIZI</v>
      </c>
      <c r="I2521" s="59">
        <v>5.3</v>
      </c>
      <c r="J2521" s="940"/>
      <c r="K2521" s="57" t="s">
        <v>99</v>
      </c>
      <c r="L2521" s="59"/>
    </row>
    <row r="2522" spans="1:12">
      <c r="A2522" s="57" t="s">
        <v>99</v>
      </c>
      <c r="B2522" s="57" t="s">
        <v>90</v>
      </c>
      <c r="C2522" s="57">
        <v>2021</v>
      </c>
      <c r="D2522" s="58">
        <f>MATCH(B2522,{"GENNAIO","FEBBRAIO","MARZO","APRILE","MAGGIO","GIUGNO","LUGLIO","AGOSTO","SETTEMBRE","OTTOBRE","NOVEMBRE","DICEMBRE"},0)</f>
        <v>3</v>
      </c>
      <c r="E2522" s="57" t="str">
        <f t="shared" si="1764"/>
        <v>MARZO 2021</v>
      </c>
      <c r="F2522" s="57" t="str">
        <f t="shared" si="1765"/>
        <v>3 MARZO 2021</v>
      </c>
      <c r="G2522" s="1309" t="s">
        <v>100</v>
      </c>
      <c r="H2522" s="1309" t="str">
        <f>VLOOKUP(G2522,CATEGORIE!$H$3:$I$104,2,FALSE)</f>
        <v>COSTO SFIZI</v>
      </c>
      <c r="I2522" s="59">
        <v>3.8</v>
      </c>
      <c r="J2522" s="940"/>
      <c r="K2522" s="57" t="s">
        <v>99</v>
      </c>
      <c r="L2522" s="59"/>
    </row>
    <row r="2523" spans="1:12">
      <c r="A2523" s="57" t="s">
        <v>99</v>
      </c>
      <c r="B2523" s="57" t="s">
        <v>90</v>
      </c>
      <c r="C2523" s="57">
        <v>2021</v>
      </c>
      <c r="D2523" s="58">
        <f>MATCH(B2523,{"GENNAIO","FEBBRAIO","MARZO","APRILE","MAGGIO","GIUGNO","LUGLIO","AGOSTO","SETTEMBRE","OTTOBRE","NOVEMBRE","DICEMBRE"},0)</f>
        <v>3</v>
      </c>
      <c r="E2523" s="57" t="str">
        <f t="shared" si="1764"/>
        <v>MARZO 2021</v>
      </c>
      <c r="F2523" s="57" t="str">
        <f t="shared" si="1765"/>
        <v>3 MARZO 2021</v>
      </c>
      <c r="G2523" s="1309" t="s">
        <v>100</v>
      </c>
      <c r="H2523" s="1309" t="str">
        <f>VLOOKUP(G2523,CATEGORIE!$H$3:$I$104,2,FALSE)</f>
        <v>COSTO SFIZI</v>
      </c>
      <c r="I2523" s="59">
        <v>66.5</v>
      </c>
      <c r="J2523" s="940"/>
      <c r="K2523" s="57" t="s">
        <v>99</v>
      </c>
      <c r="L2523" s="59"/>
    </row>
    <row r="2524" spans="1:12" ht="16.5" customHeight="1">
      <c r="A2524" s="57" t="s">
        <v>171</v>
      </c>
      <c r="B2524" s="57" t="s">
        <v>129</v>
      </c>
      <c r="C2524" s="57">
        <v>2021</v>
      </c>
      <c r="D2524" s="58">
        <f>MATCH(B2524,{"GENNAIO","FEBBRAIO","MARZO","APRILE","MAGGIO","GIUGNO","LUGLIO","AGOSTO","SETTEMBRE","OTTOBRE","NOVEMBRE","DICEMBRE"},0)</f>
        <v>2</v>
      </c>
      <c r="E2524" s="57" t="str">
        <f t="shared" si="1764"/>
        <v>FEBBRAIO 2021</v>
      </c>
      <c r="F2524" s="57" t="str">
        <f t="shared" si="1765"/>
        <v>2 FEBBRAIO 2021</v>
      </c>
      <c r="G2524" s="1309" t="s">
        <v>132</v>
      </c>
      <c r="H2524" s="1309" t="str">
        <f>VLOOKUP(G2524,CATEGORIE!$H$3:$I$104,2,FALSE)</f>
        <v>COSTO CASA</v>
      </c>
      <c r="I2524" s="59">
        <v>44.65</v>
      </c>
      <c r="J2524" s="940"/>
      <c r="K2524" s="59"/>
      <c r="L2524" s="59"/>
    </row>
    <row r="2525" spans="1:12" ht="16.5" customHeight="1">
      <c r="A2525" s="57" t="s">
        <v>99</v>
      </c>
      <c r="B2525" s="57" t="s">
        <v>129</v>
      </c>
      <c r="C2525" s="57">
        <v>2021</v>
      </c>
      <c r="D2525" s="58">
        <f>MATCH(B2525,{"GENNAIO","FEBBRAIO","MARZO","APRILE","MAGGIO","GIUGNO","LUGLIO","AGOSTO","SETTEMBRE","OTTOBRE","NOVEMBRE","DICEMBRE"},0)</f>
        <v>2</v>
      </c>
      <c r="E2525" s="57" t="str">
        <f t="shared" si="1764"/>
        <v>FEBBRAIO 2021</v>
      </c>
      <c r="F2525" s="57" t="str">
        <f t="shared" si="1765"/>
        <v>2 FEBBRAIO 2021</v>
      </c>
      <c r="G2525" s="1309" t="s">
        <v>100</v>
      </c>
      <c r="H2525" s="1309" t="str">
        <f>VLOOKUP(G2525,CATEGORIE!$H$3:$I$104,2,FALSE)</f>
        <v>COSTO SFIZI</v>
      </c>
      <c r="I2525" s="59">
        <v>39.409999999999997</v>
      </c>
      <c r="J2525" s="940"/>
      <c r="K2525" s="57" t="s">
        <v>99</v>
      </c>
      <c r="L2525" s="59"/>
    </row>
    <row r="2526" spans="1:12" ht="14.25" customHeight="1">
      <c r="A2526" s="57" t="s">
        <v>99</v>
      </c>
      <c r="B2526" s="57" t="s">
        <v>129</v>
      </c>
      <c r="C2526" s="57">
        <v>2021</v>
      </c>
      <c r="D2526" s="58">
        <f>MATCH(B2526,{"GENNAIO","FEBBRAIO","MARZO","APRILE","MAGGIO","GIUGNO","LUGLIO","AGOSTO","SETTEMBRE","OTTOBRE","NOVEMBRE","DICEMBRE"},0)</f>
        <v>2</v>
      </c>
      <c r="E2526" s="57" t="str">
        <f t="shared" si="1764"/>
        <v>FEBBRAIO 2021</v>
      </c>
      <c r="F2526" s="57" t="str">
        <f t="shared" si="1765"/>
        <v>2 FEBBRAIO 2021</v>
      </c>
      <c r="G2526" s="1309" t="s">
        <v>100</v>
      </c>
      <c r="H2526" s="1309" t="str">
        <f>VLOOKUP(G2526,CATEGORIE!$H$3:$I$104,2,FALSE)</f>
        <v>COSTO SFIZI</v>
      </c>
      <c r="I2526" s="59">
        <v>53.34</v>
      </c>
      <c r="J2526" s="940"/>
      <c r="K2526" s="57" t="s">
        <v>99</v>
      </c>
      <c r="L2526" s="59"/>
    </row>
    <row r="2527" spans="1:12">
      <c r="A2527" s="57" t="s">
        <v>99</v>
      </c>
      <c r="B2527" s="57" t="s">
        <v>129</v>
      </c>
      <c r="C2527" s="57">
        <v>2021</v>
      </c>
      <c r="D2527" s="58">
        <f>MATCH(B2527,{"GENNAIO","FEBBRAIO","MARZO","APRILE","MAGGIO","GIUGNO","LUGLIO","AGOSTO","SETTEMBRE","OTTOBRE","NOVEMBRE","DICEMBRE"},0)</f>
        <v>2</v>
      </c>
      <c r="E2527" s="57" t="str">
        <f t="shared" si="1764"/>
        <v>FEBBRAIO 2021</v>
      </c>
      <c r="F2527" s="57" t="str">
        <f t="shared" si="1765"/>
        <v>2 FEBBRAIO 2021</v>
      </c>
      <c r="G2527" s="1309" t="s">
        <v>185</v>
      </c>
      <c r="H2527" s="1309" t="str">
        <f>VLOOKUP(G2527,CATEGORIE!$H$3:$I$104,2,FALSE)</f>
        <v>COSTO SFIZI</v>
      </c>
      <c r="I2527" s="59">
        <v>17.18</v>
      </c>
      <c r="J2527" s="940" t="s">
        <v>151</v>
      </c>
      <c r="K2527" s="57" t="s">
        <v>99</v>
      </c>
      <c r="L2527" s="59" t="s">
        <v>634</v>
      </c>
    </row>
    <row r="2528" spans="1:12">
      <c r="A2528" s="57" t="s">
        <v>99</v>
      </c>
      <c r="B2528" s="57" t="s">
        <v>129</v>
      </c>
      <c r="C2528" s="57">
        <v>2021</v>
      </c>
      <c r="D2528" s="58">
        <f>MATCH(B2528,{"GENNAIO","FEBBRAIO","MARZO","APRILE","MAGGIO","GIUGNO","LUGLIO","AGOSTO","SETTEMBRE","OTTOBRE","NOVEMBRE","DICEMBRE"},0)</f>
        <v>2</v>
      </c>
      <c r="E2528" s="57" t="str">
        <f t="shared" si="1764"/>
        <v>FEBBRAIO 2021</v>
      </c>
      <c r="F2528" s="57" t="str">
        <f t="shared" si="1765"/>
        <v>2 FEBBRAIO 2021</v>
      </c>
      <c r="G2528" s="1309" t="s">
        <v>185</v>
      </c>
      <c r="H2528" s="1309" t="str">
        <f>VLOOKUP(G2528,CATEGORIE!$H$3:$I$104,2,FALSE)</f>
        <v>COSTO SFIZI</v>
      </c>
      <c r="I2528" s="59">
        <v>99.8</v>
      </c>
      <c r="J2528" s="940" t="s">
        <v>151</v>
      </c>
      <c r="K2528" s="57" t="s">
        <v>99</v>
      </c>
      <c r="L2528" s="59" t="s">
        <v>634</v>
      </c>
    </row>
    <row r="2529" spans="1:12">
      <c r="A2529" s="57" t="s">
        <v>589</v>
      </c>
      <c r="B2529" s="57" t="s">
        <v>129</v>
      </c>
      <c r="C2529" s="57">
        <v>2021</v>
      </c>
      <c r="D2529" s="58">
        <f>MATCH(B2529,{"GENNAIO","FEBBRAIO","MARZO","APRILE","MAGGIO","GIUGNO","LUGLIO","AGOSTO","SETTEMBRE","OTTOBRE","NOVEMBRE","DICEMBRE"},0)</f>
        <v>2</v>
      </c>
      <c r="E2529" s="57" t="str">
        <f t="shared" si="1764"/>
        <v>FEBBRAIO 2021</v>
      </c>
      <c r="F2529" s="57" t="str">
        <f t="shared" si="1765"/>
        <v>2 FEBBRAIO 2021</v>
      </c>
      <c r="G2529" s="1309" t="s">
        <v>107</v>
      </c>
      <c r="H2529" s="1309" t="str">
        <f>VLOOKUP(G2529,CATEGORIE!$H$3:$I$104,2,FALSE)</f>
        <v>COSTO SOPRAVVIVENZA</v>
      </c>
      <c r="I2529" s="59">
        <v>105</v>
      </c>
      <c r="J2529" s="940"/>
      <c r="K2529" s="59"/>
      <c r="L2529" s="59"/>
    </row>
    <row r="2530" spans="1:12">
      <c r="A2530" s="57" t="s">
        <v>131</v>
      </c>
      <c r="B2530" s="57" t="s">
        <v>129</v>
      </c>
      <c r="C2530" s="57">
        <v>2021</v>
      </c>
      <c r="D2530" s="58">
        <f>MATCH(B2530,{"GENNAIO","FEBBRAIO","MARZO","APRILE","MAGGIO","GIUGNO","LUGLIO","AGOSTO","SETTEMBRE","OTTOBRE","NOVEMBRE","DICEMBRE"},0)</f>
        <v>2</v>
      </c>
      <c r="E2530" s="57" t="str">
        <f t="shared" si="1764"/>
        <v>FEBBRAIO 2021</v>
      </c>
      <c r="F2530" s="57" t="str">
        <f t="shared" si="1765"/>
        <v>2 FEBBRAIO 2021</v>
      </c>
      <c r="G2530" s="1309" t="s">
        <v>132</v>
      </c>
      <c r="H2530" s="1309" t="str">
        <f>VLOOKUP(G2530,CATEGORIE!$H$3:$I$104,2,FALSE)</f>
        <v>COSTO CASA</v>
      </c>
      <c r="I2530" s="59">
        <v>45</v>
      </c>
      <c r="J2530" s="940"/>
      <c r="K2530" s="59"/>
      <c r="L2530" s="59"/>
    </row>
    <row r="2531" spans="1:12">
      <c r="A2531" s="57" t="s">
        <v>156</v>
      </c>
      <c r="B2531" s="57" t="s">
        <v>129</v>
      </c>
      <c r="C2531" s="57">
        <v>2021</v>
      </c>
      <c r="D2531" s="58">
        <f>MATCH(B2531,{"GENNAIO","FEBBRAIO","MARZO","APRILE","MAGGIO","GIUGNO","LUGLIO","AGOSTO","SETTEMBRE","OTTOBRE","NOVEMBRE","DICEMBRE"},0)</f>
        <v>2</v>
      </c>
      <c r="E2531" s="57" t="str">
        <f t="shared" si="1764"/>
        <v>FEBBRAIO 2021</v>
      </c>
      <c r="F2531" s="57" t="str">
        <f t="shared" si="1765"/>
        <v>2 FEBBRAIO 2021</v>
      </c>
      <c r="G2531" s="1309" t="s">
        <v>96</v>
      </c>
      <c r="H2531" s="1309" t="str">
        <f>VLOOKUP(G2531,CATEGORIE!$H$3:$I$104,2,FALSE)</f>
        <v>COSTO SOPRAVVIVENZA</v>
      </c>
      <c r="I2531" s="59">
        <v>84.57</v>
      </c>
      <c r="J2531" s="940"/>
      <c r="K2531" s="59"/>
      <c r="L2531" s="59"/>
    </row>
    <row r="2532" spans="1:12">
      <c r="A2532" s="57" t="s">
        <v>626</v>
      </c>
      <c r="B2532" s="57" t="s">
        <v>129</v>
      </c>
      <c r="C2532" s="57">
        <v>2021</v>
      </c>
      <c r="D2532" s="58">
        <f>MATCH(B2532,{"GENNAIO","FEBBRAIO","MARZO","APRILE","MAGGIO","GIUGNO","LUGLIO","AGOSTO","SETTEMBRE","OTTOBRE","NOVEMBRE","DICEMBRE"},0)</f>
        <v>2</v>
      </c>
      <c r="E2532" s="57" t="str">
        <f t="shared" si="1764"/>
        <v>FEBBRAIO 2021</v>
      </c>
      <c r="F2532" s="57" t="str">
        <f t="shared" si="1765"/>
        <v>2 FEBBRAIO 2021</v>
      </c>
      <c r="G2532" s="1309" t="s">
        <v>132</v>
      </c>
      <c r="H2532" s="1309" t="str">
        <f>VLOOKUP(G2532,CATEGORIE!$H$3:$I$104,2,FALSE)</f>
        <v>COSTO CASA</v>
      </c>
      <c r="I2532" s="59">
        <v>7.7</v>
      </c>
      <c r="J2532" s="940"/>
      <c r="K2532" s="59"/>
      <c r="L2532" s="59"/>
    </row>
    <row r="2533" spans="1:12" ht="14.25" customHeight="1">
      <c r="A2533" s="57" t="s">
        <v>99</v>
      </c>
      <c r="B2533" s="57" t="s">
        <v>129</v>
      </c>
      <c r="C2533" s="57">
        <v>2021</v>
      </c>
      <c r="D2533" s="58">
        <f>MATCH(B2533,{"GENNAIO","FEBBRAIO","MARZO","APRILE","MAGGIO","GIUGNO","LUGLIO","AGOSTO","SETTEMBRE","OTTOBRE","NOVEMBRE","DICEMBRE"},0)</f>
        <v>2</v>
      </c>
      <c r="E2533" s="57" t="str">
        <f t="shared" si="1764"/>
        <v>FEBBRAIO 2021</v>
      </c>
      <c r="F2533" s="57" t="str">
        <f t="shared" si="1765"/>
        <v>2 FEBBRAIO 2021</v>
      </c>
      <c r="G2533" s="1309" t="s">
        <v>100</v>
      </c>
      <c r="H2533" s="1309" t="str">
        <f>VLOOKUP(G2533,CATEGORIE!$H$3:$I$104,2,FALSE)</f>
        <v>COSTO SFIZI</v>
      </c>
      <c r="I2533" s="59">
        <v>139.9</v>
      </c>
      <c r="J2533" s="940"/>
      <c r="K2533" s="57" t="s">
        <v>99</v>
      </c>
      <c r="L2533" s="59"/>
    </row>
    <row r="2534" spans="1:12">
      <c r="A2534" s="57" t="s">
        <v>92</v>
      </c>
      <c r="B2534" s="57" t="s">
        <v>129</v>
      </c>
      <c r="C2534" s="57">
        <v>2021</v>
      </c>
      <c r="D2534" s="58">
        <f>MATCH(B2534,{"GENNAIO","FEBBRAIO","MARZO","APRILE","MAGGIO","GIUGNO","LUGLIO","AGOSTO","SETTEMBRE","OTTOBRE","NOVEMBRE","DICEMBRE"},0)</f>
        <v>2</v>
      </c>
      <c r="E2534" s="57" t="str">
        <f t="shared" si="1764"/>
        <v>FEBBRAIO 2021</v>
      </c>
      <c r="F2534" s="57" t="str">
        <f t="shared" si="1765"/>
        <v>2 FEBBRAIO 2021</v>
      </c>
      <c r="G2534" s="1309" t="s">
        <v>94</v>
      </c>
      <c r="H2534" s="1309" t="str">
        <f>VLOOKUP(G2534,CATEGORIE!$H$3:$I$104,2,FALSE)</f>
        <v>COSTO SVAGHI</v>
      </c>
      <c r="I2534" s="59">
        <v>5.0999999999999996</v>
      </c>
      <c r="J2534" s="940"/>
      <c r="K2534" s="59"/>
      <c r="L2534" s="59"/>
    </row>
    <row r="2535" spans="1:12">
      <c r="A2535" s="57" t="s">
        <v>635</v>
      </c>
      <c r="B2535" s="57" t="s">
        <v>154</v>
      </c>
      <c r="C2535" s="57">
        <v>2021</v>
      </c>
      <c r="D2535" s="58">
        <f>MATCH(B2535,{"GENNAIO","FEBBRAIO","MARZO","APRILE","MAGGIO","GIUGNO","LUGLIO","AGOSTO","SETTEMBRE","OTTOBRE","NOVEMBRE","DICEMBRE"},0)</f>
        <v>1</v>
      </c>
      <c r="E2535" s="57" t="str">
        <f t="shared" si="1764"/>
        <v>GENNAIO 2021</v>
      </c>
      <c r="F2535" s="57" t="str">
        <f t="shared" si="1765"/>
        <v>1 GENNAIO 2021</v>
      </c>
      <c r="G2535" s="1309" t="s">
        <v>1235</v>
      </c>
      <c r="H2535" s="1309" t="str">
        <f>VLOOKUP(G2535,CATEGORIE!$H$3:$I$104,2,FALSE)</f>
        <v>COSTO CASA</v>
      </c>
      <c r="I2535" s="59">
        <v>-99.7</v>
      </c>
      <c r="J2535" s="940"/>
      <c r="K2535" s="59"/>
      <c r="L2535" s="59"/>
    </row>
    <row r="2536" spans="1:12" ht="14.25" customHeight="1">
      <c r="A2536" s="57" t="s">
        <v>92</v>
      </c>
      <c r="B2536" s="57" t="s">
        <v>154</v>
      </c>
      <c r="C2536" s="57">
        <v>2021</v>
      </c>
      <c r="D2536" s="58">
        <f>MATCH(B2536,{"GENNAIO","FEBBRAIO","MARZO","APRILE","MAGGIO","GIUGNO","LUGLIO","AGOSTO","SETTEMBRE","OTTOBRE","NOVEMBRE","DICEMBRE"},0)</f>
        <v>1</v>
      </c>
      <c r="E2536" s="57" t="str">
        <f t="shared" si="1764"/>
        <v>GENNAIO 2021</v>
      </c>
      <c r="F2536" s="57" t="str">
        <f t="shared" si="1765"/>
        <v>1 GENNAIO 2021</v>
      </c>
      <c r="G2536" s="1309" t="s">
        <v>94</v>
      </c>
      <c r="H2536" s="1309" t="str">
        <f>VLOOKUP(G2536,CATEGORIE!$H$3:$I$104,2,FALSE)</f>
        <v>COSTO SVAGHI</v>
      </c>
      <c r="I2536" s="59">
        <v>5.0999999999999996</v>
      </c>
      <c r="J2536" s="940"/>
      <c r="K2536" s="59"/>
      <c r="L2536" s="59"/>
    </row>
    <row r="2537" spans="1:12">
      <c r="A2537" s="57" t="s">
        <v>636</v>
      </c>
      <c r="B2537" s="57" t="s">
        <v>154</v>
      </c>
      <c r="C2537" s="57">
        <v>2021</v>
      </c>
      <c r="D2537" s="58">
        <f>MATCH(B2537,{"GENNAIO","FEBBRAIO","MARZO","APRILE","MAGGIO","GIUGNO","LUGLIO","AGOSTO","SETTEMBRE","OTTOBRE","NOVEMBRE","DICEMBRE"},0)</f>
        <v>1</v>
      </c>
      <c r="E2537" s="57" t="str">
        <f t="shared" si="1764"/>
        <v>GENNAIO 2021</v>
      </c>
      <c r="F2537" s="57" t="str">
        <f t="shared" si="1765"/>
        <v>1 GENNAIO 2021</v>
      </c>
      <c r="G2537" s="1309" t="s">
        <v>1235</v>
      </c>
      <c r="H2537" s="1309" t="str">
        <f>VLOOKUP(G2537,CATEGORIE!$H$3:$I$104,2,FALSE)</f>
        <v>COSTO CASA</v>
      </c>
      <c r="I2537" s="59">
        <v>119.6</v>
      </c>
      <c r="J2537" s="940"/>
      <c r="K2537" s="59"/>
      <c r="L2537" s="59"/>
    </row>
    <row r="2538" spans="1:12">
      <c r="A2538" s="57" t="s">
        <v>636</v>
      </c>
      <c r="B2538" s="57" t="s">
        <v>154</v>
      </c>
      <c r="C2538" s="57">
        <v>2021</v>
      </c>
      <c r="D2538" s="58">
        <f>MATCH(B2538,{"GENNAIO","FEBBRAIO","MARZO","APRILE","MAGGIO","GIUGNO","LUGLIO","AGOSTO","SETTEMBRE","OTTOBRE","NOVEMBRE","DICEMBRE"},0)</f>
        <v>1</v>
      </c>
      <c r="E2538" s="57" t="str">
        <f t="shared" si="1764"/>
        <v>GENNAIO 2021</v>
      </c>
      <c r="F2538" s="57" t="str">
        <f t="shared" si="1765"/>
        <v>1 GENNAIO 2021</v>
      </c>
      <c r="G2538" s="1309" t="s">
        <v>1235</v>
      </c>
      <c r="H2538" s="1309" t="str">
        <f>VLOOKUP(G2538,CATEGORIE!$H$3:$I$104,2,FALSE)</f>
        <v>COSTO CASA</v>
      </c>
      <c r="I2538" s="59">
        <v>59</v>
      </c>
      <c r="J2538" s="940"/>
      <c r="K2538" s="59"/>
      <c r="L2538" s="59"/>
    </row>
    <row r="2539" spans="1:12">
      <c r="A2539" s="57" t="s">
        <v>92</v>
      </c>
      <c r="B2539" s="57" t="s">
        <v>154</v>
      </c>
      <c r="C2539" s="57">
        <v>2021</v>
      </c>
      <c r="D2539" s="58">
        <f>MATCH(B2539,{"GENNAIO","FEBBRAIO","MARZO","APRILE","MAGGIO","GIUGNO","LUGLIO","AGOSTO","SETTEMBRE","OTTOBRE","NOVEMBRE","DICEMBRE"},0)</f>
        <v>1</v>
      </c>
      <c r="E2539" s="57" t="str">
        <f t="shared" si="1764"/>
        <v>GENNAIO 2021</v>
      </c>
      <c r="F2539" s="57" t="str">
        <f t="shared" si="1765"/>
        <v>1 GENNAIO 2021</v>
      </c>
      <c r="G2539" s="1309" t="s">
        <v>94</v>
      </c>
      <c r="H2539" s="1309" t="str">
        <f>VLOOKUP(G2539,CATEGORIE!$H$3:$I$104,2,FALSE)</f>
        <v>COSTO SVAGHI</v>
      </c>
      <c r="I2539" s="59">
        <v>5.0999999999999996</v>
      </c>
      <c r="J2539" s="940"/>
      <c r="K2539" s="59"/>
      <c r="L2539" s="59"/>
    </row>
    <row r="2540" spans="1:12">
      <c r="A2540" s="57" t="s">
        <v>635</v>
      </c>
      <c r="B2540" s="57" t="s">
        <v>154</v>
      </c>
      <c r="C2540" s="57">
        <v>2021</v>
      </c>
      <c r="D2540" s="58">
        <f>MATCH(B2540,{"GENNAIO","FEBBRAIO","MARZO","APRILE","MAGGIO","GIUGNO","LUGLIO","AGOSTO","SETTEMBRE","OTTOBRE","NOVEMBRE","DICEMBRE"},0)</f>
        <v>1</v>
      </c>
      <c r="E2540" s="57" t="str">
        <f t="shared" si="1764"/>
        <v>GENNAIO 2021</v>
      </c>
      <c r="F2540" s="57" t="str">
        <f t="shared" si="1765"/>
        <v>1 GENNAIO 2021</v>
      </c>
      <c r="G2540" s="1309" t="s">
        <v>1235</v>
      </c>
      <c r="H2540" s="1309" t="str">
        <f>VLOOKUP(G2540,CATEGORIE!$H$3:$I$104,2,FALSE)</f>
        <v>COSTO CASA</v>
      </c>
      <c r="I2540" s="59">
        <v>99.7</v>
      </c>
      <c r="J2540" s="940"/>
      <c r="K2540" s="59"/>
      <c r="L2540" s="59"/>
    </row>
    <row r="2541" spans="1:12">
      <c r="A2541" s="57" t="s">
        <v>99</v>
      </c>
      <c r="B2541" s="57" t="s">
        <v>154</v>
      </c>
      <c r="C2541" s="57">
        <v>2021</v>
      </c>
      <c r="D2541" s="58">
        <f>MATCH(B2541,{"GENNAIO","FEBBRAIO","MARZO","APRILE","MAGGIO","GIUGNO","LUGLIO","AGOSTO","SETTEMBRE","OTTOBRE","NOVEMBRE","DICEMBRE"},0)</f>
        <v>1</v>
      </c>
      <c r="E2541" s="57" t="str">
        <f t="shared" si="1764"/>
        <v>GENNAIO 2021</v>
      </c>
      <c r="F2541" s="57" t="str">
        <f t="shared" si="1765"/>
        <v>1 GENNAIO 2021</v>
      </c>
      <c r="G2541" s="1309" t="s">
        <v>100</v>
      </c>
      <c r="H2541" s="1309" t="str">
        <f>VLOOKUP(G2541,CATEGORIE!$H$3:$I$104,2,FALSE)</f>
        <v>COSTO SFIZI</v>
      </c>
      <c r="I2541" s="59">
        <v>45</v>
      </c>
      <c r="J2541" s="940"/>
      <c r="K2541" s="57" t="s">
        <v>99</v>
      </c>
      <c r="L2541" s="59"/>
    </row>
    <row r="2542" spans="1:12">
      <c r="A2542" s="57" t="s">
        <v>626</v>
      </c>
      <c r="B2542" s="57" t="s">
        <v>154</v>
      </c>
      <c r="C2542" s="57">
        <v>2021</v>
      </c>
      <c r="D2542" s="58">
        <f>MATCH(B2542,{"GENNAIO","FEBBRAIO","MARZO","APRILE","MAGGIO","GIUGNO","LUGLIO","AGOSTO","SETTEMBRE","OTTOBRE","NOVEMBRE","DICEMBRE"},0)</f>
        <v>1</v>
      </c>
      <c r="E2542" s="57" t="str">
        <f t="shared" si="1764"/>
        <v>GENNAIO 2021</v>
      </c>
      <c r="F2542" s="57" t="str">
        <f t="shared" si="1765"/>
        <v>1 GENNAIO 2021</v>
      </c>
      <c r="G2542" s="1309" t="s">
        <v>132</v>
      </c>
      <c r="H2542" s="1309" t="str">
        <f>VLOOKUP(G2542,CATEGORIE!$H$3:$I$104,2,FALSE)</f>
        <v>COSTO CASA</v>
      </c>
      <c r="I2542" s="59">
        <v>25.6</v>
      </c>
      <c r="J2542" s="940"/>
      <c r="K2542" s="59"/>
      <c r="L2542" s="59"/>
    </row>
    <row r="2543" spans="1:12" ht="16.5" customHeight="1">
      <c r="A2543" s="57" t="s">
        <v>131</v>
      </c>
      <c r="B2543" s="57" t="s">
        <v>154</v>
      </c>
      <c r="C2543" s="57">
        <v>2021</v>
      </c>
      <c r="D2543" s="58">
        <f>MATCH(B2543,{"GENNAIO","FEBBRAIO","MARZO","APRILE","MAGGIO","GIUGNO","LUGLIO","AGOSTO","SETTEMBRE","OTTOBRE","NOVEMBRE","DICEMBRE"},0)</f>
        <v>1</v>
      </c>
      <c r="E2543" s="57" t="str">
        <f t="shared" si="1764"/>
        <v>GENNAIO 2021</v>
      </c>
      <c r="F2543" s="57" t="str">
        <f t="shared" si="1765"/>
        <v>1 GENNAIO 2021</v>
      </c>
      <c r="G2543" s="1309" t="s">
        <v>132</v>
      </c>
      <c r="H2543" s="1309" t="str">
        <f>VLOOKUP(G2543,CATEGORIE!$H$3:$I$104,2,FALSE)</f>
        <v>COSTO CASA</v>
      </c>
      <c r="I2543" s="59">
        <v>6</v>
      </c>
      <c r="J2543" s="940"/>
      <c r="K2543" s="59"/>
      <c r="L2543" s="59"/>
    </row>
    <row r="2544" spans="1:12" ht="16.5" customHeight="1">
      <c r="A2544" s="57" t="s">
        <v>156</v>
      </c>
      <c r="B2544" s="57" t="s">
        <v>154</v>
      </c>
      <c r="C2544" s="57">
        <v>2021</v>
      </c>
      <c r="D2544" s="58">
        <f>MATCH(B2544,{"GENNAIO","FEBBRAIO","MARZO","APRILE","MAGGIO","GIUGNO","LUGLIO","AGOSTO","SETTEMBRE","OTTOBRE","NOVEMBRE","DICEMBRE"},0)</f>
        <v>1</v>
      </c>
      <c r="E2544" s="57" t="str">
        <f t="shared" si="1764"/>
        <v>GENNAIO 2021</v>
      </c>
      <c r="F2544" s="57" t="str">
        <f t="shared" si="1765"/>
        <v>1 GENNAIO 2021</v>
      </c>
      <c r="G2544" s="1309" t="s">
        <v>96</v>
      </c>
      <c r="H2544" s="1309" t="str">
        <f>VLOOKUP(G2544,CATEGORIE!$H$3:$I$104,2,FALSE)</f>
        <v>COSTO SOPRAVVIVENZA</v>
      </c>
      <c r="I2544" s="59">
        <v>28.4</v>
      </c>
      <c r="J2544" s="940"/>
      <c r="K2544" s="59"/>
      <c r="L2544" s="59"/>
    </row>
    <row r="2545" spans="1:12" ht="16.5" customHeight="1">
      <c r="A2545" s="57" t="s">
        <v>99</v>
      </c>
      <c r="B2545" s="57" t="s">
        <v>154</v>
      </c>
      <c r="C2545" s="57">
        <v>2021</v>
      </c>
      <c r="D2545" s="58">
        <f>MATCH(B2545,{"GENNAIO","FEBBRAIO","MARZO","APRILE","MAGGIO","GIUGNO","LUGLIO","AGOSTO","SETTEMBRE","OTTOBRE","NOVEMBRE","DICEMBRE"},0)</f>
        <v>1</v>
      </c>
      <c r="E2545" s="57" t="str">
        <f t="shared" si="1764"/>
        <v>GENNAIO 2021</v>
      </c>
      <c r="F2545" s="57" t="str">
        <f t="shared" si="1765"/>
        <v>1 GENNAIO 2021</v>
      </c>
      <c r="G2545" s="1309" t="s">
        <v>100</v>
      </c>
      <c r="H2545" s="1309" t="str">
        <f>VLOOKUP(G2545,CATEGORIE!$H$3:$I$104,2,FALSE)</f>
        <v>COSTO SFIZI</v>
      </c>
      <c r="I2545" s="59">
        <v>107.22</v>
      </c>
      <c r="J2545" s="940"/>
      <c r="K2545" s="57" t="s">
        <v>99</v>
      </c>
      <c r="L2545" s="59"/>
    </row>
    <row r="2546" spans="1:12">
      <c r="A2546" s="57" t="s">
        <v>637</v>
      </c>
      <c r="B2546" s="57" t="s">
        <v>154</v>
      </c>
      <c r="C2546" s="57">
        <v>2021</v>
      </c>
      <c r="D2546" s="58">
        <f>MATCH(B2546,{"GENNAIO","FEBBRAIO","MARZO","APRILE","MAGGIO","GIUGNO","LUGLIO","AGOSTO","SETTEMBRE","OTTOBRE","NOVEMBRE","DICEMBRE"},0)</f>
        <v>1</v>
      </c>
      <c r="E2546" s="57" t="str">
        <f t="shared" si="1764"/>
        <v>GENNAIO 2021</v>
      </c>
      <c r="F2546" s="57" t="str">
        <f t="shared" si="1765"/>
        <v>1 GENNAIO 2021</v>
      </c>
      <c r="G2546" s="1309" t="s">
        <v>132</v>
      </c>
      <c r="H2546" s="1309" t="str">
        <f>VLOOKUP(G2546,CATEGORIE!$H$3:$I$104,2,FALSE)</f>
        <v>COSTO CASA</v>
      </c>
      <c r="I2546" s="59">
        <v>32</v>
      </c>
      <c r="J2546" s="940"/>
      <c r="K2546" s="59"/>
      <c r="L2546" s="59"/>
    </row>
    <row r="2547" spans="1:12">
      <c r="A2547" s="57" t="s">
        <v>99</v>
      </c>
      <c r="B2547" s="57" t="s">
        <v>154</v>
      </c>
      <c r="C2547" s="57">
        <v>2021</v>
      </c>
      <c r="D2547" s="58">
        <f>MATCH(B2547,{"GENNAIO","FEBBRAIO","MARZO","APRILE","MAGGIO","GIUGNO","LUGLIO","AGOSTO","SETTEMBRE","OTTOBRE","NOVEMBRE","DICEMBRE"},0)</f>
        <v>1</v>
      </c>
      <c r="E2547" s="57" t="str">
        <f t="shared" si="1764"/>
        <v>GENNAIO 2021</v>
      </c>
      <c r="F2547" s="57" t="str">
        <f t="shared" si="1765"/>
        <v>1 GENNAIO 2021</v>
      </c>
      <c r="G2547" s="1309" t="s">
        <v>185</v>
      </c>
      <c r="H2547" s="1309" t="str">
        <f>VLOOKUP(G2547,CATEGORIE!$H$3:$I$104,2,FALSE)</f>
        <v>COSTO SFIZI</v>
      </c>
      <c r="I2547" s="59">
        <v>17.2</v>
      </c>
      <c r="J2547" s="940" t="s">
        <v>167</v>
      </c>
      <c r="K2547" s="57" t="s">
        <v>99</v>
      </c>
      <c r="L2547" s="59" t="s">
        <v>634</v>
      </c>
    </row>
    <row r="2548" spans="1:12">
      <c r="A2548" s="57" t="s">
        <v>99</v>
      </c>
      <c r="B2548" s="57" t="s">
        <v>154</v>
      </c>
      <c r="C2548" s="57">
        <v>2021</v>
      </c>
      <c r="D2548" s="58">
        <f>MATCH(B2548,{"GENNAIO","FEBBRAIO","MARZO","APRILE","MAGGIO","GIUGNO","LUGLIO","AGOSTO","SETTEMBRE","OTTOBRE","NOVEMBRE","DICEMBRE"},0)</f>
        <v>1</v>
      </c>
      <c r="E2548" s="57" t="str">
        <f t="shared" si="1764"/>
        <v>GENNAIO 2021</v>
      </c>
      <c r="F2548" s="57" t="str">
        <f t="shared" si="1765"/>
        <v>1 GENNAIO 2021</v>
      </c>
      <c r="G2548" s="1309" t="s">
        <v>185</v>
      </c>
      <c r="H2548" s="1309" t="str">
        <f>VLOOKUP(G2548,CATEGORIE!$H$3:$I$104,2,FALSE)</f>
        <v>COSTO SFIZI</v>
      </c>
      <c r="I2548" s="59">
        <v>99.8</v>
      </c>
      <c r="J2548" s="940" t="s">
        <v>167</v>
      </c>
      <c r="K2548" s="57" t="s">
        <v>99</v>
      </c>
      <c r="L2548" s="59" t="s">
        <v>634</v>
      </c>
    </row>
    <row r="2549" spans="1:12">
      <c r="A2549" s="57" t="s">
        <v>135</v>
      </c>
      <c r="B2549" s="57" t="s">
        <v>154</v>
      </c>
      <c r="C2549" s="57">
        <v>2021</v>
      </c>
      <c r="D2549" s="58">
        <f>MATCH(B2549,{"GENNAIO","FEBBRAIO","MARZO","APRILE","MAGGIO","GIUGNO","LUGLIO","AGOSTO","SETTEMBRE","OTTOBRE","NOVEMBRE","DICEMBRE"},0)</f>
        <v>1</v>
      </c>
      <c r="E2549" s="57" t="str">
        <f t="shared" si="1764"/>
        <v>GENNAIO 2021</v>
      </c>
      <c r="F2549" s="57" t="str">
        <f t="shared" si="1765"/>
        <v>1 GENNAIO 2021</v>
      </c>
      <c r="G2549" s="1309" t="s">
        <v>132</v>
      </c>
      <c r="H2549" s="1309" t="str">
        <f>VLOOKUP(G2549,CATEGORIE!$H$3:$I$104,2,FALSE)</f>
        <v>COSTO CASA</v>
      </c>
      <c r="I2549" s="59">
        <v>26.1</v>
      </c>
      <c r="J2549" s="940"/>
      <c r="K2549" s="59"/>
      <c r="L2549" s="59"/>
    </row>
    <row r="2550" spans="1:12">
      <c r="A2550" s="57" t="s">
        <v>156</v>
      </c>
      <c r="B2550" s="57" t="s">
        <v>154</v>
      </c>
      <c r="C2550" s="57">
        <v>2021</v>
      </c>
      <c r="D2550" s="58">
        <f>MATCH(B2550,{"GENNAIO","FEBBRAIO","MARZO","APRILE","MAGGIO","GIUGNO","LUGLIO","AGOSTO","SETTEMBRE","OTTOBRE","NOVEMBRE","DICEMBRE"},0)</f>
        <v>1</v>
      </c>
      <c r="E2550" s="57" t="str">
        <f t="shared" si="1764"/>
        <v>GENNAIO 2021</v>
      </c>
      <c r="F2550" s="57" t="str">
        <f t="shared" si="1765"/>
        <v>1 GENNAIO 2021</v>
      </c>
      <c r="G2550" s="1309" t="s">
        <v>96</v>
      </c>
      <c r="H2550" s="1309" t="str">
        <f>VLOOKUP(G2550,CATEGORIE!$H$3:$I$104,2,FALSE)</f>
        <v>COSTO SOPRAVVIVENZA</v>
      </c>
      <c r="I2550" s="59">
        <v>28.84</v>
      </c>
      <c r="J2550" s="940"/>
      <c r="K2550" s="59"/>
      <c r="L2550" s="59"/>
    </row>
    <row r="2551" spans="1:12">
      <c r="A2551" s="57" t="s">
        <v>135</v>
      </c>
      <c r="B2551" s="57" t="s">
        <v>154</v>
      </c>
      <c r="C2551" s="57">
        <v>2021</v>
      </c>
      <c r="D2551" s="58">
        <f>MATCH(B2551,{"GENNAIO","FEBBRAIO","MARZO","APRILE","MAGGIO","GIUGNO","LUGLIO","AGOSTO","SETTEMBRE","OTTOBRE","NOVEMBRE","DICEMBRE"},0)</f>
        <v>1</v>
      </c>
      <c r="E2551" s="57" t="str">
        <f t="shared" si="1764"/>
        <v>GENNAIO 2021</v>
      </c>
      <c r="F2551" s="57" t="str">
        <f t="shared" si="1765"/>
        <v>1 GENNAIO 2021</v>
      </c>
      <c r="G2551" s="1309" t="s">
        <v>132</v>
      </c>
      <c r="H2551" s="1309" t="str">
        <f>VLOOKUP(G2551,CATEGORIE!$H$3:$I$104,2,FALSE)</f>
        <v>COSTO CASA</v>
      </c>
      <c r="I2551" s="59">
        <v>11.5</v>
      </c>
      <c r="J2551" s="940"/>
      <c r="K2551" s="59"/>
      <c r="L2551" s="59"/>
    </row>
    <row r="2552" spans="1:12">
      <c r="A2552" s="57" t="s">
        <v>638</v>
      </c>
      <c r="B2552" s="57" t="s">
        <v>154</v>
      </c>
      <c r="C2552" s="57">
        <v>2021</v>
      </c>
      <c r="D2552" s="58">
        <f>MATCH(B2552,{"GENNAIO","FEBBRAIO","MARZO","APRILE","MAGGIO","GIUGNO","LUGLIO","AGOSTO","SETTEMBRE","OTTOBRE","NOVEMBRE","DICEMBRE"},0)</f>
        <v>1</v>
      </c>
      <c r="E2552" s="57" t="str">
        <f t="shared" si="1764"/>
        <v>GENNAIO 2021</v>
      </c>
      <c r="F2552" s="57" t="str">
        <f t="shared" si="1765"/>
        <v>1 GENNAIO 2021</v>
      </c>
      <c r="G2552" s="1309" t="s">
        <v>385</v>
      </c>
      <c r="H2552" s="1309" t="str">
        <f>VLOOKUP(G2552,CATEGORIE!$H$3:$I$104,2,FALSE)</f>
        <v>COSTO SFIZI</v>
      </c>
      <c r="I2552" s="59">
        <v>8.24</v>
      </c>
      <c r="J2552" s="940"/>
      <c r="K2552" s="59"/>
      <c r="L2552" s="59"/>
    </row>
    <row r="2553" spans="1:12" ht="14.25" customHeight="1">
      <c r="A2553" s="57" t="s">
        <v>171</v>
      </c>
      <c r="B2553" s="57" t="s">
        <v>154</v>
      </c>
      <c r="C2553" s="57">
        <v>2021</v>
      </c>
      <c r="D2553" s="58">
        <f>MATCH(B2553,{"GENNAIO","FEBBRAIO","MARZO","APRILE","MAGGIO","GIUGNO","LUGLIO","AGOSTO","SETTEMBRE","OTTOBRE","NOVEMBRE","DICEMBRE"},0)</f>
        <v>1</v>
      </c>
      <c r="E2553" s="57" t="str">
        <f t="shared" ref="E2553:E2616" si="1766">CONCATENATE(,B2553," ",C2553)</f>
        <v>GENNAIO 2021</v>
      </c>
      <c r="F2553" s="57" t="str">
        <f t="shared" ref="F2553:F2616" si="1767">CONCATENATE(D2553," ",E2553)</f>
        <v>1 GENNAIO 2021</v>
      </c>
      <c r="G2553" s="1309" t="s">
        <v>132</v>
      </c>
      <c r="H2553" s="1309" t="str">
        <f>VLOOKUP(G2553,CATEGORIE!$H$3:$I$104,2,FALSE)</f>
        <v>COSTO CASA</v>
      </c>
      <c r="I2553" s="59">
        <v>9.4</v>
      </c>
      <c r="J2553" s="940"/>
      <c r="K2553" s="59"/>
      <c r="L2553" s="59"/>
    </row>
    <row r="2554" spans="1:12" ht="14.25" customHeight="1">
      <c r="A2554" s="57" t="s">
        <v>639</v>
      </c>
      <c r="B2554" s="57" t="s">
        <v>154</v>
      </c>
      <c r="C2554" s="57">
        <v>2021</v>
      </c>
      <c r="D2554" s="58">
        <f>MATCH(B2554,{"GENNAIO","FEBBRAIO","MARZO","APRILE","MAGGIO","GIUGNO","LUGLIO","AGOSTO","SETTEMBRE","OTTOBRE","NOVEMBRE","DICEMBRE"},0)</f>
        <v>1</v>
      </c>
      <c r="E2554" s="57" t="str">
        <f t="shared" si="1766"/>
        <v>GENNAIO 2021</v>
      </c>
      <c r="F2554" s="57" t="str">
        <f t="shared" si="1767"/>
        <v>1 GENNAIO 2021</v>
      </c>
      <c r="G2554" s="1309" t="s">
        <v>132</v>
      </c>
      <c r="H2554" s="1309" t="str">
        <f>VLOOKUP(G2554,CATEGORIE!$H$3:$I$104,2,FALSE)</f>
        <v>COSTO CASA</v>
      </c>
      <c r="I2554" s="59">
        <v>10.97</v>
      </c>
      <c r="J2554" s="940"/>
      <c r="K2554" s="59"/>
      <c r="L2554" s="59"/>
    </row>
    <row r="2555" spans="1:12">
      <c r="A2555" s="57" t="s">
        <v>156</v>
      </c>
      <c r="B2555" s="57" t="s">
        <v>154</v>
      </c>
      <c r="C2555" s="57">
        <v>2021</v>
      </c>
      <c r="D2555" s="58">
        <f>MATCH(B2555,{"GENNAIO","FEBBRAIO","MARZO","APRILE","MAGGIO","GIUGNO","LUGLIO","AGOSTO","SETTEMBRE","OTTOBRE","NOVEMBRE","DICEMBRE"},0)</f>
        <v>1</v>
      </c>
      <c r="E2555" s="57" t="str">
        <f t="shared" si="1766"/>
        <v>GENNAIO 2021</v>
      </c>
      <c r="F2555" s="57" t="str">
        <f t="shared" si="1767"/>
        <v>1 GENNAIO 2021</v>
      </c>
      <c r="G2555" s="1309" t="s">
        <v>96</v>
      </c>
      <c r="H2555" s="1309" t="str">
        <f>VLOOKUP(G2555,CATEGORIE!$H$3:$I$104,2,FALSE)</f>
        <v>COSTO SOPRAVVIVENZA</v>
      </c>
      <c r="I2555" s="59">
        <v>68.38</v>
      </c>
      <c r="J2555" s="940"/>
      <c r="K2555" s="59"/>
      <c r="L2555" s="59"/>
    </row>
    <row r="2556" spans="1:12">
      <c r="A2556" s="57" t="s">
        <v>92</v>
      </c>
      <c r="B2556" s="57" t="s">
        <v>173</v>
      </c>
      <c r="C2556" s="57">
        <v>2020</v>
      </c>
      <c r="D2556" s="58">
        <f>MATCH(B2556,{"GENNAIO","FEBBRAIO","MARZO","APRILE","MAGGIO","GIUGNO","LUGLIO","AGOSTO","SETTEMBRE","OTTOBRE","NOVEMBRE","DICEMBRE"},0)</f>
        <v>12</v>
      </c>
      <c r="E2556" s="57" t="str">
        <f t="shared" si="1766"/>
        <v>DICEMBRE 2020</v>
      </c>
      <c r="F2556" s="57" t="str">
        <f t="shared" si="1767"/>
        <v>12 DICEMBRE 2020</v>
      </c>
      <c r="G2556" s="1309" t="s">
        <v>94</v>
      </c>
      <c r="H2556" s="1309" t="str">
        <f>VLOOKUP(G2556,CATEGORIE!$H$3:$I$104,2,FALSE)</f>
        <v>COSTO SVAGHI</v>
      </c>
      <c r="I2556" s="59">
        <v>10.199999999999999</v>
      </c>
      <c r="J2556" s="940"/>
      <c r="K2556" s="59"/>
      <c r="L2556" s="59"/>
    </row>
    <row r="2557" spans="1:12">
      <c r="A2557" s="57" t="s">
        <v>92</v>
      </c>
      <c r="B2557" s="57" t="s">
        <v>173</v>
      </c>
      <c r="C2557" s="57">
        <v>2020</v>
      </c>
      <c r="D2557" s="58">
        <f>MATCH(B2557,{"GENNAIO","FEBBRAIO","MARZO","APRILE","MAGGIO","GIUGNO","LUGLIO","AGOSTO","SETTEMBRE","OTTOBRE","NOVEMBRE","DICEMBRE"},0)</f>
        <v>12</v>
      </c>
      <c r="E2557" s="57" t="str">
        <f t="shared" si="1766"/>
        <v>DICEMBRE 2020</v>
      </c>
      <c r="F2557" s="57" t="str">
        <f t="shared" si="1767"/>
        <v>12 DICEMBRE 2020</v>
      </c>
      <c r="G2557" s="1309" t="s">
        <v>94</v>
      </c>
      <c r="H2557" s="1309" t="str">
        <f>VLOOKUP(G2557,CATEGORIE!$H$3:$I$104,2,FALSE)</f>
        <v>COSTO SVAGHI</v>
      </c>
      <c r="I2557" s="59">
        <v>14.3</v>
      </c>
      <c r="J2557" s="940"/>
      <c r="K2557" s="59"/>
      <c r="L2557" s="59"/>
    </row>
    <row r="2558" spans="1:12">
      <c r="A2558" s="57" t="s">
        <v>300</v>
      </c>
      <c r="B2558" s="57" t="s">
        <v>173</v>
      </c>
      <c r="C2558" s="57">
        <v>2020</v>
      </c>
      <c r="D2558" s="58">
        <f>MATCH(B2558,{"GENNAIO","FEBBRAIO","MARZO","APRILE","MAGGIO","GIUGNO","LUGLIO","AGOSTO","SETTEMBRE","OTTOBRE","NOVEMBRE","DICEMBRE"},0)</f>
        <v>12</v>
      </c>
      <c r="E2558" s="57" t="str">
        <f t="shared" si="1766"/>
        <v>DICEMBRE 2020</v>
      </c>
      <c r="F2558" s="57" t="str">
        <f t="shared" si="1767"/>
        <v>12 DICEMBRE 2020</v>
      </c>
      <c r="G2558" s="1309" t="s">
        <v>94</v>
      </c>
      <c r="H2558" s="1309" t="str">
        <f>VLOOKUP(G2558,CATEGORIE!$H$3:$I$104,2,FALSE)</f>
        <v>COSTO SVAGHI</v>
      </c>
      <c r="I2558" s="59">
        <v>126</v>
      </c>
      <c r="J2558" s="940"/>
      <c r="K2558" s="59"/>
      <c r="L2558" s="59"/>
    </row>
    <row r="2559" spans="1:12">
      <c r="A2559" s="57" t="s">
        <v>156</v>
      </c>
      <c r="B2559" s="57" t="s">
        <v>173</v>
      </c>
      <c r="C2559" s="57">
        <v>2020</v>
      </c>
      <c r="D2559" s="58">
        <f>MATCH(B2559,{"GENNAIO","FEBBRAIO","MARZO","APRILE","MAGGIO","GIUGNO","LUGLIO","AGOSTO","SETTEMBRE","OTTOBRE","NOVEMBRE","DICEMBRE"},0)</f>
        <v>12</v>
      </c>
      <c r="E2559" s="57" t="str">
        <f t="shared" si="1766"/>
        <v>DICEMBRE 2020</v>
      </c>
      <c r="F2559" s="57" t="str">
        <f t="shared" si="1767"/>
        <v>12 DICEMBRE 2020</v>
      </c>
      <c r="G2559" s="1309" t="s">
        <v>96</v>
      </c>
      <c r="H2559" s="1309" t="str">
        <f>VLOOKUP(G2559,CATEGORIE!$H$3:$I$104,2,FALSE)</f>
        <v>COSTO SOPRAVVIVENZA</v>
      </c>
      <c r="I2559" s="59">
        <v>8.8000000000000007</v>
      </c>
      <c r="J2559" s="940"/>
      <c r="K2559" s="59"/>
      <c r="L2559" s="59"/>
    </row>
    <row r="2560" spans="1:12">
      <c r="A2560" s="57" t="s">
        <v>156</v>
      </c>
      <c r="B2560" s="57" t="s">
        <v>173</v>
      </c>
      <c r="C2560" s="57">
        <v>2020</v>
      </c>
      <c r="D2560" s="58">
        <f>MATCH(B2560,{"GENNAIO","FEBBRAIO","MARZO","APRILE","MAGGIO","GIUGNO","LUGLIO","AGOSTO","SETTEMBRE","OTTOBRE","NOVEMBRE","DICEMBRE"},0)</f>
        <v>12</v>
      </c>
      <c r="E2560" s="57" t="str">
        <f t="shared" si="1766"/>
        <v>DICEMBRE 2020</v>
      </c>
      <c r="F2560" s="57" t="str">
        <f t="shared" si="1767"/>
        <v>12 DICEMBRE 2020</v>
      </c>
      <c r="G2560" s="1309" t="s">
        <v>96</v>
      </c>
      <c r="H2560" s="1309" t="str">
        <f>VLOOKUP(G2560,CATEGORIE!$H$3:$I$104,2,FALSE)</f>
        <v>COSTO SOPRAVVIVENZA</v>
      </c>
      <c r="I2560" s="59">
        <v>79.22</v>
      </c>
      <c r="J2560" s="940"/>
      <c r="K2560" s="59"/>
      <c r="L2560" s="59"/>
    </row>
    <row r="2561" spans="1:12">
      <c r="A2561" s="57" t="s">
        <v>99</v>
      </c>
      <c r="B2561" s="57" t="s">
        <v>173</v>
      </c>
      <c r="C2561" s="57">
        <v>2020</v>
      </c>
      <c r="D2561" s="58">
        <f>MATCH(B2561,{"GENNAIO","FEBBRAIO","MARZO","APRILE","MAGGIO","GIUGNO","LUGLIO","AGOSTO","SETTEMBRE","OTTOBRE","NOVEMBRE","DICEMBRE"},0)</f>
        <v>12</v>
      </c>
      <c r="E2561" s="57" t="str">
        <f t="shared" si="1766"/>
        <v>DICEMBRE 2020</v>
      </c>
      <c r="F2561" s="57" t="str">
        <f t="shared" si="1767"/>
        <v>12 DICEMBRE 2020</v>
      </c>
      <c r="G2561" s="1309" t="s">
        <v>100</v>
      </c>
      <c r="H2561" s="1309" t="str">
        <f>VLOOKUP(G2561,CATEGORIE!$H$3:$I$104,2,FALSE)</f>
        <v>COSTO SFIZI</v>
      </c>
      <c r="I2561" s="59">
        <v>158</v>
      </c>
      <c r="J2561" s="940"/>
      <c r="K2561" s="57" t="s">
        <v>99</v>
      </c>
      <c r="L2561" s="59"/>
    </row>
    <row r="2562" spans="1:12">
      <c r="A2562" s="57" t="s">
        <v>99</v>
      </c>
      <c r="B2562" s="57" t="s">
        <v>173</v>
      </c>
      <c r="C2562" s="57">
        <v>2020</v>
      </c>
      <c r="D2562" s="58">
        <f>MATCH(B2562,{"GENNAIO","FEBBRAIO","MARZO","APRILE","MAGGIO","GIUGNO","LUGLIO","AGOSTO","SETTEMBRE","OTTOBRE","NOVEMBRE","DICEMBRE"},0)</f>
        <v>12</v>
      </c>
      <c r="E2562" s="57" t="str">
        <f t="shared" si="1766"/>
        <v>DICEMBRE 2020</v>
      </c>
      <c r="F2562" s="57" t="str">
        <f t="shared" si="1767"/>
        <v>12 DICEMBRE 2020</v>
      </c>
      <c r="G2562" s="1309" t="s">
        <v>100</v>
      </c>
      <c r="H2562" s="1309" t="str">
        <f>VLOOKUP(G2562,CATEGORIE!$H$3:$I$104,2,FALSE)</f>
        <v>COSTO SFIZI</v>
      </c>
      <c r="I2562" s="59">
        <v>49.99</v>
      </c>
      <c r="J2562" s="940"/>
      <c r="K2562" s="57" t="s">
        <v>99</v>
      </c>
      <c r="L2562" s="59"/>
    </row>
    <row r="2563" spans="1:12">
      <c r="A2563" s="57" t="s">
        <v>156</v>
      </c>
      <c r="B2563" s="57" t="s">
        <v>173</v>
      </c>
      <c r="C2563" s="57">
        <v>2020</v>
      </c>
      <c r="D2563" s="58">
        <f>MATCH(B2563,{"GENNAIO","FEBBRAIO","MARZO","APRILE","MAGGIO","GIUGNO","LUGLIO","AGOSTO","SETTEMBRE","OTTOBRE","NOVEMBRE","DICEMBRE"},0)</f>
        <v>12</v>
      </c>
      <c r="E2563" s="57" t="str">
        <f t="shared" si="1766"/>
        <v>DICEMBRE 2020</v>
      </c>
      <c r="F2563" s="57" t="str">
        <f t="shared" si="1767"/>
        <v>12 DICEMBRE 2020</v>
      </c>
      <c r="G2563" s="1309" t="s">
        <v>96</v>
      </c>
      <c r="H2563" s="1309" t="str">
        <f>VLOOKUP(G2563,CATEGORIE!$H$3:$I$104,2,FALSE)</f>
        <v>COSTO SOPRAVVIVENZA</v>
      </c>
      <c r="I2563" s="59">
        <v>54.98</v>
      </c>
      <c r="J2563" s="940"/>
      <c r="K2563" s="59"/>
      <c r="L2563" s="59"/>
    </row>
    <row r="2564" spans="1:12">
      <c r="A2564" s="57" t="s">
        <v>591</v>
      </c>
      <c r="B2564" s="57" t="s">
        <v>173</v>
      </c>
      <c r="C2564" s="57">
        <v>2020</v>
      </c>
      <c r="D2564" s="58">
        <f>MATCH(B2564,{"GENNAIO","FEBBRAIO","MARZO","APRILE","MAGGIO","GIUGNO","LUGLIO","AGOSTO","SETTEMBRE","OTTOBRE","NOVEMBRE","DICEMBRE"},0)</f>
        <v>12</v>
      </c>
      <c r="E2564" s="57" t="str">
        <f t="shared" si="1766"/>
        <v>DICEMBRE 2020</v>
      </c>
      <c r="F2564" s="57" t="str">
        <f t="shared" si="1767"/>
        <v>12 DICEMBRE 2020</v>
      </c>
      <c r="G2564" s="1309" t="s">
        <v>1289</v>
      </c>
      <c r="H2564" s="1309" t="str">
        <f>VLOOKUP(G2564,CATEGORIE!$H$3:$I$104,2,FALSE)</f>
        <v>COSTO SFIZI</v>
      </c>
      <c r="I2564" s="59">
        <v>150</v>
      </c>
      <c r="J2564" s="940"/>
      <c r="K2564" s="59"/>
      <c r="L2564" s="59"/>
    </row>
    <row r="2565" spans="1:12">
      <c r="A2565" s="57" t="s">
        <v>135</v>
      </c>
      <c r="B2565" s="57" t="s">
        <v>173</v>
      </c>
      <c r="C2565" s="57">
        <v>2020</v>
      </c>
      <c r="D2565" s="58">
        <f>MATCH(B2565,{"GENNAIO","FEBBRAIO","MARZO","APRILE","MAGGIO","GIUGNO","LUGLIO","AGOSTO","SETTEMBRE","OTTOBRE","NOVEMBRE","DICEMBRE"},0)</f>
        <v>12</v>
      </c>
      <c r="E2565" s="57" t="str">
        <f t="shared" si="1766"/>
        <v>DICEMBRE 2020</v>
      </c>
      <c r="F2565" s="57" t="str">
        <f t="shared" si="1767"/>
        <v>12 DICEMBRE 2020</v>
      </c>
      <c r="G2565" s="1309" t="s">
        <v>132</v>
      </c>
      <c r="H2565" s="1309" t="str">
        <f>VLOOKUP(G2565,CATEGORIE!$H$3:$I$104,2,FALSE)</f>
        <v>COSTO CASA</v>
      </c>
      <c r="I2565" s="59">
        <v>14.6</v>
      </c>
      <c r="J2565" s="940"/>
      <c r="K2565" s="59"/>
      <c r="L2565" s="59"/>
    </row>
    <row r="2566" spans="1:12">
      <c r="A2566" s="57" t="s">
        <v>99</v>
      </c>
      <c r="B2566" s="57" t="s">
        <v>173</v>
      </c>
      <c r="C2566" s="57">
        <v>2020</v>
      </c>
      <c r="D2566" s="58">
        <f>MATCH(B2566,{"GENNAIO","FEBBRAIO","MARZO","APRILE","MAGGIO","GIUGNO","LUGLIO","AGOSTO","SETTEMBRE","OTTOBRE","NOVEMBRE","DICEMBRE"},0)</f>
        <v>12</v>
      </c>
      <c r="E2566" s="57" t="str">
        <f t="shared" si="1766"/>
        <v>DICEMBRE 2020</v>
      </c>
      <c r="F2566" s="57" t="str">
        <f t="shared" si="1767"/>
        <v>12 DICEMBRE 2020</v>
      </c>
      <c r="G2566" s="1309" t="s">
        <v>100</v>
      </c>
      <c r="H2566" s="1309" t="str">
        <f>VLOOKUP(G2566,CATEGORIE!$H$3:$I$104,2,FALSE)</f>
        <v>COSTO SFIZI</v>
      </c>
      <c r="I2566" s="59">
        <v>52.85</v>
      </c>
      <c r="J2566" s="940"/>
      <c r="K2566" s="57" t="s">
        <v>99</v>
      </c>
      <c r="L2566" s="59"/>
    </row>
    <row r="2567" spans="1:12" ht="14.25" customHeight="1">
      <c r="A2567" s="57" t="s">
        <v>135</v>
      </c>
      <c r="B2567" s="57" t="s">
        <v>173</v>
      </c>
      <c r="C2567" s="57">
        <v>2020</v>
      </c>
      <c r="D2567" s="58">
        <f>MATCH(B2567,{"GENNAIO","FEBBRAIO","MARZO","APRILE","MAGGIO","GIUGNO","LUGLIO","AGOSTO","SETTEMBRE","OTTOBRE","NOVEMBRE","DICEMBRE"},0)</f>
        <v>12</v>
      </c>
      <c r="E2567" s="57" t="str">
        <f t="shared" si="1766"/>
        <v>DICEMBRE 2020</v>
      </c>
      <c r="F2567" s="57" t="str">
        <f t="shared" si="1767"/>
        <v>12 DICEMBRE 2020</v>
      </c>
      <c r="G2567" s="1309" t="s">
        <v>132</v>
      </c>
      <c r="H2567" s="1309" t="str">
        <f>VLOOKUP(G2567,CATEGORIE!$H$3:$I$104,2,FALSE)</f>
        <v>COSTO CASA</v>
      </c>
      <c r="I2567" s="59">
        <v>7.2</v>
      </c>
      <c r="J2567" s="940"/>
      <c r="K2567" s="59"/>
      <c r="L2567" s="59"/>
    </row>
    <row r="2568" spans="1:12" ht="14.25" customHeight="1">
      <c r="A2568" s="57" t="s">
        <v>99</v>
      </c>
      <c r="B2568" s="57" t="s">
        <v>173</v>
      </c>
      <c r="C2568" s="57">
        <v>2020</v>
      </c>
      <c r="D2568" s="58">
        <f>MATCH(B2568,{"GENNAIO","FEBBRAIO","MARZO","APRILE","MAGGIO","GIUGNO","LUGLIO","AGOSTO","SETTEMBRE","OTTOBRE","NOVEMBRE","DICEMBRE"},0)</f>
        <v>12</v>
      </c>
      <c r="E2568" s="57" t="str">
        <f t="shared" si="1766"/>
        <v>DICEMBRE 2020</v>
      </c>
      <c r="F2568" s="57" t="str">
        <f t="shared" si="1767"/>
        <v>12 DICEMBRE 2020</v>
      </c>
      <c r="G2568" s="1309" t="s">
        <v>185</v>
      </c>
      <c r="H2568" s="1309" t="str">
        <f>VLOOKUP(G2568,CATEGORIE!$H$3:$I$104,2,FALSE)</f>
        <v>COSTO SFIZI</v>
      </c>
      <c r="I2568" s="59">
        <v>17.2</v>
      </c>
      <c r="J2568" s="940" t="s">
        <v>197</v>
      </c>
      <c r="K2568" s="57" t="s">
        <v>99</v>
      </c>
      <c r="L2568" s="59" t="s">
        <v>634</v>
      </c>
    </row>
    <row r="2569" spans="1:12" ht="14.25" customHeight="1">
      <c r="A2569" s="57" t="s">
        <v>99</v>
      </c>
      <c r="B2569" s="57" t="s">
        <v>173</v>
      </c>
      <c r="C2569" s="57">
        <v>2020</v>
      </c>
      <c r="D2569" s="58">
        <f>MATCH(B2569,{"GENNAIO","FEBBRAIO","MARZO","APRILE","MAGGIO","GIUGNO","LUGLIO","AGOSTO","SETTEMBRE","OTTOBRE","NOVEMBRE","DICEMBRE"},0)</f>
        <v>12</v>
      </c>
      <c r="E2569" s="57" t="str">
        <f t="shared" si="1766"/>
        <v>DICEMBRE 2020</v>
      </c>
      <c r="F2569" s="57" t="str">
        <f t="shared" si="1767"/>
        <v>12 DICEMBRE 2020</v>
      </c>
      <c r="G2569" s="1309" t="s">
        <v>185</v>
      </c>
      <c r="H2569" s="1309" t="str">
        <f>VLOOKUP(G2569,CATEGORIE!$H$3:$I$104,2,FALSE)</f>
        <v>COSTO SFIZI</v>
      </c>
      <c r="I2569" s="59">
        <v>99.8</v>
      </c>
      <c r="J2569" s="940" t="s">
        <v>197</v>
      </c>
      <c r="K2569" s="57" t="s">
        <v>99</v>
      </c>
      <c r="L2569" s="59" t="s">
        <v>634</v>
      </c>
    </row>
    <row r="2570" spans="1:12" ht="14.25" customHeight="1">
      <c r="A2570" s="57" t="s">
        <v>99</v>
      </c>
      <c r="B2570" s="57" t="s">
        <v>173</v>
      </c>
      <c r="C2570" s="57">
        <v>2020</v>
      </c>
      <c r="D2570" s="58">
        <f>MATCH(B2570,{"GENNAIO","FEBBRAIO","MARZO","APRILE","MAGGIO","GIUGNO","LUGLIO","AGOSTO","SETTEMBRE","OTTOBRE","NOVEMBRE","DICEMBRE"},0)</f>
        <v>12</v>
      </c>
      <c r="E2570" s="57" t="str">
        <f t="shared" si="1766"/>
        <v>DICEMBRE 2020</v>
      </c>
      <c r="F2570" s="57" t="str">
        <f t="shared" si="1767"/>
        <v>12 DICEMBRE 2020</v>
      </c>
      <c r="G2570" s="1309" t="s">
        <v>100</v>
      </c>
      <c r="H2570" s="1309" t="str">
        <f>VLOOKUP(G2570,CATEGORIE!$H$3:$I$104,2,FALSE)</f>
        <v>COSTO SFIZI</v>
      </c>
      <c r="I2570" s="59">
        <v>7.99</v>
      </c>
      <c r="J2570" s="940"/>
      <c r="K2570" s="57" t="s">
        <v>99</v>
      </c>
      <c r="L2570" s="59"/>
    </row>
    <row r="2571" spans="1:12" ht="14.25" customHeight="1">
      <c r="A2571" s="57" t="s">
        <v>156</v>
      </c>
      <c r="B2571" s="57" t="s">
        <v>173</v>
      </c>
      <c r="C2571" s="57">
        <v>2020</v>
      </c>
      <c r="D2571" s="58">
        <f>MATCH(B2571,{"GENNAIO","FEBBRAIO","MARZO","APRILE","MAGGIO","GIUGNO","LUGLIO","AGOSTO","SETTEMBRE","OTTOBRE","NOVEMBRE","DICEMBRE"},0)</f>
        <v>12</v>
      </c>
      <c r="E2571" s="57" t="str">
        <f t="shared" si="1766"/>
        <v>DICEMBRE 2020</v>
      </c>
      <c r="F2571" s="57" t="str">
        <f t="shared" si="1767"/>
        <v>12 DICEMBRE 2020</v>
      </c>
      <c r="G2571" s="1309" t="s">
        <v>96</v>
      </c>
      <c r="H2571" s="1309" t="str">
        <f>VLOOKUP(G2571,CATEGORIE!$H$3:$I$104,2,FALSE)</f>
        <v>COSTO SOPRAVVIVENZA</v>
      </c>
      <c r="I2571" s="59">
        <v>79.17</v>
      </c>
      <c r="J2571" s="940"/>
      <c r="K2571" s="59"/>
      <c r="L2571" s="59"/>
    </row>
    <row r="2572" spans="1:12" ht="14.25" customHeight="1">
      <c r="A2572" s="57" t="s">
        <v>99</v>
      </c>
      <c r="B2572" s="57" t="s">
        <v>173</v>
      </c>
      <c r="C2572" s="57">
        <v>2020</v>
      </c>
      <c r="D2572" s="58">
        <f>MATCH(B2572,{"GENNAIO","FEBBRAIO","MARZO","APRILE","MAGGIO","GIUGNO","LUGLIO","AGOSTO","SETTEMBRE","OTTOBRE","NOVEMBRE","DICEMBRE"},0)</f>
        <v>12</v>
      </c>
      <c r="E2572" s="57" t="str">
        <f t="shared" si="1766"/>
        <v>DICEMBRE 2020</v>
      </c>
      <c r="F2572" s="57" t="str">
        <f t="shared" si="1767"/>
        <v>12 DICEMBRE 2020</v>
      </c>
      <c r="G2572" s="1309" t="s">
        <v>100</v>
      </c>
      <c r="H2572" s="1309" t="str">
        <f>VLOOKUP(G2572,CATEGORIE!$H$3:$I$104,2,FALSE)</f>
        <v>COSTO SFIZI</v>
      </c>
      <c r="I2572" s="59">
        <v>7.69</v>
      </c>
      <c r="J2572" s="940"/>
      <c r="K2572" s="57" t="s">
        <v>99</v>
      </c>
      <c r="L2572" s="59"/>
    </row>
    <row r="2573" spans="1:12" ht="14.25" customHeight="1">
      <c r="A2573" s="57" t="s">
        <v>92</v>
      </c>
      <c r="B2573" s="57" t="s">
        <v>173</v>
      </c>
      <c r="C2573" s="57">
        <v>2020</v>
      </c>
      <c r="D2573" s="58">
        <f>MATCH(B2573,{"GENNAIO","FEBBRAIO","MARZO","APRILE","MAGGIO","GIUGNO","LUGLIO","AGOSTO","SETTEMBRE","OTTOBRE","NOVEMBRE","DICEMBRE"},0)</f>
        <v>12</v>
      </c>
      <c r="E2573" s="57" t="str">
        <f t="shared" si="1766"/>
        <v>DICEMBRE 2020</v>
      </c>
      <c r="F2573" s="57" t="str">
        <f t="shared" si="1767"/>
        <v>12 DICEMBRE 2020</v>
      </c>
      <c r="G2573" s="1309" t="s">
        <v>94</v>
      </c>
      <c r="H2573" s="1309" t="str">
        <f>VLOOKUP(G2573,CATEGORIE!$H$3:$I$104,2,FALSE)</f>
        <v>COSTO SVAGHI</v>
      </c>
      <c r="I2573" s="59">
        <v>5.0999999999999996</v>
      </c>
      <c r="J2573" s="940"/>
      <c r="K2573" s="59"/>
      <c r="L2573" s="59"/>
    </row>
    <row r="2574" spans="1:12" ht="14.25" customHeight="1">
      <c r="A2574" s="57" t="s">
        <v>633</v>
      </c>
      <c r="B2574" s="57" t="s">
        <v>173</v>
      </c>
      <c r="C2574" s="57">
        <v>2020</v>
      </c>
      <c r="D2574" s="58">
        <f>MATCH(B2574,{"GENNAIO","FEBBRAIO","MARZO","APRILE","MAGGIO","GIUGNO","LUGLIO","AGOSTO","SETTEMBRE","OTTOBRE","NOVEMBRE","DICEMBRE"},0)</f>
        <v>12</v>
      </c>
      <c r="E2574" s="57" t="str">
        <f t="shared" si="1766"/>
        <v>DICEMBRE 2020</v>
      </c>
      <c r="F2574" s="57" t="str">
        <f t="shared" si="1767"/>
        <v>12 DICEMBRE 2020</v>
      </c>
      <c r="G2574" s="1309" t="s">
        <v>94</v>
      </c>
      <c r="H2574" s="1309" t="str">
        <f>VLOOKUP(G2574,CATEGORIE!$H$3:$I$104,2,FALSE)</f>
        <v>COSTO SVAGHI</v>
      </c>
      <c r="I2574" s="59">
        <v>23.5</v>
      </c>
      <c r="J2574" s="940"/>
      <c r="K2574" s="59"/>
      <c r="L2574" s="59"/>
    </row>
    <row r="2575" spans="1:12" ht="14.25" customHeight="1">
      <c r="A2575" s="57" t="s">
        <v>608</v>
      </c>
      <c r="B2575" s="57" t="s">
        <v>200</v>
      </c>
      <c r="C2575" s="57">
        <v>2020</v>
      </c>
      <c r="D2575" s="58">
        <f>MATCH(B2575,{"GENNAIO","FEBBRAIO","MARZO","APRILE","MAGGIO","GIUGNO","LUGLIO","AGOSTO","SETTEMBRE","OTTOBRE","NOVEMBRE","DICEMBRE"},0)</f>
        <v>11</v>
      </c>
      <c r="E2575" s="57" t="str">
        <f t="shared" si="1766"/>
        <v>NOVEMBRE 2020</v>
      </c>
      <c r="F2575" s="57" t="str">
        <f t="shared" si="1767"/>
        <v>11 NOVEMBRE 2020</v>
      </c>
      <c r="G2575" s="1309" t="s">
        <v>242</v>
      </c>
      <c r="H2575" s="1309" t="str">
        <f>VLOOKUP(G2575,CATEGORIE!$H$3:$I$104,2,FALSE)</f>
        <v>COSTO ABBONAMENTI</v>
      </c>
      <c r="I2575" s="59">
        <v>24.99</v>
      </c>
      <c r="J2575" s="940"/>
      <c r="K2575" s="59"/>
      <c r="L2575" s="59"/>
    </row>
    <row r="2576" spans="1:12">
      <c r="A2576" s="57" t="s">
        <v>640</v>
      </c>
      <c r="B2576" s="57" t="s">
        <v>200</v>
      </c>
      <c r="C2576" s="57">
        <v>2020</v>
      </c>
      <c r="D2576" s="58">
        <f>MATCH(B2576,{"GENNAIO","FEBBRAIO","MARZO","APRILE","MAGGIO","GIUGNO","LUGLIO","AGOSTO","SETTEMBRE","OTTOBRE","NOVEMBRE","DICEMBRE"},0)</f>
        <v>11</v>
      </c>
      <c r="E2576" s="57" t="str">
        <f t="shared" si="1766"/>
        <v>NOVEMBRE 2020</v>
      </c>
      <c r="F2576" s="57" t="str">
        <f t="shared" si="1767"/>
        <v>11 NOVEMBRE 2020</v>
      </c>
      <c r="G2576" s="1309" t="s">
        <v>385</v>
      </c>
      <c r="H2576" s="1309" t="str">
        <f>VLOOKUP(G2576,CATEGORIE!$H$3:$I$104,2,FALSE)</f>
        <v>COSTO SFIZI</v>
      </c>
      <c r="I2576" s="59">
        <v>49.49</v>
      </c>
      <c r="J2576" s="940"/>
      <c r="K2576" s="59" t="s">
        <v>112</v>
      </c>
      <c r="L2576" s="59"/>
    </row>
    <row r="2577" spans="1:12">
      <c r="A2577" s="57" t="s">
        <v>92</v>
      </c>
      <c r="B2577" s="57" t="s">
        <v>200</v>
      </c>
      <c r="C2577" s="57">
        <v>2020</v>
      </c>
      <c r="D2577" s="58">
        <f>MATCH(B2577,{"GENNAIO","FEBBRAIO","MARZO","APRILE","MAGGIO","GIUGNO","LUGLIO","AGOSTO","SETTEMBRE","OTTOBRE","NOVEMBRE","DICEMBRE"},0)</f>
        <v>11</v>
      </c>
      <c r="E2577" s="57" t="str">
        <f t="shared" si="1766"/>
        <v>NOVEMBRE 2020</v>
      </c>
      <c r="F2577" s="57" t="str">
        <f t="shared" si="1767"/>
        <v>11 NOVEMBRE 2020</v>
      </c>
      <c r="G2577" s="1309" t="s">
        <v>94</v>
      </c>
      <c r="H2577" s="1309" t="str">
        <f>VLOOKUP(G2577,CATEGORIE!$H$3:$I$104,2,FALSE)</f>
        <v>COSTO SVAGHI</v>
      </c>
      <c r="I2577" s="59">
        <v>5.0999999999999996</v>
      </c>
      <c r="J2577" s="940"/>
      <c r="K2577" s="59"/>
      <c r="L2577" s="59"/>
    </row>
    <row r="2578" spans="1:12" ht="14.25" customHeight="1">
      <c r="A2578" s="57" t="s">
        <v>92</v>
      </c>
      <c r="B2578" s="57" t="s">
        <v>200</v>
      </c>
      <c r="C2578" s="57">
        <v>2020</v>
      </c>
      <c r="D2578" s="58">
        <f>MATCH(B2578,{"GENNAIO","FEBBRAIO","MARZO","APRILE","MAGGIO","GIUGNO","LUGLIO","AGOSTO","SETTEMBRE","OTTOBRE","NOVEMBRE","DICEMBRE"},0)</f>
        <v>11</v>
      </c>
      <c r="E2578" s="57" t="str">
        <f t="shared" si="1766"/>
        <v>NOVEMBRE 2020</v>
      </c>
      <c r="F2578" s="57" t="str">
        <f t="shared" si="1767"/>
        <v>11 NOVEMBRE 2020</v>
      </c>
      <c r="G2578" s="1309" t="s">
        <v>94</v>
      </c>
      <c r="H2578" s="1309" t="str">
        <f>VLOOKUP(G2578,CATEGORIE!$H$3:$I$104,2,FALSE)</f>
        <v>COSTO SVAGHI</v>
      </c>
      <c r="I2578" s="59">
        <v>8.1999999999999993</v>
      </c>
      <c r="J2578" s="940"/>
      <c r="K2578" s="59"/>
      <c r="L2578" s="59"/>
    </row>
    <row r="2579" spans="1:12" ht="14.25" customHeight="1">
      <c r="A2579" s="57" t="s">
        <v>99</v>
      </c>
      <c r="B2579" s="57" t="s">
        <v>200</v>
      </c>
      <c r="C2579" s="57">
        <v>2020</v>
      </c>
      <c r="D2579" s="58">
        <f>MATCH(B2579,{"GENNAIO","FEBBRAIO","MARZO","APRILE","MAGGIO","GIUGNO","LUGLIO","AGOSTO","SETTEMBRE","OTTOBRE","NOVEMBRE","DICEMBRE"},0)</f>
        <v>11</v>
      </c>
      <c r="E2579" s="57" t="str">
        <f t="shared" si="1766"/>
        <v>NOVEMBRE 2020</v>
      </c>
      <c r="F2579" s="57" t="str">
        <f t="shared" si="1767"/>
        <v>11 NOVEMBRE 2020</v>
      </c>
      <c r="G2579" s="1309" t="s">
        <v>185</v>
      </c>
      <c r="H2579" s="1309" t="str">
        <f>VLOOKUP(G2579,CATEGORIE!$H$3:$I$104,2,FALSE)</f>
        <v>COSTO SFIZI</v>
      </c>
      <c r="I2579" s="59">
        <v>99.8</v>
      </c>
      <c r="J2579" s="940" t="s">
        <v>126</v>
      </c>
      <c r="K2579" s="57" t="s">
        <v>99</v>
      </c>
      <c r="L2579" s="59" t="s">
        <v>634</v>
      </c>
    </row>
    <row r="2580" spans="1:12" ht="14.25" customHeight="1">
      <c r="A2580" s="57" t="s">
        <v>99</v>
      </c>
      <c r="B2580" s="57" t="s">
        <v>200</v>
      </c>
      <c r="C2580" s="57">
        <v>2020</v>
      </c>
      <c r="D2580" s="58">
        <f>MATCH(B2580,{"GENNAIO","FEBBRAIO","MARZO","APRILE","MAGGIO","GIUGNO","LUGLIO","AGOSTO","SETTEMBRE","OTTOBRE","NOVEMBRE","DICEMBRE"},0)</f>
        <v>11</v>
      </c>
      <c r="E2580" s="57" t="str">
        <f t="shared" si="1766"/>
        <v>NOVEMBRE 2020</v>
      </c>
      <c r="F2580" s="57" t="str">
        <f t="shared" si="1767"/>
        <v>11 NOVEMBRE 2020</v>
      </c>
      <c r="G2580" s="1309" t="s">
        <v>185</v>
      </c>
      <c r="H2580" s="1309" t="str">
        <f>VLOOKUP(G2580,CATEGORIE!$H$3:$I$104,2,FALSE)</f>
        <v>COSTO SFIZI</v>
      </c>
      <c r="I2580" s="59">
        <v>17.2</v>
      </c>
      <c r="J2580" s="940" t="s">
        <v>126</v>
      </c>
      <c r="K2580" s="57" t="s">
        <v>99</v>
      </c>
      <c r="L2580" s="59" t="s">
        <v>634</v>
      </c>
    </row>
    <row r="2581" spans="1:12" ht="14.25" customHeight="1">
      <c r="A2581" s="57" t="s">
        <v>589</v>
      </c>
      <c r="B2581" s="57" t="s">
        <v>200</v>
      </c>
      <c r="C2581" s="57">
        <v>2020</v>
      </c>
      <c r="D2581" s="58">
        <f>MATCH(B2581,{"GENNAIO","FEBBRAIO","MARZO","APRILE","MAGGIO","GIUGNO","LUGLIO","AGOSTO","SETTEMBRE","OTTOBRE","NOVEMBRE","DICEMBRE"},0)</f>
        <v>11</v>
      </c>
      <c r="E2581" s="57" t="str">
        <f t="shared" si="1766"/>
        <v>NOVEMBRE 2020</v>
      </c>
      <c r="F2581" s="57" t="str">
        <f t="shared" si="1767"/>
        <v>11 NOVEMBRE 2020</v>
      </c>
      <c r="G2581" s="1309" t="s">
        <v>107</v>
      </c>
      <c r="H2581" s="1309" t="str">
        <f>VLOOKUP(G2581,CATEGORIE!$H$3:$I$104,2,FALSE)</f>
        <v>COSTO SOPRAVVIVENZA</v>
      </c>
      <c r="I2581" s="59">
        <v>102</v>
      </c>
      <c r="J2581" s="940"/>
      <c r="K2581" s="59"/>
      <c r="L2581" s="59"/>
    </row>
    <row r="2582" spans="1:12" ht="14.25" customHeight="1">
      <c r="A2582" s="57" t="s">
        <v>298</v>
      </c>
      <c r="B2582" s="57" t="s">
        <v>217</v>
      </c>
      <c r="C2582" s="57">
        <v>2020</v>
      </c>
      <c r="D2582" s="58">
        <f>MATCH(B2582,{"GENNAIO","FEBBRAIO","MARZO","APRILE","MAGGIO","GIUGNO","LUGLIO","AGOSTO","SETTEMBRE","OTTOBRE","NOVEMBRE","DICEMBRE"},0)</f>
        <v>10</v>
      </c>
      <c r="E2582" s="57" t="str">
        <f t="shared" si="1766"/>
        <v>OTTOBRE 2020</v>
      </c>
      <c r="F2582" s="57" t="str">
        <f t="shared" si="1767"/>
        <v>10 OTTOBRE 2020</v>
      </c>
      <c r="G2582" s="1309" t="s">
        <v>108</v>
      </c>
      <c r="H2582" s="1309" t="str">
        <f>VLOOKUP(G2582,CATEGORIE!$H$3:$I$104,2,FALSE)</f>
        <v>COSTO SFIZI</v>
      </c>
      <c r="I2582" s="59">
        <v>18.12</v>
      </c>
      <c r="J2582" s="940"/>
      <c r="K2582" s="59"/>
      <c r="L2582" s="59"/>
    </row>
    <row r="2583" spans="1:12" ht="14.25" customHeight="1">
      <c r="A2583" s="57" t="s">
        <v>156</v>
      </c>
      <c r="B2583" s="57" t="s">
        <v>217</v>
      </c>
      <c r="C2583" s="57">
        <v>2020</v>
      </c>
      <c r="D2583" s="58">
        <f>MATCH(B2583,{"GENNAIO","FEBBRAIO","MARZO","APRILE","MAGGIO","GIUGNO","LUGLIO","AGOSTO","SETTEMBRE","OTTOBRE","NOVEMBRE","DICEMBRE"},0)</f>
        <v>10</v>
      </c>
      <c r="E2583" s="57" t="str">
        <f t="shared" si="1766"/>
        <v>OTTOBRE 2020</v>
      </c>
      <c r="F2583" s="57" t="str">
        <f t="shared" si="1767"/>
        <v>10 OTTOBRE 2020</v>
      </c>
      <c r="G2583" s="1309" t="s">
        <v>96</v>
      </c>
      <c r="H2583" s="1309" t="str">
        <f>VLOOKUP(G2583,CATEGORIE!$H$3:$I$104,2,FALSE)</f>
        <v>COSTO SOPRAVVIVENZA</v>
      </c>
      <c r="I2583" s="59">
        <v>6.23</v>
      </c>
      <c r="J2583" s="940"/>
      <c r="K2583" s="59"/>
      <c r="L2583" s="59"/>
    </row>
    <row r="2584" spans="1:12" ht="14.25" customHeight="1">
      <c r="A2584" s="57" t="s">
        <v>156</v>
      </c>
      <c r="B2584" s="57" t="s">
        <v>217</v>
      </c>
      <c r="C2584" s="57">
        <v>2020</v>
      </c>
      <c r="D2584" s="58">
        <f>MATCH(B2584,{"GENNAIO","FEBBRAIO","MARZO","APRILE","MAGGIO","GIUGNO","LUGLIO","AGOSTO","SETTEMBRE","OTTOBRE","NOVEMBRE","DICEMBRE"},0)</f>
        <v>10</v>
      </c>
      <c r="E2584" s="57" t="str">
        <f t="shared" si="1766"/>
        <v>OTTOBRE 2020</v>
      </c>
      <c r="F2584" s="57" t="str">
        <f t="shared" si="1767"/>
        <v>10 OTTOBRE 2020</v>
      </c>
      <c r="G2584" s="1309" t="s">
        <v>96</v>
      </c>
      <c r="H2584" s="1309" t="str">
        <f>VLOOKUP(G2584,CATEGORIE!$H$3:$I$104,2,FALSE)</f>
        <v>COSTO SOPRAVVIVENZA</v>
      </c>
      <c r="I2584" s="59">
        <v>28.53</v>
      </c>
      <c r="J2584" s="940"/>
      <c r="K2584" s="59"/>
      <c r="L2584" s="59"/>
    </row>
    <row r="2585" spans="1:12" ht="14.25" customHeight="1">
      <c r="A2585" s="57" t="s">
        <v>92</v>
      </c>
      <c r="B2585" s="57" t="s">
        <v>217</v>
      </c>
      <c r="C2585" s="57">
        <v>2020</v>
      </c>
      <c r="D2585" s="58">
        <f>MATCH(B2585,{"GENNAIO","FEBBRAIO","MARZO","APRILE","MAGGIO","GIUGNO","LUGLIO","AGOSTO","SETTEMBRE","OTTOBRE","NOVEMBRE","DICEMBRE"},0)</f>
        <v>10</v>
      </c>
      <c r="E2585" s="57" t="str">
        <f t="shared" si="1766"/>
        <v>OTTOBRE 2020</v>
      </c>
      <c r="F2585" s="57" t="str">
        <f t="shared" si="1767"/>
        <v>10 OTTOBRE 2020</v>
      </c>
      <c r="G2585" s="1309" t="s">
        <v>94</v>
      </c>
      <c r="H2585" s="1309" t="str">
        <f>VLOOKUP(G2585,CATEGORIE!$H$3:$I$104,2,FALSE)</f>
        <v>COSTO SVAGHI</v>
      </c>
      <c r="I2585" s="59">
        <v>9.1999999999999993</v>
      </c>
      <c r="J2585" s="940"/>
      <c r="K2585" s="59"/>
      <c r="L2585" s="59"/>
    </row>
    <row r="2586" spans="1:12" ht="14.25" customHeight="1">
      <c r="A2586" s="57" t="s">
        <v>160</v>
      </c>
      <c r="B2586" s="57" t="s">
        <v>217</v>
      </c>
      <c r="C2586" s="57">
        <v>2020</v>
      </c>
      <c r="D2586" s="58">
        <f>MATCH(B2586,{"GENNAIO","FEBBRAIO","MARZO","APRILE","MAGGIO","GIUGNO","LUGLIO","AGOSTO","SETTEMBRE","OTTOBRE","NOVEMBRE","DICEMBRE"},0)</f>
        <v>10</v>
      </c>
      <c r="E2586" s="57" t="str">
        <f t="shared" si="1766"/>
        <v>OTTOBRE 2020</v>
      </c>
      <c r="F2586" s="57" t="str">
        <f t="shared" si="1767"/>
        <v>10 OTTOBRE 2020</v>
      </c>
      <c r="G2586" s="1309" t="s">
        <v>111</v>
      </c>
      <c r="H2586" s="1309" t="str">
        <f>VLOOKUP(G2586,CATEGORIE!$H$3:$I$104,2,FALSE)</f>
        <v>COSTO MOBILITA'</v>
      </c>
      <c r="I2586" s="59">
        <v>3.3</v>
      </c>
      <c r="J2586" s="940"/>
      <c r="K2586" s="59"/>
      <c r="L2586" s="59"/>
    </row>
    <row r="2587" spans="1:12" ht="14.25" customHeight="1">
      <c r="A2587" s="57" t="s">
        <v>160</v>
      </c>
      <c r="B2587" s="57" t="s">
        <v>217</v>
      </c>
      <c r="C2587" s="57">
        <v>2020</v>
      </c>
      <c r="D2587" s="58">
        <f>MATCH(B2587,{"GENNAIO","FEBBRAIO","MARZO","APRILE","MAGGIO","GIUGNO","LUGLIO","AGOSTO","SETTEMBRE","OTTOBRE","NOVEMBRE","DICEMBRE"},0)</f>
        <v>10</v>
      </c>
      <c r="E2587" s="57" t="str">
        <f t="shared" si="1766"/>
        <v>OTTOBRE 2020</v>
      </c>
      <c r="F2587" s="57" t="str">
        <f t="shared" si="1767"/>
        <v>10 OTTOBRE 2020</v>
      </c>
      <c r="G2587" s="1309" t="s">
        <v>111</v>
      </c>
      <c r="H2587" s="1309" t="str">
        <f>VLOOKUP(G2587,CATEGORIE!$H$3:$I$104,2,FALSE)</f>
        <v>COSTO MOBILITA'</v>
      </c>
      <c r="I2587" s="59">
        <v>1.4</v>
      </c>
      <c r="J2587" s="940"/>
      <c r="K2587" s="59"/>
      <c r="L2587" s="59"/>
    </row>
    <row r="2588" spans="1:12">
      <c r="A2588" s="57" t="s">
        <v>221</v>
      </c>
      <c r="B2588" s="57" t="s">
        <v>217</v>
      </c>
      <c r="C2588" s="57">
        <v>2020</v>
      </c>
      <c r="D2588" s="58">
        <f>MATCH(B2588,{"GENNAIO","FEBBRAIO","MARZO","APRILE","MAGGIO","GIUGNO","LUGLIO","AGOSTO","SETTEMBRE","OTTOBRE","NOVEMBRE","DICEMBRE"},0)</f>
        <v>10</v>
      </c>
      <c r="E2588" s="57" t="str">
        <f t="shared" si="1766"/>
        <v>OTTOBRE 2020</v>
      </c>
      <c r="F2588" s="57" t="str">
        <f t="shared" si="1767"/>
        <v>10 OTTOBRE 2020</v>
      </c>
      <c r="G2588" s="1309" t="s">
        <v>94</v>
      </c>
      <c r="H2588" s="1309" t="str">
        <f>VLOOKUP(G2588,CATEGORIE!$H$3:$I$104,2,FALSE)</f>
        <v>COSTO SVAGHI</v>
      </c>
      <c r="I2588" s="59">
        <v>68.3</v>
      </c>
      <c r="J2588" s="940"/>
      <c r="K2588" s="59"/>
      <c r="L2588" s="59"/>
    </row>
    <row r="2589" spans="1:12">
      <c r="A2589" s="57" t="s">
        <v>503</v>
      </c>
      <c r="B2589" s="57" t="s">
        <v>217</v>
      </c>
      <c r="C2589" s="57">
        <v>2020</v>
      </c>
      <c r="D2589" s="58">
        <f>MATCH(B2589,{"GENNAIO","FEBBRAIO","MARZO","APRILE","MAGGIO","GIUGNO","LUGLIO","AGOSTO","SETTEMBRE","OTTOBRE","NOVEMBRE","DICEMBRE"},0)</f>
        <v>10</v>
      </c>
      <c r="E2589" s="57" t="str">
        <f t="shared" si="1766"/>
        <v>OTTOBRE 2020</v>
      </c>
      <c r="F2589" s="57" t="str">
        <f t="shared" si="1767"/>
        <v>10 OTTOBRE 2020</v>
      </c>
      <c r="G2589" s="1309" t="s">
        <v>100</v>
      </c>
      <c r="H2589" s="1309" t="str">
        <f>VLOOKUP(G2589,CATEGORIE!$H$3:$I$104,2,FALSE)</f>
        <v>COSTO SFIZI</v>
      </c>
      <c r="I2589" s="59">
        <v>7.99</v>
      </c>
      <c r="J2589" s="940"/>
      <c r="K2589" s="59"/>
      <c r="L2589" s="59"/>
    </row>
    <row r="2590" spans="1:12">
      <c r="A2590" s="57" t="s">
        <v>160</v>
      </c>
      <c r="B2590" s="57" t="s">
        <v>217</v>
      </c>
      <c r="C2590" s="57">
        <v>2020</v>
      </c>
      <c r="D2590" s="58">
        <f>MATCH(B2590,{"GENNAIO","FEBBRAIO","MARZO","APRILE","MAGGIO","GIUGNO","LUGLIO","AGOSTO","SETTEMBRE","OTTOBRE","NOVEMBRE","DICEMBRE"},0)</f>
        <v>10</v>
      </c>
      <c r="E2590" s="57" t="str">
        <f t="shared" si="1766"/>
        <v>OTTOBRE 2020</v>
      </c>
      <c r="F2590" s="57" t="str">
        <f t="shared" si="1767"/>
        <v>10 OTTOBRE 2020</v>
      </c>
      <c r="G2590" s="1309" t="s">
        <v>111</v>
      </c>
      <c r="H2590" s="1309" t="str">
        <f>VLOOKUP(G2590,CATEGORIE!$H$3:$I$104,2,FALSE)</f>
        <v>COSTO MOBILITA'</v>
      </c>
      <c r="I2590" s="59">
        <v>2.5</v>
      </c>
      <c r="J2590" s="940"/>
      <c r="K2590" s="59"/>
      <c r="L2590" s="59"/>
    </row>
    <row r="2591" spans="1:12">
      <c r="A2591" s="57" t="s">
        <v>99</v>
      </c>
      <c r="B2591" s="57" t="s">
        <v>217</v>
      </c>
      <c r="C2591" s="57">
        <v>2020</v>
      </c>
      <c r="D2591" s="58">
        <f>MATCH(B2591,{"GENNAIO","FEBBRAIO","MARZO","APRILE","MAGGIO","GIUGNO","LUGLIO","AGOSTO","SETTEMBRE","OTTOBRE","NOVEMBRE","DICEMBRE"},0)</f>
        <v>10</v>
      </c>
      <c r="E2591" s="57" t="str">
        <f t="shared" si="1766"/>
        <v>OTTOBRE 2020</v>
      </c>
      <c r="F2591" s="57" t="str">
        <f t="shared" si="1767"/>
        <v>10 OTTOBRE 2020</v>
      </c>
      <c r="G2591" s="1309" t="s">
        <v>185</v>
      </c>
      <c r="H2591" s="1309" t="str">
        <f>VLOOKUP(G2591,CATEGORIE!$H$3:$I$104,2,FALSE)</f>
        <v>COSTO SFIZI</v>
      </c>
      <c r="I2591" s="59">
        <v>99.8</v>
      </c>
      <c r="J2591" s="940" t="s">
        <v>145</v>
      </c>
      <c r="K2591" s="57" t="s">
        <v>99</v>
      </c>
      <c r="L2591" s="59" t="s">
        <v>641</v>
      </c>
    </row>
    <row r="2592" spans="1:12">
      <c r="A2592" s="57" t="s">
        <v>99</v>
      </c>
      <c r="B2592" s="57" t="s">
        <v>217</v>
      </c>
      <c r="C2592" s="57">
        <v>2020</v>
      </c>
      <c r="D2592" s="58">
        <f>MATCH(B2592,{"GENNAIO","FEBBRAIO","MARZO","APRILE","MAGGIO","GIUGNO","LUGLIO","AGOSTO","SETTEMBRE","OTTOBRE","NOVEMBRE","DICEMBRE"},0)</f>
        <v>10</v>
      </c>
      <c r="E2592" s="57" t="str">
        <f t="shared" si="1766"/>
        <v>OTTOBRE 2020</v>
      </c>
      <c r="F2592" s="57" t="str">
        <f t="shared" si="1767"/>
        <v>10 OTTOBRE 2020</v>
      </c>
      <c r="G2592" s="1309" t="s">
        <v>185</v>
      </c>
      <c r="H2592" s="1309" t="str">
        <f>VLOOKUP(G2592,CATEGORIE!$H$3:$I$104,2,FALSE)</f>
        <v>COSTO SFIZI</v>
      </c>
      <c r="I2592" s="59">
        <v>17.2</v>
      </c>
      <c r="J2592" s="940" t="s">
        <v>145</v>
      </c>
      <c r="K2592" s="57" t="s">
        <v>99</v>
      </c>
      <c r="L2592" s="59" t="s">
        <v>641</v>
      </c>
    </row>
    <row r="2593" spans="1:12">
      <c r="A2593" s="57" t="s">
        <v>99</v>
      </c>
      <c r="B2593" s="57" t="s">
        <v>217</v>
      </c>
      <c r="C2593" s="57">
        <v>2020</v>
      </c>
      <c r="D2593" s="58">
        <f>MATCH(B2593,{"GENNAIO","FEBBRAIO","MARZO","APRILE","MAGGIO","GIUGNO","LUGLIO","AGOSTO","SETTEMBRE","OTTOBRE","NOVEMBRE","DICEMBRE"},0)</f>
        <v>10</v>
      </c>
      <c r="E2593" s="57" t="str">
        <f t="shared" si="1766"/>
        <v>OTTOBRE 2020</v>
      </c>
      <c r="F2593" s="57" t="str">
        <f t="shared" si="1767"/>
        <v>10 OTTOBRE 2020</v>
      </c>
      <c r="G2593" s="1309" t="s">
        <v>100</v>
      </c>
      <c r="H2593" s="1309" t="str">
        <f>VLOOKUP(G2593,CATEGORIE!$H$3:$I$104,2,FALSE)</f>
        <v>COSTO SFIZI</v>
      </c>
      <c r="I2593" s="59">
        <v>39.9</v>
      </c>
      <c r="J2593" s="940"/>
      <c r="K2593" s="57" t="s">
        <v>99</v>
      </c>
      <c r="L2593" s="59"/>
    </row>
    <row r="2594" spans="1:12">
      <c r="A2594" s="57" t="s">
        <v>92</v>
      </c>
      <c r="B2594" s="57" t="s">
        <v>217</v>
      </c>
      <c r="C2594" s="57">
        <v>2020</v>
      </c>
      <c r="D2594" s="58">
        <f>MATCH(B2594,{"GENNAIO","FEBBRAIO","MARZO","APRILE","MAGGIO","GIUGNO","LUGLIO","AGOSTO","SETTEMBRE","OTTOBRE","NOVEMBRE","DICEMBRE"},0)</f>
        <v>10</v>
      </c>
      <c r="E2594" s="57" t="str">
        <f t="shared" si="1766"/>
        <v>OTTOBRE 2020</v>
      </c>
      <c r="F2594" s="57" t="str">
        <f t="shared" si="1767"/>
        <v>10 OTTOBRE 2020</v>
      </c>
      <c r="G2594" s="1309" t="s">
        <v>94</v>
      </c>
      <c r="H2594" s="1309" t="str">
        <f>VLOOKUP(G2594,CATEGORIE!$H$3:$I$104,2,FALSE)</f>
        <v>COSTO SVAGHI</v>
      </c>
      <c r="I2594" s="59">
        <v>10</v>
      </c>
      <c r="J2594" s="940"/>
      <c r="K2594" s="59"/>
      <c r="L2594" s="59"/>
    </row>
    <row r="2595" spans="1:12">
      <c r="A2595" s="57" t="s">
        <v>99</v>
      </c>
      <c r="B2595" s="57" t="s">
        <v>217</v>
      </c>
      <c r="C2595" s="57">
        <v>2020</v>
      </c>
      <c r="D2595" s="58">
        <f>MATCH(B2595,{"GENNAIO","FEBBRAIO","MARZO","APRILE","MAGGIO","GIUGNO","LUGLIO","AGOSTO","SETTEMBRE","OTTOBRE","NOVEMBRE","DICEMBRE"},0)</f>
        <v>10</v>
      </c>
      <c r="E2595" s="57" t="str">
        <f t="shared" si="1766"/>
        <v>OTTOBRE 2020</v>
      </c>
      <c r="F2595" s="57" t="str">
        <f t="shared" si="1767"/>
        <v>10 OTTOBRE 2020</v>
      </c>
      <c r="G2595" s="1309" t="s">
        <v>100</v>
      </c>
      <c r="H2595" s="1309" t="str">
        <f>VLOOKUP(G2595,CATEGORIE!$H$3:$I$104,2,FALSE)</f>
        <v>COSTO SFIZI</v>
      </c>
      <c r="I2595" s="59">
        <v>74.989999999999995</v>
      </c>
      <c r="J2595" s="940"/>
      <c r="K2595" s="57" t="s">
        <v>99</v>
      </c>
      <c r="L2595" s="59"/>
    </row>
    <row r="2596" spans="1:12">
      <c r="A2596" s="57" t="s">
        <v>642</v>
      </c>
      <c r="B2596" s="57" t="s">
        <v>217</v>
      </c>
      <c r="C2596" s="57">
        <v>2020</v>
      </c>
      <c r="D2596" s="58">
        <f>MATCH(B2596,{"GENNAIO","FEBBRAIO","MARZO","APRILE","MAGGIO","GIUGNO","LUGLIO","AGOSTO","SETTEMBRE","OTTOBRE","NOVEMBRE","DICEMBRE"},0)</f>
        <v>10</v>
      </c>
      <c r="E2596" s="57" t="str">
        <f t="shared" si="1766"/>
        <v>OTTOBRE 2020</v>
      </c>
      <c r="F2596" s="57" t="str">
        <f t="shared" si="1767"/>
        <v>10 OTTOBRE 2020</v>
      </c>
      <c r="G2596" s="1309" t="s">
        <v>111</v>
      </c>
      <c r="H2596" s="1309" t="str">
        <f>VLOOKUP(G2596,CATEGORIE!$H$3:$I$104,2,FALSE)</f>
        <v>COSTO MOBILITA'</v>
      </c>
      <c r="I2596" s="59">
        <v>1.7</v>
      </c>
      <c r="J2596" s="940"/>
      <c r="K2596" s="59"/>
      <c r="L2596" s="59"/>
    </row>
    <row r="2597" spans="1:12">
      <c r="A2597" s="57" t="s">
        <v>642</v>
      </c>
      <c r="B2597" s="57" t="s">
        <v>217</v>
      </c>
      <c r="C2597" s="57">
        <v>2020</v>
      </c>
      <c r="D2597" s="58">
        <f>MATCH(B2597,{"GENNAIO","FEBBRAIO","MARZO","APRILE","MAGGIO","GIUGNO","LUGLIO","AGOSTO","SETTEMBRE","OTTOBRE","NOVEMBRE","DICEMBRE"},0)</f>
        <v>10</v>
      </c>
      <c r="E2597" s="57" t="str">
        <f t="shared" si="1766"/>
        <v>OTTOBRE 2020</v>
      </c>
      <c r="F2597" s="57" t="str">
        <f t="shared" si="1767"/>
        <v>10 OTTOBRE 2020</v>
      </c>
      <c r="G2597" s="1309" t="s">
        <v>111</v>
      </c>
      <c r="H2597" s="1309" t="str">
        <f>VLOOKUP(G2597,CATEGORIE!$H$3:$I$104,2,FALSE)</f>
        <v>COSTO MOBILITA'</v>
      </c>
      <c r="I2597" s="59">
        <v>3.3</v>
      </c>
      <c r="J2597" s="940"/>
      <c r="K2597" s="59"/>
      <c r="L2597" s="59"/>
    </row>
    <row r="2598" spans="1:12">
      <c r="A2598" s="57" t="s">
        <v>643</v>
      </c>
      <c r="B2598" s="57" t="s">
        <v>240</v>
      </c>
      <c r="C2598" s="57">
        <v>2020</v>
      </c>
      <c r="D2598" s="58">
        <f>MATCH(B2598,{"GENNAIO","FEBBRAIO","MARZO","APRILE","MAGGIO","GIUGNO","LUGLIO","AGOSTO","SETTEMBRE","OTTOBRE","NOVEMBRE","DICEMBRE"},0)</f>
        <v>9</v>
      </c>
      <c r="E2598" s="57" t="str">
        <f t="shared" si="1766"/>
        <v>SETTEMBRE 2020</v>
      </c>
      <c r="F2598" s="57" t="str">
        <f t="shared" si="1767"/>
        <v>9 SETTEMBRE 2020</v>
      </c>
      <c r="G2598" s="1309" t="s">
        <v>418</v>
      </c>
      <c r="H2598" s="1309" t="str">
        <f>VLOOKUP(G2598,CATEGORIE!$H$3:$I$104,2,FALSE)</f>
        <v>COSTO SOPRAVVIVENZA</v>
      </c>
      <c r="I2598" s="59">
        <v>27.99</v>
      </c>
      <c r="J2598" s="940"/>
      <c r="K2598" s="59"/>
      <c r="L2598" s="59"/>
    </row>
    <row r="2599" spans="1:12">
      <c r="A2599" s="57" t="s">
        <v>214</v>
      </c>
      <c r="B2599" s="57" t="s">
        <v>240</v>
      </c>
      <c r="C2599" s="57">
        <v>2020</v>
      </c>
      <c r="D2599" s="58">
        <f>MATCH(B2599,{"GENNAIO","FEBBRAIO","MARZO","APRILE","MAGGIO","GIUGNO","LUGLIO","AGOSTO","SETTEMBRE","OTTOBRE","NOVEMBRE","DICEMBRE"},0)</f>
        <v>9</v>
      </c>
      <c r="E2599" s="57" t="str">
        <f t="shared" si="1766"/>
        <v>SETTEMBRE 2020</v>
      </c>
      <c r="F2599" s="57" t="str">
        <f t="shared" si="1767"/>
        <v>9 SETTEMBRE 2020</v>
      </c>
      <c r="G2599" s="1309" t="s">
        <v>242</v>
      </c>
      <c r="H2599" s="1309" t="str">
        <f>VLOOKUP(G2599,CATEGORIE!$H$3:$I$104,2,FALSE)</f>
        <v>COSTO ABBONAMENTI</v>
      </c>
      <c r="I2599" s="59">
        <v>8.49</v>
      </c>
      <c r="J2599" s="940"/>
      <c r="K2599" s="59"/>
      <c r="L2599" s="59"/>
    </row>
    <row r="2600" spans="1:12">
      <c r="A2600" s="57" t="s">
        <v>156</v>
      </c>
      <c r="B2600" s="57" t="s">
        <v>240</v>
      </c>
      <c r="C2600" s="57">
        <v>2020</v>
      </c>
      <c r="D2600" s="58">
        <f>MATCH(B2600,{"GENNAIO","FEBBRAIO","MARZO","APRILE","MAGGIO","GIUGNO","LUGLIO","AGOSTO","SETTEMBRE","OTTOBRE","NOVEMBRE","DICEMBRE"},0)</f>
        <v>9</v>
      </c>
      <c r="E2600" s="57" t="str">
        <f t="shared" si="1766"/>
        <v>SETTEMBRE 2020</v>
      </c>
      <c r="F2600" s="57" t="str">
        <f t="shared" si="1767"/>
        <v>9 SETTEMBRE 2020</v>
      </c>
      <c r="G2600" s="1309" t="s">
        <v>96</v>
      </c>
      <c r="H2600" s="1309" t="str">
        <f>VLOOKUP(G2600,CATEGORIE!$H$3:$I$104,2,FALSE)</f>
        <v>COSTO SOPRAVVIVENZA</v>
      </c>
      <c r="I2600" s="59">
        <v>46.51</v>
      </c>
      <c r="J2600" s="940"/>
      <c r="K2600" s="59"/>
      <c r="L2600" s="59"/>
    </row>
    <row r="2601" spans="1:12">
      <c r="A2601" s="57" t="s">
        <v>589</v>
      </c>
      <c r="B2601" s="57" t="s">
        <v>240</v>
      </c>
      <c r="C2601" s="57">
        <v>2020</v>
      </c>
      <c r="D2601" s="58">
        <f>MATCH(B2601,{"GENNAIO","FEBBRAIO","MARZO","APRILE","MAGGIO","GIUGNO","LUGLIO","AGOSTO","SETTEMBRE","OTTOBRE","NOVEMBRE","DICEMBRE"},0)</f>
        <v>9</v>
      </c>
      <c r="E2601" s="57" t="str">
        <f t="shared" si="1766"/>
        <v>SETTEMBRE 2020</v>
      </c>
      <c r="F2601" s="57" t="str">
        <f t="shared" si="1767"/>
        <v>9 SETTEMBRE 2020</v>
      </c>
      <c r="G2601" s="1309" t="s">
        <v>107</v>
      </c>
      <c r="H2601" s="1309" t="str">
        <f>VLOOKUP(G2601,CATEGORIE!$H$3:$I$104,2,FALSE)</f>
        <v>COSTO SOPRAVVIVENZA</v>
      </c>
      <c r="I2601" s="59">
        <v>122</v>
      </c>
      <c r="J2601" s="940"/>
      <c r="K2601" s="59"/>
      <c r="L2601" s="59"/>
    </row>
    <row r="2602" spans="1:12">
      <c r="A2602" s="57" t="s">
        <v>92</v>
      </c>
      <c r="B2602" s="57" t="s">
        <v>240</v>
      </c>
      <c r="C2602" s="57">
        <v>2020</v>
      </c>
      <c r="D2602" s="58">
        <f>MATCH(B2602,{"GENNAIO","FEBBRAIO","MARZO","APRILE","MAGGIO","GIUGNO","LUGLIO","AGOSTO","SETTEMBRE","OTTOBRE","NOVEMBRE","DICEMBRE"},0)</f>
        <v>9</v>
      </c>
      <c r="E2602" s="57" t="str">
        <f t="shared" si="1766"/>
        <v>SETTEMBRE 2020</v>
      </c>
      <c r="F2602" s="57" t="str">
        <f t="shared" si="1767"/>
        <v>9 SETTEMBRE 2020</v>
      </c>
      <c r="G2602" s="1309" t="s">
        <v>94</v>
      </c>
      <c r="H2602" s="1309" t="str">
        <f>VLOOKUP(G2602,CATEGORIE!$H$3:$I$104,2,FALSE)</f>
        <v>COSTO SVAGHI</v>
      </c>
      <c r="I2602" s="59">
        <v>9</v>
      </c>
      <c r="J2602" s="940"/>
      <c r="K2602" s="59"/>
      <c r="L2602" s="59"/>
    </row>
    <row r="2603" spans="1:12">
      <c r="A2603" s="57" t="s">
        <v>644</v>
      </c>
      <c r="B2603" s="57" t="s">
        <v>240</v>
      </c>
      <c r="C2603" s="57">
        <v>2020</v>
      </c>
      <c r="D2603" s="58">
        <f>MATCH(B2603,{"GENNAIO","FEBBRAIO","MARZO","APRILE","MAGGIO","GIUGNO","LUGLIO","AGOSTO","SETTEMBRE","OTTOBRE","NOVEMBRE","DICEMBRE"},0)</f>
        <v>9</v>
      </c>
      <c r="E2603" s="57" t="str">
        <f t="shared" si="1766"/>
        <v>SETTEMBRE 2020</v>
      </c>
      <c r="F2603" s="57" t="str">
        <f t="shared" si="1767"/>
        <v>9 SETTEMBRE 2020</v>
      </c>
      <c r="G2603" s="1309" t="s">
        <v>111</v>
      </c>
      <c r="H2603" s="1309" t="str">
        <f>VLOOKUP(G2603,CATEGORIE!$H$3:$I$104,2,FALSE)</f>
        <v>COSTO MOBILITA'</v>
      </c>
      <c r="I2603" s="59">
        <v>6</v>
      </c>
      <c r="J2603" s="940"/>
      <c r="K2603" s="59"/>
      <c r="L2603" s="59"/>
    </row>
    <row r="2604" spans="1:12">
      <c r="A2604" s="57" t="s">
        <v>156</v>
      </c>
      <c r="B2604" s="57" t="s">
        <v>240</v>
      </c>
      <c r="C2604" s="57">
        <v>2020</v>
      </c>
      <c r="D2604" s="58">
        <f>MATCH(B2604,{"GENNAIO","FEBBRAIO","MARZO","APRILE","MAGGIO","GIUGNO","LUGLIO","AGOSTO","SETTEMBRE","OTTOBRE","NOVEMBRE","DICEMBRE"},0)</f>
        <v>9</v>
      </c>
      <c r="E2604" s="57" t="str">
        <f t="shared" si="1766"/>
        <v>SETTEMBRE 2020</v>
      </c>
      <c r="F2604" s="57" t="str">
        <f t="shared" si="1767"/>
        <v>9 SETTEMBRE 2020</v>
      </c>
      <c r="G2604" s="1309" t="s">
        <v>96</v>
      </c>
      <c r="H2604" s="1309" t="str">
        <f>VLOOKUP(G2604,CATEGORIE!$H$3:$I$104,2,FALSE)</f>
        <v>COSTO SOPRAVVIVENZA</v>
      </c>
      <c r="I2604" s="59">
        <v>25.99</v>
      </c>
      <c r="J2604" s="940"/>
      <c r="K2604" s="59"/>
      <c r="L2604" s="59"/>
    </row>
    <row r="2605" spans="1:12">
      <c r="A2605" s="57" t="s">
        <v>119</v>
      </c>
      <c r="B2605" s="57" t="s">
        <v>240</v>
      </c>
      <c r="C2605" s="57">
        <v>2020</v>
      </c>
      <c r="D2605" s="58">
        <f>MATCH(B2605,{"GENNAIO","FEBBRAIO","MARZO","APRILE","MAGGIO","GIUGNO","LUGLIO","AGOSTO","SETTEMBRE","OTTOBRE","NOVEMBRE","DICEMBRE"},0)</f>
        <v>9</v>
      </c>
      <c r="E2605" s="57" t="str">
        <f t="shared" si="1766"/>
        <v>SETTEMBRE 2020</v>
      </c>
      <c r="F2605" s="57" t="str">
        <f t="shared" si="1767"/>
        <v>9 SETTEMBRE 2020</v>
      </c>
      <c r="G2605" s="1309" t="s">
        <v>108</v>
      </c>
      <c r="H2605" s="1309" t="str">
        <f>VLOOKUP(G2605,CATEGORIE!$H$3:$I$104,2,FALSE)</f>
        <v>COSTO SFIZI</v>
      </c>
      <c r="I2605" s="59">
        <v>24.9</v>
      </c>
      <c r="J2605" s="940"/>
      <c r="K2605" s="59"/>
      <c r="L2605" s="59"/>
    </row>
    <row r="2606" spans="1:12">
      <c r="A2606" s="57" t="s">
        <v>358</v>
      </c>
      <c r="B2606" s="57" t="s">
        <v>240</v>
      </c>
      <c r="C2606" s="57">
        <v>2020</v>
      </c>
      <c r="D2606" s="58">
        <f>MATCH(B2606,{"GENNAIO","FEBBRAIO","MARZO","APRILE","MAGGIO","GIUGNO","LUGLIO","AGOSTO","SETTEMBRE","OTTOBRE","NOVEMBRE","DICEMBRE"},0)</f>
        <v>9</v>
      </c>
      <c r="E2606" s="57" t="str">
        <f t="shared" si="1766"/>
        <v>SETTEMBRE 2020</v>
      </c>
      <c r="F2606" s="57" t="str">
        <f t="shared" si="1767"/>
        <v>9 SETTEMBRE 2020</v>
      </c>
      <c r="G2606" s="1309" t="s">
        <v>111</v>
      </c>
      <c r="H2606" s="1309" t="str">
        <f>VLOOKUP(G2606,CATEGORIE!$H$3:$I$104,2,FALSE)</f>
        <v>COSTO MOBILITA'</v>
      </c>
      <c r="I2606" s="59">
        <v>20</v>
      </c>
      <c r="J2606" s="940"/>
      <c r="K2606" s="59"/>
      <c r="L2606" s="59"/>
    </row>
    <row r="2607" spans="1:12">
      <c r="A2607" s="57" t="s">
        <v>645</v>
      </c>
      <c r="B2607" s="57" t="s">
        <v>240</v>
      </c>
      <c r="C2607" s="57">
        <v>2020</v>
      </c>
      <c r="D2607" s="58">
        <f>MATCH(B2607,{"GENNAIO","FEBBRAIO","MARZO","APRILE","MAGGIO","GIUGNO","LUGLIO","AGOSTO","SETTEMBRE","OTTOBRE","NOVEMBRE","DICEMBRE"},0)</f>
        <v>9</v>
      </c>
      <c r="E2607" s="57" t="str">
        <f t="shared" si="1766"/>
        <v>SETTEMBRE 2020</v>
      </c>
      <c r="F2607" s="57" t="str">
        <f t="shared" si="1767"/>
        <v>9 SETTEMBRE 2020</v>
      </c>
      <c r="G2607" s="1309" t="s">
        <v>94</v>
      </c>
      <c r="H2607" s="1309" t="str">
        <f>VLOOKUP(G2607,CATEGORIE!$H$3:$I$104,2,FALSE)</f>
        <v>COSTO SVAGHI</v>
      </c>
      <c r="I2607" s="59">
        <v>51.3</v>
      </c>
      <c r="J2607" s="940"/>
      <c r="K2607" s="59"/>
      <c r="L2607" s="59"/>
    </row>
    <row r="2608" spans="1:12">
      <c r="A2608" s="57" t="s">
        <v>646</v>
      </c>
      <c r="B2608" s="57" t="s">
        <v>240</v>
      </c>
      <c r="C2608" s="57">
        <v>2020</v>
      </c>
      <c r="D2608" s="58">
        <f>MATCH(B2608,{"GENNAIO","FEBBRAIO","MARZO","APRILE","MAGGIO","GIUGNO","LUGLIO","AGOSTO","SETTEMBRE","OTTOBRE","NOVEMBRE","DICEMBRE"},0)</f>
        <v>9</v>
      </c>
      <c r="E2608" s="57" t="str">
        <f t="shared" si="1766"/>
        <v>SETTEMBRE 2020</v>
      </c>
      <c r="F2608" s="57" t="str">
        <f t="shared" si="1767"/>
        <v>9 SETTEMBRE 2020</v>
      </c>
      <c r="G2608" s="1309" t="s">
        <v>163</v>
      </c>
      <c r="H2608" s="1309" t="str">
        <f>VLOOKUP(G2608,CATEGORIE!$H$3:$I$104,2,FALSE)</f>
        <v>COSTO SVAGHI</v>
      </c>
      <c r="I2608" s="59">
        <v>27</v>
      </c>
      <c r="J2608" s="940"/>
      <c r="K2608" s="59"/>
      <c r="L2608" s="59"/>
    </row>
    <row r="2609" spans="1:12">
      <c r="A2609" s="57" t="s">
        <v>92</v>
      </c>
      <c r="B2609" s="57" t="s">
        <v>261</v>
      </c>
      <c r="C2609" s="57">
        <v>2020</v>
      </c>
      <c r="D2609" s="58">
        <f>MATCH(B2609,{"GENNAIO","FEBBRAIO","MARZO","APRILE","MAGGIO","GIUGNO","LUGLIO","AGOSTO","SETTEMBRE","OTTOBRE","NOVEMBRE","DICEMBRE"},0)</f>
        <v>8</v>
      </c>
      <c r="E2609" s="57" t="str">
        <f t="shared" si="1766"/>
        <v>AGOSTO 2020</v>
      </c>
      <c r="F2609" s="57" t="str">
        <f t="shared" si="1767"/>
        <v>8 AGOSTO 2020</v>
      </c>
      <c r="G2609" s="1309" t="s">
        <v>93</v>
      </c>
      <c r="H2609" s="1309" t="str">
        <f>VLOOKUP(G2609,CATEGORIE!$H$3:$I$104,2,FALSE)</f>
        <v>COSTO SOPRAVVIVENZA</v>
      </c>
      <c r="I2609" s="59">
        <v>5</v>
      </c>
      <c r="J2609" s="940"/>
      <c r="K2609" s="59"/>
      <c r="L2609" s="59"/>
    </row>
    <row r="2610" spans="1:12">
      <c r="A2610" s="57" t="s">
        <v>156</v>
      </c>
      <c r="B2610" s="57" t="s">
        <v>261</v>
      </c>
      <c r="C2610" s="57">
        <v>2020</v>
      </c>
      <c r="D2610" s="58">
        <f>MATCH(B2610,{"GENNAIO","FEBBRAIO","MARZO","APRILE","MAGGIO","GIUGNO","LUGLIO","AGOSTO","SETTEMBRE","OTTOBRE","NOVEMBRE","DICEMBRE"},0)</f>
        <v>8</v>
      </c>
      <c r="E2610" s="57" t="str">
        <f t="shared" si="1766"/>
        <v>AGOSTO 2020</v>
      </c>
      <c r="F2610" s="57" t="str">
        <f t="shared" si="1767"/>
        <v>8 AGOSTO 2020</v>
      </c>
      <c r="G2610" s="1309" t="s">
        <v>96</v>
      </c>
      <c r="H2610" s="1309" t="str">
        <f>VLOOKUP(G2610,CATEGORIE!$H$3:$I$104,2,FALSE)</f>
        <v>COSTO SOPRAVVIVENZA</v>
      </c>
      <c r="I2610" s="59">
        <v>49.51</v>
      </c>
      <c r="J2610" s="940"/>
      <c r="K2610" s="59"/>
      <c r="L2610" s="59"/>
    </row>
    <row r="2611" spans="1:12">
      <c r="A2611" s="57" t="s">
        <v>187</v>
      </c>
      <c r="B2611" s="57" t="s">
        <v>261</v>
      </c>
      <c r="C2611" s="57">
        <v>2020</v>
      </c>
      <c r="D2611" s="58">
        <f>MATCH(B2611,{"GENNAIO","FEBBRAIO","MARZO","APRILE","MAGGIO","GIUGNO","LUGLIO","AGOSTO","SETTEMBRE","OTTOBRE","NOVEMBRE","DICEMBRE"},0)</f>
        <v>8</v>
      </c>
      <c r="E2611" s="57" t="str">
        <f t="shared" si="1766"/>
        <v>AGOSTO 2020</v>
      </c>
      <c r="F2611" s="57" t="str">
        <f t="shared" si="1767"/>
        <v>8 AGOSTO 2020</v>
      </c>
      <c r="G2611" s="1309" t="s">
        <v>188</v>
      </c>
      <c r="H2611" s="1309" t="str">
        <f>VLOOKUP(G2611,CATEGORIE!$H$3:$I$104,2,FALSE)</f>
        <v>COSTO VACANZE</v>
      </c>
      <c r="I2611" s="59">
        <v>510</v>
      </c>
      <c r="J2611" s="940"/>
      <c r="K2611" s="59"/>
      <c r="L2611" s="59"/>
    </row>
    <row r="2612" spans="1:12">
      <c r="A2612" s="57" t="s">
        <v>110</v>
      </c>
      <c r="B2612" s="57" t="s">
        <v>261</v>
      </c>
      <c r="C2612" s="57">
        <v>2020</v>
      </c>
      <c r="D2612" s="58">
        <f>MATCH(B2612,{"GENNAIO","FEBBRAIO","MARZO","APRILE","MAGGIO","GIUGNO","LUGLIO","AGOSTO","SETTEMBRE","OTTOBRE","NOVEMBRE","DICEMBRE"},0)</f>
        <v>8</v>
      </c>
      <c r="E2612" s="57" t="str">
        <f t="shared" si="1766"/>
        <v>AGOSTO 2020</v>
      </c>
      <c r="F2612" s="57" t="str">
        <f t="shared" si="1767"/>
        <v>8 AGOSTO 2020</v>
      </c>
      <c r="G2612" s="1309" t="s">
        <v>111</v>
      </c>
      <c r="H2612" s="1309" t="str">
        <f>VLOOKUP(G2612,CATEGORIE!$H$3:$I$104,2,FALSE)</f>
        <v>COSTO MOBILITA'</v>
      </c>
      <c r="I2612" s="59">
        <v>6.08</v>
      </c>
      <c r="J2612" s="940"/>
      <c r="K2612" s="59" t="s">
        <v>112</v>
      </c>
      <c r="L2612" s="59"/>
    </row>
    <row r="2613" spans="1:12">
      <c r="A2613" s="57" t="s">
        <v>110</v>
      </c>
      <c r="B2613" s="57" t="s">
        <v>261</v>
      </c>
      <c r="C2613" s="57">
        <v>2020</v>
      </c>
      <c r="D2613" s="58">
        <f>MATCH(B2613,{"GENNAIO","FEBBRAIO","MARZO","APRILE","MAGGIO","GIUGNO","LUGLIO","AGOSTO","SETTEMBRE","OTTOBRE","NOVEMBRE","DICEMBRE"},0)</f>
        <v>8</v>
      </c>
      <c r="E2613" s="57" t="str">
        <f t="shared" si="1766"/>
        <v>AGOSTO 2020</v>
      </c>
      <c r="F2613" s="57" t="str">
        <f t="shared" si="1767"/>
        <v>8 AGOSTO 2020</v>
      </c>
      <c r="G2613" s="1309" t="s">
        <v>111</v>
      </c>
      <c r="H2613" s="1309" t="str">
        <f>VLOOKUP(G2613,CATEGORIE!$H$3:$I$104,2,FALSE)</f>
        <v>COSTO MOBILITA'</v>
      </c>
      <c r="I2613" s="59">
        <v>1.18</v>
      </c>
      <c r="J2613" s="940"/>
      <c r="K2613" s="59" t="s">
        <v>112</v>
      </c>
      <c r="L2613" s="59"/>
    </row>
    <row r="2614" spans="1:12">
      <c r="A2614" s="57" t="s">
        <v>110</v>
      </c>
      <c r="B2614" s="57" t="s">
        <v>261</v>
      </c>
      <c r="C2614" s="57">
        <v>2020</v>
      </c>
      <c r="D2614" s="58">
        <f>MATCH(B2614,{"GENNAIO","FEBBRAIO","MARZO","APRILE","MAGGIO","GIUGNO","LUGLIO","AGOSTO","SETTEMBRE","OTTOBRE","NOVEMBRE","DICEMBRE"},0)</f>
        <v>8</v>
      </c>
      <c r="E2614" s="57" t="str">
        <f t="shared" si="1766"/>
        <v>AGOSTO 2020</v>
      </c>
      <c r="F2614" s="57" t="str">
        <f t="shared" si="1767"/>
        <v>8 AGOSTO 2020</v>
      </c>
      <c r="G2614" s="1309" t="s">
        <v>111</v>
      </c>
      <c r="H2614" s="1309" t="str">
        <f>VLOOKUP(G2614,CATEGORIE!$H$3:$I$104,2,FALSE)</f>
        <v>COSTO MOBILITA'</v>
      </c>
      <c r="I2614" s="59">
        <v>0.67</v>
      </c>
      <c r="J2614" s="940"/>
      <c r="K2614" s="59" t="s">
        <v>112</v>
      </c>
      <c r="L2614" s="59"/>
    </row>
    <row r="2615" spans="1:12">
      <c r="A2615" s="57" t="s">
        <v>621</v>
      </c>
      <c r="B2615" s="57" t="s">
        <v>261</v>
      </c>
      <c r="C2615" s="57">
        <v>2020</v>
      </c>
      <c r="D2615" s="58">
        <f>MATCH(B2615,{"GENNAIO","FEBBRAIO","MARZO","APRILE","MAGGIO","GIUGNO","LUGLIO","AGOSTO","SETTEMBRE","OTTOBRE","NOVEMBRE","DICEMBRE"},0)</f>
        <v>8</v>
      </c>
      <c r="E2615" s="57" t="str">
        <f t="shared" si="1766"/>
        <v>AGOSTO 2020</v>
      </c>
      <c r="F2615" s="57" t="str">
        <f t="shared" si="1767"/>
        <v>8 AGOSTO 2020</v>
      </c>
      <c r="G2615" s="1309" t="s">
        <v>188</v>
      </c>
      <c r="H2615" s="1309" t="str">
        <f>VLOOKUP(G2615,CATEGORIE!$H$3:$I$104,2,FALSE)</f>
        <v>COSTO VACANZE</v>
      </c>
      <c r="I2615" s="59">
        <v>84.5</v>
      </c>
      <c r="J2615" s="940"/>
      <c r="K2615" s="59"/>
      <c r="L2615" s="59"/>
    </row>
    <row r="2616" spans="1:12">
      <c r="A2616" s="57" t="s">
        <v>187</v>
      </c>
      <c r="B2616" s="57" t="s">
        <v>261</v>
      </c>
      <c r="C2616" s="57">
        <v>2020</v>
      </c>
      <c r="D2616" s="58">
        <f>MATCH(B2616,{"GENNAIO","FEBBRAIO","MARZO","APRILE","MAGGIO","GIUGNO","LUGLIO","AGOSTO","SETTEMBRE","OTTOBRE","NOVEMBRE","DICEMBRE"},0)</f>
        <v>8</v>
      </c>
      <c r="E2616" s="57" t="str">
        <f t="shared" si="1766"/>
        <v>AGOSTO 2020</v>
      </c>
      <c r="F2616" s="57" t="str">
        <f t="shared" si="1767"/>
        <v>8 AGOSTO 2020</v>
      </c>
      <c r="G2616" s="1309" t="s">
        <v>188</v>
      </c>
      <c r="H2616" s="1309" t="str">
        <f>VLOOKUP(G2616,CATEGORIE!$H$3:$I$104,2,FALSE)</f>
        <v>COSTO VACANZE</v>
      </c>
      <c r="I2616" s="59">
        <v>179</v>
      </c>
      <c r="J2616" s="940"/>
      <c r="K2616" s="59"/>
      <c r="L2616" s="59"/>
    </row>
    <row r="2617" spans="1:12">
      <c r="A2617" s="57" t="s">
        <v>644</v>
      </c>
      <c r="B2617" s="57" t="s">
        <v>261</v>
      </c>
      <c r="C2617" s="57">
        <v>2020</v>
      </c>
      <c r="D2617" s="58">
        <f>MATCH(B2617,{"GENNAIO","FEBBRAIO","MARZO","APRILE","MAGGIO","GIUGNO","LUGLIO","AGOSTO","SETTEMBRE","OTTOBRE","NOVEMBRE","DICEMBRE"},0)</f>
        <v>8</v>
      </c>
      <c r="E2617" s="57" t="str">
        <f t="shared" ref="E2617:E2623" si="1768">CONCATENATE(,B2617," ",C2617)</f>
        <v>AGOSTO 2020</v>
      </c>
      <c r="F2617" s="57" t="str">
        <f t="shared" ref="F2617:F2680" si="1769">CONCATENATE(D2617," ",E2617)</f>
        <v>8 AGOSTO 2020</v>
      </c>
      <c r="G2617" s="1309" t="s">
        <v>111</v>
      </c>
      <c r="H2617" s="1309" t="str">
        <f>VLOOKUP(G2617,CATEGORIE!$H$3:$I$104,2,FALSE)</f>
        <v>COSTO MOBILITA'</v>
      </c>
      <c r="I2617" s="59">
        <v>6</v>
      </c>
      <c r="J2617" s="940"/>
      <c r="K2617" s="59"/>
      <c r="L2617" s="59"/>
    </row>
    <row r="2618" spans="1:12">
      <c r="A2618" s="57" t="s">
        <v>156</v>
      </c>
      <c r="B2618" s="57" t="s">
        <v>261</v>
      </c>
      <c r="C2618" s="57">
        <v>2020</v>
      </c>
      <c r="D2618" s="58">
        <f>MATCH(B2618,{"GENNAIO","FEBBRAIO","MARZO","APRILE","MAGGIO","GIUGNO","LUGLIO","AGOSTO","SETTEMBRE","OTTOBRE","NOVEMBRE","DICEMBRE"},0)</f>
        <v>8</v>
      </c>
      <c r="E2618" s="57" t="str">
        <f t="shared" si="1768"/>
        <v>AGOSTO 2020</v>
      </c>
      <c r="F2618" s="57" t="str">
        <f t="shared" si="1769"/>
        <v>8 AGOSTO 2020</v>
      </c>
      <c r="G2618" s="1309" t="s">
        <v>96</v>
      </c>
      <c r="H2618" s="1309" t="str">
        <f>VLOOKUP(G2618,CATEGORIE!$H$3:$I$104,2,FALSE)</f>
        <v>COSTO SOPRAVVIVENZA</v>
      </c>
      <c r="I2618" s="59">
        <v>23.41</v>
      </c>
      <c r="J2618" s="940"/>
      <c r="K2618" s="59"/>
      <c r="L2618" s="59"/>
    </row>
    <row r="2619" spans="1:12">
      <c r="A2619" s="57" t="s">
        <v>647</v>
      </c>
      <c r="B2619" s="57" t="s">
        <v>261</v>
      </c>
      <c r="C2619" s="57">
        <v>2020</v>
      </c>
      <c r="D2619" s="58">
        <f>MATCH(B2619,{"GENNAIO","FEBBRAIO","MARZO","APRILE","MAGGIO","GIUGNO","LUGLIO","AGOSTO","SETTEMBRE","OTTOBRE","NOVEMBRE","DICEMBRE"},0)</f>
        <v>8</v>
      </c>
      <c r="E2619" s="57" t="str">
        <f t="shared" si="1768"/>
        <v>AGOSTO 2020</v>
      </c>
      <c r="F2619" s="57" t="str">
        <f t="shared" si="1769"/>
        <v>8 AGOSTO 2020</v>
      </c>
      <c r="G2619" s="1309" t="s">
        <v>1289</v>
      </c>
      <c r="H2619" s="1309" t="str">
        <f>VLOOKUP(G2619,CATEGORIE!$H$3:$I$104,2,FALSE)</f>
        <v>COSTO SFIZI</v>
      </c>
      <c r="I2619" s="59">
        <v>29.8</v>
      </c>
      <c r="J2619" s="940"/>
      <c r="K2619" s="59"/>
      <c r="L2619" s="59"/>
    </row>
    <row r="2620" spans="1:12">
      <c r="A2620" s="57" t="s">
        <v>648</v>
      </c>
      <c r="B2620" s="57" t="s">
        <v>261</v>
      </c>
      <c r="C2620" s="57">
        <v>2020</v>
      </c>
      <c r="D2620" s="58">
        <f>MATCH(B2620,{"GENNAIO","FEBBRAIO","MARZO","APRILE","MAGGIO","GIUGNO","LUGLIO","AGOSTO","SETTEMBRE","OTTOBRE","NOVEMBRE","DICEMBRE"},0)</f>
        <v>8</v>
      </c>
      <c r="E2620" s="57" t="str">
        <f t="shared" si="1768"/>
        <v>AGOSTO 2020</v>
      </c>
      <c r="F2620" s="57" t="str">
        <f t="shared" si="1769"/>
        <v>8 AGOSTO 2020</v>
      </c>
      <c r="G2620" s="1309" t="s">
        <v>108</v>
      </c>
      <c r="H2620" s="1309" t="str">
        <f>VLOOKUP(G2620,CATEGORIE!$H$3:$I$104,2,FALSE)</f>
        <v>COSTO SFIZI</v>
      </c>
      <c r="I2620" s="59">
        <v>81.91</v>
      </c>
      <c r="J2620" s="940"/>
      <c r="K2620" s="59"/>
      <c r="L2620" s="59"/>
    </row>
    <row r="2621" spans="1:12">
      <c r="A2621" s="57" t="s">
        <v>358</v>
      </c>
      <c r="B2621" s="57" t="s">
        <v>261</v>
      </c>
      <c r="C2621" s="57">
        <v>2020</v>
      </c>
      <c r="D2621" s="58">
        <f>MATCH(B2621,{"GENNAIO","FEBBRAIO","MARZO","APRILE","MAGGIO","GIUGNO","LUGLIO","AGOSTO","SETTEMBRE","OTTOBRE","NOVEMBRE","DICEMBRE"},0)</f>
        <v>8</v>
      </c>
      <c r="E2621" s="57" t="str">
        <f t="shared" si="1768"/>
        <v>AGOSTO 2020</v>
      </c>
      <c r="F2621" s="57" t="str">
        <f t="shared" si="1769"/>
        <v>8 AGOSTO 2020</v>
      </c>
      <c r="G2621" s="1309" t="s">
        <v>1250</v>
      </c>
      <c r="H2621" s="1309" t="str">
        <f>VLOOKUP(G2621,CATEGORIE!$H$3:$I$104,2,FALSE)</f>
        <v>COSTO VACANZE</v>
      </c>
      <c r="I2621" s="59">
        <v>58.55</v>
      </c>
      <c r="J2621" s="940"/>
      <c r="K2621" s="59"/>
      <c r="L2621" s="59"/>
    </row>
    <row r="2622" spans="1:12">
      <c r="A2622" s="57" t="s">
        <v>391</v>
      </c>
      <c r="B2622" s="57" t="s">
        <v>261</v>
      </c>
      <c r="C2622" s="57">
        <v>2020</v>
      </c>
      <c r="D2622" s="58">
        <f>MATCH(B2622,{"GENNAIO","FEBBRAIO","MARZO","APRILE","MAGGIO","GIUGNO","LUGLIO","AGOSTO","SETTEMBRE","OTTOBRE","NOVEMBRE","DICEMBRE"},0)</f>
        <v>8</v>
      </c>
      <c r="E2622" s="57" t="str">
        <f t="shared" si="1768"/>
        <v>AGOSTO 2020</v>
      </c>
      <c r="F2622" s="57" t="str">
        <f t="shared" si="1769"/>
        <v>8 AGOSTO 2020</v>
      </c>
      <c r="G2622" s="1309" t="s">
        <v>188</v>
      </c>
      <c r="H2622" s="1309" t="str">
        <f>VLOOKUP(G2622,CATEGORIE!$H$3:$I$104,2,FALSE)</f>
        <v>COSTO VACANZE</v>
      </c>
      <c r="I2622" s="59">
        <v>19.559999999999999</v>
      </c>
      <c r="J2622" s="940"/>
      <c r="K2622" s="59"/>
      <c r="L2622" s="59"/>
    </row>
    <row r="2623" spans="1:12">
      <c r="A2623" s="57" t="s">
        <v>156</v>
      </c>
      <c r="B2623" s="57" t="s">
        <v>261</v>
      </c>
      <c r="C2623" s="57">
        <v>2020</v>
      </c>
      <c r="D2623" s="58">
        <f>MATCH(B2623,{"GENNAIO","FEBBRAIO","MARZO","APRILE","MAGGIO","GIUGNO","LUGLIO","AGOSTO","SETTEMBRE","OTTOBRE","NOVEMBRE","DICEMBRE"},0)</f>
        <v>8</v>
      </c>
      <c r="E2623" s="57" t="str">
        <f t="shared" si="1768"/>
        <v>AGOSTO 2020</v>
      </c>
      <c r="F2623" s="57" t="str">
        <f t="shared" si="1769"/>
        <v>8 AGOSTO 2020</v>
      </c>
      <c r="G2623" s="1309" t="s">
        <v>96</v>
      </c>
      <c r="H2623" s="1309" t="str">
        <f>VLOOKUP(G2623,CATEGORIE!$H$3:$I$104,2,FALSE)</f>
        <v>COSTO SOPRAVVIVENZA</v>
      </c>
      <c r="I2623" s="59">
        <v>27.48</v>
      </c>
      <c r="J2623" s="940"/>
      <c r="K2623" s="59"/>
      <c r="L2623" s="59"/>
    </row>
    <row r="2624" spans="1:12">
      <c r="A2624" s="57" t="s">
        <v>99</v>
      </c>
      <c r="B2624" s="57" t="s">
        <v>261</v>
      </c>
      <c r="C2624" s="57">
        <v>2020</v>
      </c>
      <c r="D2624" s="58">
        <f>MATCH(B2624,{"GENNAIO","FEBBRAIO","MARZO","APRILE","MAGGIO","GIUGNO","LUGLIO","AGOSTO","SETTEMBRE","OTTOBRE","NOVEMBRE","DICEMBRE"},0)</f>
        <v>8</v>
      </c>
      <c r="E2624" s="57" t="str">
        <f>CONCATENATE(B2624," ",C2624)</f>
        <v>AGOSTO 2020</v>
      </c>
      <c r="F2624" s="57" t="str">
        <f t="shared" si="1769"/>
        <v>8 AGOSTO 2020</v>
      </c>
      <c r="G2624" s="1309" t="s">
        <v>100</v>
      </c>
      <c r="H2624" s="1309" t="str">
        <f>VLOOKUP(G2624,CATEGORIE!$H$3:$I$104,2,FALSE)</f>
        <v>COSTO SFIZI</v>
      </c>
      <c r="I2624" s="59">
        <v>42</v>
      </c>
      <c r="J2624" s="940"/>
      <c r="K2624" s="57" t="s">
        <v>99</v>
      </c>
      <c r="L2624" s="59"/>
    </row>
    <row r="2625" spans="1:12">
      <c r="A2625" s="57" t="s">
        <v>347</v>
      </c>
      <c r="B2625" s="57" t="s">
        <v>261</v>
      </c>
      <c r="C2625" s="57">
        <v>2020</v>
      </c>
      <c r="D2625" s="58">
        <f>MATCH(B2625,{"GENNAIO","FEBBRAIO","MARZO","APRILE","MAGGIO","GIUGNO","LUGLIO","AGOSTO","SETTEMBRE","OTTOBRE","NOVEMBRE","DICEMBRE"},0)</f>
        <v>8</v>
      </c>
      <c r="E2625" s="57" t="str">
        <f t="shared" ref="E2625:E2656" si="1770">CONCATENATE(,B2625," ",C2625)</f>
        <v>AGOSTO 2020</v>
      </c>
      <c r="F2625" s="57" t="str">
        <f t="shared" si="1769"/>
        <v>8 AGOSTO 2020</v>
      </c>
      <c r="G2625" s="1309" t="s">
        <v>108</v>
      </c>
      <c r="H2625" s="1309" t="str">
        <f>VLOOKUP(G2625,CATEGORIE!$H$3:$I$104,2,FALSE)</f>
        <v>COSTO SFIZI</v>
      </c>
      <c r="I2625" s="59">
        <v>49.99</v>
      </c>
      <c r="J2625" s="940"/>
      <c r="K2625" s="59"/>
      <c r="L2625" s="59"/>
    </row>
    <row r="2626" spans="1:12">
      <c r="A2626" s="57" t="s">
        <v>345</v>
      </c>
      <c r="B2626" s="57" t="s">
        <v>261</v>
      </c>
      <c r="C2626" s="57">
        <v>2020</v>
      </c>
      <c r="D2626" s="58">
        <f>MATCH(B2626,{"GENNAIO","FEBBRAIO","MARZO","APRILE","MAGGIO","GIUGNO","LUGLIO","AGOSTO","SETTEMBRE","OTTOBRE","NOVEMBRE","DICEMBRE"},0)</f>
        <v>8</v>
      </c>
      <c r="E2626" s="57" t="str">
        <f t="shared" si="1770"/>
        <v>AGOSTO 2020</v>
      </c>
      <c r="F2626" s="57" t="str">
        <f t="shared" si="1769"/>
        <v>8 AGOSTO 2020</v>
      </c>
      <c r="G2626" s="1309" t="s">
        <v>108</v>
      </c>
      <c r="H2626" s="1309" t="str">
        <f>VLOOKUP(G2626,CATEGORIE!$H$3:$I$104,2,FALSE)</f>
        <v>COSTO SFIZI</v>
      </c>
      <c r="I2626" s="59">
        <v>24.9</v>
      </c>
      <c r="J2626" s="940"/>
      <c r="K2626" s="59"/>
      <c r="L2626" s="59"/>
    </row>
    <row r="2627" spans="1:12">
      <c r="A2627" s="57" t="s">
        <v>298</v>
      </c>
      <c r="B2627" s="57" t="s">
        <v>261</v>
      </c>
      <c r="C2627" s="57">
        <v>2020</v>
      </c>
      <c r="D2627" s="58">
        <f>MATCH(B2627,{"GENNAIO","FEBBRAIO","MARZO","APRILE","MAGGIO","GIUGNO","LUGLIO","AGOSTO","SETTEMBRE","OTTOBRE","NOVEMBRE","DICEMBRE"},0)</f>
        <v>8</v>
      </c>
      <c r="E2627" s="57" t="str">
        <f t="shared" si="1770"/>
        <v>AGOSTO 2020</v>
      </c>
      <c r="F2627" s="57" t="str">
        <f t="shared" si="1769"/>
        <v>8 AGOSTO 2020</v>
      </c>
      <c r="G2627" s="1309" t="s">
        <v>108</v>
      </c>
      <c r="H2627" s="1309" t="str">
        <f>VLOOKUP(G2627,CATEGORIE!$H$3:$I$104,2,FALSE)</f>
        <v>COSTO SFIZI</v>
      </c>
      <c r="I2627" s="59">
        <v>9.99</v>
      </c>
      <c r="J2627" s="940"/>
      <c r="K2627" s="59"/>
      <c r="L2627" s="59"/>
    </row>
    <row r="2628" spans="1:12">
      <c r="A2628" s="57" t="s">
        <v>298</v>
      </c>
      <c r="B2628" s="57" t="s">
        <v>261</v>
      </c>
      <c r="C2628" s="57">
        <v>2020</v>
      </c>
      <c r="D2628" s="58">
        <f>MATCH(B2628,{"GENNAIO","FEBBRAIO","MARZO","APRILE","MAGGIO","GIUGNO","LUGLIO","AGOSTO","SETTEMBRE","OTTOBRE","NOVEMBRE","DICEMBRE"},0)</f>
        <v>8</v>
      </c>
      <c r="E2628" s="57" t="str">
        <f t="shared" si="1770"/>
        <v>AGOSTO 2020</v>
      </c>
      <c r="F2628" s="57" t="str">
        <f t="shared" si="1769"/>
        <v>8 AGOSTO 2020</v>
      </c>
      <c r="G2628" s="1309" t="s">
        <v>108</v>
      </c>
      <c r="H2628" s="1309" t="str">
        <f>VLOOKUP(G2628,CATEGORIE!$H$3:$I$104,2,FALSE)</f>
        <v>COSTO SFIZI</v>
      </c>
      <c r="I2628" s="59">
        <v>15.99</v>
      </c>
      <c r="J2628" s="940"/>
      <c r="K2628" s="59"/>
      <c r="L2628" s="59"/>
    </row>
    <row r="2629" spans="1:12">
      <c r="A2629" s="57" t="s">
        <v>298</v>
      </c>
      <c r="B2629" s="57" t="s">
        <v>261</v>
      </c>
      <c r="C2629" s="57">
        <v>2020</v>
      </c>
      <c r="D2629" s="58">
        <f>MATCH(B2629,{"GENNAIO","FEBBRAIO","MARZO","APRILE","MAGGIO","GIUGNO","LUGLIO","AGOSTO","SETTEMBRE","OTTOBRE","NOVEMBRE","DICEMBRE"},0)</f>
        <v>8</v>
      </c>
      <c r="E2629" s="57" t="str">
        <f t="shared" si="1770"/>
        <v>AGOSTO 2020</v>
      </c>
      <c r="F2629" s="57" t="str">
        <f t="shared" si="1769"/>
        <v>8 AGOSTO 2020</v>
      </c>
      <c r="G2629" s="1309" t="s">
        <v>108</v>
      </c>
      <c r="H2629" s="1309" t="str">
        <f>VLOOKUP(G2629,CATEGORIE!$H$3:$I$104,2,FALSE)</f>
        <v>COSTO SFIZI</v>
      </c>
      <c r="I2629" s="59">
        <v>71.97</v>
      </c>
      <c r="J2629" s="940"/>
      <c r="K2629" s="59"/>
      <c r="L2629" s="59"/>
    </row>
    <row r="2630" spans="1:12">
      <c r="A2630" s="57" t="s">
        <v>221</v>
      </c>
      <c r="B2630" s="57" t="s">
        <v>288</v>
      </c>
      <c r="C2630" s="57">
        <v>2020</v>
      </c>
      <c r="D2630" s="58">
        <f>MATCH(B2630,{"GENNAIO","FEBBRAIO","MARZO","APRILE","MAGGIO","GIUGNO","LUGLIO","AGOSTO","SETTEMBRE","OTTOBRE","NOVEMBRE","DICEMBRE"},0)</f>
        <v>7</v>
      </c>
      <c r="E2630" s="57" t="str">
        <f t="shared" si="1770"/>
        <v>LUGLIO 2020</v>
      </c>
      <c r="F2630" s="57" t="str">
        <f t="shared" si="1769"/>
        <v>7 LUGLIO 2020</v>
      </c>
      <c r="G2630" s="1309" t="s">
        <v>94</v>
      </c>
      <c r="H2630" s="1309" t="str">
        <f>VLOOKUP(G2630,CATEGORIE!$H$3:$I$104,2,FALSE)</f>
        <v>COSTO SVAGHI</v>
      </c>
      <c r="I2630" s="59">
        <v>51.1</v>
      </c>
      <c r="J2630" s="940"/>
      <c r="K2630" s="59"/>
      <c r="L2630" s="59"/>
    </row>
    <row r="2631" spans="1:12">
      <c r="A2631" s="57" t="s">
        <v>119</v>
      </c>
      <c r="B2631" s="57" t="s">
        <v>288</v>
      </c>
      <c r="C2631" s="57">
        <v>2020</v>
      </c>
      <c r="D2631" s="58">
        <f>MATCH(B2631,{"GENNAIO","FEBBRAIO","MARZO","APRILE","MAGGIO","GIUGNO","LUGLIO","AGOSTO","SETTEMBRE","OTTOBRE","NOVEMBRE","DICEMBRE"},0)</f>
        <v>7</v>
      </c>
      <c r="E2631" s="57" t="str">
        <f t="shared" si="1770"/>
        <v>LUGLIO 2020</v>
      </c>
      <c r="F2631" s="57" t="str">
        <f t="shared" si="1769"/>
        <v>7 LUGLIO 2020</v>
      </c>
      <c r="G2631" s="1309" t="s">
        <v>108</v>
      </c>
      <c r="H2631" s="1309" t="str">
        <f>VLOOKUP(G2631,CATEGORIE!$H$3:$I$104,2,FALSE)</f>
        <v>COSTO SFIZI</v>
      </c>
      <c r="I2631" s="59">
        <v>64.8</v>
      </c>
      <c r="J2631" s="940"/>
      <c r="K2631" s="59"/>
      <c r="L2631" s="59"/>
    </row>
    <row r="2632" spans="1:12">
      <c r="A2632" s="57" t="s">
        <v>289</v>
      </c>
      <c r="B2632" s="57" t="s">
        <v>288</v>
      </c>
      <c r="C2632" s="57">
        <v>2020</v>
      </c>
      <c r="D2632" s="58">
        <f>MATCH(B2632,{"GENNAIO","FEBBRAIO","MARZO","APRILE","MAGGIO","GIUGNO","LUGLIO","AGOSTO","SETTEMBRE","OTTOBRE","NOVEMBRE","DICEMBRE"},0)</f>
        <v>7</v>
      </c>
      <c r="E2632" s="57" t="str">
        <f t="shared" si="1770"/>
        <v>LUGLIO 2020</v>
      </c>
      <c r="F2632" s="57" t="str">
        <f t="shared" si="1769"/>
        <v>7 LUGLIO 2020</v>
      </c>
      <c r="G2632" s="1309" t="s">
        <v>108</v>
      </c>
      <c r="H2632" s="1309" t="str">
        <f>VLOOKUP(G2632,CATEGORIE!$H$3:$I$104,2,FALSE)</f>
        <v>COSTO SFIZI</v>
      </c>
      <c r="I2632" s="59">
        <v>27.8</v>
      </c>
      <c r="J2632" s="940"/>
      <c r="K2632" s="59"/>
      <c r="L2632" s="59"/>
    </row>
    <row r="2633" spans="1:12">
      <c r="A2633" s="57" t="s">
        <v>110</v>
      </c>
      <c r="B2633" s="57" t="s">
        <v>288</v>
      </c>
      <c r="C2633" s="57">
        <v>2020</v>
      </c>
      <c r="D2633" s="58">
        <f>MATCH(B2633,{"GENNAIO","FEBBRAIO","MARZO","APRILE","MAGGIO","GIUGNO","LUGLIO","AGOSTO","SETTEMBRE","OTTOBRE","NOVEMBRE","DICEMBRE"},0)</f>
        <v>7</v>
      </c>
      <c r="E2633" s="57" t="str">
        <f t="shared" si="1770"/>
        <v>LUGLIO 2020</v>
      </c>
      <c r="F2633" s="57" t="str">
        <f t="shared" si="1769"/>
        <v>7 LUGLIO 2020</v>
      </c>
      <c r="G2633" s="1309" t="s">
        <v>111</v>
      </c>
      <c r="H2633" s="1309" t="str">
        <f>VLOOKUP(G2633,CATEGORIE!$H$3:$I$104,2,FALSE)</f>
        <v>COSTO MOBILITA'</v>
      </c>
      <c r="I2633" s="59">
        <v>1.27</v>
      </c>
      <c r="J2633" s="940"/>
      <c r="K2633" s="59" t="s">
        <v>112</v>
      </c>
      <c r="L2633" s="59"/>
    </row>
    <row r="2634" spans="1:12">
      <c r="A2634" s="57" t="s">
        <v>99</v>
      </c>
      <c r="B2634" s="57" t="s">
        <v>288</v>
      </c>
      <c r="C2634" s="57">
        <v>2020</v>
      </c>
      <c r="D2634" s="58">
        <f>MATCH(B2634,{"GENNAIO","FEBBRAIO","MARZO","APRILE","MAGGIO","GIUGNO","LUGLIO","AGOSTO","SETTEMBRE","OTTOBRE","NOVEMBRE","DICEMBRE"},0)</f>
        <v>7</v>
      </c>
      <c r="E2634" s="57" t="str">
        <f t="shared" si="1770"/>
        <v>LUGLIO 2020</v>
      </c>
      <c r="F2634" s="57" t="str">
        <f t="shared" si="1769"/>
        <v>7 LUGLIO 2020</v>
      </c>
      <c r="G2634" s="1309" t="s">
        <v>100</v>
      </c>
      <c r="H2634" s="1309" t="str">
        <f>VLOOKUP(G2634,CATEGORIE!$H$3:$I$104,2,FALSE)</f>
        <v>COSTO SFIZI</v>
      </c>
      <c r="I2634" s="59">
        <v>49.99</v>
      </c>
      <c r="J2634" s="940"/>
      <c r="K2634" s="57" t="s">
        <v>99</v>
      </c>
      <c r="L2634" s="59"/>
    </row>
    <row r="2635" spans="1:12">
      <c r="A2635" s="57" t="s">
        <v>156</v>
      </c>
      <c r="B2635" s="57" t="s">
        <v>288</v>
      </c>
      <c r="C2635" s="57">
        <v>2020</v>
      </c>
      <c r="D2635" s="58">
        <f>MATCH(B2635,{"GENNAIO","FEBBRAIO","MARZO","APRILE","MAGGIO","GIUGNO","LUGLIO","AGOSTO","SETTEMBRE","OTTOBRE","NOVEMBRE","DICEMBRE"},0)</f>
        <v>7</v>
      </c>
      <c r="E2635" s="57" t="str">
        <f t="shared" si="1770"/>
        <v>LUGLIO 2020</v>
      </c>
      <c r="F2635" s="57" t="str">
        <f t="shared" si="1769"/>
        <v>7 LUGLIO 2020</v>
      </c>
      <c r="G2635" s="1309" t="s">
        <v>96</v>
      </c>
      <c r="H2635" s="1309" t="str">
        <f>VLOOKUP(G2635,CATEGORIE!$H$3:$I$104,2,FALSE)</f>
        <v>COSTO SOPRAVVIVENZA</v>
      </c>
      <c r="I2635" s="59">
        <v>43.24</v>
      </c>
      <c r="J2635" s="940"/>
      <c r="K2635" s="59"/>
      <c r="L2635" s="59"/>
    </row>
    <row r="2636" spans="1:12">
      <c r="A2636" s="57" t="s">
        <v>251</v>
      </c>
      <c r="B2636" s="57" t="s">
        <v>288</v>
      </c>
      <c r="C2636" s="57">
        <v>2020</v>
      </c>
      <c r="D2636" s="58">
        <f>MATCH(B2636,{"GENNAIO","FEBBRAIO","MARZO","APRILE","MAGGIO","GIUGNO","LUGLIO","AGOSTO","SETTEMBRE","OTTOBRE","NOVEMBRE","DICEMBRE"},0)</f>
        <v>7</v>
      </c>
      <c r="E2636" s="57" t="str">
        <f t="shared" si="1770"/>
        <v>LUGLIO 2020</v>
      </c>
      <c r="F2636" s="57" t="str">
        <f t="shared" si="1769"/>
        <v>7 LUGLIO 2020</v>
      </c>
      <c r="G2636" s="1309" t="s">
        <v>108</v>
      </c>
      <c r="H2636" s="1309" t="str">
        <f>VLOOKUP(G2636,CATEGORIE!$H$3:$I$104,2,FALSE)</f>
        <v>COSTO SFIZI</v>
      </c>
      <c r="I2636" s="59">
        <v>37.840000000000003</v>
      </c>
      <c r="J2636" s="940"/>
      <c r="K2636" s="59"/>
      <c r="L2636" s="59"/>
    </row>
    <row r="2637" spans="1:12">
      <c r="A2637" s="57" t="s">
        <v>156</v>
      </c>
      <c r="B2637" s="57" t="s">
        <v>288</v>
      </c>
      <c r="C2637" s="57">
        <v>2020</v>
      </c>
      <c r="D2637" s="58">
        <f>MATCH(B2637,{"GENNAIO","FEBBRAIO","MARZO","APRILE","MAGGIO","GIUGNO","LUGLIO","AGOSTO","SETTEMBRE","OTTOBRE","NOVEMBRE","DICEMBRE"},0)</f>
        <v>7</v>
      </c>
      <c r="E2637" s="57" t="str">
        <f t="shared" si="1770"/>
        <v>LUGLIO 2020</v>
      </c>
      <c r="F2637" s="57" t="str">
        <f t="shared" si="1769"/>
        <v>7 LUGLIO 2020</v>
      </c>
      <c r="G2637" s="1309" t="s">
        <v>96</v>
      </c>
      <c r="H2637" s="1309" t="str">
        <f>VLOOKUP(G2637,CATEGORIE!$H$3:$I$104,2,FALSE)</f>
        <v>COSTO SOPRAVVIVENZA</v>
      </c>
      <c r="I2637" s="59">
        <v>38.61</v>
      </c>
      <c r="J2637" s="940"/>
      <c r="K2637" s="59"/>
      <c r="L2637" s="59"/>
    </row>
    <row r="2638" spans="1:12">
      <c r="A2638" s="57" t="s">
        <v>622</v>
      </c>
      <c r="B2638" s="57" t="s">
        <v>288</v>
      </c>
      <c r="C2638" s="57">
        <v>2020</v>
      </c>
      <c r="D2638" s="58">
        <f>MATCH(B2638,{"GENNAIO","FEBBRAIO","MARZO","APRILE","MAGGIO","GIUGNO","LUGLIO","AGOSTO","SETTEMBRE","OTTOBRE","NOVEMBRE","DICEMBRE"},0)</f>
        <v>7</v>
      </c>
      <c r="E2638" s="57" t="str">
        <f t="shared" si="1770"/>
        <v>LUGLIO 2020</v>
      </c>
      <c r="F2638" s="57" t="str">
        <f t="shared" si="1769"/>
        <v>7 LUGLIO 2020</v>
      </c>
      <c r="G2638" s="1309" t="s">
        <v>365</v>
      </c>
      <c r="H2638" s="1309" t="str">
        <f>VLOOKUP(G2638,CATEGORIE!$H$3:$I$104,2,FALSE)</f>
        <v>COSTO SOPRAVVIVENZA</v>
      </c>
      <c r="I2638" s="59">
        <v>60.95</v>
      </c>
      <c r="J2638" s="940"/>
      <c r="K2638" s="59"/>
      <c r="L2638" s="59"/>
    </row>
    <row r="2639" spans="1:12">
      <c r="A2639" s="57" t="s">
        <v>92</v>
      </c>
      <c r="B2639" s="57" t="s">
        <v>314</v>
      </c>
      <c r="C2639" s="57">
        <v>2020</v>
      </c>
      <c r="D2639" s="58">
        <f>MATCH(B2639,{"GENNAIO","FEBBRAIO","MARZO","APRILE","MAGGIO","GIUGNO","LUGLIO","AGOSTO","SETTEMBRE","OTTOBRE","NOVEMBRE","DICEMBRE"},0)</f>
        <v>6</v>
      </c>
      <c r="E2639" s="57" t="str">
        <f t="shared" si="1770"/>
        <v>GIUGNO 2020</v>
      </c>
      <c r="F2639" s="57" t="str">
        <f t="shared" si="1769"/>
        <v>6 GIUGNO 2020</v>
      </c>
      <c r="G2639" s="1309" t="s">
        <v>94</v>
      </c>
      <c r="H2639" s="1309" t="str">
        <f>VLOOKUP(G2639,CATEGORIE!$H$3:$I$104,2,FALSE)</f>
        <v>COSTO SVAGHI</v>
      </c>
      <c r="I2639" s="59">
        <v>9</v>
      </c>
      <c r="J2639" s="940"/>
      <c r="K2639" s="59"/>
      <c r="L2639" s="59"/>
    </row>
    <row r="2640" spans="1:12">
      <c r="A2640" s="57" t="s">
        <v>160</v>
      </c>
      <c r="B2640" s="57" t="s">
        <v>314</v>
      </c>
      <c r="C2640" s="57">
        <v>2020</v>
      </c>
      <c r="D2640" s="58">
        <f>MATCH(B2640,{"GENNAIO","FEBBRAIO","MARZO","APRILE","MAGGIO","GIUGNO","LUGLIO","AGOSTO","SETTEMBRE","OTTOBRE","NOVEMBRE","DICEMBRE"},0)</f>
        <v>6</v>
      </c>
      <c r="E2640" s="57" t="str">
        <f t="shared" si="1770"/>
        <v>GIUGNO 2020</v>
      </c>
      <c r="F2640" s="57" t="str">
        <f t="shared" si="1769"/>
        <v>6 GIUGNO 2020</v>
      </c>
      <c r="G2640" s="1309" t="s">
        <v>111</v>
      </c>
      <c r="H2640" s="1309" t="str">
        <f>VLOOKUP(G2640,CATEGORIE!$H$3:$I$104,2,FALSE)</f>
        <v>COSTO MOBILITA'</v>
      </c>
      <c r="I2640" s="59">
        <v>1.7</v>
      </c>
      <c r="J2640" s="940"/>
      <c r="K2640" s="59"/>
      <c r="L2640" s="59"/>
    </row>
    <row r="2641" spans="1:12">
      <c r="A2641" s="57" t="s">
        <v>160</v>
      </c>
      <c r="B2641" s="57" t="s">
        <v>314</v>
      </c>
      <c r="C2641" s="57">
        <v>2020</v>
      </c>
      <c r="D2641" s="58">
        <f>MATCH(B2641,{"GENNAIO","FEBBRAIO","MARZO","APRILE","MAGGIO","GIUGNO","LUGLIO","AGOSTO","SETTEMBRE","OTTOBRE","NOVEMBRE","DICEMBRE"},0)</f>
        <v>6</v>
      </c>
      <c r="E2641" s="57" t="str">
        <f t="shared" si="1770"/>
        <v>GIUGNO 2020</v>
      </c>
      <c r="F2641" s="57" t="str">
        <f t="shared" si="1769"/>
        <v>6 GIUGNO 2020</v>
      </c>
      <c r="G2641" s="1309" t="s">
        <v>111</v>
      </c>
      <c r="H2641" s="1309" t="str">
        <f>VLOOKUP(G2641,CATEGORIE!$H$3:$I$104,2,FALSE)</f>
        <v>COSTO MOBILITA'</v>
      </c>
      <c r="I2641" s="59">
        <v>1.7</v>
      </c>
      <c r="J2641" s="940"/>
      <c r="K2641" s="59"/>
      <c r="L2641" s="59"/>
    </row>
    <row r="2642" spans="1:12">
      <c r="A2642" s="57" t="s">
        <v>649</v>
      </c>
      <c r="B2642" s="57" t="s">
        <v>314</v>
      </c>
      <c r="C2642" s="57">
        <v>2020</v>
      </c>
      <c r="D2642" s="58">
        <f>MATCH(B2642,{"GENNAIO","FEBBRAIO","MARZO","APRILE","MAGGIO","GIUGNO","LUGLIO","AGOSTO","SETTEMBRE","OTTOBRE","NOVEMBRE","DICEMBRE"},0)</f>
        <v>6</v>
      </c>
      <c r="E2642" s="57" t="str">
        <f t="shared" si="1770"/>
        <v>GIUGNO 2020</v>
      </c>
      <c r="F2642" s="57" t="str">
        <f t="shared" si="1769"/>
        <v>6 GIUGNO 2020</v>
      </c>
      <c r="G2642" s="1309" t="s">
        <v>94</v>
      </c>
      <c r="H2642" s="1309" t="str">
        <f>VLOOKUP(G2642,CATEGORIE!$H$3:$I$104,2,FALSE)</f>
        <v>COSTO SVAGHI</v>
      </c>
      <c r="I2642" s="59">
        <v>75.8</v>
      </c>
      <c r="J2642" s="940"/>
      <c r="K2642" s="59"/>
      <c r="L2642" s="59"/>
    </row>
    <row r="2643" spans="1:12">
      <c r="A2643" s="57" t="s">
        <v>92</v>
      </c>
      <c r="B2643" s="57" t="s">
        <v>314</v>
      </c>
      <c r="C2643" s="57">
        <v>2020</v>
      </c>
      <c r="D2643" s="58">
        <f>MATCH(B2643,{"GENNAIO","FEBBRAIO","MARZO","APRILE","MAGGIO","GIUGNO","LUGLIO","AGOSTO","SETTEMBRE","OTTOBRE","NOVEMBRE","DICEMBRE"},0)</f>
        <v>6</v>
      </c>
      <c r="E2643" s="57" t="str">
        <f t="shared" si="1770"/>
        <v>GIUGNO 2020</v>
      </c>
      <c r="F2643" s="57" t="str">
        <f t="shared" si="1769"/>
        <v>6 GIUGNO 2020</v>
      </c>
      <c r="G2643" s="1309" t="s">
        <v>94</v>
      </c>
      <c r="H2643" s="1309" t="str">
        <f>VLOOKUP(G2643,CATEGORIE!$H$3:$I$104,2,FALSE)</f>
        <v>COSTO SVAGHI</v>
      </c>
      <c r="I2643" s="59">
        <v>11.5</v>
      </c>
      <c r="J2643" s="940"/>
      <c r="K2643" s="59"/>
      <c r="L2643" s="59"/>
    </row>
    <row r="2644" spans="1:12">
      <c r="A2644" s="57" t="s">
        <v>650</v>
      </c>
      <c r="B2644" s="57" t="s">
        <v>314</v>
      </c>
      <c r="C2644" s="57">
        <v>2020</v>
      </c>
      <c r="D2644" s="58">
        <f>MATCH(B2644,{"GENNAIO","FEBBRAIO","MARZO","APRILE","MAGGIO","GIUGNO","LUGLIO","AGOSTO","SETTEMBRE","OTTOBRE","NOVEMBRE","DICEMBRE"},0)</f>
        <v>6</v>
      </c>
      <c r="E2644" s="57" t="str">
        <f t="shared" si="1770"/>
        <v>GIUGNO 2020</v>
      </c>
      <c r="F2644" s="57" t="str">
        <f t="shared" si="1769"/>
        <v>6 GIUGNO 2020</v>
      </c>
      <c r="G2644" s="1309" t="s">
        <v>100</v>
      </c>
      <c r="H2644" s="1309" t="str">
        <f>VLOOKUP(G2644,CATEGORIE!$H$3:$I$104,2,FALSE)</f>
        <v>COSTO SFIZI</v>
      </c>
      <c r="I2644" s="59">
        <v>47.5</v>
      </c>
      <c r="J2644" s="940"/>
      <c r="K2644" s="59"/>
      <c r="L2644" s="59"/>
    </row>
    <row r="2645" spans="1:12">
      <c r="A2645" s="57" t="s">
        <v>156</v>
      </c>
      <c r="B2645" s="57" t="s">
        <v>314</v>
      </c>
      <c r="C2645" s="57">
        <v>2020</v>
      </c>
      <c r="D2645" s="58">
        <f>MATCH(B2645,{"GENNAIO","FEBBRAIO","MARZO","APRILE","MAGGIO","GIUGNO","LUGLIO","AGOSTO","SETTEMBRE","OTTOBRE","NOVEMBRE","DICEMBRE"},0)</f>
        <v>6</v>
      </c>
      <c r="E2645" s="57" t="str">
        <f t="shared" si="1770"/>
        <v>GIUGNO 2020</v>
      </c>
      <c r="F2645" s="57" t="str">
        <f t="shared" si="1769"/>
        <v>6 GIUGNO 2020</v>
      </c>
      <c r="G2645" s="1309" t="s">
        <v>96</v>
      </c>
      <c r="H2645" s="1309" t="str">
        <f>VLOOKUP(G2645,CATEGORIE!$H$3:$I$104,2,FALSE)</f>
        <v>COSTO SOPRAVVIVENZA</v>
      </c>
      <c r="I2645" s="59">
        <v>56.43</v>
      </c>
      <c r="J2645" s="940"/>
      <c r="K2645" s="59"/>
      <c r="L2645" s="59"/>
    </row>
    <row r="2646" spans="1:12">
      <c r="A2646" s="57" t="s">
        <v>131</v>
      </c>
      <c r="B2646" s="57" t="s">
        <v>314</v>
      </c>
      <c r="C2646" s="57">
        <v>2020</v>
      </c>
      <c r="D2646" s="58">
        <f>MATCH(B2646,{"GENNAIO","FEBBRAIO","MARZO","APRILE","MAGGIO","GIUGNO","LUGLIO","AGOSTO","SETTEMBRE","OTTOBRE","NOVEMBRE","DICEMBRE"},0)</f>
        <v>6</v>
      </c>
      <c r="E2646" s="57" t="str">
        <f t="shared" si="1770"/>
        <v>GIUGNO 2020</v>
      </c>
      <c r="F2646" s="57" t="str">
        <f t="shared" si="1769"/>
        <v>6 GIUGNO 2020</v>
      </c>
      <c r="G2646" s="1309" t="s">
        <v>132</v>
      </c>
      <c r="H2646" s="1309" t="str">
        <f>VLOOKUP(G2646,CATEGORIE!$H$3:$I$104,2,FALSE)</f>
        <v>COSTO CASA</v>
      </c>
      <c r="I2646" s="59">
        <v>19.899999999999999</v>
      </c>
      <c r="J2646" s="940"/>
      <c r="K2646" s="59"/>
      <c r="L2646" s="59"/>
    </row>
    <row r="2647" spans="1:12">
      <c r="A2647" s="57" t="s">
        <v>638</v>
      </c>
      <c r="B2647" s="57" t="s">
        <v>314</v>
      </c>
      <c r="C2647" s="57">
        <v>2020</v>
      </c>
      <c r="D2647" s="58">
        <f>MATCH(B2647,{"GENNAIO","FEBBRAIO","MARZO","APRILE","MAGGIO","GIUGNO","LUGLIO","AGOSTO","SETTEMBRE","OTTOBRE","NOVEMBRE","DICEMBRE"},0)</f>
        <v>6</v>
      </c>
      <c r="E2647" s="57" t="str">
        <f t="shared" si="1770"/>
        <v>GIUGNO 2020</v>
      </c>
      <c r="F2647" s="57" t="str">
        <f t="shared" si="1769"/>
        <v>6 GIUGNO 2020</v>
      </c>
      <c r="G2647" s="1309" t="s">
        <v>385</v>
      </c>
      <c r="H2647" s="1309" t="str">
        <f>VLOOKUP(G2647,CATEGORIE!$H$3:$I$104,2,FALSE)</f>
        <v>COSTO SFIZI</v>
      </c>
      <c r="I2647" s="59">
        <v>12.25</v>
      </c>
      <c r="J2647" s="940"/>
      <c r="K2647" s="59"/>
      <c r="L2647" s="59"/>
    </row>
    <row r="2648" spans="1:12">
      <c r="A2648" s="57" t="s">
        <v>651</v>
      </c>
      <c r="B2648" s="57" t="s">
        <v>314</v>
      </c>
      <c r="C2648" s="57">
        <v>2020</v>
      </c>
      <c r="D2648" s="58">
        <f>MATCH(B2648,{"GENNAIO","FEBBRAIO","MARZO","APRILE","MAGGIO","GIUGNO","LUGLIO","AGOSTO","SETTEMBRE","OTTOBRE","NOVEMBRE","DICEMBRE"},0)</f>
        <v>6</v>
      </c>
      <c r="E2648" s="57" t="str">
        <f t="shared" si="1770"/>
        <v>GIUGNO 2020</v>
      </c>
      <c r="F2648" s="57" t="str">
        <f t="shared" si="1769"/>
        <v>6 GIUGNO 2020</v>
      </c>
      <c r="G2648" s="1309" t="s">
        <v>121</v>
      </c>
      <c r="H2648" s="1309" t="str">
        <f>VLOOKUP(G2648,CATEGORIE!$H$3:$I$104,2,FALSE)</f>
        <v>COSTO MOBILITA'</v>
      </c>
      <c r="I2648" s="59">
        <v>229.01</v>
      </c>
      <c r="J2648" s="940"/>
      <c r="K2648" s="59"/>
      <c r="L2648" s="59"/>
    </row>
    <row r="2649" spans="1:12">
      <c r="A2649" s="57" t="s">
        <v>298</v>
      </c>
      <c r="B2649" s="57" t="s">
        <v>333</v>
      </c>
      <c r="C2649" s="57">
        <v>2020</v>
      </c>
      <c r="D2649" s="58">
        <f>MATCH(B2649,{"GENNAIO","FEBBRAIO","MARZO","APRILE","MAGGIO","GIUGNO","LUGLIO","AGOSTO","SETTEMBRE","OTTOBRE","NOVEMBRE","DICEMBRE"},0)</f>
        <v>5</v>
      </c>
      <c r="E2649" s="57" t="str">
        <f t="shared" si="1770"/>
        <v>MAGGIO 2020</v>
      </c>
      <c r="F2649" s="57" t="str">
        <f t="shared" si="1769"/>
        <v>5 MAGGIO 2020</v>
      </c>
      <c r="G2649" s="1309" t="s">
        <v>108</v>
      </c>
      <c r="H2649" s="1309" t="str">
        <f>VLOOKUP(G2649,CATEGORIE!$H$3:$I$104,2,FALSE)</f>
        <v>COSTO SFIZI</v>
      </c>
      <c r="I2649" s="59">
        <v>32.119999999999997</v>
      </c>
      <c r="J2649" s="940"/>
      <c r="K2649" s="59"/>
      <c r="L2649" s="59"/>
    </row>
    <row r="2650" spans="1:12">
      <c r="A2650" s="57" t="s">
        <v>99</v>
      </c>
      <c r="B2650" s="57" t="s">
        <v>333</v>
      </c>
      <c r="C2650" s="57">
        <v>2020</v>
      </c>
      <c r="D2650" s="58">
        <f>MATCH(B2650,{"GENNAIO","FEBBRAIO","MARZO","APRILE","MAGGIO","GIUGNO","LUGLIO","AGOSTO","SETTEMBRE","OTTOBRE","NOVEMBRE","DICEMBRE"},0)</f>
        <v>5</v>
      </c>
      <c r="E2650" s="57" t="str">
        <f t="shared" si="1770"/>
        <v>MAGGIO 2020</v>
      </c>
      <c r="F2650" s="57" t="str">
        <f t="shared" si="1769"/>
        <v>5 MAGGIO 2020</v>
      </c>
      <c r="G2650" s="1309" t="s">
        <v>100</v>
      </c>
      <c r="H2650" s="1309" t="str">
        <f>VLOOKUP(G2650,CATEGORIE!$H$3:$I$104,2,FALSE)</f>
        <v>COSTO SFIZI</v>
      </c>
      <c r="I2650" s="59">
        <v>13.9</v>
      </c>
      <c r="J2650" s="940"/>
      <c r="K2650" s="57" t="s">
        <v>99</v>
      </c>
      <c r="L2650" s="59"/>
    </row>
    <row r="2651" spans="1:12">
      <c r="A2651" s="57" t="s">
        <v>156</v>
      </c>
      <c r="B2651" s="57" t="s">
        <v>333</v>
      </c>
      <c r="C2651" s="57">
        <v>2020</v>
      </c>
      <c r="D2651" s="58">
        <f>MATCH(B2651,{"GENNAIO","FEBBRAIO","MARZO","APRILE","MAGGIO","GIUGNO","LUGLIO","AGOSTO","SETTEMBRE","OTTOBRE","NOVEMBRE","DICEMBRE"},0)</f>
        <v>5</v>
      </c>
      <c r="E2651" s="57" t="str">
        <f t="shared" si="1770"/>
        <v>MAGGIO 2020</v>
      </c>
      <c r="F2651" s="57" t="str">
        <f t="shared" si="1769"/>
        <v>5 MAGGIO 2020</v>
      </c>
      <c r="G2651" s="1309" t="s">
        <v>96</v>
      </c>
      <c r="H2651" s="1309" t="str">
        <f>VLOOKUP(G2651,CATEGORIE!$H$3:$I$104,2,FALSE)</f>
        <v>COSTO SOPRAVVIVENZA</v>
      </c>
      <c r="I2651" s="59">
        <v>50.6</v>
      </c>
      <c r="J2651" s="940"/>
      <c r="K2651" s="59"/>
      <c r="L2651" s="59"/>
    </row>
    <row r="2652" spans="1:12">
      <c r="A2652" s="57" t="s">
        <v>226</v>
      </c>
      <c r="B2652" s="57" t="s">
        <v>333</v>
      </c>
      <c r="C2652" s="57">
        <v>2020</v>
      </c>
      <c r="D2652" s="58">
        <f>MATCH(B2652,{"GENNAIO","FEBBRAIO","MARZO","APRILE","MAGGIO","GIUGNO","LUGLIO","AGOSTO","SETTEMBRE","OTTOBRE","NOVEMBRE","DICEMBRE"},0)</f>
        <v>5</v>
      </c>
      <c r="E2652" s="57" t="str">
        <f t="shared" si="1770"/>
        <v>MAGGIO 2020</v>
      </c>
      <c r="F2652" s="57" t="str">
        <f t="shared" si="1769"/>
        <v>5 MAGGIO 2020</v>
      </c>
      <c r="G2652" s="1309" t="s">
        <v>132</v>
      </c>
      <c r="H2652" s="1309" t="str">
        <f>VLOOKUP(G2652,CATEGORIE!$H$3:$I$104,2,FALSE)</f>
        <v>COSTO CASA</v>
      </c>
      <c r="I2652" s="59">
        <v>9.98</v>
      </c>
      <c r="J2652" s="940"/>
      <c r="K2652" s="59"/>
      <c r="L2652" s="59"/>
    </row>
    <row r="2653" spans="1:12">
      <c r="A2653" s="57" t="s">
        <v>156</v>
      </c>
      <c r="B2653" s="57" t="s">
        <v>333</v>
      </c>
      <c r="C2653" s="57">
        <v>2020</v>
      </c>
      <c r="D2653" s="58">
        <f>MATCH(B2653,{"GENNAIO","FEBBRAIO","MARZO","APRILE","MAGGIO","GIUGNO","LUGLIO","AGOSTO","SETTEMBRE","OTTOBRE","NOVEMBRE","DICEMBRE"},0)</f>
        <v>5</v>
      </c>
      <c r="E2653" s="57" t="str">
        <f t="shared" si="1770"/>
        <v>MAGGIO 2020</v>
      </c>
      <c r="F2653" s="57" t="str">
        <f t="shared" si="1769"/>
        <v>5 MAGGIO 2020</v>
      </c>
      <c r="G2653" s="1309" t="s">
        <v>96</v>
      </c>
      <c r="H2653" s="1309" t="str">
        <f>VLOOKUP(G2653,CATEGORIE!$H$3:$I$104,2,FALSE)</f>
        <v>COSTO SOPRAVVIVENZA</v>
      </c>
      <c r="I2653" s="59">
        <v>94.11</v>
      </c>
      <c r="J2653" s="940"/>
      <c r="K2653" s="59"/>
      <c r="L2653" s="59"/>
    </row>
    <row r="2654" spans="1:12">
      <c r="A2654" s="57" t="s">
        <v>591</v>
      </c>
      <c r="B2654" s="57" t="s">
        <v>333</v>
      </c>
      <c r="C2654" s="57">
        <v>2020</v>
      </c>
      <c r="D2654" s="58">
        <f>MATCH(B2654,{"GENNAIO","FEBBRAIO","MARZO","APRILE","MAGGIO","GIUGNO","LUGLIO","AGOSTO","SETTEMBRE","OTTOBRE","NOVEMBRE","DICEMBRE"},0)</f>
        <v>5</v>
      </c>
      <c r="E2654" s="57" t="str">
        <f t="shared" si="1770"/>
        <v>MAGGIO 2020</v>
      </c>
      <c r="F2654" s="57" t="str">
        <f t="shared" si="1769"/>
        <v>5 MAGGIO 2020</v>
      </c>
      <c r="G2654" s="1309" t="s">
        <v>1289</v>
      </c>
      <c r="H2654" s="1309" t="str">
        <f>VLOOKUP(G2654,CATEGORIE!$H$3:$I$104,2,FALSE)</f>
        <v>COSTO SFIZI</v>
      </c>
      <c r="I2654" s="59">
        <v>353.33</v>
      </c>
      <c r="J2654" s="940"/>
      <c r="K2654" s="59"/>
      <c r="L2654" s="59"/>
    </row>
    <row r="2655" spans="1:12">
      <c r="A2655" s="57" t="s">
        <v>156</v>
      </c>
      <c r="B2655" s="57" t="s">
        <v>333</v>
      </c>
      <c r="C2655" s="57">
        <v>2020</v>
      </c>
      <c r="D2655" s="58">
        <f>MATCH(B2655,{"GENNAIO","FEBBRAIO","MARZO","APRILE","MAGGIO","GIUGNO","LUGLIO","AGOSTO","SETTEMBRE","OTTOBRE","NOVEMBRE","DICEMBRE"},0)</f>
        <v>5</v>
      </c>
      <c r="E2655" s="57" t="str">
        <f t="shared" si="1770"/>
        <v>MAGGIO 2020</v>
      </c>
      <c r="F2655" s="57" t="str">
        <f t="shared" si="1769"/>
        <v>5 MAGGIO 2020</v>
      </c>
      <c r="G2655" s="1309" t="s">
        <v>96</v>
      </c>
      <c r="H2655" s="1309" t="str">
        <f>VLOOKUP(G2655,CATEGORIE!$H$3:$I$104,2,FALSE)</f>
        <v>COSTO SOPRAVVIVENZA</v>
      </c>
      <c r="I2655" s="59">
        <v>121.91</v>
      </c>
      <c r="J2655" s="940"/>
      <c r="K2655" s="59"/>
      <c r="L2655" s="59"/>
    </row>
    <row r="2656" spans="1:12">
      <c r="A2656" s="57" t="s">
        <v>652</v>
      </c>
      <c r="B2656" s="57" t="s">
        <v>352</v>
      </c>
      <c r="C2656" s="57">
        <v>2020</v>
      </c>
      <c r="D2656" s="58">
        <f>MATCH(B2656,{"GENNAIO","FEBBRAIO","MARZO","APRILE","MAGGIO","GIUGNO","LUGLIO","AGOSTO","SETTEMBRE","OTTOBRE","NOVEMBRE","DICEMBRE"},0)</f>
        <v>4</v>
      </c>
      <c r="E2656" s="57" t="str">
        <f t="shared" si="1770"/>
        <v>APRILE 2020</v>
      </c>
      <c r="F2656" s="57" t="str">
        <f t="shared" si="1769"/>
        <v>4 APRILE 2020</v>
      </c>
      <c r="G2656" s="1309" t="s">
        <v>100</v>
      </c>
      <c r="H2656" s="1309" t="str">
        <f>VLOOKUP(G2656,CATEGORIE!$H$3:$I$104,2,FALSE)</f>
        <v>COSTO SFIZI</v>
      </c>
      <c r="I2656" s="59">
        <v>1</v>
      </c>
      <c r="J2656" s="940"/>
      <c r="K2656" s="59"/>
      <c r="L2656" s="59"/>
    </row>
    <row r="2657" spans="1:12">
      <c r="A2657" s="57" t="s">
        <v>156</v>
      </c>
      <c r="B2657" s="57" t="s">
        <v>352</v>
      </c>
      <c r="C2657" s="57">
        <v>2020</v>
      </c>
      <c r="D2657" s="58">
        <f>MATCH(B2657,{"GENNAIO","FEBBRAIO","MARZO","APRILE","MAGGIO","GIUGNO","LUGLIO","AGOSTO","SETTEMBRE","OTTOBRE","NOVEMBRE","DICEMBRE"},0)</f>
        <v>4</v>
      </c>
      <c r="E2657" s="57" t="str">
        <f t="shared" ref="E2657:E2688" si="1771">CONCATENATE(,B2657," ",C2657)</f>
        <v>APRILE 2020</v>
      </c>
      <c r="F2657" s="57" t="str">
        <f t="shared" si="1769"/>
        <v>4 APRILE 2020</v>
      </c>
      <c r="G2657" s="1309" t="s">
        <v>96</v>
      </c>
      <c r="H2657" s="1309" t="str">
        <f>VLOOKUP(G2657,CATEGORIE!$H$3:$I$104,2,FALSE)</f>
        <v>COSTO SOPRAVVIVENZA</v>
      </c>
      <c r="I2657" s="59">
        <v>32</v>
      </c>
      <c r="J2657" s="940"/>
      <c r="K2657" s="59"/>
      <c r="L2657" s="59"/>
    </row>
    <row r="2658" spans="1:12">
      <c r="A2658" s="57" t="s">
        <v>156</v>
      </c>
      <c r="B2658" s="57" t="s">
        <v>352</v>
      </c>
      <c r="C2658" s="57">
        <v>2020</v>
      </c>
      <c r="D2658" s="58">
        <f>MATCH(B2658,{"GENNAIO","FEBBRAIO","MARZO","APRILE","MAGGIO","GIUGNO","LUGLIO","AGOSTO","SETTEMBRE","OTTOBRE","NOVEMBRE","DICEMBRE"},0)</f>
        <v>4</v>
      </c>
      <c r="E2658" s="57" t="str">
        <f t="shared" si="1771"/>
        <v>APRILE 2020</v>
      </c>
      <c r="F2658" s="57" t="str">
        <f t="shared" si="1769"/>
        <v>4 APRILE 2020</v>
      </c>
      <c r="G2658" s="1309" t="s">
        <v>96</v>
      </c>
      <c r="H2658" s="1309" t="str">
        <f>VLOOKUP(G2658,CATEGORIE!$H$3:$I$104,2,FALSE)</f>
        <v>COSTO SOPRAVVIVENZA</v>
      </c>
      <c r="I2658" s="59">
        <v>99</v>
      </c>
      <c r="J2658" s="940"/>
      <c r="K2658" s="59"/>
      <c r="L2658" s="59"/>
    </row>
    <row r="2659" spans="1:12">
      <c r="A2659" s="57" t="s">
        <v>156</v>
      </c>
      <c r="B2659" s="57" t="s">
        <v>352</v>
      </c>
      <c r="C2659" s="57">
        <v>2020</v>
      </c>
      <c r="D2659" s="58">
        <f>MATCH(B2659,{"GENNAIO","FEBBRAIO","MARZO","APRILE","MAGGIO","GIUGNO","LUGLIO","AGOSTO","SETTEMBRE","OTTOBRE","NOVEMBRE","DICEMBRE"},0)</f>
        <v>4</v>
      </c>
      <c r="E2659" s="57" t="str">
        <f t="shared" si="1771"/>
        <v>APRILE 2020</v>
      </c>
      <c r="F2659" s="57" t="str">
        <f t="shared" si="1769"/>
        <v>4 APRILE 2020</v>
      </c>
      <c r="G2659" s="1309" t="s">
        <v>96</v>
      </c>
      <c r="H2659" s="1309" t="str">
        <f>VLOOKUP(G2659,CATEGORIE!$H$3:$I$104,2,FALSE)</f>
        <v>COSTO SOPRAVVIVENZA</v>
      </c>
      <c r="I2659" s="59">
        <v>7.9</v>
      </c>
      <c r="J2659" s="940"/>
      <c r="K2659" s="59"/>
      <c r="L2659" s="59"/>
    </row>
    <row r="2660" spans="1:12">
      <c r="A2660" s="57" t="s">
        <v>156</v>
      </c>
      <c r="B2660" s="57" t="s">
        <v>352</v>
      </c>
      <c r="C2660" s="57">
        <v>2020</v>
      </c>
      <c r="D2660" s="58">
        <f>MATCH(B2660,{"GENNAIO","FEBBRAIO","MARZO","APRILE","MAGGIO","GIUGNO","LUGLIO","AGOSTO","SETTEMBRE","OTTOBRE","NOVEMBRE","DICEMBRE"},0)</f>
        <v>4</v>
      </c>
      <c r="E2660" s="57" t="str">
        <f t="shared" si="1771"/>
        <v>APRILE 2020</v>
      </c>
      <c r="F2660" s="57" t="str">
        <f t="shared" si="1769"/>
        <v>4 APRILE 2020</v>
      </c>
      <c r="G2660" s="1309" t="s">
        <v>96</v>
      </c>
      <c r="H2660" s="1309" t="str">
        <f>VLOOKUP(G2660,CATEGORIE!$H$3:$I$104,2,FALSE)</f>
        <v>COSTO SOPRAVVIVENZA</v>
      </c>
      <c r="I2660" s="59">
        <v>70.98</v>
      </c>
      <c r="J2660" s="940"/>
      <c r="K2660" s="59"/>
      <c r="L2660" s="59"/>
    </row>
    <row r="2661" spans="1:12">
      <c r="A2661" s="57" t="s">
        <v>99</v>
      </c>
      <c r="B2661" s="57" t="s">
        <v>352</v>
      </c>
      <c r="C2661" s="57">
        <v>2020</v>
      </c>
      <c r="D2661" s="58">
        <f>MATCH(B2661,{"GENNAIO","FEBBRAIO","MARZO","APRILE","MAGGIO","GIUGNO","LUGLIO","AGOSTO","SETTEMBRE","OTTOBRE","NOVEMBRE","DICEMBRE"},0)</f>
        <v>4</v>
      </c>
      <c r="E2661" s="57" t="str">
        <f t="shared" si="1771"/>
        <v>APRILE 2020</v>
      </c>
      <c r="F2661" s="57" t="str">
        <f t="shared" si="1769"/>
        <v>4 APRILE 2020</v>
      </c>
      <c r="G2661" s="1309" t="s">
        <v>100</v>
      </c>
      <c r="H2661" s="1309" t="str">
        <f>VLOOKUP(G2661,CATEGORIE!$H$3:$I$104,2,FALSE)</f>
        <v>COSTO SFIZI</v>
      </c>
      <c r="I2661" s="59">
        <v>89.98</v>
      </c>
      <c r="J2661" s="940"/>
      <c r="K2661" s="57" t="s">
        <v>99</v>
      </c>
      <c r="L2661" s="59"/>
    </row>
    <row r="2662" spans="1:12">
      <c r="A2662" s="57" t="s">
        <v>99</v>
      </c>
      <c r="B2662" s="57" t="s">
        <v>352</v>
      </c>
      <c r="C2662" s="57">
        <v>2020</v>
      </c>
      <c r="D2662" s="58">
        <f>MATCH(B2662,{"GENNAIO","FEBBRAIO","MARZO","APRILE","MAGGIO","GIUGNO","LUGLIO","AGOSTO","SETTEMBRE","OTTOBRE","NOVEMBRE","DICEMBRE"},0)</f>
        <v>4</v>
      </c>
      <c r="E2662" s="57" t="str">
        <f t="shared" si="1771"/>
        <v>APRILE 2020</v>
      </c>
      <c r="F2662" s="57" t="str">
        <f t="shared" si="1769"/>
        <v>4 APRILE 2020</v>
      </c>
      <c r="G2662" s="1309" t="s">
        <v>100</v>
      </c>
      <c r="H2662" s="1309" t="str">
        <f>VLOOKUP(G2662,CATEGORIE!$H$3:$I$104,2,FALSE)</f>
        <v>COSTO SFIZI</v>
      </c>
      <c r="I2662" s="59">
        <v>13.99</v>
      </c>
      <c r="J2662" s="940"/>
      <c r="K2662" s="57" t="s">
        <v>99</v>
      </c>
      <c r="L2662" s="59"/>
    </row>
    <row r="2663" spans="1:12">
      <c r="A2663" s="57" t="s">
        <v>99</v>
      </c>
      <c r="B2663" s="57" t="s">
        <v>352</v>
      </c>
      <c r="C2663" s="57">
        <v>2020</v>
      </c>
      <c r="D2663" s="58">
        <f>MATCH(B2663,{"GENNAIO","FEBBRAIO","MARZO","APRILE","MAGGIO","GIUGNO","LUGLIO","AGOSTO","SETTEMBRE","OTTOBRE","NOVEMBRE","DICEMBRE"},0)</f>
        <v>4</v>
      </c>
      <c r="E2663" s="57" t="str">
        <f t="shared" si="1771"/>
        <v>APRILE 2020</v>
      </c>
      <c r="F2663" s="57" t="str">
        <f t="shared" si="1769"/>
        <v>4 APRILE 2020</v>
      </c>
      <c r="G2663" s="1309" t="s">
        <v>100</v>
      </c>
      <c r="H2663" s="1309" t="str">
        <f>VLOOKUP(G2663,CATEGORIE!$H$3:$I$104,2,FALSE)</f>
        <v>COSTO SFIZI</v>
      </c>
      <c r="I2663" s="59">
        <v>105</v>
      </c>
      <c r="J2663" s="940"/>
      <c r="K2663" s="57" t="s">
        <v>99</v>
      </c>
      <c r="L2663" s="59"/>
    </row>
    <row r="2664" spans="1:12">
      <c r="A2664" s="57" t="s">
        <v>156</v>
      </c>
      <c r="B2664" s="57" t="s">
        <v>352</v>
      </c>
      <c r="C2664" s="57">
        <v>2020</v>
      </c>
      <c r="D2664" s="58">
        <f>MATCH(B2664,{"GENNAIO","FEBBRAIO","MARZO","APRILE","MAGGIO","GIUGNO","LUGLIO","AGOSTO","SETTEMBRE","OTTOBRE","NOVEMBRE","DICEMBRE"},0)</f>
        <v>4</v>
      </c>
      <c r="E2664" s="57" t="str">
        <f t="shared" si="1771"/>
        <v>APRILE 2020</v>
      </c>
      <c r="F2664" s="57" t="str">
        <f t="shared" si="1769"/>
        <v>4 APRILE 2020</v>
      </c>
      <c r="G2664" s="1309" t="s">
        <v>96</v>
      </c>
      <c r="H2664" s="1309" t="str">
        <f>VLOOKUP(G2664,CATEGORIE!$H$3:$I$104,2,FALSE)</f>
        <v>COSTO SOPRAVVIVENZA</v>
      </c>
      <c r="I2664" s="59">
        <v>72.569999999999993</v>
      </c>
      <c r="J2664" s="940"/>
      <c r="K2664" s="59"/>
      <c r="L2664" s="59"/>
    </row>
    <row r="2665" spans="1:12">
      <c r="A2665" s="57" t="s">
        <v>638</v>
      </c>
      <c r="B2665" s="57" t="s">
        <v>90</v>
      </c>
      <c r="C2665" s="57">
        <v>2020</v>
      </c>
      <c r="D2665" s="58">
        <f>MATCH(B2665,{"GENNAIO","FEBBRAIO","MARZO","APRILE","MAGGIO","GIUGNO","LUGLIO","AGOSTO","SETTEMBRE","OTTOBRE","NOVEMBRE","DICEMBRE"},0)</f>
        <v>3</v>
      </c>
      <c r="E2665" s="57" t="str">
        <f t="shared" si="1771"/>
        <v>MARZO 2020</v>
      </c>
      <c r="F2665" s="57" t="str">
        <f t="shared" si="1769"/>
        <v>3 MARZO 2020</v>
      </c>
      <c r="G2665" s="1309" t="s">
        <v>385</v>
      </c>
      <c r="H2665" s="1309" t="str">
        <f>VLOOKUP(G2665,CATEGORIE!$H$3:$I$104,2,FALSE)</f>
        <v>COSTO SFIZI</v>
      </c>
      <c r="I2665" s="59">
        <v>8.99</v>
      </c>
      <c r="J2665" s="940"/>
      <c r="K2665" s="59"/>
      <c r="L2665" s="59"/>
    </row>
    <row r="2666" spans="1:12">
      <c r="A2666" s="57" t="s">
        <v>99</v>
      </c>
      <c r="B2666" s="57" t="s">
        <v>90</v>
      </c>
      <c r="C2666" s="57">
        <v>2020</v>
      </c>
      <c r="D2666" s="58">
        <f>MATCH(B2666,{"GENNAIO","FEBBRAIO","MARZO","APRILE","MAGGIO","GIUGNO","LUGLIO","AGOSTO","SETTEMBRE","OTTOBRE","NOVEMBRE","DICEMBRE"},0)</f>
        <v>3</v>
      </c>
      <c r="E2666" s="57" t="str">
        <f t="shared" si="1771"/>
        <v>MARZO 2020</v>
      </c>
      <c r="F2666" s="57" t="str">
        <f t="shared" si="1769"/>
        <v>3 MARZO 2020</v>
      </c>
      <c r="G2666" s="1309" t="s">
        <v>100</v>
      </c>
      <c r="H2666" s="1309" t="str">
        <f>VLOOKUP(G2666,CATEGORIE!$H$3:$I$104,2,FALSE)</f>
        <v>COSTO SFIZI</v>
      </c>
      <c r="I2666" s="59">
        <v>239.99</v>
      </c>
      <c r="J2666" s="940"/>
      <c r="K2666" s="57" t="s">
        <v>99</v>
      </c>
      <c r="L2666" s="59"/>
    </row>
    <row r="2667" spans="1:12">
      <c r="A2667" s="57" t="s">
        <v>99</v>
      </c>
      <c r="B2667" s="57" t="s">
        <v>90</v>
      </c>
      <c r="C2667" s="57">
        <v>2020</v>
      </c>
      <c r="D2667" s="58">
        <f>MATCH(B2667,{"GENNAIO","FEBBRAIO","MARZO","APRILE","MAGGIO","GIUGNO","LUGLIO","AGOSTO","SETTEMBRE","OTTOBRE","NOVEMBRE","DICEMBRE"},0)</f>
        <v>3</v>
      </c>
      <c r="E2667" s="57" t="str">
        <f t="shared" si="1771"/>
        <v>MARZO 2020</v>
      </c>
      <c r="F2667" s="57" t="str">
        <f t="shared" si="1769"/>
        <v>3 MARZO 2020</v>
      </c>
      <c r="G2667" s="1309" t="s">
        <v>100</v>
      </c>
      <c r="H2667" s="1309" t="str">
        <f>VLOOKUP(G2667,CATEGORIE!$H$3:$I$104,2,FALSE)</f>
        <v>COSTO SFIZI</v>
      </c>
      <c r="I2667" s="59">
        <v>144.99</v>
      </c>
      <c r="J2667" s="940"/>
      <c r="K2667" s="57" t="s">
        <v>99</v>
      </c>
      <c r="L2667" s="59"/>
    </row>
    <row r="2668" spans="1:12">
      <c r="A2668" s="57" t="s">
        <v>99</v>
      </c>
      <c r="B2668" s="57" t="s">
        <v>90</v>
      </c>
      <c r="C2668" s="57">
        <v>2020</v>
      </c>
      <c r="D2668" s="58">
        <f>MATCH(B2668,{"GENNAIO","FEBBRAIO","MARZO","APRILE","MAGGIO","GIUGNO","LUGLIO","AGOSTO","SETTEMBRE","OTTOBRE","NOVEMBRE","DICEMBRE"},0)</f>
        <v>3</v>
      </c>
      <c r="E2668" s="57" t="str">
        <f t="shared" si="1771"/>
        <v>MARZO 2020</v>
      </c>
      <c r="F2668" s="57" t="str">
        <f t="shared" si="1769"/>
        <v>3 MARZO 2020</v>
      </c>
      <c r="G2668" s="1309" t="s">
        <v>100</v>
      </c>
      <c r="H2668" s="1309" t="str">
        <f>VLOOKUP(G2668,CATEGORIE!$H$3:$I$104,2,FALSE)</f>
        <v>COSTO SFIZI</v>
      </c>
      <c r="I2668" s="59">
        <v>83.61</v>
      </c>
      <c r="J2668" s="940"/>
      <c r="K2668" s="57" t="s">
        <v>99</v>
      </c>
      <c r="L2668" s="59"/>
    </row>
    <row r="2669" spans="1:12">
      <c r="A2669" s="57" t="s">
        <v>156</v>
      </c>
      <c r="B2669" s="57" t="s">
        <v>90</v>
      </c>
      <c r="C2669" s="57">
        <v>2020</v>
      </c>
      <c r="D2669" s="58">
        <f>MATCH(B2669,{"GENNAIO","FEBBRAIO","MARZO","APRILE","MAGGIO","GIUGNO","LUGLIO","AGOSTO","SETTEMBRE","OTTOBRE","NOVEMBRE","DICEMBRE"},0)</f>
        <v>3</v>
      </c>
      <c r="E2669" s="57" t="str">
        <f t="shared" si="1771"/>
        <v>MARZO 2020</v>
      </c>
      <c r="F2669" s="57" t="str">
        <f t="shared" si="1769"/>
        <v>3 MARZO 2020</v>
      </c>
      <c r="G2669" s="1309" t="s">
        <v>96</v>
      </c>
      <c r="H2669" s="1309" t="str">
        <f>VLOOKUP(G2669,CATEGORIE!$H$3:$I$104,2,FALSE)</f>
        <v>COSTO SOPRAVVIVENZA</v>
      </c>
      <c r="I2669" s="59">
        <v>86.31</v>
      </c>
      <c r="J2669" s="940"/>
      <c r="K2669" s="59"/>
      <c r="L2669" s="59"/>
    </row>
    <row r="2670" spans="1:12">
      <c r="A2670" s="57" t="s">
        <v>589</v>
      </c>
      <c r="B2670" s="57" t="s">
        <v>90</v>
      </c>
      <c r="C2670" s="57">
        <v>2020</v>
      </c>
      <c r="D2670" s="58">
        <f>MATCH(B2670,{"GENNAIO","FEBBRAIO","MARZO","APRILE","MAGGIO","GIUGNO","LUGLIO","AGOSTO","SETTEMBRE","OTTOBRE","NOVEMBRE","DICEMBRE"},0)</f>
        <v>3</v>
      </c>
      <c r="E2670" s="57" t="str">
        <f t="shared" si="1771"/>
        <v>MARZO 2020</v>
      </c>
      <c r="F2670" s="57" t="str">
        <f t="shared" si="1769"/>
        <v>3 MARZO 2020</v>
      </c>
      <c r="G2670" s="1309" t="s">
        <v>107</v>
      </c>
      <c r="H2670" s="1309" t="str">
        <f>VLOOKUP(G2670,CATEGORIE!$H$3:$I$104,2,FALSE)</f>
        <v>COSTO SOPRAVVIVENZA</v>
      </c>
      <c r="I2670" s="59">
        <v>40</v>
      </c>
      <c r="J2670" s="940"/>
      <c r="K2670" s="59"/>
      <c r="L2670" s="59"/>
    </row>
    <row r="2671" spans="1:12">
      <c r="A2671" s="57" t="s">
        <v>650</v>
      </c>
      <c r="B2671" s="57" t="s">
        <v>90</v>
      </c>
      <c r="C2671" s="57">
        <v>2020</v>
      </c>
      <c r="D2671" s="58">
        <f>MATCH(B2671,{"GENNAIO","FEBBRAIO","MARZO","APRILE","MAGGIO","GIUGNO","LUGLIO","AGOSTO","SETTEMBRE","OTTOBRE","NOVEMBRE","DICEMBRE"},0)</f>
        <v>3</v>
      </c>
      <c r="E2671" s="57" t="str">
        <f t="shared" si="1771"/>
        <v>MARZO 2020</v>
      </c>
      <c r="F2671" s="57" t="str">
        <f t="shared" si="1769"/>
        <v>3 MARZO 2020</v>
      </c>
      <c r="G2671" s="1309" t="s">
        <v>100</v>
      </c>
      <c r="H2671" s="1309" t="str">
        <f>VLOOKUP(G2671,CATEGORIE!$H$3:$I$104,2,FALSE)</f>
        <v>COSTO SFIZI</v>
      </c>
      <c r="I2671" s="59">
        <v>14.54</v>
      </c>
      <c r="J2671" s="940"/>
      <c r="K2671" s="59"/>
      <c r="L2671" s="59"/>
    </row>
    <row r="2672" spans="1:12">
      <c r="A2672" s="57" t="s">
        <v>99</v>
      </c>
      <c r="B2672" s="57" t="s">
        <v>90</v>
      </c>
      <c r="C2672" s="57">
        <v>2020</v>
      </c>
      <c r="D2672" s="58">
        <f>MATCH(B2672,{"GENNAIO","FEBBRAIO","MARZO","APRILE","MAGGIO","GIUGNO","LUGLIO","AGOSTO","SETTEMBRE","OTTOBRE","NOVEMBRE","DICEMBRE"},0)</f>
        <v>3</v>
      </c>
      <c r="E2672" s="57" t="str">
        <f t="shared" si="1771"/>
        <v>MARZO 2020</v>
      </c>
      <c r="F2672" s="57" t="str">
        <f t="shared" si="1769"/>
        <v>3 MARZO 2020</v>
      </c>
      <c r="G2672" s="1309" t="s">
        <v>100</v>
      </c>
      <c r="H2672" s="1309" t="str">
        <f>VLOOKUP(G2672,CATEGORIE!$H$3:$I$104,2,FALSE)</f>
        <v>COSTO SFIZI</v>
      </c>
      <c r="I2672" s="59">
        <v>49.95</v>
      </c>
      <c r="J2672" s="940"/>
      <c r="K2672" s="57" t="s">
        <v>99</v>
      </c>
      <c r="L2672" s="59"/>
    </row>
    <row r="2673" spans="1:12">
      <c r="A2673" s="57" t="s">
        <v>99</v>
      </c>
      <c r="B2673" s="57" t="s">
        <v>90</v>
      </c>
      <c r="C2673" s="57">
        <v>2020</v>
      </c>
      <c r="D2673" s="58">
        <f>MATCH(B2673,{"GENNAIO","FEBBRAIO","MARZO","APRILE","MAGGIO","GIUGNO","LUGLIO","AGOSTO","SETTEMBRE","OTTOBRE","NOVEMBRE","DICEMBRE"},0)</f>
        <v>3</v>
      </c>
      <c r="E2673" s="57" t="str">
        <f t="shared" si="1771"/>
        <v>MARZO 2020</v>
      </c>
      <c r="F2673" s="57" t="str">
        <f t="shared" si="1769"/>
        <v>3 MARZO 2020</v>
      </c>
      <c r="G2673" s="1309" t="s">
        <v>100</v>
      </c>
      <c r="H2673" s="1309" t="str">
        <f>VLOOKUP(G2673,CATEGORIE!$H$3:$I$104,2,FALSE)</f>
        <v>COSTO SFIZI</v>
      </c>
      <c r="I2673" s="59">
        <v>8.4600000000000009</v>
      </c>
      <c r="J2673" s="940"/>
      <c r="K2673" s="57" t="s">
        <v>99</v>
      </c>
      <c r="L2673" s="59"/>
    </row>
    <row r="2674" spans="1:12">
      <c r="A2674" s="57" t="s">
        <v>99</v>
      </c>
      <c r="B2674" s="57" t="s">
        <v>90</v>
      </c>
      <c r="C2674" s="57">
        <v>2020</v>
      </c>
      <c r="D2674" s="58">
        <f>MATCH(B2674,{"GENNAIO","FEBBRAIO","MARZO","APRILE","MAGGIO","GIUGNO","LUGLIO","AGOSTO","SETTEMBRE","OTTOBRE","NOVEMBRE","DICEMBRE"},0)</f>
        <v>3</v>
      </c>
      <c r="E2674" s="57" t="str">
        <f t="shared" si="1771"/>
        <v>MARZO 2020</v>
      </c>
      <c r="F2674" s="57" t="str">
        <f t="shared" si="1769"/>
        <v>3 MARZO 2020</v>
      </c>
      <c r="G2674" s="1309" t="s">
        <v>100</v>
      </c>
      <c r="H2674" s="1309" t="str">
        <f>VLOOKUP(G2674,CATEGORIE!$H$3:$I$104,2,FALSE)</f>
        <v>COSTO SFIZI</v>
      </c>
      <c r="I2674" s="59">
        <v>7.07</v>
      </c>
      <c r="J2674" s="940"/>
      <c r="K2674" s="57" t="s">
        <v>99</v>
      </c>
      <c r="L2674" s="59"/>
    </row>
    <row r="2675" spans="1:12">
      <c r="A2675" s="57" t="s">
        <v>156</v>
      </c>
      <c r="B2675" s="57" t="s">
        <v>90</v>
      </c>
      <c r="C2675" s="57">
        <v>2020</v>
      </c>
      <c r="D2675" s="58">
        <f>MATCH(B2675,{"GENNAIO","FEBBRAIO","MARZO","APRILE","MAGGIO","GIUGNO","LUGLIO","AGOSTO","SETTEMBRE","OTTOBRE","NOVEMBRE","DICEMBRE"},0)</f>
        <v>3</v>
      </c>
      <c r="E2675" s="57" t="str">
        <f t="shared" si="1771"/>
        <v>MARZO 2020</v>
      </c>
      <c r="F2675" s="57" t="str">
        <f t="shared" si="1769"/>
        <v>3 MARZO 2020</v>
      </c>
      <c r="G2675" s="1309" t="s">
        <v>96</v>
      </c>
      <c r="H2675" s="1309" t="str">
        <f>VLOOKUP(G2675,CATEGORIE!$H$3:$I$104,2,FALSE)</f>
        <v>COSTO SOPRAVVIVENZA</v>
      </c>
      <c r="I2675" s="59">
        <v>37.97</v>
      </c>
      <c r="J2675" s="940"/>
      <c r="K2675" s="59"/>
      <c r="L2675" s="59"/>
    </row>
    <row r="2676" spans="1:12">
      <c r="A2676" s="57" t="s">
        <v>99</v>
      </c>
      <c r="B2676" s="57" t="s">
        <v>90</v>
      </c>
      <c r="C2676" s="57">
        <v>2020</v>
      </c>
      <c r="D2676" s="58">
        <f>MATCH(B2676,{"GENNAIO","FEBBRAIO","MARZO","APRILE","MAGGIO","GIUGNO","LUGLIO","AGOSTO","SETTEMBRE","OTTOBRE","NOVEMBRE","DICEMBRE"},0)</f>
        <v>3</v>
      </c>
      <c r="E2676" s="57" t="str">
        <f t="shared" si="1771"/>
        <v>MARZO 2020</v>
      </c>
      <c r="F2676" s="57" t="str">
        <f t="shared" si="1769"/>
        <v>3 MARZO 2020</v>
      </c>
      <c r="G2676" s="1309" t="s">
        <v>100</v>
      </c>
      <c r="H2676" s="1309" t="str">
        <f>VLOOKUP(G2676,CATEGORIE!$H$3:$I$104,2,FALSE)</f>
        <v>COSTO SFIZI</v>
      </c>
      <c r="I2676" s="59">
        <v>10.56</v>
      </c>
      <c r="J2676" s="940"/>
      <c r="K2676" s="57" t="s">
        <v>99</v>
      </c>
      <c r="L2676" s="59"/>
    </row>
    <row r="2677" spans="1:12">
      <c r="A2677" s="57" t="s">
        <v>589</v>
      </c>
      <c r="B2677" s="57" t="s">
        <v>90</v>
      </c>
      <c r="C2677" s="57">
        <v>2020</v>
      </c>
      <c r="D2677" s="58">
        <f>MATCH(B2677,{"GENNAIO","FEBBRAIO","MARZO","APRILE","MAGGIO","GIUGNO","LUGLIO","AGOSTO","SETTEMBRE","OTTOBRE","NOVEMBRE","DICEMBRE"},0)</f>
        <v>3</v>
      </c>
      <c r="E2677" s="57" t="str">
        <f t="shared" si="1771"/>
        <v>MARZO 2020</v>
      </c>
      <c r="F2677" s="57" t="str">
        <f t="shared" si="1769"/>
        <v>3 MARZO 2020</v>
      </c>
      <c r="G2677" s="1309" t="s">
        <v>107</v>
      </c>
      <c r="H2677" s="1309" t="str">
        <f>VLOOKUP(G2677,CATEGORIE!$H$3:$I$104,2,FALSE)</f>
        <v>COSTO SOPRAVVIVENZA</v>
      </c>
      <c r="I2677" s="59">
        <v>40</v>
      </c>
      <c r="J2677" s="940"/>
      <c r="K2677" s="59"/>
      <c r="L2677" s="59"/>
    </row>
    <row r="2678" spans="1:12">
      <c r="A2678" s="57" t="s">
        <v>289</v>
      </c>
      <c r="B2678" s="57" t="s">
        <v>90</v>
      </c>
      <c r="C2678" s="57">
        <v>2020</v>
      </c>
      <c r="D2678" s="58">
        <f>MATCH(B2678,{"GENNAIO","FEBBRAIO","MARZO","APRILE","MAGGIO","GIUGNO","LUGLIO","AGOSTO","SETTEMBRE","OTTOBRE","NOVEMBRE","DICEMBRE"},0)</f>
        <v>3</v>
      </c>
      <c r="E2678" s="57" t="str">
        <f t="shared" si="1771"/>
        <v>MARZO 2020</v>
      </c>
      <c r="F2678" s="57" t="str">
        <f t="shared" si="1769"/>
        <v>3 MARZO 2020</v>
      </c>
      <c r="G2678" s="1309" t="s">
        <v>108</v>
      </c>
      <c r="H2678" s="1309" t="str">
        <f>VLOOKUP(G2678,CATEGORIE!$H$3:$I$104,2,FALSE)</f>
        <v>COSTO SFIZI</v>
      </c>
      <c r="I2678" s="59">
        <v>60.6</v>
      </c>
      <c r="J2678" s="940"/>
      <c r="K2678" s="59"/>
      <c r="L2678" s="59"/>
    </row>
    <row r="2679" spans="1:12">
      <c r="A2679" s="57" t="s">
        <v>531</v>
      </c>
      <c r="B2679" s="57" t="s">
        <v>90</v>
      </c>
      <c r="C2679" s="57">
        <v>2020</v>
      </c>
      <c r="D2679" s="58">
        <f>MATCH(B2679,{"GENNAIO","FEBBRAIO","MARZO","APRILE","MAGGIO","GIUGNO","LUGLIO","AGOSTO","SETTEMBRE","OTTOBRE","NOVEMBRE","DICEMBRE"},0)</f>
        <v>3</v>
      </c>
      <c r="E2679" s="57" t="str">
        <f t="shared" si="1771"/>
        <v>MARZO 2020</v>
      </c>
      <c r="F2679" s="57" t="str">
        <f t="shared" si="1769"/>
        <v>3 MARZO 2020</v>
      </c>
      <c r="G2679" s="1309" t="s">
        <v>108</v>
      </c>
      <c r="H2679" s="1309" t="str">
        <f>VLOOKUP(G2679,CATEGORIE!$H$3:$I$104,2,FALSE)</f>
        <v>COSTO SFIZI</v>
      </c>
      <c r="I2679" s="59">
        <v>71.92</v>
      </c>
      <c r="J2679" s="940"/>
      <c r="K2679" s="59"/>
      <c r="L2679" s="59"/>
    </row>
    <row r="2680" spans="1:12">
      <c r="A2680" s="57" t="s">
        <v>653</v>
      </c>
      <c r="B2680" s="57" t="s">
        <v>129</v>
      </c>
      <c r="C2680" s="57">
        <v>2020</v>
      </c>
      <c r="D2680" s="58">
        <f>MATCH(B2680,{"GENNAIO","FEBBRAIO","MARZO","APRILE","MAGGIO","GIUGNO","LUGLIO","AGOSTO","SETTEMBRE","OTTOBRE","NOVEMBRE","DICEMBRE"},0)</f>
        <v>2</v>
      </c>
      <c r="E2680" s="57" t="str">
        <f t="shared" si="1771"/>
        <v>FEBBRAIO 2020</v>
      </c>
      <c r="F2680" s="57" t="str">
        <f t="shared" si="1769"/>
        <v>2 FEBBRAIO 2020</v>
      </c>
      <c r="G2680" s="1309" t="s">
        <v>242</v>
      </c>
      <c r="H2680" s="1309" t="str">
        <f>VLOOKUP(G2680,CATEGORIE!$H$3:$I$104,2,FALSE)</f>
        <v>COSTO ABBONAMENTI</v>
      </c>
      <c r="I2680" s="59">
        <v>9.99</v>
      </c>
      <c r="J2680" s="940"/>
      <c r="K2680" s="59"/>
      <c r="L2680" s="59"/>
    </row>
    <row r="2681" spans="1:12" ht="16.5" customHeight="1">
      <c r="A2681" s="57" t="s">
        <v>589</v>
      </c>
      <c r="B2681" s="57" t="s">
        <v>129</v>
      </c>
      <c r="C2681" s="57">
        <v>2020</v>
      </c>
      <c r="D2681" s="58">
        <f>MATCH(B2681,{"GENNAIO","FEBBRAIO","MARZO","APRILE","MAGGIO","GIUGNO","LUGLIO","AGOSTO","SETTEMBRE","OTTOBRE","NOVEMBRE","DICEMBRE"},0)</f>
        <v>2</v>
      </c>
      <c r="E2681" s="57" t="str">
        <f t="shared" si="1771"/>
        <v>FEBBRAIO 2020</v>
      </c>
      <c r="F2681" s="57" t="str">
        <f t="shared" ref="F2681:F2744" si="1772">CONCATENATE(D2681," ",E2681)</f>
        <v>2 FEBBRAIO 2020</v>
      </c>
      <c r="G2681" s="1309" t="s">
        <v>107</v>
      </c>
      <c r="H2681" s="1309" t="str">
        <f>VLOOKUP(G2681,CATEGORIE!$H$3:$I$104,2,FALSE)</f>
        <v>COSTO SOPRAVVIVENZA</v>
      </c>
      <c r="I2681" s="59">
        <v>50</v>
      </c>
      <c r="J2681" s="940"/>
      <c r="K2681" s="59"/>
      <c r="L2681" s="59"/>
    </row>
    <row r="2682" spans="1:12" ht="16.5" customHeight="1">
      <c r="A2682" s="57" t="s">
        <v>99</v>
      </c>
      <c r="B2682" s="57" t="s">
        <v>129</v>
      </c>
      <c r="C2682" s="57">
        <v>2020</v>
      </c>
      <c r="D2682" s="58">
        <f>MATCH(B2682,{"GENNAIO","FEBBRAIO","MARZO","APRILE","MAGGIO","GIUGNO","LUGLIO","AGOSTO","SETTEMBRE","OTTOBRE","NOVEMBRE","DICEMBRE"},0)</f>
        <v>2</v>
      </c>
      <c r="E2682" s="57" t="str">
        <f t="shared" si="1771"/>
        <v>FEBBRAIO 2020</v>
      </c>
      <c r="F2682" s="57" t="str">
        <f t="shared" si="1772"/>
        <v>2 FEBBRAIO 2020</v>
      </c>
      <c r="G2682" s="1309" t="s">
        <v>100</v>
      </c>
      <c r="H2682" s="1309" t="str">
        <f>VLOOKUP(G2682,CATEGORIE!$H$3:$I$104,2,FALSE)</f>
        <v>COSTO SFIZI</v>
      </c>
      <c r="I2682" s="59">
        <v>27.9</v>
      </c>
      <c r="J2682" s="940"/>
      <c r="K2682" s="57" t="s">
        <v>99</v>
      </c>
      <c r="L2682" s="59"/>
    </row>
    <row r="2683" spans="1:12" ht="16.5" customHeight="1">
      <c r="A2683" s="57" t="s">
        <v>131</v>
      </c>
      <c r="B2683" s="57" t="s">
        <v>129</v>
      </c>
      <c r="C2683" s="57">
        <v>2020</v>
      </c>
      <c r="D2683" s="58">
        <f>MATCH(B2683,{"GENNAIO","FEBBRAIO","MARZO","APRILE","MAGGIO","GIUGNO","LUGLIO","AGOSTO","SETTEMBRE","OTTOBRE","NOVEMBRE","DICEMBRE"},0)</f>
        <v>2</v>
      </c>
      <c r="E2683" s="57" t="str">
        <f t="shared" si="1771"/>
        <v>FEBBRAIO 2020</v>
      </c>
      <c r="F2683" s="57" t="str">
        <f t="shared" si="1772"/>
        <v>2 FEBBRAIO 2020</v>
      </c>
      <c r="G2683" s="1309" t="s">
        <v>132</v>
      </c>
      <c r="H2683" s="1309" t="str">
        <f>VLOOKUP(G2683,CATEGORIE!$H$3:$I$104,2,FALSE)</f>
        <v>COSTO CASA</v>
      </c>
      <c r="I2683" s="59">
        <v>7.95</v>
      </c>
      <c r="J2683" s="940"/>
      <c r="K2683" s="59"/>
      <c r="L2683" s="59"/>
    </row>
    <row r="2684" spans="1:12" ht="16.5" customHeight="1">
      <c r="A2684" s="57" t="s">
        <v>156</v>
      </c>
      <c r="B2684" s="57" t="s">
        <v>129</v>
      </c>
      <c r="C2684" s="57">
        <v>2020</v>
      </c>
      <c r="D2684" s="58">
        <f>MATCH(B2684,{"GENNAIO","FEBBRAIO","MARZO","APRILE","MAGGIO","GIUGNO","LUGLIO","AGOSTO","SETTEMBRE","OTTOBRE","NOVEMBRE","DICEMBRE"},0)</f>
        <v>2</v>
      </c>
      <c r="E2684" s="57" t="str">
        <f t="shared" si="1771"/>
        <v>FEBBRAIO 2020</v>
      </c>
      <c r="F2684" s="57" t="str">
        <f t="shared" si="1772"/>
        <v>2 FEBBRAIO 2020</v>
      </c>
      <c r="G2684" s="1309" t="s">
        <v>96</v>
      </c>
      <c r="H2684" s="1309" t="str">
        <f>VLOOKUP(G2684,CATEGORIE!$H$3:$I$104,2,FALSE)</f>
        <v>COSTO SOPRAVVIVENZA</v>
      </c>
      <c r="I2684" s="59">
        <v>32.97</v>
      </c>
      <c r="J2684" s="940"/>
      <c r="K2684" s="59"/>
      <c r="L2684" s="59"/>
    </row>
    <row r="2685" spans="1:12" ht="16.5" customHeight="1">
      <c r="A2685" s="57" t="s">
        <v>156</v>
      </c>
      <c r="B2685" s="57" t="s">
        <v>129</v>
      </c>
      <c r="C2685" s="57">
        <v>2020</v>
      </c>
      <c r="D2685" s="58">
        <f>MATCH(B2685,{"GENNAIO","FEBBRAIO","MARZO","APRILE","MAGGIO","GIUGNO","LUGLIO","AGOSTO","SETTEMBRE","OTTOBRE","NOVEMBRE","DICEMBRE"},0)</f>
        <v>2</v>
      </c>
      <c r="E2685" s="57" t="str">
        <f t="shared" si="1771"/>
        <v>FEBBRAIO 2020</v>
      </c>
      <c r="F2685" s="57" t="str">
        <f t="shared" si="1772"/>
        <v>2 FEBBRAIO 2020</v>
      </c>
      <c r="G2685" s="1309" t="s">
        <v>96</v>
      </c>
      <c r="H2685" s="1309" t="str">
        <f>VLOOKUP(G2685,CATEGORIE!$H$3:$I$104,2,FALSE)</f>
        <v>COSTO SOPRAVVIVENZA</v>
      </c>
      <c r="I2685" s="59">
        <v>50.24</v>
      </c>
      <c r="J2685" s="940"/>
      <c r="K2685" s="59"/>
      <c r="L2685" s="59"/>
    </row>
    <row r="2686" spans="1:12" ht="16.5" customHeight="1">
      <c r="A2686" s="57" t="s">
        <v>99</v>
      </c>
      <c r="B2686" s="57" t="s">
        <v>129</v>
      </c>
      <c r="C2686" s="57">
        <v>2020</v>
      </c>
      <c r="D2686" s="58">
        <f>MATCH(B2686,{"GENNAIO","FEBBRAIO","MARZO","APRILE","MAGGIO","GIUGNO","LUGLIO","AGOSTO","SETTEMBRE","OTTOBRE","NOVEMBRE","DICEMBRE"},0)</f>
        <v>2</v>
      </c>
      <c r="E2686" s="57" t="str">
        <f t="shared" si="1771"/>
        <v>FEBBRAIO 2020</v>
      </c>
      <c r="F2686" s="57" t="str">
        <f t="shared" si="1772"/>
        <v>2 FEBBRAIO 2020</v>
      </c>
      <c r="G2686" s="1309" t="s">
        <v>100</v>
      </c>
      <c r="H2686" s="1309" t="str">
        <f>VLOOKUP(G2686,CATEGORIE!$H$3:$I$104,2,FALSE)</f>
        <v>COSTO SFIZI</v>
      </c>
      <c r="I2686" s="59">
        <v>29.73</v>
      </c>
      <c r="J2686" s="940"/>
      <c r="K2686" s="57" t="s">
        <v>99</v>
      </c>
      <c r="L2686" s="59"/>
    </row>
    <row r="2687" spans="1:12" ht="16.5" customHeight="1">
      <c r="A2687" s="57" t="s">
        <v>99</v>
      </c>
      <c r="B2687" s="57" t="s">
        <v>129</v>
      </c>
      <c r="C2687" s="57">
        <v>2020</v>
      </c>
      <c r="D2687" s="58">
        <f>MATCH(B2687,{"GENNAIO","FEBBRAIO","MARZO","APRILE","MAGGIO","GIUGNO","LUGLIO","AGOSTO","SETTEMBRE","OTTOBRE","NOVEMBRE","DICEMBRE"},0)</f>
        <v>2</v>
      </c>
      <c r="E2687" s="57" t="str">
        <f t="shared" si="1771"/>
        <v>FEBBRAIO 2020</v>
      </c>
      <c r="F2687" s="57" t="str">
        <f t="shared" si="1772"/>
        <v>2 FEBBRAIO 2020</v>
      </c>
      <c r="G2687" s="1309" t="s">
        <v>100</v>
      </c>
      <c r="H2687" s="1309" t="str">
        <f>VLOOKUP(G2687,CATEGORIE!$H$3:$I$104,2,FALSE)</f>
        <v>COSTO SFIZI</v>
      </c>
      <c r="I2687" s="59">
        <v>51.89</v>
      </c>
      <c r="J2687" s="940"/>
      <c r="K2687" s="57" t="s">
        <v>99</v>
      </c>
      <c r="L2687" s="59"/>
    </row>
    <row r="2688" spans="1:12" ht="16.5" customHeight="1">
      <c r="A2688" s="57" t="s">
        <v>156</v>
      </c>
      <c r="B2688" s="57" t="s">
        <v>129</v>
      </c>
      <c r="C2688" s="57">
        <v>2020</v>
      </c>
      <c r="D2688" s="58">
        <f>MATCH(B2688,{"GENNAIO","FEBBRAIO","MARZO","APRILE","MAGGIO","GIUGNO","LUGLIO","AGOSTO","SETTEMBRE","OTTOBRE","NOVEMBRE","DICEMBRE"},0)</f>
        <v>2</v>
      </c>
      <c r="E2688" s="57" t="str">
        <f t="shared" si="1771"/>
        <v>FEBBRAIO 2020</v>
      </c>
      <c r="F2688" s="57" t="str">
        <f t="shared" si="1772"/>
        <v>2 FEBBRAIO 2020</v>
      </c>
      <c r="G2688" s="1309" t="s">
        <v>96</v>
      </c>
      <c r="H2688" s="1309" t="str">
        <f>VLOOKUP(G2688,CATEGORIE!$H$3:$I$104,2,FALSE)</f>
        <v>COSTO SOPRAVVIVENZA</v>
      </c>
      <c r="I2688" s="59">
        <v>2.4900000000000002</v>
      </c>
      <c r="J2688" s="940"/>
      <c r="K2688" s="59"/>
      <c r="L2688" s="59"/>
    </row>
    <row r="2689" spans="1:12" ht="16.5" customHeight="1">
      <c r="A2689" s="57" t="s">
        <v>156</v>
      </c>
      <c r="B2689" s="57" t="s">
        <v>129</v>
      </c>
      <c r="C2689" s="57">
        <v>2020</v>
      </c>
      <c r="D2689" s="58">
        <f>MATCH(B2689,{"GENNAIO","FEBBRAIO","MARZO","APRILE","MAGGIO","GIUGNO","LUGLIO","AGOSTO","SETTEMBRE","OTTOBRE","NOVEMBRE","DICEMBRE"},0)</f>
        <v>2</v>
      </c>
      <c r="E2689" s="57" t="str">
        <f t="shared" ref="E2689:E2720" si="1773">CONCATENATE(,B2689," ",C2689)</f>
        <v>FEBBRAIO 2020</v>
      </c>
      <c r="F2689" s="57" t="str">
        <f t="shared" si="1772"/>
        <v>2 FEBBRAIO 2020</v>
      </c>
      <c r="G2689" s="1309" t="s">
        <v>96</v>
      </c>
      <c r="H2689" s="1309" t="str">
        <f>VLOOKUP(G2689,CATEGORIE!$H$3:$I$104,2,FALSE)</f>
        <v>COSTO SOPRAVVIVENZA</v>
      </c>
      <c r="I2689" s="59">
        <v>5.89</v>
      </c>
      <c r="J2689" s="940"/>
      <c r="K2689" s="59"/>
      <c r="L2689" s="59"/>
    </row>
    <row r="2690" spans="1:12" ht="16.5" customHeight="1">
      <c r="A2690" s="57" t="s">
        <v>654</v>
      </c>
      <c r="B2690" s="57" t="s">
        <v>129</v>
      </c>
      <c r="C2690" s="57">
        <v>2020</v>
      </c>
      <c r="D2690" s="58">
        <f>MATCH(B2690,{"GENNAIO","FEBBRAIO","MARZO","APRILE","MAGGIO","GIUGNO","LUGLIO","AGOSTO","SETTEMBRE","OTTOBRE","NOVEMBRE","DICEMBRE"},0)</f>
        <v>2</v>
      </c>
      <c r="E2690" s="57" t="str">
        <f t="shared" si="1773"/>
        <v>FEBBRAIO 2020</v>
      </c>
      <c r="F2690" s="57" t="str">
        <f t="shared" si="1772"/>
        <v>2 FEBBRAIO 2020</v>
      </c>
      <c r="G2690" s="1309" t="s">
        <v>100</v>
      </c>
      <c r="H2690" s="1309" t="str">
        <f>VLOOKUP(G2690,CATEGORIE!$H$3:$I$104,2,FALSE)</f>
        <v>COSTO SFIZI</v>
      </c>
      <c r="I2690" s="59">
        <v>201.68</v>
      </c>
      <c r="J2690" s="940"/>
      <c r="K2690" s="59"/>
      <c r="L2690" s="59"/>
    </row>
    <row r="2691" spans="1:12" ht="16.5" customHeight="1">
      <c r="A2691" s="57" t="s">
        <v>156</v>
      </c>
      <c r="B2691" s="57" t="s">
        <v>129</v>
      </c>
      <c r="C2691" s="57">
        <v>2020</v>
      </c>
      <c r="D2691" s="58">
        <f>MATCH(B2691,{"GENNAIO","FEBBRAIO","MARZO","APRILE","MAGGIO","GIUGNO","LUGLIO","AGOSTO","SETTEMBRE","OTTOBRE","NOVEMBRE","DICEMBRE"},0)</f>
        <v>2</v>
      </c>
      <c r="E2691" s="57" t="str">
        <f t="shared" si="1773"/>
        <v>FEBBRAIO 2020</v>
      </c>
      <c r="F2691" s="57" t="str">
        <f t="shared" si="1772"/>
        <v>2 FEBBRAIO 2020</v>
      </c>
      <c r="G2691" s="1309" t="s">
        <v>96</v>
      </c>
      <c r="H2691" s="1309" t="str">
        <f>VLOOKUP(G2691,CATEGORIE!$H$3:$I$104,2,FALSE)</f>
        <v>COSTO SOPRAVVIVENZA</v>
      </c>
      <c r="I2691" s="59">
        <v>2.4900000000000002</v>
      </c>
      <c r="J2691" s="940"/>
      <c r="K2691" s="59"/>
      <c r="L2691" s="59"/>
    </row>
    <row r="2692" spans="1:12">
      <c r="A2692" s="57" t="s">
        <v>156</v>
      </c>
      <c r="B2692" s="57" t="s">
        <v>129</v>
      </c>
      <c r="C2692" s="57">
        <v>2020</v>
      </c>
      <c r="D2692" s="58">
        <f>MATCH(B2692,{"GENNAIO","FEBBRAIO","MARZO","APRILE","MAGGIO","GIUGNO","LUGLIO","AGOSTO","SETTEMBRE","OTTOBRE","NOVEMBRE","DICEMBRE"},0)</f>
        <v>2</v>
      </c>
      <c r="E2692" s="57" t="str">
        <f t="shared" si="1773"/>
        <v>FEBBRAIO 2020</v>
      </c>
      <c r="F2692" s="57" t="str">
        <f t="shared" si="1772"/>
        <v>2 FEBBRAIO 2020</v>
      </c>
      <c r="G2692" s="1309" t="s">
        <v>96</v>
      </c>
      <c r="H2692" s="1309" t="str">
        <f>VLOOKUP(G2692,CATEGORIE!$H$3:$I$104,2,FALSE)</f>
        <v>COSTO SOPRAVVIVENZA</v>
      </c>
      <c r="I2692" s="59">
        <v>45.21</v>
      </c>
      <c r="J2692" s="940"/>
      <c r="K2692" s="59"/>
      <c r="L2692" s="59"/>
    </row>
    <row r="2693" spans="1:12">
      <c r="A2693" s="57" t="s">
        <v>160</v>
      </c>
      <c r="B2693" s="57" t="s">
        <v>154</v>
      </c>
      <c r="C2693" s="57">
        <v>2020</v>
      </c>
      <c r="D2693" s="58">
        <f>MATCH(B2693,{"GENNAIO","FEBBRAIO","MARZO","APRILE","MAGGIO","GIUGNO","LUGLIO","AGOSTO","SETTEMBRE","OTTOBRE","NOVEMBRE","DICEMBRE"},0)</f>
        <v>1</v>
      </c>
      <c r="E2693" s="57" t="str">
        <f t="shared" si="1773"/>
        <v>GENNAIO 2020</v>
      </c>
      <c r="F2693" s="57" t="str">
        <f t="shared" si="1772"/>
        <v>1 GENNAIO 2020</v>
      </c>
      <c r="G2693" s="1309" t="s">
        <v>111</v>
      </c>
      <c r="H2693" s="1309" t="str">
        <f>VLOOKUP(G2693,CATEGORIE!$H$3:$I$104,2,FALSE)</f>
        <v>COSTO MOBILITA'</v>
      </c>
      <c r="I2693" s="59">
        <v>2.5</v>
      </c>
      <c r="J2693" s="940"/>
      <c r="K2693" s="59"/>
      <c r="L2693" s="59"/>
    </row>
    <row r="2694" spans="1:12">
      <c r="A2694" s="57" t="s">
        <v>655</v>
      </c>
      <c r="B2694" s="57" t="s">
        <v>154</v>
      </c>
      <c r="C2694" s="57">
        <v>2020</v>
      </c>
      <c r="D2694" s="58">
        <f>MATCH(B2694,{"GENNAIO","FEBBRAIO","MARZO","APRILE","MAGGIO","GIUGNO","LUGLIO","AGOSTO","SETTEMBRE","OTTOBRE","NOVEMBRE","DICEMBRE"},0)</f>
        <v>1</v>
      </c>
      <c r="E2694" s="57" t="str">
        <f t="shared" si="1773"/>
        <v>GENNAIO 2020</v>
      </c>
      <c r="F2694" s="57" t="str">
        <f t="shared" si="1772"/>
        <v>1 GENNAIO 2020</v>
      </c>
      <c r="G2694" s="1309" t="s">
        <v>108</v>
      </c>
      <c r="H2694" s="1309" t="str">
        <f>VLOOKUP(G2694,CATEGORIE!$H$3:$I$104,2,FALSE)</f>
        <v>COSTO SFIZI</v>
      </c>
      <c r="I2694" s="59">
        <v>42</v>
      </c>
      <c r="J2694" s="940"/>
      <c r="K2694" s="59"/>
      <c r="L2694" s="59"/>
    </row>
    <row r="2695" spans="1:12">
      <c r="A2695" s="57" t="s">
        <v>656</v>
      </c>
      <c r="B2695" s="57" t="s">
        <v>154</v>
      </c>
      <c r="C2695" s="57">
        <v>2020</v>
      </c>
      <c r="D2695" s="58">
        <f>MATCH(B2695,{"GENNAIO","FEBBRAIO","MARZO","APRILE","MAGGIO","GIUGNO","LUGLIO","AGOSTO","SETTEMBRE","OTTOBRE","NOVEMBRE","DICEMBRE"},0)</f>
        <v>1</v>
      </c>
      <c r="E2695" s="57" t="str">
        <f t="shared" si="1773"/>
        <v>GENNAIO 2020</v>
      </c>
      <c r="F2695" s="57" t="str">
        <f t="shared" si="1772"/>
        <v>1 GENNAIO 2020</v>
      </c>
      <c r="G2695" s="1309" t="s">
        <v>111</v>
      </c>
      <c r="H2695" s="1309" t="str">
        <f>VLOOKUP(G2695,CATEGORIE!$H$3:$I$104,2,FALSE)</f>
        <v>COSTO MOBILITA'</v>
      </c>
      <c r="I2695" s="59">
        <v>9</v>
      </c>
      <c r="J2695" s="940"/>
      <c r="K2695" s="59"/>
      <c r="L2695" s="59"/>
    </row>
    <row r="2696" spans="1:12">
      <c r="A2696" s="57" t="s">
        <v>99</v>
      </c>
      <c r="B2696" s="57" t="s">
        <v>154</v>
      </c>
      <c r="C2696" s="57">
        <v>2020</v>
      </c>
      <c r="D2696" s="58">
        <f>MATCH(B2696,{"GENNAIO","FEBBRAIO","MARZO","APRILE","MAGGIO","GIUGNO","LUGLIO","AGOSTO","SETTEMBRE","OTTOBRE","NOVEMBRE","DICEMBRE"},0)</f>
        <v>1</v>
      </c>
      <c r="E2696" s="57" t="str">
        <f t="shared" si="1773"/>
        <v>GENNAIO 2020</v>
      </c>
      <c r="F2696" s="57" t="str">
        <f t="shared" si="1772"/>
        <v>1 GENNAIO 2020</v>
      </c>
      <c r="G2696" s="1309" t="s">
        <v>100</v>
      </c>
      <c r="H2696" s="1309" t="str">
        <f>VLOOKUP(G2696,CATEGORIE!$H$3:$I$104,2,FALSE)</f>
        <v>COSTO SFIZI</v>
      </c>
      <c r="I2696" s="59">
        <v>19.899999999999999</v>
      </c>
      <c r="J2696" s="940"/>
      <c r="K2696" s="57" t="s">
        <v>99</v>
      </c>
      <c r="L2696" s="59"/>
    </row>
    <row r="2697" spans="1:12">
      <c r="A2697" s="57" t="s">
        <v>135</v>
      </c>
      <c r="B2697" s="57" t="s">
        <v>154</v>
      </c>
      <c r="C2697" s="57">
        <v>2020</v>
      </c>
      <c r="D2697" s="58">
        <f>MATCH(B2697,{"GENNAIO","FEBBRAIO","MARZO","APRILE","MAGGIO","GIUGNO","LUGLIO","AGOSTO","SETTEMBRE","OTTOBRE","NOVEMBRE","DICEMBRE"},0)</f>
        <v>1</v>
      </c>
      <c r="E2697" s="57" t="str">
        <f t="shared" si="1773"/>
        <v>GENNAIO 2020</v>
      </c>
      <c r="F2697" s="57" t="str">
        <f t="shared" si="1772"/>
        <v>1 GENNAIO 2020</v>
      </c>
      <c r="G2697" s="1309" t="s">
        <v>132</v>
      </c>
      <c r="H2697" s="1309" t="str">
        <f>VLOOKUP(G2697,CATEGORIE!$H$3:$I$104,2,FALSE)</f>
        <v>COSTO CASA</v>
      </c>
      <c r="I2697" s="59">
        <v>15.09</v>
      </c>
      <c r="J2697" s="940"/>
      <c r="K2697" s="59"/>
      <c r="L2697" s="59"/>
    </row>
    <row r="2698" spans="1:12">
      <c r="A2698" s="57" t="s">
        <v>99</v>
      </c>
      <c r="B2698" s="57" t="s">
        <v>154</v>
      </c>
      <c r="C2698" s="57">
        <v>2020</v>
      </c>
      <c r="D2698" s="58">
        <f>MATCH(B2698,{"GENNAIO","FEBBRAIO","MARZO","APRILE","MAGGIO","GIUGNO","LUGLIO","AGOSTO","SETTEMBRE","OTTOBRE","NOVEMBRE","DICEMBRE"},0)</f>
        <v>1</v>
      </c>
      <c r="E2698" s="57" t="str">
        <f t="shared" si="1773"/>
        <v>GENNAIO 2020</v>
      </c>
      <c r="F2698" s="57" t="str">
        <f t="shared" si="1772"/>
        <v>1 GENNAIO 2020</v>
      </c>
      <c r="G2698" s="1309" t="s">
        <v>100</v>
      </c>
      <c r="H2698" s="1309" t="str">
        <f>VLOOKUP(G2698,CATEGORIE!$H$3:$I$104,2,FALSE)</f>
        <v>COSTO SFIZI</v>
      </c>
      <c r="I2698" s="59">
        <v>21.04</v>
      </c>
      <c r="J2698" s="940"/>
      <c r="K2698" s="57" t="s">
        <v>99</v>
      </c>
      <c r="L2698" s="59"/>
    </row>
    <row r="2699" spans="1:12">
      <c r="A2699" s="57" t="s">
        <v>99</v>
      </c>
      <c r="B2699" s="57" t="s">
        <v>154</v>
      </c>
      <c r="C2699" s="57">
        <v>2020</v>
      </c>
      <c r="D2699" s="58">
        <f>MATCH(B2699,{"GENNAIO","FEBBRAIO","MARZO","APRILE","MAGGIO","GIUGNO","LUGLIO","AGOSTO","SETTEMBRE","OTTOBRE","NOVEMBRE","DICEMBRE"},0)</f>
        <v>1</v>
      </c>
      <c r="E2699" s="57" t="str">
        <f t="shared" si="1773"/>
        <v>GENNAIO 2020</v>
      </c>
      <c r="F2699" s="57" t="str">
        <f t="shared" si="1772"/>
        <v>1 GENNAIO 2020</v>
      </c>
      <c r="G2699" s="1309" t="s">
        <v>100</v>
      </c>
      <c r="H2699" s="1309" t="str">
        <f>VLOOKUP(G2699,CATEGORIE!$H$3:$I$104,2,FALSE)</f>
        <v>COSTO SFIZI</v>
      </c>
      <c r="I2699" s="59">
        <v>11.68</v>
      </c>
      <c r="J2699" s="940"/>
      <c r="K2699" s="57" t="s">
        <v>99</v>
      </c>
      <c r="L2699" s="59"/>
    </row>
    <row r="2700" spans="1:12">
      <c r="A2700" s="57" t="s">
        <v>638</v>
      </c>
      <c r="B2700" s="57" t="s">
        <v>154</v>
      </c>
      <c r="C2700" s="57">
        <v>2020</v>
      </c>
      <c r="D2700" s="58">
        <f>MATCH(B2700,{"GENNAIO","FEBBRAIO","MARZO","APRILE","MAGGIO","GIUGNO","LUGLIO","AGOSTO","SETTEMBRE","OTTOBRE","NOVEMBRE","DICEMBRE"},0)</f>
        <v>1</v>
      </c>
      <c r="E2700" s="57" t="str">
        <f t="shared" si="1773"/>
        <v>GENNAIO 2020</v>
      </c>
      <c r="F2700" s="57" t="str">
        <f t="shared" si="1772"/>
        <v>1 GENNAIO 2020</v>
      </c>
      <c r="G2700" s="1309" t="s">
        <v>385</v>
      </c>
      <c r="H2700" s="1309" t="str">
        <f>VLOOKUP(G2700,CATEGORIE!$H$3:$I$104,2,FALSE)</f>
        <v>COSTO SFIZI</v>
      </c>
      <c r="I2700" s="59">
        <v>9.99</v>
      </c>
      <c r="J2700" s="940"/>
      <c r="K2700" s="59"/>
      <c r="L2700" s="59"/>
    </row>
    <row r="2701" spans="1:12">
      <c r="A2701" s="57" t="s">
        <v>99</v>
      </c>
      <c r="B2701" s="57" t="s">
        <v>154</v>
      </c>
      <c r="C2701" s="57">
        <v>2020</v>
      </c>
      <c r="D2701" s="58">
        <f>MATCH(B2701,{"GENNAIO","FEBBRAIO","MARZO","APRILE","MAGGIO","GIUGNO","LUGLIO","AGOSTO","SETTEMBRE","OTTOBRE","NOVEMBRE","DICEMBRE"},0)</f>
        <v>1</v>
      </c>
      <c r="E2701" s="57" t="str">
        <f t="shared" si="1773"/>
        <v>GENNAIO 2020</v>
      </c>
      <c r="F2701" s="57" t="str">
        <f t="shared" si="1772"/>
        <v>1 GENNAIO 2020</v>
      </c>
      <c r="G2701" s="1309" t="s">
        <v>100</v>
      </c>
      <c r="H2701" s="1309" t="str">
        <f>VLOOKUP(G2701,CATEGORIE!$H$3:$I$104,2,FALSE)</f>
        <v>COSTO SFIZI</v>
      </c>
      <c r="I2701" s="59">
        <v>22.82</v>
      </c>
      <c r="J2701" s="940"/>
      <c r="K2701" s="57" t="s">
        <v>99</v>
      </c>
      <c r="L2701" s="59"/>
    </row>
    <row r="2702" spans="1:12">
      <c r="A2702" s="57" t="s">
        <v>131</v>
      </c>
      <c r="B2702" s="57" t="s">
        <v>154</v>
      </c>
      <c r="C2702" s="57">
        <v>2020</v>
      </c>
      <c r="D2702" s="58">
        <f>MATCH(B2702,{"GENNAIO","FEBBRAIO","MARZO","APRILE","MAGGIO","GIUGNO","LUGLIO","AGOSTO","SETTEMBRE","OTTOBRE","NOVEMBRE","DICEMBRE"},0)</f>
        <v>1</v>
      </c>
      <c r="E2702" s="57" t="str">
        <f t="shared" si="1773"/>
        <v>GENNAIO 2020</v>
      </c>
      <c r="F2702" s="57" t="str">
        <f t="shared" si="1772"/>
        <v>1 GENNAIO 2020</v>
      </c>
      <c r="G2702" s="1309" t="s">
        <v>132</v>
      </c>
      <c r="H2702" s="1309" t="str">
        <f>VLOOKUP(G2702,CATEGORIE!$H$3:$I$104,2,FALSE)</f>
        <v>COSTO CASA</v>
      </c>
      <c r="I2702" s="59">
        <v>32</v>
      </c>
      <c r="J2702" s="940"/>
      <c r="K2702" s="59"/>
      <c r="L2702" s="59"/>
    </row>
    <row r="2703" spans="1:12">
      <c r="A2703" s="57" t="s">
        <v>156</v>
      </c>
      <c r="B2703" s="57" t="s">
        <v>154</v>
      </c>
      <c r="C2703" s="57">
        <v>2020</v>
      </c>
      <c r="D2703" s="58">
        <f>MATCH(B2703,{"GENNAIO","FEBBRAIO","MARZO","APRILE","MAGGIO","GIUGNO","LUGLIO","AGOSTO","SETTEMBRE","OTTOBRE","NOVEMBRE","DICEMBRE"},0)</f>
        <v>1</v>
      </c>
      <c r="E2703" s="57" t="str">
        <f t="shared" si="1773"/>
        <v>GENNAIO 2020</v>
      </c>
      <c r="F2703" s="57" t="str">
        <f t="shared" si="1772"/>
        <v>1 GENNAIO 2020</v>
      </c>
      <c r="G2703" s="1309" t="s">
        <v>96</v>
      </c>
      <c r="H2703" s="1309" t="str">
        <f>VLOOKUP(G2703,CATEGORIE!$H$3:$I$104,2,FALSE)</f>
        <v>COSTO SOPRAVVIVENZA</v>
      </c>
      <c r="I2703" s="59">
        <v>28.39</v>
      </c>
      <c r="J2703" s="940"/>
      <c r="K2703" s="59"/>
      <c r="L2703" s="59"/>
    </row>
    <row r="2704" spans="1:12">
      <c r="A2704" s="57" t="s">
        <v>347</v>
      </c>
      <c r="B2704" s="57" t="s">
        <v>154</v>
      </c>
      <c r="C2704" s="57">
        <v>2020</v>
      </c>
      <c r="D2704" s="58">
        <f>MATCH(B2704,{"GENNAIO","FEBBRAIO","MARZO","APRILE","MAGGIO","GIUGNO","LUGLIO","AGOSTO","SETTEMBRE","OTTOBRE","NOVEMBRE","DICEMBRE"},0)</f>
        <v>1</v>
      </c>
      <c r="E2704" s="57" t="str">
        <f t="shared" si="1773"/>
        <v>GENNAIO 2020</v>
      </c>
      <c r="F2704" s="57" t="str">
        <f t="shared" si="1772"/>
        <v>1 GENNAIO 2020</v>
      </c>
      <c r="G2704" s="1309" t="s">
        <v>108</v>
      </c>
      <c r="H2704" s="1309" t="str">
        <f>VLOOKUP(G2704,CATEGORIE!$H$3:$I$104,2,FALSE)</f>
        <v>COSTO SFIZI</v>
      </c>
      <c r="I2704" s="59">
        <v>38.5</v>
      </c>
      <c r="J2704" s="940"/>
      <c r="K2704" s="59"/>
      <c r="L2704" s="59"/>
    </row>
    <row r="2705" spans="1:12">
      <c r="A2705" s="57" t="s">
        <v>156</v>
      </c>
      <c r="B2705" s="57" t="s">
        <v>154</v>
      </c>
      <c r="C2705" s="57">
        <v>2020</v>
      </c>
      <c r="D2705" s="58">
        <f>MATCH(B2705,{"GENNAIO","FEBBRAIO","MARZO","APRILE","MAGGIO","GIUGNO","LUGLIO","AGOSTO","SETTEMBRE","OTTOBRE","NOVEMBRE","DICEMBRE"},0)</f>
        <v>1</v>
      </c>
      <c r="E2705" s="57" t="str">
        <f t="shared" si="1773"/>
        <v>GENNAIO 2020</v>
      </c>
      <c r="F2705" s="57" t="str">
        <f t="shared" si="1772"/>
        <v>1 GENNAIO 2020</v>
      </c>
      <c r="G2705" s="1309" t="s">
        <v>96</v>
      </c>
      <c r="H2705" s="1309" t="str">
        <f>VLOOKUP(G2705,CATEGORIE!$H$3:$I$104,2,FALSE)</f>
        <v>COSTO SOPRAVVIVENZA</v>
      </c>
      <c r="I2705" s="59">
        <v>47.28</v>
      </c>
      <c r="J2705" s="940"/>
      <c r="K2705" s="59"/>
      <c r="L2705" s="59"/>
    </row>
    <row r="2706" spans="1:12">
      <c r="A2706" s="57" t="s">
        <v>347</v>
      </c>
      <c r="B2706" s="57" t="s">
        <v>154</v>
      </c>
      <c r="C2706" s="57">
        <v>2020</v>
      </c>
      <c r="D2706" s="58">
        <f>MATCH(B2706,{"GENNAIO","FEBBRAIO","MARZO","APRILE","MAGGIO","GIUGNO","LUGLIO","AGOSTO","SETTEMBRE","OTTOBRE","NOVEMBRE","DICEMBRE"},0)</f>
        <v>1</v>
      </c>
      <c r="E2706" s="57" t="str">
        <f t="shared" si="1773"/>
        <v>GENNAIO 2020</v>
      </c>
      <c r="F2706" s="57" t="str">
        <f t="shared" si="1772"/>
        <v>1 GENNAIO 2020</v>
      </c>
      <c r="G2706" s="1309" t="s">
        <v>108</v>
      </c>
      <c r="H2706" s="1309" t="str">
        <f>VLOOKUP(G2706,CATEGORIE!$H$3:$I$104,2,FALSE)</f>
        <v>COSTO SFIZI</v>
      </c>
      <c r="I2706" s="59">
        <v>31.5</v>
      </c>
      <c r="J2706" s="940"/>
      <c r="K2706" s="59"/>
      <c r="L2706" s="59"/>
    </row>
    <row r="2707" spans="1:12">
      <c r="A2707" s="57" t="s">
        <v>657</v>
      </c>
      <c r="B2707" s="57" t="s">
        <v>154</v>
      </c>
      <c r="C2707" s="57">
        <v>2020</v>
      </c>
      <c r="D2707" s="58">
        <f>MATCH(B2707,{"GENNAIO","FEBBRAIO","MARZO","APRILE","MAGGIO","GIUGNO","LUGLIO","AGOSTO","SETTEMBRE","OTTOBRE","NOVEMBRE","DICEMBRE"},0)</f>
        <v>1</v>
      </c>
      <c r="E2707" s="57" t="str">
        <f t="shared" si="1773"/>
        <v>GENNAIO 2020</v>
      </c>
      <c r="F2707" s="57" t="str">
        <f t="shared" si="1772"/>
        <v>1 GENNAIO 2020</v>
      </c>
      <c r="G2707" s="1309" t="s">
        <v>1250</v>
      </c>
      <c r="H2707" s="1309" t="str">
        <f>VLOOKUP(G2707,CATEGORIE!$H$3:$I$104,2,FALSE)</f>
        <v>COSTO VACANZE</v>
      </c>
      <c r="I2707" s="59">
        <v>15</v>
      </c>
      <c r="J2707" s="940"/>
      <c r="K2707" s="59"/>
      <c r="L2707" s="59"/>
    </row>
    <row r="2708" spans="1:12">
      <c r="A2708" s="57" t="s">
        <v>131</v>
      </c>
      <c r="B2708" s="57" t="s">
        <v>154</v>
      </c>
      <c r="C2708" s="57">
        <v>2020</v>
      </c>
      <c r="D2708" s="58">
        <f>MATCH(B2708,{"GENNAIO","FEBBRAIO","MARZO","APRILE","MAGGIO","GIUGNO","LUGLIO","AGOSTO","SETTEMBRE","OTTOBRE","NOVEMBRE","DICEMBRE"},0)</f>
        <v>1</v>
      </c>
      <c r="E2708" s="57" t="str">
        <f t="shared" si="1773"/>
        <v>GENNAIO 2020</v>
      </c>
      <c r="F2708" s="57" t="str">
        <f t="shared" si="1772"/>
        <v>1 GENNAIO 2020</v>
      </c>
      <c r="G2708" s="1309" t="s">
        <v>132</v>
      </c>
      <c r="H2708" s="1309" t="str">
        <f>VLOOKUP(G2708,CATEGORIE!$H$3:$I$104,2,FALSE)</f>
        <v>COSTO CASA</v>
      </c>
      <c r="I2708" s="59">
        <v>8.4499999999999993</v>
      </c>
      <c r="J2708" s="940"/>
      <c r="K2708" s="59"/>
      <c r="L2708" s="59"/>
    </row>
    <row r="2709" spans="1:12">
      <c r="A2709" s="57" t="s">
        <v>119</v>
      </c>
      <c r="B2709" s="57" t="s">
        <v>154</v>
      </c>
      <c r="C2709" s="57">
        <v>2020</v>
      </c>
      <c r="D2709" s="58">
        <f>MATCH(B2709,{"GENNAIO","FEBBRAIO","MARZO","APRILE","MAGGIO","GIUGNO","LUGLIO","AGOSTO","SETTEMBRE","OTTOBRE","NOVEMBRE","DICEMBRE"},0)</f>
        <v>1</v>
      </c>
      <c r="E2709" s="57" t="str">
        <f t="shared" si="1773"/>
        <v>GENNAIO 2020</v>
      </c>
      <c r="F2709" s="57" t="str">
        <f t="shared" si="1772"/>
        <v>1 GENNAIO 2020</v>
      </c>
      <c r="G2709" s="1309" t="s">
        <v>108</v>
      </c>
      <c r="H2709" s="1309" t="str">
        <f>VLOOKUP(G2709,CATEGORIE!$H$3:$I$104,2,FALSE)</f>
        <v>COSTO SFIZI</v>
      </c>
      <c r="I2709" s="59">
        <v>153.86000000000001</v>
      </c>
      <c r="J2709" s="940"/>
      <c r="K2709" s="59"/>
      <c r="L2709" s="59"/>
    </row>
    <row r="2710" spans="1:12">
      <c r="A2710" s="57" t="s">
        <v>655</v>
      </c>
      <c r="B2710" s="57" t="s">
        <v>173</v>
      </c>
      <c r="C2710" s="57">
        <v>2019</v>
      </c>
      <c r="D2710" s="58">
        <f>MATCH(B2710,{"GENNAIO","FEBBRAIO","MARZO","APRILE","MAGGIO","GIUGNO","LUGLIO","AGOSTO","SETTEMBRE","OTTOBRE","NOVEMBRE","DICEMBRE"},0)</f>
        <v>12</v>
      </c>
      <c r="E2710" s="57" t="str">
        <f t="shared" si="1773"/>
        <v>DICEMBRE 2019</v>
      </c>
      <c r="F2710" s="57" t="str">
        <f t="shared" si="1772"/>
        <v>12 DICEMBRE 2019</v>
      </c>
      <c r="G2710" s="1309" t="s">
        <v>108</v>
      </c>
      <c r="H2710" s="1309" t="str">
        <f>VLOOKUP(G2710,CATEGORIE!$H$3:$I$104,2,FALSE)</f>
        <v>COSTO SFIZI</v>
      </c>
      <c r="I2710" s="59">
        <v>55.5</v>
      </c>
      <c r="J2710" s="940"/>
      <c r="K2710" s="59"/>
      <c r="L2710" s="59"/>
    </row>
    <row r="2711" spans="1:12">
      <c r="A2711" s="57" t="s">
        <v>658</v>
      </c>
      <c r="B2711" s="57" t="s">
        <v>173</v>
      </c>
      <c r="C2711" s="57">
        <v>2019</v>
      </c>
      <c r="D2711" s="58">
        <f>MATCH(B2711,{"GENNAIO","FEBBRAIO","MARZO","APRILE","MAGGIO","GIUGNO","LUGLIO","AGOSTO","SETTEMBRE","OTTOBRE","NOVEMBRE","DICEMBRE"},0)</f>
        <v>12</v>
      </c>
      <c r="E2711" s="57" t="str">
        <f t="shared" si="1773"/>
        <v>DICEMBRE 2019</v>
      </c>
      <c r="F2711" s="57" t="str">
        <f t="shared" si="1772"/>
        <v>12 DICEMBRE 2019</v>
      </c>
      <c r="G2711" s="1309" t="s">
        <v>365</v>
      </c>
      <c r="H2711" s="1309" t="str">
        <f>VLOOKUP(G2711,CATEGORIE!$H$3:$I$104,2,FALSE)</f>
        <v>COSTO SOPRAVVIVENZA</v>
      </c>
      <c r="I2711" s="59">
        <v>74.959999999999994</v>
      </c>
      <c r="J2711" s="940"/>
      <c r="K2711" s="59"/>
      <c r="L2711" s="59"/>
    </row>
    <row r="2712" spans="1:12">
      <c r="A2712" s="57" t="s">
        <v>156</v>
      </c>
      <c r="B2712" s="57" t="s">
        <v>173</v>
      </c>
      <c r="C2712" s="57">
        <v>2019</v>
      </c>
      <c r="D2712" s="58">
        <f>MATCH(B2712,{"GENNAIO","FEBBRAIO","MARZO","APRILE","MAGGIO","GIUGNO","LUGLIO","AGOSTO","SETTEMBRE","OTTOBRE","NOVEMBRE","DICEMBRE"},0)</f>
        <v>12</v>
      </c>
      <c r="E2712" s="57" t="str">
        <f t="shared" si="1773"/>
        <v>DICEMBRE 2019</v>
      </c>
      <c r="F2712" s="57" t="str">
        <f t="shared" si="1772"/>
        <v>12 DICEMBRE 2019</v>
      </c>
      <c r="G2712" s="1309" t="s">
        <v>96</v>
      </c>
      <c r="H2712" s="1309" t="str">
        <f>VLOOKUP(G2712,CATEGORIE!$H$3:$I$104,2,FALSE)</f>
        <v>COSTO SOPRAVVIVENZA</v>
      </c>
      <c r="I2712" s="59">
        <v>36.19</v>
      </c>
      <c r="J2712" s="940"/>
      <c r="K2712" s="59"/>
      <c r="L2712" s="59"/>
    </row>
    <row r="2713" spans="1:12">
      <c r="A2713" s="57" t="s">
        <v>224</v>
      </c>
      <c r="B2713" s="57" t="s">
        <v>173</v>
      </c>
      <c r="C2713" s="57">
        <v>2019</v>
      </c>
      <c r="D2713" s="58">
        <f>MATCH(B2713,{"GENNAIO","FEBBRAIO","MARZO","APRILE","MAGGIO","GIUGNO","LUGLIO","AGOSTO","SETTEMBRE","OTTOBRE","NOVEMBRE","DICEMBRE"},0)</f>
        <v>12</v>
      </c>
      <c r="E2713" s="57" t="str">
        <f t="shared" si="1773"/>
        <v>DICEMBRE 2019</v>
      </c>
      <c r="F2713" s="57" t="str">
        <f t="shared" si="1772"/>
        <v>12 DICEMBRE 2019</v>
      </c>
      <c r="G2713" s="1309" t="s">
        <v>402</v>
      </c>
      <c r="H2713" s="1309" t="str">
        <f>VLOOKUP(G2713,CATEGORIE!$H$3:$I$104,2,FALSE)</f>
        <v>COSTO SFIZI</v>
      </c>
      <c r="I2713" s="59">
        <v>12.9</v>
      </c>
      <c r="J2713" s="940"/>
      <c r="K2713" s="59"/>
      <c r="L2713" s="59"/>
    </row>
    <row r="2714" spans="1:12">
      <c r="A2714" s="57" t="s">
        <v>501</v>
      </c>
      <c r="B2714" s="57" t="s">
        <v>173</v>
      </c>
      <c r="C2714" s="57">
        <v>2019</v>
      </c>
      <c r="D2714" s="58">
        <f>MATCH(B2714,{"GENNAIO","FEBBRAIO","MARZO","APRILE","MAGGIO","GIUGNO","LUGLIO","AGOSTO","SETTEMBRE","OTTOBRE","NOVEMBRE","DICEMBRE"},0)</f>
        <v>12</v>
      </c>
      <c r="E2714" s="57" t="str">
        <f t="shared" si="1773"/>
        <v>DICEMBRE 2019</v>
      </c>
      <c r="F2714" s="57" t="str">
        <f t="shared" si="1772"/>
        <v>12 DICEMBRE 2019</v>
      </c>
      <c r="G2714" s="1309" t="s">
        <v>163</v>
      </c>
      <c r="H2714" s="1309" t="str">
        <f>VLOOKUP(G2714,CATEGORIE!$H$3:$I$104,2,FALSE)</f>
        <v>COSTO SVAGHI</v>
      </c>
      <c r="I2714" s="59">
        <v>6.1</v>
      </c>
      <c r="J2714" s="940"/>
      <c r="K2714" s="59"/>
      <c r="L2714" s="59"/>
    </row>
    <row r="2715" spans="1:12">
      <c r="A2715" s="57" t="s">
        <v>99</v>
      </c>
      <c r="B2715" s="57" t="s">
        <v>173</v>
      </c>
      <c r="C2715" s="57">
        <v>2019</v>
      </c>
      <c r="D2715" s="58">
        <f>MATCH(B2715,{"GENNAIO","FEBBRAIO","MARZO","APRILE","MAGGIO","GIUGNO","LUGLIO","AGOSTO","SETTEMBRE","OTTOBRE","NOVEMBRE","DICEMBRE"},0)</f>
        <v>12</v>
      </c>
      <c r="E2715" s="57" t="str">
        <f t="shared" si="1773"/>
        <v>DICEMBRE 2019</v>
      </c>
      <c r="F2715" s="57" t="str">
        <f t="shared" si="1772"/>
        <v>12 DICEMBRE 2019</v>
      </c>
      <c r="G2715" s="1309" t="s">
        <v>100</v>
      </c>
      <c r="H2715" s="1309" t="str">
        <f>VLOOKUP(G2715,CATEGORIE!$H$3:$I$104,2,FALSE)</f>
        <v>COSTO SFIZI</v>
      </c>
      <c r="I2715" s="59">
        <v>12</v>
      </c>
      <c r="J2715" s="940"/>
      <c r="K2715" s="57" t="s">
        <v>99</v>
      </c>
      <c r="L2715" s="59"/>
    </row>
    <row r="2716" spans="1:12">
      <c r="A2716" s="57" t="s">
        <v>501</v>
      </c>
      <c r="B2716" s="57" t="s">
        <v>173</v>
      </c>
      <c r="C2716" s="57">
        <v>2019</v>
      </c>
      <c r="D2716" s="58">
        <f>MATCH(B2716,{"GENNAIO","FEBBRAIO","MARZO","APRILE","MAGGIO","GIUGNO","LUGLIO","AGOSTO","SETTEMBRE","OTTOBRE","NOVEMBRE","DICEMBRE"},0)</f>
        <v>12</v>
      </c>
      <c r="E2716" s="57" t="str">
        <f t="shared" si="1773"/>
        <v>DICEMBRE 2019</v>
      </c>
      <c r="F2716" s="57" t="str">
        <f t="shared" si="1772"/>
        <v>12 DICEMBRE 2019</v>
      </c>
      <c r="G2716" s="1309" t="s">
        <v>163</v>
      </c>
      <c r="H2716" s="1309" t="str">
        <f>VLOOKUP(G2716,CATEGORIE!$H$3:$I$104,2,FALSE)</f>
        <v>COSTO SVAGHI</v>
      </c>
      <c r="I2716" s="59">
        <v>12.2</v>
      </c>
      <c r="J2716" s="940"/>
      <c r="K2716" s="59"/>
      <c r="L2716" s="59"/>
    </row>
    <row r="2717" spans="1:12">
      <c r="A2717" s="57" t="s">
        <v>99</v>
      </c>
      <c r="B2717" s="57" t="s">
        <v>173</v>
      </c>
      <c r="C2717" s="57">
        <v>2019</v>
      </c>
      <c r="D2717" s="58">
        <f>MATCH(B2717,{"GENNAIO","FEBBRAIO","MARZO","APRILE","MAGGIO","GIUGNO","LUGLIO","AGOSTO","SETTEMBRE","OTTOBRE","NOVEMBRE","DICEMBRE"},0)</f>
        <v>12</v>
      </c>
      <c r="E2717" s="57" t="str">
        <f t="shared" si="1773"/>
        <v>DICEMBRE 2019</v>
      </c>
      <c r="F2717" s="57" t="str">
        <f t="shared" si="1772"/>
        <v>12 DICEMBRE 2019</v>
      </c>
      <c r="G2717" s="1309" t="s">
        <v>100</v>
      </c>
      <c r="H2717" s="1309" t="str">
        <f>VLOOKUP(G2717,CATEGORIE!$H$3:$I$104,2,FALSE)</f>
        <v>COSTO SFIZI</v>
      </c>
      <c r="I2717" s="59">
        <v>11.99</v>
      </c>
      <c r="J2717" s="940"/>
      <c r="K2717" s="57" t="s">
        <v>99</v>
      </c>
      <c r="L2717" s="59"/>
    </row>
    <row r="2718" spans="1:12">
      <c r="A2718" s="57" t="s">
        <v>99</v>
      </c>
      <c r="B2718" s="57" t="s">
        <v>173</v>
      </c>
      <c r="C2718" s="57">
        <v>2019</v>
      </c>
      <c r="D2718" s="58">
        <f>MATCH(B2718,{"GENNAIO","FEBBRAIO","MARZO","APRILE","MAGGIO","GIUGNO","LUGLIO","AGOSTO","SETTEMBRE","OTTOBRE","NOVEMBRE","DICEMBRE"},0)</f>
        <v>12</v>
      </c>
      <c r="E2718" s="57" t="str">
        <f t="shared" si="1773"/>
        <v>DICEMBRE 2019</v>
      </c>
      <c r="F2718" s="57" t="str">
        <f t="shared" si="1772"/>
        <v>12 DICEMBRE 2019</v>
      </c>
      <c r="G2718" s="1309" t="s">
        <v>100</v>
      </c>
      <c r="H2718" s="1309" t="str">
        <f>VLOOKUP(G2718,CATEGORIE!$H$3:$I$104,2,FALSE)</f>
        <v>COSTO SFIZI</v>
      </c>
      <c r="I2718" s="60">
        <v>-48.99</v>
      </c>
      <c r="J2718" s="940"/>
      <c r="K2718" s="57" t="s">
        <v>99</v>
      </c>
      <c r="L2718" s="59"/>
    </row>
    <row r="2719" spans="1:12">
      <c r="A2719" s="57" t="s">
        <v>99</v>
      </c>
      <c r="B2719" s="57" t="s">
        <v>173</v>
      </c>
      <c r="C2719" s="57">
        <v>2019</v>
      </c>
      <c r="D2719" s="58">
        <f>MATCH(B2719,{"GENNAIO","FEBBRAIO","MARZO","APRILE","MAGGIO","GIUGNO","LUGLIO","AGOSTO","SETTEMBRE","OTTOBRE","NOVEMBRE","DICEMBRE"},0)</f>
        <v>12</v>
      </c>
      <c r="E2719" s="57" t="str">
        <f t="shared" si="1773"/>
        <v>DICEMBRE 2019</v>
      </c>
      <c r="F2719" s="57" t="str">
        <f t="shared" si="1772"/>
        <v>12 DICEMBRE 2019</v>
      </c>
      <c r="G2719" s="1309" t="s">
        <v>100</v>
      </c>
      <c r="H2719" s="1309" t="str">
        <f>VLOOKUP(G2719,CATEGORIE!$H$3:$I$104,2,FALSE)</f>
        <v>COSTO SFIZI</v>
      </c>
      <c r="I2719" s="59">
        <v>48.99</v>
      </c>
      <c r="J2719" s="940"/>
      <c r="K2719" s="57" t="s">
        <v>99</v>
      </c>
      <c r="L2719" s="59"/>
    </row>
    <row r="2720" spans="1:12">
      <c r="A2720" s="57" t="s">
        <v>99</v>
      </c>
      <c r="B2720" s="57" t="s">
        <v>173</v>
      </c>
      <c r="C2720" s="57">
        <v>2019</v>
      </c>
      <c r="D2720" s="58">
        <f>MATCH(B2720,{"GENNAIO","FEBBRAIO","MARZO","APRILE","MAGGIO","GIUGNO","LUGLIO","AGOSTO","SETTEMBRE","OTTOBRE","NOVEMBRE","DICEMBRE"},0)</f>
        <v>12</v>
      </c>
      <c r="E2720" s="57" t="str">
        <f t="shared" si="1773"/>
        <v>DICEMBRE 2019</v>
      </c>
      <c r="F2720" s="57" t="str">
        <f t="shared" si="1772"/>
        <v>12 DICEMBRE 2019</v>
      </c>
      <c r="G2720" s="1309" t="s">
        <v>100</v>
      </c>
      <c r="H2720" s="1309" t="str">
        <f>VLOOKUP(G2720,CATEGORIE!$H$3:$I$104,2,FALSE)</f>
        <v>COSTO SFIZI</v>
      </c>
      <c r="I2720" s="59">
        <v>54.9</v>
      </c>
      <c r="J2720" s="940"/>
      <c r="K2720" s="57" t="s">
        <v>99</v>
      </c>
      <c r="L2720" s="59"/>
    </row>
    <row r="2721" spans="1:15">
      <c r="A2721" s="57" t="s">
        <v>99</v>
      </c>
      <c r="B2721" s="57" t="s">
        <v>173</v>
      </c>
      <c r="C2721" s="57">
        <v>2019</v>
      </c>
      <c r="D2721" s="58">
        <f>MATCH(B2721,{"GENNAIO","FEBBRAIO","MARZO","APRILE","MAGGIO","GIUGNO","LUGLIO","AGOSTO","SETTEMBRE","OTTOBRE","NOVEMBRE","DICEMBRE"},0)</f>
        <v>12</v>
      </c>
      <c r="E2721" s="57" t="str">
        <f t="shared" ref="E2721:E2752" si="1774">CONCATENATE(,B2721," ",C2721)</f>
        <v>DICEMBRE 2019</v>
      </c>
      <c r="F2721" s="57" t="str">
        <f t="shared" si="1772"/>
        <v>12 DICEMBRE 2019</v>
      </c>
      <c r="G2721" s="1309" t="s">
        <v>100</v>
      </c>
      <c r="H2721" s="1309" t="str">
        <f>VLOOKUP(G2721,CATEGORIE!$H$3:$I$104,2,FALSE)</f>
        <v>COSTO SFIZI</v>
      </c>
      <c r="I2721" s="59">
        <v>35.950000000000003</v>
      </c>
      <c r="J2721" s="940"/>
      <c r="K2721" s="57" t="s">
        <v>99</v>
      </c>
      <c r="L2721" s="59"/>
    </row>
    <row r="2722" spans="1:15">
      <c r="A2722" s="57" t="s">
        <v>659</v>
      </c>
      <c r="B2722" s="57" t="s">
        <v>173</v>
      </c>
      <c r="C2722" s="57">
        <v>2019</v>
      </c>
      <c r="D2722" s="58">
        <f>MATCH(B2722,{"GENNAIO","FEBBRAIO","MARZO","APRILE","MAGGIO","GIUGNO","LUGLIO","AGOSTO","SETTEMBRE","OTTOBRE","NOVEMBRE","DICEMBRE"},0)</f>
        <v>12</v>
      </c>
      <c r="E2722" s="57" t="str">
        <f t="shared" si="1774"/>
        <v>DICEMBRE 2019</v>
      </c>
      <c r="F2722" s="57" t="str">
        <f t="shared" si="1772"/>
        <v>12 DICEMBRE 2019</v>
      </c>
      <c r="G2722" s="1309" t="s">
        <v>111</v>
      </c>
      <c r="H2722" s="1309" t="str">
        <f>VLOOKUP(G2722,CATEGORIE!$H$3:$I$104,2,FALSE)</f>
        <v>COSTO MOBILITA'</v>
      </c>
      <c r="I2722" s="59">
        <v>14.98</v>
      </c>
      <c r="J2722" s="940"/>
      <c r="K2722" s="59"/>
      <c r="L2722" s="59"/>
    </row>
    <row r="2723" spans="1:15">
      <c r="A2723" s="57" t="s">
        <v>156</v>
      </c>
      <c r="B2723" s="57" t="s">
        <v>173</v>
      </c>
      <c r="C2723" s="57">
        <v>2019</v>
      </c>
      <c r="D2723" s="58">
        <f>MATCH(B2723,{"GENNAIO","FEBBRAIO","MARZO","APRILE","MAGGIO","GIUGNO","LUGLIO","AGOSTO","SETTEMBRE","OTTOBRE","NOVEMBRE","DICEMBRE"},0)</f>
        <v>12</v>
      </c>
      <c r="E2723" s="57" t="str">
        <f t="shared" si="1774"/>
        <v>DICEMBRE 2019</v>
      </c>
      <c r="F2723" s="57" t="str">
        <f t="shared" si="1772"/>
        <v>12 DICEMBRE 2019</v>
      </c>
      <c r="G2723" s="1309" t="s">
        <v>96</v>
      </c>
      <c r="H2723" s="1309" t="str">
        <f>VLOOKUP(G2723,CATEGORIE!$H$3:$I$104,2,FALSE)</f>
        <v>COSTO SOPRAVVIVENZA</v>
      </c>
      <c r="I2723" s="59">
        <v>54.61</v>
      </c>
      <c r="J2723" s="940"/>
      <c r="K2723" s="59"/>
      <c r="L2723" s="59"/>
    </row>
    <row r="2724" spans="1:15">
      <c r="A2724" s="57" t="s">
        <v>660</v>
      </c>
      <c r="B2724" s="57" t="s">
        <v>173</v>
      </c>
      <c r="C2724" s="57">
        <v>2019</v>
      </c>
      <c r="D2724" s="58">
        <f>MATCH(B2724,{"GENNAIO","FEBBRAIO","MARZO","APRILE","MAGGIO","GIUGNO","LUGLIO","AGOSTO","SETTEMBRE","OTTOBRE","NOVEMBRE","DICEMBRE"},0)</f>
        <v>12</v>
      </c>
      <c r="E2724" s="57" t="str">
        <f t="shared" si="1774"/>
        <v>DICEMBRE 2019</v>
      </c>
      <c r="F2724" s="57" t="str">
        <f t="shared" si="1772"/>
        <v>12 DICEMBRE 2019</v>
      </c>
      <c r="G2724" s="1309" t="s">
        <v>1250</v>
      </c>
      <c r="H2724" s="1309" t="str">
        <f>VLOOKUP(G2724,CATEGORIE!$H$3:$I$104,2,FALSE)</f>
        <v>COSTO VACANZE</v>
      </c>
      <c r="I2724" s="59">
        <v>343.29</v>
      </c>
      <c r="J2724" s="940"/>
      <c r="K2724" s="59"/>
      <c r="L2724" s="59"/>
    </row>
    <row r="2725" spans="1:15">
      <c r="A2725" s="57" t="s">
        <v>156</v>
      </c>
      <c r="B2725" s="57" t="s">
        <v>173</v>
      </c>
      <c r="C2725" s="57">
        <v>2019</v>
      </c>
      <c r="D2725" s="58">
        <f>MATCH(B2725,{"GENNAIO","FEBBRAIO","MARZO","APRILE","MAGGIO","GIUGNO","LUGLIO","AGOSTO","SETTEMBRE","OTTOBRE","NOVEMBRE","DICEMBRE"},0)</f>
        <v>12</v>
      </c>
      <c r="E2725" s="57" t="str">
        <f t="shared" si="1774"/>
        <v>DICEMBRE 2019</v>
      </c>
      <c r="F2725" s="57" t="str">
        <f t="shared" si="1772"/>
        <v>12 DICEMBRE 2019</v>
      </c>
      <c r="G2725" s="1309" t="s">
        <v>96</v>
      </c>
      <c r="H2725" s="1309" t="str">
        <f>VLOOKUP(G2725,CATEGORIE!$H$3:$I$104,2,FALSE)</f>
        <v>COSTO SOPRAVVIVENZA</v>
      </c>
      <c r="I2725" s="59">
        <v>30.59</v>
      </c>
      <c r="J2725" s="940"/>
      <c r="K2725" s="59"/>
      <c r="L2725" s="59"/>
    </row>
    <row r="2726" spans="1:15">
      <c r="A2726" s="57" t="s">
        <v>156</v>
      </c>
      <c r="B2726" s="57" t="s">
        <v>173</v>
      </c>
      <c r="C2726" s="57">
        <v>2019</v>
      </c>
      <c r="D2726" s="58">
        <f>MATCH(B2726,{"GENNAIO","FEBBRAIO","MARZO","APRILE","MAGGIO","GIUGNO","LUGLIO","AGOSTO","SETTEMBRE","OTTOBRE","NOVEMBRE","DICEMBRE"},0)</f>
        <v>12</v>
      </c>
      <c r="E2726" s="57" t="str">
        <f t="shared" si="1774"/>
        <v>DICEMBRE 2019</v>
      </c>
      <c r="F2726" s="57" t="str">
        <f t="shared" si="1772"/>
        <v>12 DICEMBRE 2019</v>
      </c>
      <c r="G2726" s="1309" t="s">
        <v>96</v>
      </c>
      <c r="H2726" s="1309" t="str">
        <f>VLOOKUP(G2726,CATEGORIE!$H$3:$I$104,2,FALSE)</f>
        <v>COSTO SOPRAVVIVENZA</v>
      </c>
      <c r="I2726" s="59">
        <v>25.39</v>
      </c>
      <c r="J2726" s="940"/>
      <c r="K2726" s="59"/>
      <c r="L2726" s="59"/>
    </row>
    <row r="2727" spans="1:15">
      <c r="A2727" s="57" t="s">
        <v>131</v>
      </c>
      <c r="B2727" s="57" t="s">
        <v>173</v>
      </c>
      <c r="C2727" s="57">
        <v>2019</v>
      </c>
      <c r="D2727" s="58">
        <f>MATCH(B2727,{"GENNAIO","FEBBRAIO","MARZO","APRILE","MAGGIO","GIUGNO","LUGLIO","AGOSTO","SETTEMBRE","OTTOBRE","NOVEMBRE","DICEMBRE"},0)</f>
        <v>12</v>
      </c>
      <c r="E2727" s="57" t="str">
        <f t="shared" si="1774"/>
        <v>DICEMBRE 2019</v>
      </c>
      <c r="F2727" s="57" t="str">
        <f t="shared" si="1772"/>
        <v>12 DICEMBRE 2019</v>
      </c>
      <c r="G2727" s="1309" t="s">
        <v>132</v>
      </c>
      <c r="H2727" s="1309" t="str">
        <f>VLOOKUP(G2727,CATEGORIE!$H$3:$I$104,2,FALSE)</f>
        <v>COSTO CASA</v>
      </c>
      <c r="I2727" s="59">
        <v>18.399999999999999</v>
      </c>
      <c r="J2727" s="940"/>
      <c r="K2727" s="59"/>
      <c r="L2727" s="59"/>
    </row>
    <row r="2728" spans="1:15">
      <c r="A2728" s="57" t="s">
        <v>99</v>
      </c>
      <c r="B2728" s="57" t="s">
        <v>173</v>
      </c>
      <c r="C2728" s="57">
        <v>2019</v>
      </c>
      <c r="D2728" s="58">
        <f>MATCH(B2728,{"GENNAIO","FEBBRAIO","MARZO","APRILE","MAGGIO","GIUGNO","LUGLIO","AGOSTO","SETTEMBRE","OTTOBRE","NOVEMBRE","DICEMBRE"},0)</f>
        <v>12</v>
      </c>
      <c r="E2728" s="57" t="str">
        <f t="shared" si="1774"/>
        <v>DICEMBRE 2019</v>
      </c>
      <c r="F2728" s="57" t="str">
        <f t="shared" si="1772"/>
        <v>12 DICEMBRE 2019</v>
      </c>
      <c r="G2728" s="1309" t="s">
        <v>100</v>
      </c>
      <c r="H2728" s="1309" t="str">
        <f>VLOOKUP(G2728,CATEGORIE!$H$3:$I$104,2,FALSE)</f>
        <v>COSTO SFIZI</v>
      </c>
      <c r="I2728" s="59">
        <v>69.989999999999995</v>
      </c>
      <c r="J2728" s="940"/>
      <c r="K2728" s="57" t="s">
        <v>99</v>
      </c>
      <c r="L2728" s="59"/>
    </row>
    <row r="2729" spans="1:15">
      <c r="A2729" s="57" t="s">
        <v>661</v>
      </c>
      <c r="B2729" s="57" t="s">
        <v>173</v>
      </c>
      <c r="C2729" s="57">
        <v>2019</v>
      </c>
      <c r="D2729" s="58">
        <f>MATCH(B2729,{"GENNAIO","FEBBRAIO","MARZO","APRILE","MAGGIO","GIUGNO","LUGLIO","AGOSTO","SETTEMBRE","OTTOBRE","NOVEMBRE","DICEMBRE"},0)</f>
        <v>12</v>
      </c>
      <c r="E2729" s="57" t="str">
        <f t="shared" si="1774"/>
        <v>DICEMBRE 2019</v>
      </c>
      <c r="F2729" s="57" t="str">
        <f t="shared" si="1772"/>
        <v>12 DICEMBRE 2019</v>
      </c>
      <c r="G2729" s="1309" t="s">
        <v>107</v>
      </c>
      <c r="H2729" s="1309" t="str">
        <f>VLOOKUP(G2729,CATEGORIE!$H$3:$I$104,2,FALSE)</f>
        <v>COSTO SOPRAVVIVENZA</v>
      </c>
      <c r="I2729" s="59">
        <v>55</v>
      </c>
      <c r="J2729" s="940"/>
      <c r="K2729" s="59"/>
      <c r="L2729" s="59"/>
    </row>
    <row r="2730" spans="1:15">
      <c r="A2730" s="57" t="s">
        <v>99</v>
      </c>
      <c r="B2730" s="57" t="s">
        <v>173</v>
      </c>
      <c r="C2730" s="57">
        <v>2019</v>
      </c>
      <c r="D2730" s="58">
        <f>MATCH(B2730,{"GENNAIO","FEBBRAIO","MARZO","APRILE","MAGGIO","GIUGNO","LUGLIO","AGOSTO","SETTEMBRE","OTTOBRE","NOVEMBRE","DICEMBRE"},0)</f>
        <v>12</v>
      </c>
      <c r="E2730" s="57" t="str">
        <f t="shared" si="1774"/>
        <v>DICEMBRE 2019</v>
      </c>
      <c r="F2730" s="57" t="str">
        <f t="shared" si="1772"/>
        <v>12 DICEMBRE 2019</v>
      </c>
      <c r="G2730" s="1309" t="s">
        <v>100</v>
      </c>
      <c r="H2730" s="1309" t="str">
        <f>VLOOKUP(G2730,CATEGORIE!$H$3:$I$104,2,FALSE)</f>
        <v>COSTO SFIZI</v>
      </c>
      <c r="I2730" s="59">
        <v>239</v>
      </c>
      <c r="J2730" s="940"/>
      <c r="K2730" s="57" t="s">
        <v>99</v>
      </c>
      <c r="L2730" s="59"/>
    </row>
    <row r="2731" spans="1:15">
      <c r="A2731" s="57" t="s">
        <v>156</v>
      </c>
      <c r="B2731" s="57" t="s">
        <v>200</v>
      </c>
      <c r="C2731" s="57">
        <v>2019</v>
      </c>
      <c r="D2731" s="58">
        <f>MATCH(B2731,{"GENNAIO","FEBBRAIO","MARZO","APRILE","MAGGIO","GIUGNO","LUGLIO","AGOSTO","SETTEMBRE","OTTOBRE","NOVEMBRE","DICEMBRE"},0)</f>
        <v>11</v>
      </c>
      <c r="E2731" s="57" t="str">
        <f t="shared" si="1774"/>
        <v>NOVEMBRE 2019</v>
      </c>
      <c r="F2731" s="57" t="str">
        <f t="shared" si="1772"/>
        <v>11 NOVEMBRE 2019</v>
      </c>
      <c r="G2731" s="1309" t="s">
        <v>96</v>
      </c>
      <c r="H2731" s="1309" t="str">
        <f>VLOOKUP(G2731,CATEGORIE!$H$3:$I$104,2,FALSE)</f>
        <v>COSTO SOPRAVVIVENZA</v>
      </c>
      <c r="I2731" s="59">
        <v>41.77</v>
      </c>
      <c r="J2731" s="940"/>
      <c r="K2731" s="59"/>
      <c r="L2731" s="59"/>
      <c r="M2731"/>
      <c r="N2731"/>
      <c r="O2731"/>
    </row>
    <row r="2732" spans="1:15">
      <c r="A2732" s="57" t="s">
        <v>662</v>
      </c>
      <c r="B2732" s="57" t="s">
        <v>200</v>
      </c>
      <c r="C2732" s="57">
        <v>2019</v>
      </c>
      <c r="D2732" s="58">
        <f>MATCH(B2732,{"GENNAIO","FEBBRAIO","MARZO","APRILE","MAGGIO","GIUGNO","LUGLIO","AGOSTO","SETTEMBRE","OTTOBRE","NOVEMBRE","DICEMBRE"},0)</f>
        <v>11</v>
      </c>
      <c r="E2732" s="57" t="str">
        <f t="shared" si="1774"/>
        <v>NOVEMBRE 2019</v>
      </c>
      <c r="F2732" s="57" t="str">
        <f t="shared" si="1772"/>
        <v>11 NOVEMBRE 2019</v>
      </c>
      <c r="G2732" s="1309" t="s">
        <v>94</v>
      </c>
      <c r="H2732" s="1309" t="str">
        <f>VLOOKUP(G2732,CATEGORIE!$H$3:$I$104,2,FALSE)</f>
        <v>COSTO SVAGHI</v>
      </c>
      <c r="I2732" s="59">
        <v>9.5</v>
      </c>
      <c r="J2732" s="940"/>
      <c r="K2732" s="59"/>
      <c r="L2732" s="59"/>
      <c r="M2732"/>
      <c r="N2732"/>
      <c r="O2732"/>
    </row>
    <row r="2733" spans="1:15">
      <c r="A2733" s="57" t="s">
        <v>662</v>
      </c>
      <c r="B2733" s="57" t="s">
        <v>200</v>
      </c>
      <c r="C2733" s="57">
        <v>2019</v>
      </c>
      <c r="D2733" s="58">
        <f>MATCH(B2733,{"GENNAIO","FEBBRAIO","MARZO","APRILE","MAGGIO","GIUGNO","LUGLIO","AGOSTO","SETTEMBRE","OTTOBRE","NOVEMBRE","DICEMBRE"},0)</f>
        <v>11</v>
      </c>
      <c r="E2733" s="57" t="str">
        <f t="shared" si="1774"/>
        <v>NOVEMBRE 2019</v>
      </c>
      <c r="F2733" s="57" t="str">
        <f t="shared" si="1772"/>
        <v>11 NOVEMBRE 2019</v>
      </c>
      <c r="G2733" s="1309" t="s">
        <v>94</v>
      </c>
      <c r="H2733" s="1309" t="str">
        <f>VLOOKUP(G2733,CATEGORIE!$H$3:$I$104,2,FALSE)</f>
        <v>COSTO SVAGHI</v>
      </c>
      <c r="I2733" s="59">
        <v>21.47</v>
      </c>
      <c r="J2733" s="940"/>
      <c r="K2733" s="59"/>
      <c r="L2733" s="59"/>
      <c r="M2733"/>
      <c r="N2733"/>
      <c r="O2733"/>
    </row>
    <row r="2734" spans="1:15">
      <c r="A2734" s="57" t="s">
        <v>663</v>
      </c>
      <c r="B2734" s="57" t="s">
        <v>200</v>
      </c>
      <c r="C2734" s="57">
        <v>2019</v>
      </c>
      <c r="D2734" s="58">
        <f>MATCH(B2734,{"GENNAIO","FEBBRAIO","MARZO","APRILE","MAGGIO","GIUGNO","LUGLIO","AGOSTO","SETTEMBRE","OTTOBRE","NOVEMBRE","DICEMBRE"},0)</f>
        <v>11</v>
      </c>
      <c r="E2734" s="57" t="str">
        <f t="shared" si="1774"/>
        <v>NOVEMBRE 2019</v>
      </c>
      <c r="F2734" s="57" t="str">
        <f t="shared" si="1772"/>
        <v>11 NOVEMBRE 2019</v>
      </c>
      <c r="G2734" s="1309" t="s">
        <v>188</v>
      </c>
      <c r="H2734" s="1309" t="str">
        <f>VLOOKUP(G2734,CATEGORIE!$H$3:$I$104,2,FALSE)</f>
        <v>COSTO VACANZE</v>
      </c>
      <c r="I2734" s="59">
        <v>133.25</v>
      </c>
      <c r="J2734" s="940"/>
      <c r="K2734" s="59"/>
      <c r="L2734" s="59"/>
      <c r="M2734"/>
      <c r="N2734"/>
      <c r="O2734"/>
    </row>
    <row r="2735" spans="1:15">
      <c r="A2735" s="57" t="s">
        <v>662</v>
      </c>
      <c r="B2735" s="57" t="s">
        <v>200</v>
      </c>
      <c r="C2735" s="57">
        <v>2019</v>
      </c>
      <c r="D2735" s="58">
        <f>MATCH(B2735,{"GENNAIO","FEBBRAIO","MARZO","APRILE","MAGGIO","GIUGNO","LUGLIO","AGOSTO","SETTEMBRE","OTTOBRE","NOVEMBRE","DICEMBRE"},0)</f>
        <v>11</v>
      </c>
      <c r="E2735" s="57" t="str">
        <f t="shared" si="1774"/>
        <v>NOVEMBRE 2019</v>
      </c>
      <c r="F2735" s="57" t="str">
        <f t="shared" si="1772"/>
        <v>11 NOVEMBRE 2019</v>
      </c>
      <c r="G2735" s="1309" t="s">
        <v>94</v>
      </c>
      <c r="H2735" s="1309" t="str">
        <f>VLOOKUP(G2735,CATEGORIE!$H$3:$I$104,2,FALSE)</f>
        <v>COSTO SVAGHI</v>
      </c>
      <c r="I2735" s="59">
        <v>16.5</v>
      </c>
      <c r="J2735" s="940"/>
      <c r="K2735" s="59"/>
      <c r="L2735" s="59"/>
      <c r="M2735"/>
      <c r="N2735"/>
      <c r="O2735"/>
    </row>
    <row r="2736" spans="1:15">
      <c r="A2736" s="57" t="s">
        <v>397</v>
      </c>
      <c r="B2736" s="57" t="s">
        <v>200</v>
      </c>
      <c r="C2736" s="57">
        <v>2019</v>
      </c>
      <c r="D2736" s="58">
        <f>MATCH(B2736,{"GENNAIO","FEBBRAIO","MARZO","APRILE","MAGGIO","GIUGNO","LUGLIO","AGOSTO","SETTEMBRE","OTTOBRE","NOVEMBRE","DICEMBRE"},0)</f>
        <v>11</v>
      </c>
      <c r="E2736" s="57" t="str">
        <f t="shared" si="1774"/>
        <v>NOVEMBRE 2019</v>
      </c>
      <c r="F2736" s="57" t="str">
        <f t="shared" si="1772"/>
        <v>11 NOVEMBRE 2019</v>
      </c>
      <c r="G2736" s="1309" t="s">
        <v>111</v>
      </c>
      <c r="H2736" s="1309" t="str">
        <f>VLOOKUP(G2736,CATEGORIE!$H$3:$I$104,2,FALSE)</f>
        <v>COSTO MOBILITA'</v>
      </c>
      <c r="I2736" s="59">
        <v>30</v>
      </c>
      <c r="J2736" s="940"/>
      <c r="K2736" s="59"/>
      <c r="L2736" s="59"/>
      <c r="M2736"/>
      <c r="N2736"/>
      <c r="O2736"/>
    </row>
    <row r="2737" spans="1:15">
      <c r="A2737" s="57" t="s">
        <v>92</v>
      </c>
      <c r="B2737" s="57" t="s">
        <v>200</v>
      </c>
      <c r="C2737" s="57">
        <v>2019</v>
      </c>
      <c r="D2737" s="58">
        <f>MATCH(B2737,{"GENNAIO","FEBBRAIO","MARZO","APRILE","MAGGIO","GIUGNO","LUGLIO","AGOSTO","SETTEMBRE","OTTOBRE","NOVEMBRE","DICEMBRE"},0)</f>
        <v>11</v>
      </c>
      <c r="E2737" s="57" t="str">
        <f t="shared" si="1774"/>
        <v>NOVEMBRE 2019</v>
      </c>
      <c r="F2737" s="57" t="str">
        <f t="shared" si="1772"/>
        <v>11 NOVEMBRE 2019</v>
      </c>
      <c r="G2737" s="1309" t="s">
        <v>94</v>
      </c>
      <c r="H2737" s="1309" t="str">
        <f>VLOOKUP(G2737,CATEGORIE!$H$3:$I$104,2,FALSE)</f>
        <v>COSTO SVAGHI</v>
      </c>
      <c r="I2737" s="59">
        <v>12</v>
      </c>
      <c r="J2737" s="940"/>
      <c r="K2737" s="59"/>
      <c r="L2737" s="59"/>
      <c r="M2737"/>
      <c r="N2737"/>
      <c r="O2737"/>
    </row>
    <row r="2738" spans="1:15">
      <c r="A2738" s="57" t="s">
        <v>99</v>
      </c>
      <c r="B2738" s="57" t="s">
        <v>200</v>
      </c>
      <c r="C2738" s="57">
        <v>2019</v>
      </c>
      <c r="D2738" s="58">
        <f>MATCH(B2738,{"GENNAIO","FEBBRAIO","MARZO","APRILE","MAGGIO","GIUGNO","LUGLIO","AGOSTO","SETTEMBRE","OTTOBRE","NOVEMBRE","DICEMBRE"},0)</f>
        <v>11</v>
      </c>
      <c r="E2738" s="57" t="str">
        <f t="shared" si="1774"/>
        <v>NOVEMBRE 2019</v>
      </c>
      <c r="F2738" s="57" t="str">
        <f t="shared" si="1772"/>
        <v>11 NOVEMBRE 2019</v>
      </c>
      <c r="G2738" s="1309" t="s">
        <v>100</v>
      </c>
      <c r="H2738" s="1309" t="str">
        <f>VLOOKUP(G2738,CATEGORIE!$H$3:$I$104,2,FALSE)</f>
        <v>COSTO SFIZI</v>
      </c>
      <c r="I2738" s="59">
        <v>9.9</v>
      </c>
      <c r="J2738" s="940"/>
      <c r="K2738" s="57" t="s">
        <v>99</v>
      </c>
      <c r="L2738" s="59"/>
      <c r="M2738"/>
      <c r="N2738"/>
      <c r="O2738"/>
    </row>
    <row r="2739" spans="1:15">
      <c r="A2739" s="57" t="s">
        <v>156</v>
      </c>
      <c r="B2739" s="57" t="s">
        <v>200</v>
      </c>
      <c r="C2739" s="57">
        <v>2019</v>
      </c>
      <c r="D2739" s="58">
        <f>MATCH(B2739,{"GENNAIO","FEBBRAIO","MARZO","APRILE","MAGGIO","GIUGNO","LUGLIO","AGOSTO","SETTEMBRE","OTTOBRE","NOVEMBRE","DICEMBRE"},0)</f>
        <v>11</v>
      </c>
      <c r="E2739" s="57" t="str">
        <f t="shared" si="1774"/>
        <v>NOVEMBRE 2019</v>
      </c>
      <c r="F2739" s="57" t="str">
        <f t="shared" si="1772"/>
        <v>11 NOVEMBRE 2019</v>
      </c>
      <c r="G2739" s="1309" t="s">
        <v>96</v>
      </c>
      <c r="H2739" s="1309" t="str">
        <f>VLOOKUP(G2739,CATEGORIE!$H$3:$I$104,2,FALSE)</f>
        <v>COSTO SOPRAVVIVENZA</v>
      </c>
      <c r="I2739" s="59">
        <v>44.43</v>
      </c>
      <c r="J2739" s="940"/>
      <c r="K2739" s="59"/>
      <c r="L2739" s="59"/>
      <c r="M2739"/>
      <c r="N2739"/>
      <c r="O2739"/>
    </row>
    <row r="2740" spans="1:15">
      <c r="A2740" s="57" t="s">
        <v>226</v>
      </c>
      <c r="B2740" s="57" t="s">
        <v>200</v>
      </c>
      <c r="C2740" s="57">
        <v>2019</v>
      </c>
      <c r="D2740" s="58">
        <f>MATCH(B2740,{"GENNAIO","FEBBRAIO","MARZO","APRILE","MAGGIO","GIUGNO","LUGLIO","AGOSTO","SETTEMBRE","OTTOBRE","NOVEMBRE","DICEMBRE"},0)</f>
        <v>11</v>
      </c>
      <c r="E2740" s="57" t="str">
        <f t="shared" si="1774"/>
        <v>NOVEMBRE 2019</v>
      </c>
      <c r="F2740" s="57" t="str">
        <f t="shared" si="1772"/>
        <v>11 NOVEMBRE 2019</v>
      </c>
      <c r="G2740" s="1309" t="s">
        <v>132</v>
      </c>
      <c r="H2740" s="1309" t="str">
        <f>VLOOKUP(G2740,CATEGORIE!$H$3:$I$104,2,FALSE)</f>
        <v>COSTO CASA</v>
      </c>
      <c r="I2740" s="59">
        <v>69.989999999999995</v>
      </c>
      <c r="J2740" s="940"/>
      <c r="K2740" s="59"/>
      <c r="L2740" s="59"/>
      <c r="M2740"/>
      <c r="N2740"/>
      <c r="O2740"/>
    </row>
    <row r="2741" spans="1:15">
      <c r="A2741" s="57" t="s">
        <v>92</v>
      </c>
      <c r="B2741" s="57" t="s">
        <v>200</v>
      </c>
      <c r="C2741" s="57">
        <v>2019</v>
      </c>
      <c r="D2741" s="58">
        <f>MATCH(B2741,{"GENNAIO","FEBBRAIO","MARZO","APRILE","MAGGIO","GIUGNO","LUGLIO","AGOSTO","SETTEMBRE","OTTOBRE","NOVEMBRE","DICEMBRE"},0)</f>
        <v>11</v>
      </c>
      <c r="E2741" s="57" t="str">
        <f t="shared" si="1774"/>
        <v>NOVEMBRE 2019</v>
      </c>
      <c r="F2741" s="57" t="str">
        <f t="shared" si="1772"/>
        <v>11 NOVEMBRE 2019</v>
      </c>
      <c r="G2741" s="1309" t="s">
        <v>94</v>
      </c>
      <c r="H2741" s="1309" t="str">
        <f>VLOOKUP(G2741,CATEGORIE!$H$3:$I$104,2,FALSE)</f>
        <v>COSTO SVAGHI</v>
      </c>
      <c r="I2741" s="59">
        <v>12</v>
      </c>
      <c r="J2741" s="940"/>
      <c r="K2741" s="59"/>
      <c r="L2741" s="59"/>
      <c r="M2741"/>
      <c r="N2741"/>
      <c r="O2741"/>
    </row>
    <row r="2742" spans="1:15">
      <c r="A2742" s="57" t="s">
        <v>133</v>
      </c>
      <c r="B2742" s="57" t="s">
        <v>200</v>
      </c>
      <c r="C2742" s="57">
        <v>2019</v>
      </c>
      <c r="D2742" s="58">
        <f>MATCH(B2742,{"GENNAIO","FEBBRAIO","MARZO","APRILE","MAGGIO","GIUGNO","LUGLIO","AGOSTO","SETTEMBRE","OTTOBRE","NOVEMBRE","DICEMBRE"},0)</f>
        <v>11</v>
      </c>
      <c r="E2742" s="57" t="str">
        <f t="shared" si="1774"/>
        <v>NOVEMBRE 2019</v>
      </c>
      <c r="F2742" s="57" t="str">
        <f t="shared" si="1772"/>
        <v>11 NOVEMBRE 2019</v>
      </c>
      <c r="G2742" s="1309" t="s">
        <v>108</v>
      </c>
      <c r="H2742" s="1309" t="str">
        <f>VLOOKUP(G2742,CATEGORIE!$H$3:$I$104,2,FALSE)</f>
        <v>COSTO SFIZI</v>
      </c>
      <c r="I2742" s="59">
        <v>14.5</v>
      </c>
      <c r="J2742" s="940"/>
      <c r="K2742" s="59"/>
      <c r="L2742" s="59"/>
      <c r="M2742"/>
      <c r="N2742"/>
      <c r="O2742"/>
    </row>
    <row r="2743" spans="1:15">
      <c r="A2743" s="57" t="s">
        <v>131</v>
      </c>
      <c r="B2743" s="57" t="s">
        <v>217</v>
      </c>
      <c r="C2743" s="57">
        <v>2019</v>
      </c>
      <c r="D2743" s="58">
        <f>MATCH(B2743,{"GENNAIO","FEBBRAIO","MARZO","APRILE","MAGGIO","GIUGNO","LUGLIO","AGOSTO","SETTEMBRE","OTTOBRE","NOVEMBRE","DICEMBRE"},0)</f>
        <v>10</v>
      </c>
      <c r="E2743" s="57" t="str">
        <f t="shared" si="1774"/>
        <v>OTTOBRE 2019</v>
      </c>
      <c r="F2743" s="57" t="str">
        <f t="shared" si="1772"/>
        <v>10 OTTOBRE 2019</v>
      </c>
      <c r="G2743" s="1309" t="s">
        <v>132</v>
      </c>
      <c r="H2743" s="1309" t="str">
        <f>VLOOKUP(G2743,CATEGORIE!$H$3:$I$104,2,FALSE)</f>
        <v>COSTO CASA</v>
      </c>
      <c r="I2743" s="60">
        <v>56.95</v>
      </c>
      <c r="J2743" s="940"/>
      <c r="K2743" s="59"/>
      <c r="L2743" s="59"/>
      <c r="M2743"/>
      <c r="N2743"/>
      <c r="O2743"/>
    </row>
    <row r="2744" spans="1:15">
      <c r="A2744" s="57" t="s">
        <v>156</v>
      </c>
      <c r="B2744" s="57" t="s">
        <v>217</v>
      </c>
      <c r="C2744" s="57">
        <v>2019</v>
      </c>
      <c r="D2744" s="58">
        <f>MATCH(B2744,{"GENNAIO","FEBBRAIO","MARZO","APRILE","MAGGIO","GIUGNO","LUGLIO","AGOSTO","SETTEMBRE","OTTOBRE","NOVEMBRE","DICEMBRE"},0)</f>
        <v>10</v>
      </c>
      <c r="E2744" s="57" t="str">
        <f t="shared" si="1774"/>
        <v>OTTOBRE 2019</v>
      </c>
      <c r="F2744" s="57" t="str">
        <f t="shared" si="1772"/>
        <v>10 OTTOBRE 2019</v>
      </c>
      <c r="G2744" s="1309" t="s">
        <v>96</v>
      </c>
      <c r="H2744" s="1309" t="str">
        <f>VLOOKUP(G2744,CATEGORIE!$H$3:$I$104,2,FALSE)</f>
        <v>COSTO SOPRAVVIVENZA</v>
      </c>
      <c r="I2744" s="59">
        <v>22.52</v>
      </c>
      <c r="J2744" s="940"/>
      <c r="K2744" s="59"/>
      <c r="L2744" s="59"/>
      <c r="M2744"/>
      <c r="N2744"/>
      <c r="O2744"/>
    </row>
    <row r="2745" spans="1:15">
      <c r="A2745" s="57" t="s">
        <v>131</v>
      </c>
      <c r="B2745" s="57" t="s">
        <v>217</v>
      </c>
      <c r="C2745" s="57">
        <v>2019</v>
      </c>
      <c r="D2745" s="58">
        <f>MATCH(B2745,{"GENNAIO","FEBBRAIO","MARZO","APRILE","MAGGIO","GIUGNO","LUGLIO","AGOSTO","SETTEMBRE","OTTOBRE","NOVEMBRE","DICEMBRE"},0)</f>
        <v>10</v>
      </c>
      <c r="E2745" s="57" t="str">
        <f t="shared" si="1774"/>
        <v>OTTOBRE 2019</v>
      </c>
      <c r="F2745" s="57" t="str">
        <f t="shared" ref="F2745:F2795" si="1775">CONCATENATE(D2745," ",E2745)</f>
        <v>10 OTTOBRE 2019</v>
      </c>
      <c r="G2745" s="1309" t="s">
        <v>132</v>
      </c>
      <c r="H2745" s="1309" t="str">
        <f>VLOOKUP(G2745,CATEGORIE!$H$3:$I$104,2,FALSE)</f>
        <v>COSTO CASA</v>
      </c>
      <c r="I2745" s="59">
        <v>15.95</v>
      </c>
      <c r="J2745" s="940"/>
      <c r="K2745" s="59"/>
      <c r="L2745" s="59"/>
      <c r="M2745"/>
      <c r="N2745"/>
      <c r="O2745"/>
    </row>
    <row r="2746" spans="1:15">
      <c r="A2746" s="57" t="s">
        <v>156</v>
      </c>
      <c r="B2746" s="57" t="s">
        <v>217</v>
      </c>
      <c r="C2746" s="57">
        <v>2019</v>
      </c>
      <c r="D2746" s="58">
        <f>MATCH(B2746,{"GENNAIO","FEBBRAIO","MARZO","APRILE","MAGGIO","GIUGNO","LUGLIO","AGOSTO","SETTEMBRE","OTTOBRE","NOVEMBRE","DICEMBRE"},0)</f>
        <v>10</v>
      </c>
      <c r="E2746" s="57" t="str">
        <f t="shared" si="1774"/>
        <v>OTTOBRE 2019</v>
      </c>
      <c r="F2746" s="57" t="str">
        <f t="shared" si="1775"/>
        <v>10 OTTOBRE 2019</v>
      </c>
      <c r="G2746" s="1309" t="s">
        <v>96</v>
      </c>
      <c r="H2746" s="1309" t="str">
        <f>VLOOKUP(G2746,CATEGORIE!$H$3:$I$104,2,FALSE)</f>
        <v>COSTO SOPRAVVIVENZA</v>
      </c>
      <c r="I2746" s="59">
        <v>20.3</v>
      </c>
      <c r="J2746" s="940"/>
      <c r="K2746" s="59"/>
      <c r="L2746" s="59"/>
      <c r="M2746"/>
      <c r="N2746"/>
      <c r="O2746"/>
    </row>
    <row r="2747" spans="1:15">
      <c r="A2747" s="57" t="s">
        <v>251</v>
      </c>
      <c r="B2747" s="57" t="s">
        <v>217</v>
      </c>
      <c r="C2747" s="57">
        <v>2019</v>
      </c>
      <c r="D2747" s="58">
        <f>MATCH(B2747,{"GENNAIO","FEBBRAIO","MARZO","APRILE","MAGGIO","GIUGNO","LUGLIO","AGOSTO","SETTEMBRE","OTTOBRE","NOVEMBRE","DICEMBRE"},0)</f>
        <v>10</v>
      </c>
      <c r="E2747" s="57" t="str">
        <f t="shared" si="1774"/>
        <v>OTTOBRE 2019</v>
      </c>
      <c r="F2747" s="57" t="str">
        <f t="shared" si="1775"/>
        <v>10 OTTOBRE 2019</v>
      </c>
      <c r="G2747" s="1309" t="s">
        <v>108</v>
      </c>
      <c r="H2747" s="1309" t="str">
        <f>VLOOKUP(G2747,CATEGORIE!$H$3:$I$104,2,FALSE)</f>
        <v>COSTO SFIZI</v>
      </c>
      <c r="I2747" s="59">
        <v>36.39</v>
      </c>
      <c r="J2747" s="940"/>
      <c r="K2747" s="59"/>
      <c r="L2747" s="59"/>
      <c r="M2747"/>
      <c r="N2747"/>
      <c r="O2747"/>
    </row>
    <row r="2748" spans="1:15">
      <c r="A2748" s="57" t="s">
        <v>397</v>
      </c>
      <c r="B2748" s="57" t="s">
        <v>217</v>
      </c>
      <c r="C2748" s="57">
        <v>2019</v>
      </c>
      <c r="D2748" s="58">
        <f>MATCH(B2748,{"GENNAIO","FEBBRAIO","MARZO","APRILE","MAGGIO","GIUGNO","LUGLIO","AGOSTO","SETTEMBRE","OTTOBRE","NOVEMBRE","DICEMBRE"},0)</f>
        <v>10</v>
      </c>
      <c r="E2748" s="57" t="str">
        <f t="shared" si="1774"/>
        <v>OTTOBRE 2019</v>
      </c>
      <c r="F2748" s="57" t="str">
        <f t="shared" si="1775"/>
        <v>10 OTTOBRE 2019</v>
      </c>
      <c r="G2748" s="1309" t="s">
        <v>111</v>
      </c>
      <c r="H2748" s="1309" t="str">
        <f>VLOOKUP(G2748,CATEGORIE!$H$3:$I$104,2,FALSE)</f>
        <v>COSTO MOBILITA'</v>
      </c>
      <c r="I2748" s="60">
        <v>10</v>
      </c>
      <c r="J2748" s="940"/>
      <c r="K2748" s="59"/>
      <c r="L2748" s="59"/>
      <c r="M2748"/>
      <c r="N2748"/>
      <c r="O2748"/>
    </row>
    <row r="2749" spans="1:15">
      <c r="A2749" s="57" t="s">
        <v>99</v>
      </c>
      <c r="B2749" s="57" t="s">
        <v>217</v>
      </c>
      <c r="C2749" s="57">
        <v>2019</v>
      </c>
      <c r="D2749" s="58">
        <f>MATCH(B2749,{"GENNAIO","FEBBRAIO","MARZO","APRILE","MAGGIO","GIUGNO","LUGLIO","AGOSTO","SETTEMBRE","OTTOBRE","NOVEMBRE","DICEMBRE"},0)</f>
        <v>10</v>
      </c>
      <c r="E2749" s="57" t="str">
        <f t="shared" si="1774"/>
        <v>OTTOBRE 2019</v>
      </c>
      <c r="F2749" s="57" t="str">
        <f t="shared" si="1775"/>
        <v>10 OTTOBRE 2019</v>
      </c>
      <c r="G2749" s="1309" t="s">
        <v>100</v>
      </c>
      <c r="H2749" s="1309" t="str">
        <f>VLOOKUP(G2749,CATEGORIE!$H$3:$I$104,2,FALSE)</f>
        <v>COSTO SFIZI</v>
      </c>
      <c r="I2749" s="60">
        <v>114.95</v>
      </c>
      <c r="J2749" s="940"/>
      <c r="K2749" s="57" t="s">
        <v>99</v>
      </c>
      <c r="L2749" s="59"/>
      <c r="M2749"/>
      <c r="N2749"/>
      <c r="O2749"/>
    </row>
    <row r="2750" spans="1:15">
      <c r="A2750" s="57" t="s">
        <v>99</v>
      </c>
      <c r="B2750" s="57" t="s">
        <v>240</v>
      </c>
      <c r="C2750" s="57">
        <v>2019</v>
      </c>
      <c r="D2750" s="58">
        <f>MATCH(B2750,{"GENNAIO","FEBBRAIO","MARZO","APRILE","MAGGIO","GIUGNO","LUGLIO","AGOSTO","SETTEMBRE","OTTOBRE","NOVEMBRE","DICEMBRE"},0)</f>
        <v>9</v>
      </c>
      <c r="E2750" s="57" t="str">
        <f t="shared" si="1774"/>
        <v>SETTEMBRE 2019</v>
      </c>
      <c r="F2750" s="57" t="str">
        <f t="shared" si="1775"/>
        <v>9 SETTEMBRE 2019</v>
      </c>
      <c r="G2750" s="1309" t="s">
        <v>100</v>
      </c>
      <c r="H2750" s="1309" t="str">
        <f>VLOOKUP(G2750,CATEGORIE!$H$3:$I$104,2,FALSE)</f>
        <v>COSTO SFIZI</v>
      </c>
      <c r="I2750" s="60">
        <v>17.899999999999999</v>
      </c>
      <c r="J2750" s="940"/>
      <c r="K2750" s="57" t="s">
        <v>99</v>
      </c>
      <c r="L2750" s="59"/>
      <c r="M2750"/>
      <c r="N2750"/>
      <c r="O2750"/>
    </row>
    <row r="2751" spans="1:15">
      <c r="A2751" s="57" t="s">
        <v>99</v>
      </c>
      <c r="B2751" s="57" t="s">
        <v>240</v>
      </c>
      <c r="C2751" s="57">
        <v>2019</v>
      </c>
      <c r="D2751" s="58">
        <f>MATCH(B2751,{"GENNAIO","FEBBRAIO","MARZO","APRILE","MAGGIO","GIUGNO","LUGLIO","AGOSTO","SETTEMBRE","OTTOBRE","NOVEMBRE","DICEMBRE"},0)</f>
        <v>9</v>
      </c>
      <c r="E2751" s="57" t="str">
        <f t="shared" si="1774"/>
        <v>SETTEMBRE 2019</v>
      </c>
      <c r="F2751" s="57" t="str">
        <f t="shared" si="1775"/>
        <v>9 SETTEMBRE 2019</v>
      </c>
      <c r="G2751" s="1309" t="s">
        <v>100</v>
      </c>
      <c r="H2751" s="1309" t="str">
        <f>VLOOKUP(G2751,CATEGORIE!$H$3:$I$104,2,FALSE)</f>
        <v>COSTO SFIZI</v>
      </c>
      <c r="I2751" s="60">
        <v>25.67</v>
      </c>
      <c r="J2751" s="940"/>
      <c r="K2751" s="57" t="s">
        <v>99</v>
      </c>
      <c r="L2751" s="59"/>
      <c r="M2751"/>
      <c r="N2751"/>
      <c r="O2751"/>
    </row>
    <row r="2752" spans="1:15">
      <c r="A2752" s="57" t="s">
        <v>156</v>
      </c>
      <c r="B2752" s="57" t="s">
        <v>240</v>
      </c>
      <c r="C2752" s="57">
        <v>2019</v>
      </c>
      <c r="D2752" s="58">
        <f>MATCH(B2752,{"GENNAIO","FEBBRAIO","MARZO","APRILE","MAGGIO","GIUGNO","LUGLIO","AGOSTO","SETTEMBRE","OTTOBRE","NOVEMBRE","DICEMBRE"},0)</f>
        <v>9</v>
      </c>
      <c r="E2752" s="57" t="str">
        <f t="shared" si="1774"/>
        <v>SETTEMBRE 2019</v>
      </c>
      <c r="F2752" s="57" t="str">
        <f t="shared" si="1775"/>
        <v>9 SETTEMBRE 2019</v>
      </c>
      <c r="G2752" s="1309" t="s">
        <v>96</v>
      </c>
      <c r="H2752" s="1309" t="str">
        <f>VLOOKUP(G2752,CATEGORIE!$H$3:$I$104,2,FALSE)</f>
        <v>COSTO SOPRAVVIVENZA</v>
      </c>
      <c r="I2752" s="60">
        <v>20.09</v>
      </c>
      <c r="J2752" s="940"/>
      <c r="K2752" s="59"/>
      <c r="L2752" s="59"/>
      <c r="M2752"/>
      <c r="N2752"/>
      <c r="O2752"/>
    </row>
    <row r="2753" spans="1:15">
      <c r="A2753" s="57" t="s">
        <v>131</v>
      </c>
      <c r="B2753" s="57" t="s">
        <v>240</v>
      </c>
      <c r="C2753" s="57">
        <v>2019</v>
      </c>
      <c r="D2753" s="58">
        <f>MATCH(B2753,{"GENNAIO","FEBBRAIO","MARZO","APRILE","MAGGIO","GIUGNO","LUGLIO","AGOSTO","SETTEMBRE","OTTOBRE","NOVEMBRE","DICEMBRE"},0)</f>
        <v>9</v>
      </c>
      <c r="E2753" s="57" t="str">
        <f t="shared" ref="E2753:E2784" si="1776">CONCATENATE(,B2753," ",C2753)</f>
        <v>SETTEMBRE 2019</v>
      </c>
      <c r="F2753" s="57" t="str">
        <f t="shared" si="1775"/>
        <v>9 SETTEMBRE 2019</v>
      </c>
      <c r="G2753" s="1309" t="s">
        <v>132</v>
      </c>
      <c r="H2753" s="1309" t="str">
        <f>VLOOKUP(G2753,CATEGORIE!$H$3:$I$104,2,FALSE)</f>
        <v>COSTO CASA</v>
      </c>
      <c r="I2753" s="60">
        <v>61.45</v>
      </c>
      <c r="J2753" s="940"/>
      <c r="K2753" s="59"/>
      <c r="L2753" s="59"/>
      <c r="M2753"/>
      <c r="N2753"/>
      <c r="O2753"/>
    </row>
    <row r="2754" spans="1:15">
      <c r="A2754" s="57" t="s">
        <v>214</v>
      </c>
      <c r="B2754" s="57" t="s">
        <v>240</v>
      </c>
      <c r="C2754" s="57">
        <v>2019</v>
      </c>
      <c r="D2754" s="58">
        <f>MATCH(B2754,{"GENNAIO","FEBBRAIO","MARZO","APRILE","MAGGIO","GIUGNO","LUGLIO","AGOSTO","SETTEMBRE","OTTOBRE","NOVEMBRE","DICEMBRE"},0)</f>
        <v>9</v>
      </c>
      <c r="E2754" s="57" t="str">
        <f t="shared" si="1776"/>
        <v>SETTEMBRE 2019</v>
      </c>
      <c r="F2754" s="57" t="str">
        <f t="shared" si="1775"/>
        <v>9 SETTEMBRE 2019</v>
      </c>
      <c r="G2754" s="1309" t="s">
        <v>100</v>
      </c>
      <c r="H2754" s="1309" t="str">
        <f>VLOOKUP(G2754,CATEGORIE!$H$3:$I$104,2,FALSE)</f>
        <v>COSTO SFIZI</v>
      </c>
      <c r="I2754" s="60">
        <v>159</v>
      </c>
      <c r="J2754" s="940"/>
      <c r="K2754" s="59"/>
      <c r="L2754" s="59"/>
      <c r="M2754"/>
      <c r="N2754"/>
      <c r="O2754"/>
    </row>
    <row r="2755" spans="1:15">
      <c r="A2755" s="57" t="s">
        <v>214</v>
      </c>
      <c r="B2755" s="57" t="s">
        <v>240</v>
      </c>
      <c r="C2755" s="57">
        <v>2019</v>
      </c>
      <c r="D2755" s="58">
        <f>MATCH(B2755,{"GENNAIO","FEBBRAIO","MARZO","APRILE","MAGGIO","GIUGNO","LUGLIO","AGOSTO","SETTEMBRE","OTTOBRE","NOVEMBRE","DICEMBRE"},0)</f>
        <v>9</v>
      </c>
      <c r="E2755" s="57" t="str">
        <f t="shared" si="1776"/>
        <v>SETTEMBRE 2019</v>
      </c>
      <c r="F2755" s="57" t="str">
        <f t="shared" si="1775"/>
        <v>9 SETTEMBRE 2019</v>
      </c>
      <c r="G2755" s="1309" t="s">
        <v>100</v>
      </c>
      <c r="H2755" s="1309" t="str">
        <f>VLOOKUP(G2755,CATEGORIE!$H$3:$I$104,2,FALSE)</f>
        <v>COSTO SFIZI</v>
      </c>
      <c r="I2755" s="60">
        <v>3.09</v>
      </c>
      <c r="J2755" s="940"/>
      <c r="K2755" s="59"/>
      <c r="L2755" s="59"/>
      <c r="M2755"/>
      <c r="N2755"/>
      <c r="O2755"/>
    </row>
    <row r="2756" spans="1:15">
      <c r="A2756" s="57" t="s">
        <v>214</v>
      </c>
      <c r="B2756" s="57" t="s">
        <v>240</v>
      </c>
      <c r="C2756" s="57">
        <v>2019</v>
      </c>
      <c r="D2756" s="58">
        <f>MATCH(B2756,{"GENNAIO","FEBBRAIO","MARZO","APRILE","MAGGIO","GIUGNO","LUGLIO","AGOSTO","SETTEMBRE","OTTOBRE","NOVEMBRE","DICEMBRE"},0)</f>
        <v>9</v>
      </c>
      <c r="E2756" s="57" t="str">
        <f t="shared" si="1776"/>
        <v>SETTEMBRE 2019</v>
      </c>
      <c r="F2756" s="57" t="str">
        <f t="shared" si="1775"/>
        <v>9 SETTEMBRE 2019</v>
      </c>
      <c r="G2756" s="1309" t="s">
        <v>242</v>
      </c>
      <c r="H2756" s="1309" t="str">
        <f>VLOOKUP(G2756,CATEGORIE!$H$3:$I$104,2,FALSE)</f>
        <v>COSTO ABBONAMENTI</v>
      </c>
      <c r="I2756" s="60">
        <v>8.49</v>
      </c>
      <c r="J2756" s="940"/>
      <c r="K2756" s="59"/>
      <c r="L2756" s="59"/>
      <c r="M2756"/>
      <c r="N2756"/>
      <c r="O2756"/>
    </row>
    <row r="2757" spans="1:15">
      <c r="A2757" s="57" t="s">
        <v>156</v>
      </c>
      <c r="B2757" s="57" t="s">
        <v>240</v>
      </c>
      <c r="C2757" s="57">
        <v>2019</v>
      </c>
      <c r="D2757" s="58">
        <f>MATCH(B2757,{"GENNAIO","FEBBRAIO","MARZO","APRILE","MAGGIO","GIUGNO","LUGLIO","AGOSTO","SETTEMBRE","OTTOBRE","NOVEMBRE","DICEMBRE"},0)</f>
        <v>9</v>
      </c>
      <c r="E2757" s="57" t="str">
        <f t="shared" si="1776"/>
        <v>SETTEMBRE 2019</v>
      </c>
      <c r="F2757" s="57" t="str">
        <f t="shared" si="1775"/>
        <v>9 SETTEMBRE 2019</v>
      </c>
      <c r="G2757" s="1309" t="s">
        <v>96</v>
      </c>
      <c r="H2757" s="1309" t="str">
        <f>VLOOKUP(G2757,CATEGORIE!$H$3:$I$104,2,FALSE)</f>
        <v>COSTO SOPRAVVIVENZA</v>
      </c>
      <c r="I2757" s="60">
        <v>47.73</v>
      </c>
      <c r="J2757" s="940"/>
      <c r="K2757" s="59"/>
      <c r="L2757" s="59"/>
      <c r="M2757"/>
      <c r="N2757"/>
      <c r="O2757"/>
    </row>
    <row r="2758" spans="1:15">
      <c r="A2758" s="57" t="s">
        <v>552</v>
      </c>
      <c r="B2758" s="57" t="s">
        <v>240</v>
      </c>
      <c r="C2758" s="57">
        <v>2019</v>
      </c>
      <c r="D2758" s="58">
        <f>MATCH(B2758,{"GENNAIO","FEBBRAIO","MARZO","APRILE","MAGGIO","GIUGNO","LUGLIO","AGOSTO","SETTEMBRE","OTTOBRE","NOVEMBRE","DICEMBRE"},0)</f>
        <v>9</v>
      </c>
      <c r="E2758" s="57" t="str">
        <f t="shared" si="1776"/>
        <v>SETTEMBRE 2019</v>
      </c>
      <c r="F2758" s="57" t="str">
        <f t="shared" si="1775"/>
        <v>9 SETTEMBRE 2019</v>
      </c>
      <c r="G2758" s="1309" t="s">
        <v>418</v>
      </c>
      <c r="H2758" s="1309" t="str">
        <f>VLOOKUP(G2758,CATEGORIE!$H$3:$I$104,2,FALSE)</f>
        <v>COSTO SOPRAVVIVENZA</v>
      </c>
      <c r="I2758" s="60">
        <v>32.4</v>
      </c>
      <c r="J2758" s="940"/>
      <c r="K2758" s="59"/>
      <c r="L2758" s="59"/>
    </row>
    <row r="2759" spans="1:15">
      <c r="A2759" s="57" t="s">
        <v>433</v>
      </c>
      <c r="B2759" s="57" t="s">
        <v>261</v>
      </c>
      <c r="C2759" s="57">
        <v>2019</v>
      </c>
      <c r="D2759" s="58">
        <f>MATCH(B2759,{"GENNAIO","FEBBRAIO","MARZO","APRILE","MAGGIO","GIUGNO","LUGLIO","AGOSTO","SETTEMBRE","OTTOBRE","NOVEMBRE","DICEMBRE"},0)</f>
        <v>8</v>
      </c>
      <c r="E2759" s="57" t="str">
        <f t="shared" si="1776"/>
        <v>AGOSTO 2019</v>
      </c>
      <c r="F2759" s="57" t="str">
        <f t="shared" si="1775"/>
        <v>8 AGOSTO 2019</v>
      </c>
      <c r="G2759" s="1309" t="s">
        <v>385</v>
      </c>
      <c r="H2759" s="1309" t="str">
        <f>VLOOKUP(G2759,CATEGORIE!$H$3:$I$104,2,FALSE)</f>
        <v>COSTO SFIZI</v>
      </c>
      <c r="I2759" s="60">
        <v>25.18</v>
      </c>
      <c r="J2759" s="940"/>
      <c r="K2759" s="59"/>
      <c r="L2759" s="59"/>
    </row>
    <row r="2760" spans="1:15">
      <c r="A2760" s="57" t="s">
        <v>397</v>
      </c>
      <c r="B2760" s="57" t="s">
        <v>261</v>
      </c>
      <c r="C2760" s="57">
        <v>2019</v>
      </c>
      <c r="D2760" s="58">
        <f>MATCH(B2760,{"GENNAIO","FEBBRAIO","MARZO","APRILE","MAGGIO","GIUGNO","LUGLIO","AGOSTO","SETTEMBRE","OTTOBRE","NOVEMBRE","DICEMBRE"},0)</f>
        <v>8</v>
      </c>
      <c r="E2760" s="57" t="str">
        <f t="shared" si="1776"/>
        <v>AGOSTO 2019</v>
      </c>
      <c r="F2760" s="57" t="str">
        <f t="shared" si="1775"/>
        <v>8 AGOSTO 2019</v>
      </c>
      <c r="G2760" s="1309" t="s">
        <v>111</v>
      </c>
      <c r="H2760" s="1309" t="str">
        <f>VLOOKUP(G2760,CATEGORIE!$H$3:$I$104,2,FALSE)</f>
        <v>COSTO MOBILITA'</v>
      </c>
      <c r="I2760" s="60">
        <v>4.5</v>
      </c>
      <c r="J2760" s="940"/>
      <c r="K2760" s="59"/>
      <c r="L2760" s="59"/>
    </row>
    <row r="2761" spans="1:15">
      <c r="A2761" s="57" t="s">
        <v>131</v>
      </c>
      <c r="B2761" s="57" t="s">
        <v>261</v>
      </c>
      <c r="C2761" s="57">
        <v>2019</v>
      </c>
      <c r="D2761" s="58">
        <f>MATCH(B2761,{"GENNAIO","FEBBRAIO","MARZO","APRILE","MAGGIO","GIUGNO","LUGLIO","AGOSTO","SETTEMBRE","OTTOBRE","NOVEMBRE","DICEMBRE"},0)</f>
        <v>8</v>
      </c>
      <c r="E2761" s="57" t="str">
        <f t="shared" si="1776"/>
        <v>AGOSTO 2019</v>
      </c>
      <c r="F2761" s="57" t="str">
        <f t="shared" si="1775"/>
        <v>8 AGOSTO 2019</v>
      </c>
      <c r="G2761" s="1309" t="s">
        <v>132</v>
      </c>
      <c r="H2761" s="1309" t="str">
        <f>VLOOKUP(G2761,CATEGORIE!$H$3:$I$104,2,FALSE)</f>
        <v>COSTO CASA</v>
      </c>
      <c r="I2761" s="60">
        <v>22.55</v>
      </c>
      <c r="J2761" s="940"/>
      <c r="K2761" s="59"/>
      <c r="L2761" s="59"/>
    </row>
    <row r="2762" spans="1:15">
      <c r="A2762" s="57" t="s">
        <v>119</v>
      </c>
      <c r="B2762" s="57" t="s">
        <v>261</v>
      </c>
      <c r="C2762" s="57">
        <v>2019</v>
      </c>
      <c r="D2762" s="58">
        <f>MATCH(B2762,{"GENNAIO","FEBBRAIO","MARZO","APRILE","MAGGIO","GIUGNO","LUGLIO","AGOSTO","SETTEMBRE","OTTOBRE","NOVEMBRE","DICEMBRE"},0)</f>
        <v>8</v>
      </c>
      <c r="E2762" s="57" t="str">
        <f t="shared" si="1776"/>
        <v>AGOSTO 2019</v>
      </c>
      <c r="F2762" s="57" t="str">
        <f t="shared" si="1775"/>
        <v>8 AGOSTO 2019</v>
      </c>
      <c r="G2762" s="1309" t="s">
        <v>108</v>
      </c>
      <c r="H2762" s="1309" t="str">
        <f>VLOOKUP(G2762,CATEGORIE!$H$3:$I$104,2,FALSE)</f>
        <v>COSTO SFIZI</v>
      </c>
      <c r="I2762" s="60">
        <v>44.95</v>
      </c>
      <c r="J2762" s="940"/>
      <c r="K2762" s="59"/>
      <c r="L2762" s="59"/>
    </row>
    <row r="2763" spans="1:15">
      <c r="A2763" s="57" t="s">
        <v>664</v>
      </c>
      <c r="B2763" s="57" t="s">
        <v>261</v>
      </c>
      <c r="C2763" s="57">
        <v>2019</v>
      </c>
      <c r="D2763" s="58">
        <f>MATCH(B2763,{"GENNAIO","FEBBRAIO","MARZO","APRILE","MAGGIO","GIUGNO","LUGLIO","AGOSTO","SETTEMBRE","OTTOBRE","NOVEMBRE","DICEMBRE"},0)</f>
        <v>8</v>
      </c>
      <c r="E2763" s="57" t="str">
        <f t="shared" si="1776"/>
        <v>AGOSTO 2019</v>
      </c>
      <c r="F2763" s="57" t="str">
        <f t="shared" si="1775"/>
        <v>8 AGOSTO 2019</v>
      </c>
      <c r="G2763" s="1309" t="s">
        <v>94</v>
      </c>
      <c r="H2763" s="1309" t="str">
        <f>VLOOKUP(G2763,CATEGORIE!$H$3:$I$104,2,FALSE)</f>
        <v>COSTO SVAGHI</v>
      </c>
      <c r="I2763" s="60">
        <v>20.18</v>
      </c>
      <c r="J2763" s="940"/>
      <c r="K2763" s="59"/>
      <c r="L2763" s="59"/>
    </row>
    <row r="2764" spans="1:15">
      <c r="A2764" s="57" t="s">
        <v>663</v>
      </c>
      <c r="B2764" s="57" t="s">
        <v>261</v>
      </c>
      <c r="C2764" s="57">
        <v>2019</v>
      </c>
      <c r="D2764" s="58">
        <f>MATCH(B2764,{"GENNAIO","FEBBRAIO","MARZO","APRILE","MAGGIO","GIUGNO","LUGLIO","AGOSTO","SETTEMBRE","OTTOBRE","NOVEMBRE","DICEMBRE"},0)</f>
        <v>8</v>
      </c>
      <c r="E2764" s="57" t="str">
        <f t="shared" si="1776"/>
        <v>AGOSTO 2019</v>
      </c>
      <c r="F2764" s="57" t="str">
        <f t="shared" si="1775"/>
        <v>8 AGOSTO 2019</v>
      </c>
      <c r="G2764" s="1309" t="s">
        <v>188</v>
      </c>
      <c r="H2764" s="1309" t="str">
        <f>VLOOKUP(G2764,CATEGORIE!$H$3:$I$104,2,FALSE)</f>
        <v>COSTO VACANZE</v>
      </c>
      <c r="I2764" s="60">
        <v>172.88</v>
      </c>
      <c r="J2764" s="940"/>
      <c r="K2764" s="59"/>
      <c r="L2764" s="59"/>
    </row>
    <row r="2765" spans="1:15">
      <c r="A2765" s="57" t="s">
        <v>171</v>
      </c>
      <c r="B2765" s="57" t="s">
        <v>261</v>
      </c>
      <c r="C2765" s="57">
        <v>2019</v>
      </c>
      <c r="D2765" s="58">
        <f>MATCH(B2765,{"GENNAIO","FEBBRAIO","MARZO","APRILE","MAGGIO","GIUGNO","LUGLIO","AGOSTO","SETTEMBRE","OTTOBRE","NOVEMBRE","DICEMBRE"},0)</f>
        <v>8</v>
      </c>
      <c r="E2765" s="57" t="str">
        <f t="shared" si="1776"/>
        <v>AGOSTO 2019</v>
      </c>
      <c r="F2765" s="57" t="str">
        <f t="shared" si="1775"/>
        <v>8 AGOSTO 2019</v>
      </c>
      <c r="G2765" s="1309" t="s">
        <v>132</v>
      </c>
      <c r="H2765" s="1309" t="str">
        <f>VLOOKUP(G2765,CATEGORIE!$H$3:$I$104,2,FALSE)</f>
        <v>COSTO CASA</v>
      </c>
      <c r="I2765" s="60">
        <v>21.15</v>
      </c>
      <c r="J2765" s="940"/>
      <c r="K2765" s="59"/>
      <c r="L2765" s="59"/>
    </row>
    <row r="2766" spans="1:15">
      <c r="A2766" s="57" t="s">
        <v>92</v>
      </c>
      <c r="B2766" s="57" t="s">
        <v>261</v>
      </c>
      <c r="C2766" s="57">
        <v>2019</v>
      </c>
      <c r="D2766" s="58">
        <f>MATCH(B2766,{"GENNAIO","FEBBRAIO","MARZO","APRILE","MAGGIO","GIUGNO","LUGLIO","AGOSTO","SETTEMBRE","OTTOBRE","NOVEMBRE","DICEMBRE"},0)</f>
        <v>8</v>
      </c>
      <c r="E2766" s="57" t="str">
        <f t="shared" si="1776"/>
        <v>AGOSTO 2019</v>
      </c>
      <c r="F2766" s="57" t="str">
        <f t="shared" si="1775"/>
        <v>8 AGOSTO 2019</v>
      </c>
      <c r="G2766" s="1309" t="s">
        <v>93</v>
      </c>
      <c r="H2766" s="1309" t="str">
        <f>VLOOKUP(G2766,CATEGORIE!$H$3:$I$104,2,FALSE)</f>
        <v>COSTO SOPRAVVIVENZA</v>
      </c>
      <c r="I2766" s="60">
        <v>8</v>
      </c>
      <c r="J2766" s="940"/>
      <c r="K2766" s="59"/>
      <c r="L2766" s="59"/>
    </row>
    <row r="2767" spans="1:15">
      <c r="A2767" s="57" t="s">
        <v>663</v>
      </c>
      <c r="B2767" s="57" t="s">
        <v>261</v>
      </c>
      <c r="C2767" s="57">
        <v>2019</v>
      </c>
      <c r="D2767" s="58">
        <f>MATCH(B2767,{"GENNAIO","FEBBRAIO","MARZO","APRILE","MAGGIO","GIUGNO","LUGLIO","AGOSTO","SETTEMBRE","OTTOBRE","NOVEMBRE","DICEMBRE"},0)</f>
        <v>8</v>
      </c>
      <c r="E2767" s="57" t="str">
        <f t="shared" si="1776"/>
        <v>AGOSTO 2019</v>
      </c>
      <c r="F2767" s="57" t="str">
        <f t="shared" si="1775"/>
        <v>8 AGOSTO 2019</v>
      </c>
      <c r="G2767" s="1309" t="s">
        <v>188</v>
      </c>
      <c r="H2767" s="1309" t="str">
        <f>VLOOKUP(G2767,CATEGORIE!$H$3:$I$104,2,FALSE)</f>
        <v>COSTO VACANZE</v>
      </c>
      <c r="I2767" s="60">
        <v>155</v>
      </c>
      <c r="J2767" s="940"/>
      <c r="K2767" s="59"/>
      <c r="L2767" s="59"/>
    </row>
    <row r="2768" spans="1:15">
      <c r="A2768" s="57" t="s">
        <v>665</v>
      </c>
      <c r="B2768" s="57" t="s">
        <v>261</v>
      </c>
      <c r="C2768" s="57">
        <v>2019</v>
      </c>
      <c r="D2768" s="58">
        <f>MATCH(B2768,{"GENNAIO","FEBBRAIO","MARZO","APRILE","MAGGIO","GIUGNO","LUGLIO","AGOSTO","SETTEMBRE","OTTOBRE","NOVEMBRE","DICEMBRE"},0)</f>
        <v>8</v>
      </c>
      <c r="E2768" s="57" t="str">
        <f t="shared" si="1776"/>
        <v>AGOSTO 2019</v>
      </c>
      <c r="F2768" s="57" t="str">
        <f t="shared" si="1775"/>
        <v>8 AGOSTO 2019</v>
      </c>
      <c r="G2768" s="1309" t="s">
        <v>163</v>
      </c>
      <c r="H2768" s="1309" t="str">
        <f>VLOOKUP(G2768,CATEGORIE!$H$3:$I$104,2,FALSE)</f>
        <v>COSTO SVAGHI</v>
      </c>
      <c r="I2768" s="60">
        <v>6.09</v>
      </c>
      <c r="J2768" s="940"/>
      <c r="K2768" s="59"/>
      <c r="L2768" s="59"/>
    </row>
    <row r="2769" spans="1:12">
      <c r="A2769" s="57" t="s">
        <v>665</v>
      </c>
      <c r="B2769" s="57" t="s">
        <v>261</v>
      </c>
      <c r="C2769" s="57">
        <v>2019</v>
      </c>
      <c r="D2769" s="58">
        <f>MATCH(B2769,{"GENNAIO","FEBBRAIO","MARZO","APRILE","MAGGIO","GIUGNO","LUGLIO","AGOSTO","SETTEMBRE","OTTOBRE","NOVEMBRE","DICEMBRE"},0)</f>
        <v>8</v>
      </c>
      <c r="E2769" s="57" t="str">
        <f t="shared" si="1776"/>
        <v>AGOSTO 2019</v>
      </c>
      <c r="F2769" s="57" t="str">
        <f t="shared" si="1775"/>
        <v>8 AGOSTO 2019</v>
      </c>
      <c r="G2769" s="1309" t="s">
        <v>163</v>
      </c>
      <c r="H2769" s="1309" t="str">
        <f>VLOOKUP(G2769,CATEGORIE!$H$3:$I$104,2,FALSE)</f>
        <v>COSTO SVAGHI</v>
      </c>
      <c r="I2769" s="60">
        <v>72.92</v>
      </c>
      <c r="J2769" s="940"/>
      <c r="K2769" s="59"/>
      <c r="L2769" s="59"/>
    </row>
    <row r="2770" spans="1:12">
      <c r="A2770" s="57" t="s">
        <v>665</v>
      </c>
      <c r="B2770" s="57" t="s">
        <v>261</v>
      </c>
      <c r="C2770" s="57">
        <v>2019</v>
      </c>
      <c r="D2770" s="58">
        <f>MATCH(B2770,{"GENNAIO","FEBBRAIO","MARZO","APRILE","MAGGIO","GIUGNO","LUGLIO","AGOSTO","SETTEMBRE","OTTOBRE","NOVEMBRE","DICEMBRE"},0)</f>
        <v>8</v>
      </c>
      <c r="E2770" s="57" t="str">
        <f t="shared" si="1776"/>
        <v>AGOSTO 2019</v>
      </c>
      <c r="F2770" s="57" t="str">
        <f t="shared" si="1775"/>
        <v>8 AGOSTO 2019</v>
      </c>
      <c r="G2770" s="1309" t="s">
        <v>163</v>
      </c>
      <c r="H2770" s="1309" t="str">
        <f>VLOOKUP(G2770,CATEGORIE!$H$3:$I$104,2,FALSE)</f>
        <v>COSTO SVAGHI</v>
      </c>
      <c r="I2770" s="60">
        <v>11.51</v>
      </c>
      <c r="J2770" s="940"/>
      <c r="K2770" s="59"/>
      <c r="L2770" s="59"/>
    </row>
    <row r="2771" spans="1:12">
      <c r="A2771" s="57" t="s">
        <v>664</v>
      </c>
      <c r="B2771" s="57" t="s">
        <v>261</v>
      </c>
      <c r="C2771" s="57">
        <v>2019</v>
      </c>
      <c r="D2771" s="58">
        <f>MATCH(B2771,{"GENNAIO","FEBBRAIO","MARZO","APRILE","MAGGIO","GIUGNO","LUGLIO","AGOSTO","SETTEMBRE","OTTOBRE","NOVEMBRE","DICEMBRE"},0)</f>
        <v>8</v>
      </c>
      <c r="E2771" s="57" t="str">
        <f t="shared" si="1776"/>
        <v>AGOSTO 2019</v>
      </c>
      <c r="F2771" s="57" t="str">
        <f t="shared" si="1775"/>
        <v>8 AGOSTO 2019</v>
      </c>
      <c r="G2771" s="1309" t="s">
        <v>94</v>
      </c>
      <c r="H2771" s="1309" t="str">
        <f>VLOOKUP(G2771,CATEGORIE!$H$3:$I$104,2,FALSE)</f>
        <v>COSTO SVAGHI</v>
      </c>
      <c r="I2771" s="60">
        <v>18.68</v>
      </c>
      <c r="J2771" s="940"/>
      <c r="K2771" s="59"/>
      <c r="L2771" s="59"/>
    </row>
    <row r="2772" spans="1:12">
      <c r="A2772" s="57" t="s">
        <v>298</v>
      </c>
      <c r="B2772" s="57" t="s">
        <v>261</v>
      </c>
      <c r="C2772" s="57">
        <v>2019</v>
      </c>
      <c r="D2772" s="58">
        <f>MATCH(B2772,{"GENNAIO","FEBBRAIO","MARZO","APRILE","MAGGIO","GIUGNO","LUGLIO","AGOSTO","SETTEMBRE","OTTOBRE","NOVEMBRE","DICEMBRE"},0)</f>
        <v>8</v>
      </c>
      <c r="E2772" s="57" t="str">
        <f t="shared" si="1776"/>
        <v>AGOSTO 2019</v>
      </c>
      <c r="F2772" s="57" t="str">
        <f t="shared" si="1775"/>
        <v>8 AGOSTO 2019</v>
      </c>
      <c r="G2772" s="1309" t="s">
        <v>108</v>
      </c>
      <c r="H2772" s="1309" t="str">
        <f>VLOOKUP(G2772,CATEGORIE!$H$3:$I$104,2,FALSE)</f>
        <v>COSTO SFIZI</v>
      </c>
      <c r="I2772" s="60">
        <v>40.24</v>
      </c>
      <c r="J2772" s="940"/>
      <c r="K2772" s="59"/>
      <c r="L2772" s="59"/>
    </row>
    <row r="2773" spans="1:12">
      <c r="A2773" s="57" t="s">
        <v>665</v>
      </c>
      <c r="B2773" s="57" t="s">
        <v>261</v>
      </c>
      <c r="C2773" s="57">
        <v>2019</v>
      </c>
      <c r="D2773" s="58">
        <f>MATCH(B2773,{"GENNAIO","FEBBRAIO","MARZO","APRILE","MAGGIO","GIUGNO","LUGLIO","AGOSTO","SETTEMBRE","OTTOBRE","NOVEMBRE","DICEMBRE"},0)</f>
        <v>8</v>
      </c>
      <c r="E2773" s="57" t="str">
        <f t="shared" si="1776"/>
        <v>AGOSTO 2019</v>
      </c>
      <c r="F2773" s="57" t="str">
        <f t="shared" si="1775"/>
        <v>8 AGOSTO 2019</v>
      </c>
      <c r="G2773" s="1309" t="s">
        <v>163</v>
      </c>
      <c r="H2773" s="1309" t="str">
        <f>VLOOKUP(G2773,CATEGORIE!$H$3:$I$104,2,FALSE)</f>
        <v>COSTO SVAGHI</v>
      </c>
      <c r="I2773" s="60">
        <v>8.16</v>
      </c>
      <c r="J2773" s="940"/>
      <c r="K2773" s="59"/>
      <c r="L2773" s="59"/>
    </row>
    <row r="2774" spans="1:12">
      <c r="A2774" s="57" t="s">
        <v>665</v>
      </c>
      <c r="B2774" s="57" t="s">
        <v>261</v>
      </c>
      <c r="C2774" s="57">
        <v>2019</v>
      </c>
      <c r="D2774" s="58">
        <f>MATCH(B2774,{"GENNAIO","FEBBRAIO","MARZO","APRILE","MAGGIO","GIUGNO","LUGLIO","AGOSTO","SETTEMBRE","OTTOBRE","NOVEMBRE","DICEMBRE"},0)</f>
        <v>8</v>
      </c>
      <c r="E2774" s="57" t="str">
        <f t="shared" si="1776"/>
        <v>AGOSTO 2019</v>
      </c>
      <c r="F2774" s="57" t="str">
        <f t="shared" si="1775"/>
        <v>8 AGOSTO 2019</v>
      </c>
      <c r="G2774" s="1309" t="s">
        <v>163</v>
      </c>
      <c r="H2774" s="1309" t="str">
        <f>VLOOKUP(G2774,CATEGORIE!$H$3:$I$104,2,FALSE)</f>
        <v>COSTO SVAGHI</v>
      </c>
      <c r="I2774" s="60">
        <v>47.32</v>
      </c>
      <c r="J2774" s="940"/>
      <c r="K2774" s="59"/>
      <c r="L2774" s="59"/>
    </row>
    <row r="2775" spans="1:12">
      <c r="A2775" s="57" t="s">
        <v>665</v>
      </c>
      <c r="B2775" s="57" t="s">
        <v>261</v>
      </c>
      <c r="C2775" s="57">
        <v>2019</v>
      </c>
      <c r="D2775" s="58">
        <f>MATCH(B2775,{"GENNAIO","FEBBRAIO","MARZO","APRILE","MAGGIO","GIUGNO","LUGLIO","AGOSTO","SETTEMBRE","OTTOBRE","NOVEMBRE","DICEMBRE"},0)</f>
        <v>8</v>
      </c>
      <c r="E2775" s="57" t="str">
        <f t="shared" si="1776"/>
        <v>AGOSTO 2019</v>
      </c>
      <c r="F2775" s="57" t="str">
        <f t="shared" si="1775"/>
        <v>8 AGOSTO 2019</v>
      </c>
      <c r="G2775" s="1309" t="s">
        <v>163</v>
      </c>
      <c r="H2775" s="1309" t="str">
        <f>VLOOKUP(G2775,CATEGORIE!$H$3:$I$104,2,FALSE)</f>
        <v>COSTO SVAGHI</v>
      </c>
      <c r="I2775" s="60">
        <v>44.17</v>
      </c>
      <c r="J2775" s="940"/>
      <c r="K2775" s="59"/>
      <c r="L2775" s="59"/>
    </row>
    <row r="2776" spans="1:12">
      <c r="A2776" s="57" t="s">
        <v>663</v>
      </c>
      <c r="B2776" s="57" t="s">
        <v>261</v>
      </c>
      <c r="C2776" s="57">
        <v>2019</v>
      </c>
      <c r="D2776" s="58">
        <f>MATCH(B2776,{"GENNAIO","FEBBRAIO","MARZO","APRILE","MAGGIO","GIUGNO","LUGLIO","AGOSTO","SETTEMBRE","OTTOBRE","NOVEMBRE","DICEMBRE"},0)</f>
        <v>8</v>
      </c>
      <c r="E2776" s="57" t="str">
        <f t="shared" si="1776"/>
        <v>AGOSTO 2019</v>
      </c>
      <c r="F2776" s="57" t="str">
        <f t="shared" si="1775"/>
        <v>8 AGOSTO 2019</v>
      </c>
      <c r="G2776" s="1309" t="s">
        <v>188</v>
      </c>
      <c r="H2776" s="1309" t="str">
        <f>VLOOKUP(G2776,CATEGORIE!$H$3:$I$104,2,FALSE)</f>
        <v>COSTO VACANZE</v>
      </c>
      <c r="I2776" s="60">
        <v>98</v>
      </c>
      <c r="J2776" s="940"/>
      <c r="K2776" s="59"/>
      <c r="L2776" s="59"/>
    </row>
    <row r="2777" spans="1:12">
      <c r="A2777" s="57" t="s">
        <v>663</v>
      </c>
      <c r="B2777" s="57" t="s">
        <v>261</v>
      </c>
      <c r="C2777" s="57">
        <v>2019</v>
      </c>
      <c r="D2777" s="58">
        <f>MATCH(B2777,{"GENNAIO","FEBBRAIO","MARZO","APRILE","MAGGIO","GIUGNO","LUGLIO","AGOSTO","SETTEMBRE","OTTOBRE","NOVEMBRE","DICEMBRE"},0)</f>
        <v>8</v>
      </c>
      <c r="E2777" s="57" t="str">
        <f t="shared" si="1776"/>
        <v>AGOSTO 2019</v>
      </c>
      <c r="F2777" s="57" t="str">
        <f t="shared" si="1775"/>
        <v>8 AGOSTO 2019</v>
      </c>
      <c r="G2777" s="1309" t="s">
        <v>188</v>
      </c>
      <c r="H2777" s="1309" t="str">
        <f>VLOOKUP(G2777,CATEGORIE!$H$3:$I$104,2,FALSE)</f>
        <v>COSTO VACANZE</v>
      </c>
      <c r="I2777" s="60">
        <v>108</v>
      </c>
      <c r="J2777" s="940"/>
      <c r="K2777" s="59"/>
      <c r="L2777" s="59"/>
    </row>
    <row r="2778" spans="1:12">
      <c r="A2778" s="57" t="s">
        <v>663</v>
      </c>
      <c r="B2778" s="57" t="s">
        <v>261</v>
      </c>
      <c r="C2778" s="57">
        <v>2019</v>
      </c>
      <c r="D2778" s="58">
        <f>MATCH(B2778,{"GENNAIO","FEBBRAIO","MARZO","APRILE","MAGGIO","GIUGNO","LUGLIO","AGOSTO","SETTEMBRE","OTTOBRE","NOVEMBRE","DICEMBRE"},0)</f>
        <v>8</v>
      </c>
      <c r="E2778" s="57" t="str">
        <f t="shared" si="1776"/>
        <v>AGOSTO 2019</v>
      </c>
      <c r="F2778" s="57" t="str">
        <f t="shared" si="1775"/>
        <v>8 AGOSTO 2019</v>
      </c>
      <c r="G2778" s="1309" t="s">
        <v>188</v>
      </c>
      <c r="H2778" s="1309" t="str">
        <f>VLOOKUP(G2778,CATEGORIE!$H$3:$I$104,2,FALSE)</f>
        <v>COSTO VACANZE</v>
      </c>
      <c r="I2778" s="60">
        <v>122.9</v>
      </c>
      <c r="J2778" s="940"/>
      <c r="K2778" s="59"/>
      <c r="L2778" s="59"/>
    </row>
    <row r="2779" spans="1:12">
      <c r="A2779" s="57" t="s">
        <v>291</v>
      </c>
      <c r="B2779" s="57" t="s">
        <v>261</v>
      </c>
      <c r="C2779" s="57">
        <v>2019</v>
      </c>
      <c r="D2779" s="58">
        <f>MATCH(B2779,{"GENNAIO","FEBBRAIO","MARZO","APRILE","MAGGIO","GIUGNO","LUGLIO","AGOSTO","SETTEMBRE","OTTOBRE","NOVEMBRE","DICEMBRE"},0)</f>
        <v>8</v>
      </c>
      <c r="E2779" s="57" t="str">
        <f t="shared" si="1776"/>
        <v>AGOSTO 2019</v>
      </c>
      <c r="F2779" s="57" t="str">
        <f t="shared" si="1775"/>
        <v>8 AGOSTO 2019</v>
      </c>
      <c r="G2779" s="1309" t="s">
        <v>111</v>
      </c>
      <c r="H2779" s="1309" t="str">
        <f>VLOOKUP(G2779,CATEGORIE!$H$3:$I$104,2,FALSE)</f>
        <v>COSTO MOBILITA'</v>
      </c>
      <c r="I2779" s="60">
        <v>20.149999999999999</v>
      </c>
      <c r="J2779" s="940"/>
      <c r="K2779" s="59"/>
      <c r="L2779" s="59"/>
    </row>
    <row r="2780" spans="1:12">
      <c r="A2780" s="57" t="s">
        <v>166</v>
      </c>
      <c r="B2780" s="57" t="s">
        <v>261</v>
      </c>
      <c r="C2780" s="57">
        <v>2019</v>
      </c>
      <c r="D2780" s="58">
        <f>MATCH(B2780,{"GENNAIO","FEBBRAIO","MARZO","APRILE","MAGGIO","GIUGNO","LUGLIO","AGOSTO","SETTEMBRE","OTTOBRE","NOVEMBRE","DICEMBRE"},0)</f>
        <v>8</v>
      </c>
      <c r="E2780" s="57" t="str">
        <f t="shared" si="1776"/>
        <v>AGOSTO 2019</v>
      </c>
      <c r="F2780" s="57" t="str">
        <f t="shared" si="1775"/>
        <v>8 AGOSTO 2019</v>
      </c>
      <c r="G2780" s="1309" t="s">
        <v>94</v>
      </c>
      <c r="H2780" s="1309" t="str">
        <f>VLOOKUP(G2780,CATEGORIE!$H$3:$I$104,2,FALSE)</f>
        <v>COSTO SVAGHI</v>
      </c>
      <c r="I2780" s="60">
        <v>13</v>
      </c>
      <c r="J2780" s="940"/>
      <c r="K2780" s="59"/>
      <c r="L2780" s="59"/>
    </row>
    <row r="2781" spans="1:12">
      <c r="A2781" s="61" t="s">
        <v>666</v>
      </c>
      <c r="B2781" s="61" t="s">
        <v>288</v>
      </c>
      <c r="C2781" s="61">
        <v>2019</v>
      </c>
      <c r="D2781" s="58">
        <f>MATCH(B2781,{"GENNAIO","FEBBRAIO","MARZO","APRILE","MAGGIO","GIUGNO","LUGLIO","AGOSTO","SETTEMBRE","OTTOBRE","NOVEMBRE","DICEMBRE"},0)</f>
        <v>7</v>
      </c>
      <c r="E2781" s="57" t="str">
        <f t="shared" si="1776"/>
        <v>LUGLIO 2019</v>
      </c>
      <c r="F2781" s="57" t="str">
        <f t="shared" si="1775"/>
        <v>7 LUGLIO 2019</v>
      </c>
      <c r="G2781" s="1309" t="s">
        <v>163</v>
      </c>
      <c r="H2781" s="1309" t="str">
        <f>VLOOKUP(G2781,CATEGORIE!$H$3:$I$104,2,FALSE)</f>
        <v>COSTO SVAGHI</v>
      </c>
      <c r="I2781" s="62">
        <v>181.8</v>
      </c>
      <c r="J2781" s="940"/>
      <c r="K2781" s="59"/>
      <c r="L2781" s="59"/>
    </row>
    <row r="2782" spans="1:12">
      <c r="A2782" s="57" t="s">
        <v>397</v>
      </c>
      <c r="B2782" s="57" t="s">
        <v>288</v>
      </c>
      <c r="C2782" s="57">
        <v>2019</v>
      </c>
      <c r="D2782" s="58">
        <f>MATCH(B2782,{"GENNAIO","FEBBRAIO","MARZO","APRILE","MAGGIO","GIUGNO","LUGLIO","AGOSTO","SETTEMBRE","OTTOBRE","NOVEMBRE","DICEMBRE"},0)</f>
        <v>7</v>
      </c>
      <c r="E2782" s="57" t="str">
        <f t="shared" si="1776"/>
        <v>LUGLIO 2019</v>
      </c>
      <c r="F2782" s="57" t="str">
        <f t="shared" si="1775"/>
        <v>7 LUGLIO 2019</v>
      </c>
      <c r="G2782" s="1309" t="s">
        <v>111</v>
      </c>
      <c r="H2782" s="1309" t="str">
        <f>VLOOKUP(G2782,CATEGORIE!$H$3:$I$104,2,FALSE)</f>
        <v>COSTO MOBILITA'</v>
      </c>
      <c r="I2782" s="60">
        <v>30</v>
      </c>
      <c r="J2782" s="940"/>
      <c r="K2782" s="59"/>
      <c r="L2782" s="59"/>
    </row>
    <row r="2783" spans="1:12">
      <c r="A2783" s="57" t="s">
        <v>606</v>
      </c>
      <c r="B2783" s="57" t="s">
        <v>288</v>
      </c>
      <c r="C2783" s="57">
        <v>2019</v>
      </c>
      <c r="D2783" s="58">
        <f>MATCH(B2783,{"GENNAIO","FEBBRAIO","MARZO","APRILE","MAGGIO","GIUGNO","LUGLIO","AGOSTO","SETTEMBRE","OTTOBRE","NOVEMBRE","DICEMBRE"},0)</f>
        <v>7</v>
      </c>
      <c r="E2783" s="57" t="str">
        <f t="shared" si="1776"/>
        <v>LUGLIO 2019</v>
      </c>
      <c r="F2783" s="57" t="str">
        <f t="shared" si="1775"/>
        <v>7 LUGLIO 2019</v>
      </c>
      <c r="G2783" s="1309" t="s">
        <v>94</v>
      </c>
      <c r="H2783" s="1309" t="str">
        <f>VLOOKUP(G2783,CATEGORIE!$H$3:$I$104,2,FALSE)</f>
        <v>COSTO SVAGHI</v>
      </c>
      <c r="I2783" s="60">
        <v>102.3</v>
      </c>
      <c r="J2783" s="940"/>
      <c r="K2783" s="59"/>
      <c r="L2783" s="59"/>
    </row>
    <row r="2784" spans="1:12">
      <c r="A2784" s="57" t="s">
        <v>187</v>
      </c>
      <c r="B2784" s="57" t="s">
        <v>288</v>
      </c>
      <c r="C2784" s="57">
        <v>2019</v>
      </c>
      <c r="D2784" s="58">
        <f>MATCH(B2784,{"GENNAIO","FEBBRAIO","MARZO","APRILE","MAGGIO","GIUGNO","LUGLIO","AGOSTO","SETTEMBRE","OTTOBRE","NOVEMBRE","DICEMBRE"},0)</f>
        <v>7</v>
      </c>
      <c r="E2784" s="57" t="str">
        <f t="shared" si="1776"/>
        <v>LUGLIO 2019</v>
      </c>
      <c r="F2784" s="57" t="str">
        <f t="shared" si="1775"/>
        <v>7 LUGLIO 2019</v>
      </c>
      <c r="G2784" s="1309" t="s">
        <v>188</v>
      </c>
      <c r="H2784" s="1309" t="str">
        <f>VLOOKUP(G2784,CATEGORIE!$H$3:$I$104,2,FALSE)</f>
        <v>COSTO VACANZE</v>
      </c>
      <c r="I2784" s="60">
        <v>334.04</v>
      </c>
      <c r="J2784" s="940"/>
      <c r="K2784" s="59"/>
      <c r="L2784" s="59" t="s">
        <v>667</v>
      </c>
    </row>
    <row r="2785" spans="1:12">
      <c r="A2785" s="57" t="s">
        <v>156</v>
      </c>
      <c r="B2785" s="57" t="s">
        <v>288</v>
      </c>
      <c r="C2785" s="57">
        <v>2019</v>
      </c>
      <c r="D2785" s="58">
        <f>MATCH(B2785,{"GENNAIO","FEBBRAIO","MARZO","APRILE","MAGGIO","GIUGNO","LUGLIO","AGOSTO","SETTEMBRE","OTTOBRE","NOVEMBRE","DICEMBRE"},0)</f>
        <v>7</v>
      </c>
      <c r="E2785" s="57" t="str">
        <f t="shared" ref="E2785:E2795" si="1777">CONCATENATE(,B2785," ",C2785)</f>
        <v>LUGLIO 2019</v>
      </c>
      <c r="F2785" s="57" t="str">
        <f t="shared" si="1775"/>
        <v>7 LUGLIO 2019</v>
      </c>
      <c r="G2785" s="1309" t="s">
        <v>96</v>
      </c>
      <c r="H2785" s="1309" t="str">
        <f>VLOOKUP(G2785,CATEGORIE!$H$3:$I$104,2,FALSE)</f>
        <v>COSTO SOPRAVVIVENZA</v>
      </c>
      <c r="I2785" s="60">
        <v>20.399999999999999</v>
      </c>
      <c r="J2785" s="940"/>
      <c r="K2785" s="59"/>
      <c r="L2785" s="59"/>
    </row>
    <row r="2786" spans="1:12">
      <c r="A2786" s="57" t="s">
        <v>668</v>
      </c>
      <c r="B2786" s="57" t="s">
        <v>288</v>
      </c>
      <c r="C2786" s="57">
        <v>2019</v>
      </c>
      <c r="D2786" s="58">
        <f>MATCH(B2786,{"GENNAIO","FEBBRAIO","MARZO","APRILE","MAGGIO","GIUGNO","LUGLIO","AGOSTO","SETTEMBRE","OTTOBRE","NOVEMBRE","DICEMBRE"},0)</f>
        <v>7</v>
      </c>
      <c r="E2786" s="57" t="str">
        <f t="shared" si="1777"/>
        <v>LUGLIO 2019</v>
      </c>
      <c r="F2786" s="57" t="str">
        <f t="shared" si="1775"/>
        <v>7 LUGLIO 2019</v>
      </c>
      <c r="G2786" s="1309" t="s">
        <v>163</v>
      </c>
      <c r="H2786" s="1309" t="str">
        <f>VLOOKUP(G2786,CATEGORIE!$H$3:$I$104,2,FALSE)</f>
        <v>COSTO SVAGHI</v>
      </c>
      <c r="I2786" s="60">
        <v>75.84</v>
      </c>
      <c r="J2786" s="940"/>
      <c r="K2786" s="59"/>
      <c r="L2786" s="59"/>
    </row>
    <row r="2787" spans="1:12">
      <c r="A2787" s="57" t="s">
        <v>668</v>
      </c>
      <c r="B2787" s="57" t="s">
        <v>288</v>
      </c>
      <c r="C2787" s="57">
        <v>2019</v>
      </c>
      <c r="D2787" s="58">
        <f>MATCH(B2787,{"GENNAIO","FEBBRAIO","MARZO","APRILE","MAGGIO","GIUGNO","LUGLIO","AGOSTO","SETTEMBRE","OTTOBRE","NOVEMBRE","DICEMBRE"},0)</f>
        <v>7</v>
      </c>
      <c r="E2787" s="57" t="str">
        <f t="shared" si="1777"/>
        <v>LUGLIO 2019</v>
      </c>
      <c r="F2787" s="57" t="str">
        <f t="shared" si="1775"/>
        <v>7 LUGLIO 2019</v>
      </c>
      <c r="G2787" s="1309" t="s">
        <v>163</v>
      </c>
      <c r="H2787" s="1309" t="str">
        <f>VLOOKUP(G2787,CATEGORIE!$H$3:$I$104,2,FALSE)</f>
        <v>COSTO SVAGHI</v>
      </c>
      <c r="I2787" s="60">
        <v>3.32</v>
      </c>
      <c r="J2787" s="940"/>
      <c r="K2787" s="59"/>
      <c r="L2787" s="59"/>
    </row>
    <row r="2788" spans="1:12">
      <c r="A2788" s="57" t="s">
        <v>668</v>
      </c>
      <c r="B2788" s="57" t="s">
        <v>288</v>
      </c>
      <c r="C2788" s="57">
        <v>2019</v>
      </c>
      <c r="D2788" s="58">
        <f>MATCH(B2788,{"GENNAIO","FEBBRAIO","MARZO","APRILE","MAGGIO","GIUGNO","LUGLIO","AGOSTO","SETTEMBRE","OTTOBRE","NOVEMBRE","DICEMBRE"},0)</f>
        <v>7</v>
      </c>
      <c r="E2788" s="57" t="str">
        <f t="shared" si="1777"/>
        <v>LUGLIO 2019</v>
      </c>
      <c r="F2788" s="57" t="str">
        <f t="shared" si="1775"/>
        <v>7 LUGLIO 2019</v>
      </c>
      <c r="G2788" s="1309" t="s">
        <v>163</v>
      </c>
      <c r="H2788" s="1309" t="str">
        <f>VLOOKUP(G2788,CATEGORIE!$H$3:$I$104,2,FALSE)</f>
        <v>COSTO SVAGHI</v>
      </c>
      <c r="I2788" s="60">
        <v>21.61</v>
      </c>
      <c r="J2788" s="940"/>
      <c r="K2788" s="59"/>
      <c r="L2788" s="59"/>
    </row>
    <row r="2789" spans="1:12">
      <c r="A2789" s="57" t="s">
        <v>668</v>
      </c>
      <c r="B2789" s="57" t="s">
        <v>288</v>
      </c>
      <c r="C2789" s="57">
        <v>2019</v>
      </c>
      <c r="D2789" s="58">
        <f>MATCH(B2789,{"GENNAIO","FEBBRAIO","MARZO","APRILE","MAGGIO","GIUGNO","LUGLIO","AGOSTO","SETTEMBRE","OTTOBRE","NOVEMBRE","DICEMBRE"},0)</f>
        <v>7</v>
      </c>
      <c r="E2789" s="57" t="str">
        <f t="shared" si="1777"/>
        <v>LUGLIO 2019</v>
      </c>
      <c r="F2789" s="57" t="str">
        <f t="shared" si="1775"/>
        <v>7 LUGLIO 2019</v>
      </c>
      <c r="G2789" s="1309" t="s">
        <v>163</v>
      </c>
      <c r="H2789" s="1309" t="str">
        <f>VLOOKUP(G2789,CATEGORIE!$H$3:$I$104,2,FALSE)</f>
        <v>COSTO SVAGHI</v>
      </c>
      <c r="I2789" s="60">
        <v>13.81</v>
      </c>
      <c r="J2789" s="940"/>
      <c r="K2789" s="59"/>
      <c r="L2789" s="59"/>
    </row>
    <row r="2790" spans="1:12">
      <c r="A2790" s="57" t="s">
        <v>668</v>
      </c>
      <c r="B2790" s="57" t="s">
        <v>288</v>
      </c>
      <c r="C2790" s="57">
        <v>2019</v>
      </c>
      <c r="D2790" s="58">
        <f>MATCH(B2790,{"GENNAIO","FEBBRAIO","MARZO","APRILE","MAGGIO","GIUGNO","LUGLIO","AGOSTO","SETTEMBRE","OTTOBRE","NOVEMBRE","DICEMBRE"},0)</f>
        <v>7</v>
      </c>
      <c r="E2790" s="57" t="str">
        <f t="shared" si="1777"/>
        <v>LUGLIO 2019</v>
      </c>
      <c r="F2790" s="57" t="str">
        <f t="shared" si="1775"/>
        <v>7 LUGLIO 2019</v>
      </c>
      <c r="G2790" s="1309" t="s">
        <v>163</v>
      </c>
      <c r="H2790" s="1309" t="str">
        <f>VLOOKUP(G2790,CATEGORIE!$H$3:$I$104,2,FALSE)</f>
        <v>COSTO SVAGHI</v>
      </c>
      <c r="I2790" s="60">
        <v>27.57</v>
      </c>
      <c r="J2790" s="940"/>
      <c r="K2790" s="59"/>
      <c r="L2790" s="59"/>
    </row>
    <row r="2791" spans="1:12">
      <c r="A2791" s="57" t="s">
        <v>668</v>
      </c>
      <c r="B2791" s="57" t="s">
        <v>288</v>
      </c>
      <c r="C2791" s="57">
        <v>2019</v>
      </c>
      <c r="D2791" s="58">
        <f>MATCH(B2791,{"GENNAIO","FEBBRAIO","MARZO","APRILE","MAGGIO","GIUGNO","LUGLIO","AGOSTO","SETTEMBRE","OTTOBRE","NOVEMBRE","DICEMBRE"},0)</f>
        <v>7</v>
      </c>
      <c r="E2791" s="57" t="str">
        <f t="shared" si="1777"/>
        <v>LUGLIO 2019</v>
      </c>
      <c r="F2791" s="57" t="str">
        <f t="shared" si="1775"/>
        <v>7 LUGLIO 2019</v>
      </c>
      <c r="G2791" s="1309" t="s">
        <v>163</v>
      </c>
      <c r="H2791" s="1309" t="str">
        <f>VLOOKUP(G2791,CATEGORIE!$H$3:$I$104,2,FALSE)</f>
        <v>COSTO SVAGHI</v>
      </c>
      <c r="I2791" s="60">
        <v>6.76</v>
      </c>
      <c r="J2791" s="940"/>
      <c r="K2791" s="59"/>
      <c r="L2791" s="59"/>
    </row>
    <row r="2792" spans="1:12">
      <c r="A2792" s="57" t="s">
        <v>669</v>
      </c>
      <c r="B2792" s="57" t="s">
        <v>288</v>
      </c>
      <c r="C2792" s="57">
        <v>2019</v>
      </c>
      <c r="D2792" s="58">
        <f>MATCH(B2792,{"GENNAIO","FEBBRAIO","MARZO","APRILE","MAGGIO","GIUGNO","LUGLIO","AGOSTO","SETTEMBRE","OTTOBRE","NOVEMBRE","DICEMBRE"},0)</f>
        <v>7</v>
      </c>
      <c r="E2792" s="57" t="str">
        <f t="shared" si="1777"/>
        <v>LUGLIO 2019</v>
      </c>
      <c r="F2792" s="57" t="str">
        <f t="shared" si="1775"/>
        <v>7 LUGLIO 2019</v>
      </c>
      <c r="G2792" s="1309" t="s">
        <v>111</v>
      </c>
      <c r="H2792" s="1309" t="str">
        <f>VLOOKUP(G2792,CATEGORIE!$H$3:$I$104,2,FALSE)</f>
        <v>COSTO MOBILITA'</v>
      </c>
      <c r="I2792" s="60">
        <v>1.3</v>
      </c>
      <c r="J2792" s="940"/>
      <c r="K2792" s="59"/>
      <c r="L2792" s="59"/>
    </row>
    <row r="2793" spans="1:12">
      <c r="A2793" s="57" t="s">
        <v>669</v>
      </c>
      <c r="B2793" s="57" t="s">
        <v>288</v>
      </c>
      <c r="C2793" s="57">
        <v>2019</v>
      </c>
      <c r="D2793" s="58">
        <f>MATCH(B2793,{"GENNAIO","FEBBRAIO","MARZO","APRILE","MAGGIO","GIUGNO","LUGLIO","AGOSTO","SETTEMBRE","OTTOBRE","NOVEMBRE","DICEMBRE"},0)</f>
        <v>7</v>
      </c>
      <c r="E2793" s="57" t="str">
        <f t="shared" si="1777"/>
        <v>LUGLIO 2019</v>
      </c>
      <c r="F2793" s="57" t="str">
        <f t="shared" si="1775"/>
        <v>7 LUGLIO 2019</v>
      </c>
      <c r="G2793" s="1309" t="s">
        <v>111</v>
      </c>
      <c r="H2793" s="1309" t="str">
        <f>VLOOKUP(G2793,CATEGORIE!$H$3:$I$104,2,FALSE)</f>
        <v>COSTO MOBILITA'</v>
      </c>
      <c r="I2793" s="60">
        <v>1.3</v>
      </c>
      <c r="J2793" s="940"/>
      <c r="K2793" s="59"/>
      <c r="L2793" s="59"/>
    </row>
    <row r="2794" spans="1:12">
      <c r="A2794" s="57" t="s">
        <v>669</v>
      </c>
      <c r="B2794" s="57" t="s">
        <v>288</v>
      </c>
      <c r="C2794" s="57">
        <v>2019</v>
      </c>
      <c r="D2794" s="58">
        <f>MATCH(B2794,{"GENNAIO","FEBBRAIO","MARZO","APRILE","MAGGIO","GIUGNO","LUGLIO","AGOSTO","SETTEMBRE","OTTOBRE","NOVEMBRE","DICEMBRE"},0)</f>
        <v>7</v>
      </c>
      <c r="E2794" s="57" t="str">
        <f t="shared" si="1777"/>
        <v>LUGLIO 2019</v>
      </c>
      <c r="F2794" s="57" t="str">
        <f t="shared" si="1775"/>
        <v>7 LUGLIO 2019</v>
      </c>
      <c r="G2794" s="1309" t="s">
        <v>111</v>
      </c>
      <c r="H2794" s="1309" t="str">
        <f>VLOOKUP(G2794,CATEGORIE!$H$3:$I$104,2,FALSE)</f>
        <v>COSTO MOBILITA'</v>
      </c>
      <c r="I2794" s="60">
        <v>2.6</v>
      </c>
      <c r="J2794" s="940"/>
      <c r="K2794" s="59"/>
      <c r="L2794" s="59"/>
    </row>
    <row r="2795" spans="1:12">
      <c r="A2795" s="57" t="s">
        <v>99</v>
      </c>
      <c r="B2795" s="57" t="s">
        <v>288</v>
      </c>
      <c r="C2795" s="57">
        <v>2019</v>
      </c>
      <c r="D2795" s="58">
        <f>MATCH(B2795,{"GENNAIO","FEBBRAIO","MARZO","APRILE","MAGGIO","GIUGNO","LUGLIO","AGOSTO","SETTEMBRE","OTTOBRE","NOVEMBRE","DICEMBRE"},0)</f>
        <v>7</v>
      </c>
      <c r="E2795" s="57" t="str">
        <f t="shared" si="1777"/>
        <v>LUGLIO 2019</v>
      </c>
      <c r="F2795" s="57" t="str">
        <f t="shared" si="1775"/>
        <v>7 LUGLIO 2019</v>
      </c>
      <c r="G2795" s="1309" t="s">
        <v>100</v>
      </c>
      <c r="H2795" s="1309" t="str">
        <f>VLOOKUP(G2795,CATEGORIE!$H$3:$I$104,2,FALSE)</f>
        <v>COSTO SFIZI</v>
      </c>
      <c r="I2795" s="60">
        <v>36.99</v>
      </c>
      <c r="J2795" s="940"/>
      <c r="K2795" s="57" t="s">
        <v>99</v>
      </c>
      <c r="L2795" s="59"/>
    </row>
    <row r="2796" spans="1:12">
      <c r="I2796" s="37"/>
      <c r="J2796" s="941"/>
    </row>
    <row r="2797" spans="1:12">
      <c r="I2797" s="37"/>
    </row>
  </sheetData>
  <autoFilter ref="A1:L2795" xr:uid="{6F9A3EF8-0053-415D-A510-298B8E4B1969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DCC5-865F-408C-97B5-3A586D9817B4}">
  <sheetPr codeName="Foglio13">
    <tabColor theme="8" tint="0.79998168889431442"/>
  </sheetPr>
  <dimension ref="A1:AU315"/>
  <sheetViews>
    <sheetView showGridLines="0" zoomScale="85" zoomScaleNormal="85" workbookViewId="0">
      <pane ySplit="1" topLeftCell="A2" activePane="bottomLeft" state="frozen"/>
      <selection pane="bottomLeft" activeCell="G24" sqref="G24"/>
    </sheetView>
  </sheetViews>
  <sheetFormatPr defaultColWidth="9.140625" defaultRowHeight="15"/>
  <cols>
    <col min="1" max="1" width="35.7109375" style="9" customWidth="1"/>
    <col min="2" max="2" width="12" style="9" bestFit="1" customWidth="1"/>
    <col min="3" max="3" width="9.5703125" style="9" bestFit="1" customWidth="1"/>
    <col min="4" max="4" width="9" style="9" bestFit="1" customWidth="1"/>
    <col min="5" max="5" width="17.28515625" style="9" bestFit="1" customWidth="1"/>
    <col min="6" max="6" width="20" style="9" bestFit="1" customWidth="1"/>
    <col min="7" max="7" width="32.85546875" style="9" bestFit="1" customWidth="1"/>
    <col min="8" max="8" width="39.28515625" style="9" bestFit="1" customWidth="1"/>
    <col min="9" max="9" width="13.42578125" style="9" bestFit="1" customWidth="1"/>
    <col min="10" max="10" width="11.28515625" style="941" bestFit="1" customWidth="1"/>
    <col min="11" max="11" width="14.5703125" style="15" bestFit="1" customWidth="1"/>
    <col min="12" max="12" width="41.7109375" style="9" bestFit="1" customWidth="1"/>
    <col min="13" max="13" width="11.42578125" style="9" bestFit="1" customWidth="1"/>
    <col min="14" max="14" width="9.5703125" style="9" bestFit="1" customWidth="1"/>
    <col min="15" max="15" width="9.42578125" style="9" bestFit="1" customWidth="1"/>
    <col min="16" max="16" width="12.140625" style="9" bestFit="1" customWidth="1"/>
    <col min="17" max="17" width="11.140625" style="9" bestFit="1" customWidth="1"/>
    <col min="18" max="33" width="9.42578125" style="9" bestFit="1" customWidth="1"/>
    <col min="34" max="34" width="9.140625" style="9"/>
    <col min="35" max="35" width="9.28515625" style="9" bestFit="1" customWidth="1"/>
    <col min="36" max="36" width="11.28515625" style="9" bestFit="1" customWidth="1"/>
    <col min="37" max="37" width="12.42578125" style="9" bestFit="1" customWidth="1"/>
    <col min="38" max="38" width="11.28515625" style="9" bestFit="1" customWidth="1"/>
    <col min="39" max="39" width="9.28515625" style="9" bestFit="1" customWidth="1"/>
    <col min="40" max="40" width="9.5703125" style="9" bestFit="1" customWidth="1"/>
    <col min="41" max="42" width="9.28515625" style="9" bestFit="1" customWidth="1"/>
    <col min="43" max="43" width="11.28515625" style="9" bestFit="1" customWidth="1"/>
    <col min="44" max="44" width="12.42578125" style="9" bestFit="1" customWidth="1"/>
    <col min="45" max="45" width="11.85546875" style="9" customWidth="1"/>
    <col min="46" max="46" width="12.140625" style="9" bestFit="1" customWidth="1"/>
    <col min="47" max="47" width="11.28515625" style="9" bestFit="1" customWidth="1"/>
    <col min="48" max="16384" width="9.140625" style="9"/>
  </cols>
  <sheetData>
    <row r="1" spans="1:12">
      <c r="A1" s="53" t="s">
        <v>83</v>
      </c>
      <c r="B1" s="53" t="s">
        <v>71</v>
      </c>
      <c r="C1" s="53" t="s">
        <v>70</v>
      </c>
      <c r="D1" s="53" t="s">
        <v>71</v>
      </c>
      <c r="E1" s="53" t="s">
        <v>84</v>
      </c>
      <c r="F1" s="53" t="s">
        <v>84</v>
      </c>
      <c r="G1" s="55" t="s">
        <v>83</v>
      </c>
      <c r="H1" s="1308" t="s">
        <v>1247</v>
      </c>
      <c r="I1" s="54" t="s">
        <v>85</v>
      </c>
      <c r="J1" s="942" t="s">
        <v>86</v>
      </c>
      <c r="K1" s="946" t="s">
        <v>87</v>
      </c>
      <c r="L1" s="55" t="s">
        <v>88</v>
      </c>
    </row>
    <row r="2" spans="1:12">
      <c r="A2" s="57" t="s">
        <v>102</v>
      </c>
      <c r="B2" s="57" t="s">
        <v>240</v>
      </c>
      <c r="C2" s="57">
        <v>2026</v>
      </c>
      <c r="D2" s="58">
        <f>MATCH(B2,{"GENNAIO","FEBBRAIO","MARZO","APRILE","MAGGIO","GIUGNO","LUGLIO","AGOSTO","SETTEMBRE","OTTOBRE","NOVEMBRE","DICEMBRE"},0)</f>
        <v>9</v>
      </c>
      <c r="E2" s="57" t="str">
        <f t="shared" ref="E2" si="0">CONCATENATE(,B2," ",C2)</f>
        <v>SETTEMBRE 2026</v>
      </c>
      <c r="F2" s="57" t="str">
        <f t="shared" ref="F2" si="1">CONCATENATE(D2," ",E2)</f>
        <v>9 SETTEMBRE 2026</v>
      </c>
      <c r="G2" s="1309" t="s">
        <v>96</v>
      </c>
      <c r="H2" s="1309" t="str">
        <f>VLOOKUP(G2,CATEGORIE!$H$3:$I$55,2,FALSE)</f>
        <v>COSTO SOPRAVVIVENZA</v>
      </c>
      <c r="I2" s="59">
        <v>15.14</v>
      </c>
      <c r="J2" s="940"/>
      <c r="K2" s="59"/>
      <c r="L2" s="59"/>
    </row>
    <row r="3" spans="1:12">
      <c r="A3" s="57" t="s">
        <v>135</v>
      </c>
      <c r="B3" s="57" t="s">
        <v>240</v>
      </c>
      <c r="C3" s="57">
        <v>2026</v>
      </c>
      <c r="D3" s="58">
        <f>MATCH(B3,{"GENNAIO","FEBBRAIO","MARZO","APRILE","MAGGIO","GIUGNO","LUGLIO","AGOSTO","SETTEMBRE","OTTOBRE","NOVEMBRE","DICEMBRE"},0)</f>
        <v>9</v>
      </c>
      <c r="E3" s="57" t="str">
        <f t="shared" ref="E3" si="2">CONCATENATE(,B3," ",C3)</f>
        <v>SETTEMBRE 2026</v>
      </c>
      <c r="F3" s="57" t="str">
        <f t="shared" ref="F3" si="3">CONCATENATE(D3," ",E3)</f>
        <v>9 SETTEMBRE 2026</v>
      </c>
      <c r="G3" s="59" t="s">
        <v>132</v>
      </c>
      <c r="H3" s="59" t="str">
        <f>VLOOKUP(G3,CATEGORIE!$H$3:$I$55,2,FALSE)</f>
        <v>COSTO CASA</v>
      </c>
      <c r="I3" s="59">
        <v>19.29</v>
      </c>
      <c r="J3" s="59"/>
      <c r="K3" s="59"/>
      <c r="L3" s="59"/>
    </row>
    <row r="4" spans="1:12">
      <c r="A4" s="57" t="s">
        <v>104</v>
      </c>
      <c r="B4" s="57" t="s">
        <v>240</v>
      </c>
      <c r="C4" s="57">
        <v>2026</v>
      </c>
      <c r="D4" s="58">
        <f>MATCH(B4,{"GENNAIO","FEBBRAIO","MARZO","APRILE","MAGGIO","GIUGNO","LUGLIO","AGOSTO","SETTEMBRE","OTTOBRE","NOVEMBRE","DICEMBRE"},0)</f>
        <v>9</v>
      </c>
      <c r="E4" s="57" t="str">
        <f t="shared" ref="E4" si="4">CONCATENATE(,B4," ",C4)</f>
        <v>SETTEMBRE 2026</v>
      </c>
      <c r="F4" s="57" t="str">
        <f t="shared" ref="F4" si="5">CONCATENATE(D4," ",E4)</f>
        <v>9 SETTEMBRE 2026</v>
      </c>
      <c r="G4" s="59" t="s">
        <v>94</v>
      </c>
      <c r="H4" s="59" t="str">
        <f>VLOOKUP(G4,CATEGORIE!$H$3:$I$55,2,FALSE)</f>
        <v>COSTO SVAGHI</v>
      </c>
      <c r="I4" s="59">
        <v>43.2</v>
      </c>
      <c r="J4" s="59"/>
      <c r="K4" s="59"/>
      <c r="L4" s="59"/>
    </row>
    <row r="5" spans="1:12">
      <c r="A5" s="57" t="s">
        <v>503</v>
      </c>
      <c r="B5" s="57" t="s">
        <v>240</v>
      </c>
      <c r="C5" s="57">
        <v>2026</v>
      </c>
      <c r="D5" s="58">
        <f>MATCH(B5,{"GENNAIO","FEBBRAIO","MARZO","APRILE","MAGGIO","GIUGNO","LUGLIO","AGOSTO","SETTEMBRE","OTTOBRE","NOVEMBRE","DICEMBRE"},0)</f>
        <v>9</v>
      </c>
      <c r="E5" s="57" t="str">
        <f t="shared" ref="E5" si="6">CONCATENATE(,B5," ",C5)</f>
        <v>SETTEMBRE 2026</v>
      </c>
      <c r="F5" s="57" t="str">
        <f t="shared" ref="F5" si="7">CONCATENATE(D5," ",E5)</f>
        <v>9 SETTEMBRE 2026</v>
      </c>
      <c r="G5" s="59" t="s">
        <v>94</v>
      </c>
      <c r="H5" s="59" t="str">
        <f>VLOOKUP(G5,CATEGORIE!$H$3:$I$55,2,FALSE)</f>
        <v>COSTO SVAGHI</v>
      </c>
      <c r="I5" s="59">
        <v>29.99</v>
      </c>
      <c r="J5" s="59"/>
      <c r="K5" s="59"/>
      <c r="L5" s="59"/>
    </row>
    <row r="6" spans="1:12">
      <c r="A6" s="57" t="s">
        <v>95</v>
      </c>
      <c r="B6" s="57" t="s">
        <v>240</v>
      </c>
      <c r="C6" s="57">
        <v>2026</v>
      </c>
      <c r="D6" s="58">
        <f>MATCH(B6,{"GENNAIO","FEBBRAIO","MARZO","APRILE","MAGGIO","GIUGNO","LUGLIO","AGOSTO","SETTEMBRE","OTTOBRE","NOVEMBRE","DICEMBRE"},0)</f>
        <v>9</v>
      </c>
      <c r="E6" s="57" t="str">
        <f t="shared" ref="E6" si="8">CONCATENATE(,B6," ",C6)</f>
        <v>SETTEMBRE 2026</v>
      </c>
      <c r="F6" s="57" t="str">
        <f t="shared" ref="F6" si="9">CONCATENATE(D6," ",E6)</f>
        <v>9 SETTEMBRE 2026</v>
      </c>
      <c r="G6" s="1309" t="s">
        <v>96</v>
      </c>
      <c r="H6" s="1309" t="str">
        <f>VLOOKUP(G6,CATEGORIE!$H$3:$I$55,2,FALSE)</f>
        <v>COSTO SOPRAVVIVENZA</v>
      </c>
      <c r="I6" s="59">
        <v>16.28</v>
      </c>
      <c r="J6" s="940"/>
      <c r="K6" s="59"/>
      <c r="L6" s="59"/>
    </row>
    <row r="7" spans="1:12">
      <c r="A7" s="57" t="s">
        <v>1395</v>
      </c>
      <c r="B7" s="57" t="s">
        <v>240</v>
      </c>
      <c r="C7" s="57">
        <v>2026</v>
      </c>
      <c r="D7" s="58">
        <f>MATCH(B7,{"GENNAIO","FEBBRAIO","MARZO","APRILE","MAGGIO","GIUGNO","LUGLIO","AGOSTO","SETTEMBRE","OTTOBRE","NOVEMBRE","DICEMBRE"},0)</f>
        <v>9</v>
      </c>
      <c r="E7" s="57" t="str">
        <f t="shared" ref="E7" si="10">CONCATENATE(,B7," ",C7)</f>
        <v>SETTEMBRE 2026</v>
      </c>
      <c r="F7" s="57" t="str">
        <f t="shared" ref="F7" si="11">CONCATENATE(D7," ",E7)</f>
        <v>9 SETTEMBRE 2026</v>
      </c>
      <c r="G7" s="59" t="s">
        <v>94</v>
      </c>
      <c r="H7" s="59" t="str">
        <f>VLOOKUP(G7,CATEGORIE!$H$3:$I$55,2,FALSE)</f>
        <v>COSTO SVAGHI</v>
      </c>
      <c r="I7" s="59">
        <v>12.8</v>
      </c>
      <c r="J7" s="59"/>
      <c r="K7" s="59"/>
      <c r="L7" s="59" t="s">
        <v>1388</v>
      </c>
    </row>
    <row r="8" spans="1:12">
      <c r="A8" s="57" t="s">
        <v>214</v>
      </c>
      <c r="B8" s="57" t="s">
        <v>240</v>
      </c>
      <c r="C8" s="57">
        <v>2026</v>
      </c>
      <c r="D8" s="58">
        <f>MATCH(B8,{"GENNAIO","FEBBRAIO","MARZO","APRILE","MAGGIO","GIUGNO","LUGLIO","AGOSTO","SETTEMBRE","OTTOBRE","NOVEMBRE","DICEMBRE"},0)</f>
        <v>9</v>
      </c>
      <c r="E8" s="57" t="str">
        <f t="shared" ref="E8" si="12">CONCATENATE(,B8," ",C8)</f>
        <v>SETTEMBRE 2026</v>
      </c>
      <c r="F8" s="57" t="str">
        <f t="shared" ref="F8" si="13">CONCATENATE(D8," ",E8)</f>
        <v>9 SETTEMBRE 2026</v>
      </c>
      <c r="G8" s="1309" t="s">
        <v>100</v>
      </c>
      <c r="H8" s="59" t="str">
        <f>VLOOKUP(G8,CATEGORIE!$H$3:$I$55,2,FALSE)</f>
        <v>COSTO SFIZI</v>
      </c>
      <c r="I8" s="60">
        <v>12.49</v>
      </c>
      <c r="J8" s="940"/>
      <c r="K8" s="59"/>
      <c r="L8" s="59"/>
    </row>
    <row r="9" spans="1:12">
      <c r="A9" s="57" t="s">
        <v>1394</v>
      </c>
      <c r="B9" s="57" t="s">
        <v>240</v>
      </c>
      <c r="C9" s="57">
        <v>2026</v>
      </c>
      <c r="D9" s="58">
        <f>MATCH(B9,{"GENNAIO","FEBBRAIO","MARZO","APRILE","MAGGIO","GIUGNO","LUGLIO","AGOSTO","SETTEMBRE","OTTOBRE","NOVEMBRE","DICEMBRE"},0)</f>
        <v>9</v>
      </c>
      <c r="E9" s="57" t="str">
        <f t="shared" ref="E9" si="14">CONCATENATE(,B9," ",C9)</f>
        <v>SETTEMBRE 2026</v>
      </c>
      <c r="F9" s="57" t="str">
        <f t="shared" ref="F9" si="15">CONCATENATE(D9," ",E9)</f>
        <v>9 SETTEMBRE 2026</v>
      </c>
      <c r="G9" s="59" t="s">
        <v>785</v>
      </c>
      <c r="H9" s="59" t="str">
        <f>VLOOKUP(G9,CATEGORIE!$H$3:$I$55,2,FALSE)</f>
        <v>COSTO MOBILITA'</v>
      </c>
      <c r="I9" s="59">
        <v>65.040000000000006</v>
      </c>
      <c r="J9" s="59"/>
      <c r="K9" s="59"/>
      <c r="L9" s="59" t="s">
        <v>1388</v>
      </c>
    </row>
    <row r="10" spans="1:12">
      <c r="A10" s="57" t="s">
        <v>1393</v>
      </c>
      <c r="B10" s="57" t="s">
        <v>240</v>
      </c>
      <c r="C10" s="57">
        <v>2026</v>
      </c>
      <c r="D10" s="58">
        <f>MATCH(B10,{"GENNAIO","FEBBRAIO","MARZO","APRILE","MAGGIO","GIUGNO","LUGLIO","AGOSTO","SETTEMBRE","OTTOBRE","NOVEMBRE","DICEMBRE"},0)</f>
        <v>9</v>
      </c>
      <c r="E10" s="57" t="str">
        <f t="shared" ref="E10" si="16">CONCATENATE(,B10," ",C10)</f>
        <v>SETTEMBRE 2026</v>
      </c>
      <c r="F10" s="57" t="str">
        <f t="shared" ref="F10" si="17">CONCATENATE(D10," ",E10)</f>
        <v>9 SETTEMBRE 2026</v>
      </c>
      <c r="G10" s="59" t="s">
        <v>418</v>
      </c>
      <c r="H10" s="59" t="str">
        <f>VLOOKUP(G10,CATEGORIE!$H$3:$I$55,2,FALSE)</f>
        <v>COSTO SOPRAVVIVENZA</v>
      </c>
      <c r="I10" s="59">
        <v>37</v>
      </c>
      <c r="J10" s="59"/>
      <c r="K10" s="59"/>
      <c r="L10" s="59"/>
    </row>
    <row r="11" spans="1:12">
      <c r="A11" s="57" t="s">
        <v>1392</v>
      </c>
      <c r="B11" s="57" t="s">
        <v>240</v>
      </c>
      <c r="C11" s="57">
        <v>2026</v>
      </c>
      <c r="D11" s="58">
        <f>MATCH(B11,{"GENNAIO","FEBBRAIO","MARZO","APRILE","MAGGIO","GIUGNO","LUGLIO","AGOSTO","SETTEMBRE","OTTOBRE","NOVEMBRE","DICEMBRE"},0)</f>
        <v>9</v>
      </c>
      <c r="E11" s="57" t="str">
        <f t="shared" ref="E11" si="18">CONCATENATE(,B11," ",C11)</f>
        <v>SETTEMBRE 2026</v>
      </c>
      <c r="F11" s="57" t="str">
        <f t="shared" ref="F11" si="19">CONCATENATE(D11," ",E11)</f>
        <v>9 SETTEMBRE 2026</v>
      </c>
      <c r="G11" s="59" t="s">
        <v>132</v>
      </c>
      <c r="H11" s="59" t="str">
        <f>VLOOKUP(G11,CATEGORIE!$H$3:$I$55,2,FALSE)</f>
        <v>COSTO CASA</v>
      </c>
      <c r="I11" s="59">
        <v>19.899999999999999</v>
      </c>
      <c r="J11" s="59"/>
      <c r="K11" s="59"/>
      <c r="L11" s="59"/>
    </row>
    <row r="12" spans="1:12">
      <c r="A12" s="57" t="s">
        <v>1341</v>
      </c>
      <c r="B12" s="57" t="s">
        <v>240</v>
      </c>
      <c r="C12" s="57">
        <v>2026</v>
      </c>
      <c r="D12" s="58">
        <f>MATCH(B12,{"GENNAIO","FEBBRAIO","MARZO","APRILE","MAGGIO","GIUGNO","LUGLIO","AGOSTO","SETTEMBRE","OTTOBRE","NOVEMBRE","DICEMBRE"},0)</f>
        <v>9</v>
      </c>
      <c r="E12" s="57" t="str">
        <f t="shared" ref="E12" si="20">CONCATENATE(,B12," ",C12)</f>
        <v>SETTEMBRE 2026</v>
      </c>
      <c r="F12" s="57" t="str">
        <f t="shared" ref="F12" si="21">CONCATENATE(D12," ",E12)</f>
        <v>9 SETTEMBRE 2026</v>
      </c>
      <c r="G12" s="59" t="s">
        <v>94</v>
      </c>
      <c r="H12" s="59" t="str">
        <f>VLOOKUP(G12,CATEGORIE!$H$3:$I$55,2,FALSE)</f>
        <v>COSTO SVAGHI</v>
      </c>
      <c r="I12" s="59">
        <v>20.99</v>
      </c>
      <c r="J12" s="59"/>
      <c r="K12" s="59"/>
      <c r="L12" s="59"/>
    </row>
    <row r="13" spans="1:12">
      <c r="A13" s="57" t="s">
        <v>95</v>
      </c>
      <c r="B13" s="57" t="s">
        <v>240</v>
      </c>
      <c r="C13" s="57">
        <v>2026</v>
      </c>
      <c r="D13" s="58">
        <f>MATCH(B13,{"GENNAIO","FEBBRAIO","MARZO","APRILE","MAGGIO","GIUGNO","LUGLIO","AGOSTO","SETTEMBRE","OTTOBRE","NOVEMBRE","DICEMBRE"},0)</f>
        <v>9</v>
      </c>
      <c r="E13" s="57" t="str">
        <f t="shared" ref="E13" si="22">CONCATENATE(,B13," ",C13)</f>
        <v>SETTEMBRE 2026</v>
      </c>
      <c r="F13" s="57" t="str">
        <f t="shared" ref="F13" si="23">CONCATENATE(D13," ",E13)</f>
        <v>9 SETTEMBRE 2026</v>
      </c>
      <c r="G13" s="1309" t="s">
        <v>96</v>
      </c>
      <c r="H13" s="1309" t="str">
        <f>VLOOKUP(G13,CATEGORIE!$H$3:$I$55,2,FALSE)</f>
        <v>COSTO SOPRAVVIVENZA</v>
      </c>
      <c r="I13" s="59">
        <v>92.63</v>
      </c>
      <c r="J13" s="940"/>
      <c r="K13" s="59"/>
      <c r="L13" s="59"/>
    </row>
    <row r="14" spans="1:12">
      <c r="A14" s="57" t="s">
        <v>1383</v>
      </c>
      <c r="B14" s="57" t="s">
        <v>240</v>
      </c>
      <c r="C14" s="57">
        <v>2026</v>
      </c>
      <c r="D14" s="58">
        <f>MATCH(B14,{"GENNAIO","FEBBRAIO","MARZO","APRILE","MAGGIO","GIUGNO","LUGLIO","AGOSTO","SETTEMBRE","OTTOBRE","NOVEMBRE","DICEMBRE"},0)</f>
        <v>9</v>
      </c>
      <c r="E14" s="57" t="str">
        <f t="shared" ref="E14" si="24">CONCATENATE(,B14," ",C14)</f>
        <v>SETTEMBRE 2026</v>
      </c>
      <c r="F14" s="57" t="str">
        <f t="shared" ref="F14" si="25">CONCATENATE(D14," ",E14)</f>
        <v>9 SETTEMBRE 2026</v>
      </c>
      <c r="G14" s="59" t="s">
        <v>121</v>
      </c>
      <c r="H14" s="59" t="str">
        <f>VLOOKUP(G14,CATEGORIE!$H$3:$I$55,2,FALSE)</f>
        <v>COSTO MOBILITA'</v>
      </c>
      <c r="I14" s="59">
        <v>418.09</v>
      </c>
      <c r="J14" s="59"/>
      <c r="K14" s="59"/>
      <c r="L14" s="59"/>
    </row>
    <row r="15" spans="1:12">
      <c r="A15" s="57" t="s">
        <v>102</v>
      </c>
      <c r="B15" s="57" t="s">
        <v>261</v>
      </c>
      <c r="C15" s="57">
        <v>2026</v>
      </c>
      <c r="D15" s="58">
        <f>MATCH(B15,{"GENNAIO","FEBBRAIO","MARZO","APRILE","MAGGIO","GIUGNO","LUGLIO","AGOSTO","SETTEMBRE","OTTOBRE","NOVEMBRE","DICEMBRE"},0)</f>
        <v>8</v>
      </c>
      <c r="E15" s="57" t="str">
        <f t="shared" ref="E15" si="26">CONCATENATE(,B15," ",C15)</f>
        <v>AGOSTO 2026</v>
      </c>
      <c r="F15" s="57" t="str">
        <f t="shared" ref="F15" si="27">CONCATENATE(D15," ",E15)</f>
        <v>8 AGOSTO 2026</v>
      </c>
      <c r="G15" s="59" t="s">
        <v>96</v>
      </c>
      <c r="H15" s="59" t="str">
        <f>VLOOKUP(G15,CATEGORIE!$H$3:$I$55,2,FALSE)</f>
        <v>COSTO SOPRAVVIVENZA</v>
      </c>
      <c r="I15" s="59">
        <v>5.26</v>
      </c>
      <c r="J15" s="59"/>
      <c r="K15" s="59"/>
      <c r="L15" s="59"/>
    </row>
    <row r="16" spans="1:12">
      <c r="A16" s="57" t="s">
        <v>131</v>
      </c>
      <c r="B16" s="57" t="s">
        <v>261</v>
      </c>
      <c r="C16" s="57">
        <v>2026</v>
      </c>
      <c r="D16" s="58">
        <f>MATCH(B16,{"GENNAIO","FEBBRAIO","MARZO","APRILE","MAGGIO","GIUGNO","LUGLIO","AGOSTO","SETTEMBRE","OTTOBRE","NOVEMBRE","DICEMBRE"},0)</f>
        <v>8</v>
      </c>
      <c r="E16" s="57" t="str">
        <f t="shared" ref="E16" si="28">CONCATENATE(,B16," ",C16)</f>
        <v>AGOSTO 2026</v>
      </c>
      <c r="F16" s="57" t="str">
        <f t="shared" ref="F16" si="29">CONCATENATE(D16," ",E16)</f>
        <v>8 AGOSTO 2026</v>
      </c>
      <c r="G16" s="59" t="s">
        <v>132</v>
      </c>
      <c r="H16" s="59" t="str">
        <f>VLOOKUP(G16,CATEGORIE!$H$3:$I$55,2,FALSE)</f>
        <v>COSTO CASA</v>
      </c>
      <c r="I16" s="59">
        <v>8.9499999999999993</v>
      </c>
      <c r="J16" s="59"/>
      <c r="K16" s="59"/>
      <c r="L16" s="59"/>
    </row>
    <row r="17" spans="1:12">
      <c r="A17" s="57" t="s">
        <v>1382</v>
      </c>
      <c r="B17" s="57" t="s">
        <v>261</v>
      </c>
      <c r="C17" s="57">
        <v>2026</v>
      </c>
      <c r="D17" s="58">
        <f>MATCH(B17,{"GENNAIO","FEBBRAIO","MARZO","APRILE","MAGGIO","GIUGNO","LUGLIO","AGOSTO","SETTEMBRE","OTTOBRE","NOVEMBRE","DICEMBRE"},0)</f>
        <v>8</v>
      </c>
      <c r="E17" s="57" t="str">
        <f t="shared" ref="E17" si="30">CONCATENATE(,B17," ",C17)</f>
        <v>AGOSTO 2026</v>
      </c>
      <c r="F17" s="57" t="str">
        <f t="shared" ref="F17" si="31">CONCATENATE(D17," ",E17)</f>
        <v>8 AGOSTO 2026</v>
      </c>
      <c r="G17" s="59" t="s">
        <v>94</v>
      </c>
      <c r="H17" s="59" t="str">
        <f>VLOOKUP(G17,CATEGORIE!$H$3:$I$55,2,FALSE)</f>
        <v>COSTO SVAGHI</v>
      </c>
      <c r="I17" s="59">
        <v>22</v>
      </c>
      <c r="J17" s="59"/>
      <c r="K17" s="59"/>
      <c r="L17" s="59"/>
    </row>
    <row r="18" spans="1:12">
      <c r="A18" s="57" t="s">
        <v>680</v>
      </c>
      <c r="B18" s="57" t="s">
        <v>261</v>
      </c>
      <c r="C18" s="57">
        <v>2026</v>
      </c>
      <c r="D18" s="58">
        <f>MATCH(B18,{"GENNAIO","FEBBRAIO","MARZO","APRILE","MAGGIO","GIUGNO","LUGLIO","AGOSTO","SETTEMBRE","OTTOBRE","NOVEMBRE","DICEMBRE"},0)</f>
        <v>8</v>
      </c>
      <c r="E18" s="57" t="str">
        <f t="shared" ref="E18" si="32">CONCATENATE(,B18," ",C18)</f>
        <v>AGOSTO 2026</v>
      </c>
      <c r="F18" s="57" t="str">
        <f t="shared" ref="F18" si="33">CONCATENATE(D18," ",E18)</f>
        <v>8 AGOSTO 2026</v>
      </c>
      <c r="G18" s="59" t="s">
        <v>132</v>
      </c>
      <c r="H18" s="59" t="str">
        <f>VLOOKUP(G18,CATEGORIE!$H$3:$I$55,2,FALSE)</f>
        <v>COSTO CASA</v>
      </c>
      <c r="I18" s="59">
        <v>14.3</v>
      </c>
      <c r="J18" s="59"/>
      <c r="K18" s="59"/>
      <c r="L18" s="59"/>
    </row>
    <row r="19" spans="1:12">
      <c r="A19" s="57" t="s">
        <v>626</v>
      </c>
      <c r="B19" s="57" t="s">
        <v>261</v>
      </c>
      <c r="C19" s="57">
        <v>2026</v>
      </c>
      <c r="D19" s="58">
        <f>MATCH(B19,{"GENNAIO","FEBBRAIO","MARZO","APRILE","MAGGIO","GIUGNO","LUGLIO","AGOSTO","SETTEMBRE","OTTOBRE","NOVEMBRE","DICEMBRE"},0)</f>
        <v>8</v>
      </c>
      <c r="E19" s="57" t="str">
        <f t="shared" ref="E19" si="34">CONCATENATE(,B19," ",C19)</f>
        <v>AGOSTO 2026</v>
      </c>
      <c r="F19" s="57" t="str">
        <f t="shared" ref="F19" si="35">CONCATENATE(D19," ",E19)</f>
        <v>8 AGOSTO 2026</v>
      </c>
      <c r="G19" s="59" t="s">
        <v>132</v>
      </c>
      <c r="H19" s="59" t="str">
        <f>VLOOKUP(G19,CATEGORIE!$H$3:$I$55,2,FALSE)</f>
        <v>COSTO CASA</v>
      </c>
      <c r="I19" s="59">
        <v>19</v>
      </c>
      <c r="J19" s="59"/>
      <c r="K19" s="59"/>
      <c r="L19" s="59"/>
    </row>
    <row r="20" spans="1:12">
      <c r="A20" s="57" t="s">
        <v>170</v>
      </c>
      <c r="B20" s="57" t="s">
        <v>261</v>
      </c>
      <c r="C20" s="57">
        <v>2026</v>
      </c>
      <c r="D20" s="58">
        <f>MATCH(B20,{"GENNAIO","FEBBRAIO","MARZO","APRILE","MAGGIO","GIUGNO","LUGLIO","AGOSTO","SETTEMBRE","OTTOBRE","NOVEMBRE","DICEMBRE"},0)</f>
        <v>8</v>
      </c>
      <c r="E20" s="57" t="str">
        <f t="shared" ref="E20" si="36">CONCATENATE(,B20," ",C20)</f>
        <v>AGOSTO 2026</v>
      </c>
      <c r="F20" s="57" t="str">
        <f t="shared" ref="F20" si="37">CONCATENATE(D20," ",E20)</f>
        <v>8 AGOSTO 2026</v>
      </c>
      <c r="G20" s="59" t="s">
        <v>132</v>
      </c>
      <c r="H20" s="59" t="str">
        <f>VLOOKUP(G20,CATEGORIE!$H$3:$I$55,2,FALSE)</f>
        <v>COSTO CASA</v>
      </c>
      <c r="I20" s="59">
        <v>11.6</v>
      </c>
      <c r="J20" s="59"/>
      <c r="K20" s="59"/>
      <c r="L20" s="59"/>
    </row>
    <row r="21" spans="1:12">
      <c r="A21" s="57" t="s">
        <v>527</v>
      </c>
      <c r="B21" s="57" t="s">
        <v>261</v>
      </c>
      <c r="C21" s="57">
        <v>2026</v>
      </c>
      <c r="D21" s="58">
        <f>MATCH(B21,{"GENNAIO","FEBBRAIO","MARZO","APRILE","MAGGIO","GIUGNO","LUGLIO","AGOSTO","SETTEMBRE","OTTOBRE","NOVEMBRE","DICEMBRE"},0)</f>
        <v>8</v>
      </c>
      <c r="E21" s="57" t="str">
        <f t="shared" ref="E21" si="38">CONCATENATE(,B21," ",C21)</f>
        <v>AGOSTO 2026</v>
      </c>
      <c r="F21" s="57" t="str">
        <f t="shared" ref="F21" si="39">CONCATENATE(D21," ",E21)</f>
        <v>8 AGOSTO 2026</v>
      </c>
      <c r="G21" s="59" t="s">
        <v>132</v>
      </c>
      <c r="H21" s="59" t="str">
        <f>VLOOKUP(G21,CATEGORIE!$H$3:$I$55,2,FALSE)</f>
        <v>COSTO CASA</v>
      </c>
      <c r="I21" s="59">
        <v>10.39</v>
      </c>
      <c r="J21" s="59"/>
      <c r="K21" s="59"/>
      <c r="L21" s="59"/>
    </row>
    <row r="22" spans="1:12">
      <c r="A22" s="57" t="s">
        <v>131</v>
      </c>
      <c r="B22" s="57" t="s">
        <v>261</v>
      </c>
      <c r="C22" s="57">
        <v>2026</v>
      </c>
      <c r="D22" s="58">
        <f>MATCH(B22,{"GENNAIO","FEBBRAIO","MARZO","APRILE","MAGGIO","GIUGNO","LUGLIO","AGOSTO","SETTEMBRE","OTTOBRE","NOVEMBRE","DICEMBRE"},0)</f>
        <v>8</v>
      </c>
      <c r="E22" s="57" t="str">
        <f t="shared" ref="E22" si="40">CONCATENATE(,B22," ",C22)</f>
        <v>AGOSTO 2026</v>
      </c>
      <c r="F22" s="57" t="str">
        <f t="shared" ref="F22" si="41">CONCATENATE(D22," ",E22)</f>
        <v>8 AGOSTO 2026</v>
      </c>
      <c r="G22" s="59" t="s">
        <v>132</v>
      </c>
      <c r="H22" s="59" t="str">
        <f>VLOOKUP(G22,CATEGORIE!$H$3:$I$55,2,FALSE)</f>
        <v>COSTO CASA</v>
      </c>
      <c r="I22" s="59">
        <v>63.9</v>
      </c>
      <c r="J22" s="59"/>
      <c r="K22" s="59"/>
      <c r="L22" s="59"/>
    </row>
    <row r="23" spans="1:12">
      <c r="A23" s="57" t="s">
        <v>105</v>
      </c>
      <c r="B23" s="57" t="s">
        <v>261</v>
      </c>
      <c r="C23" s="57">
        <v>2026</v>
      </c>
      <c r="D23" s="58">
        <f>MATCH(B23,{"GENNAIO","FEBBRAIO","MARZO","APRILE","MAGGIO","GIUGNO","LUGLIO","AGOSTO","SETTEMBRE","OTTOBRE","NOVEMBRE","DICEMBRE"},0)</f>
        <v>8</v>
      </c>
      <c r="E23" s="57" t="str">
        <f t="shared" ref="E23" si="42">CONCATENATE(,B23," ",C23)</f>
        <v>AGOSTO 2026</v>
      </c>
      <c r="F23" s="57" t="str">
        <f t="shared" ref="F23" si="43">CONCATENATE(D23," ",E23)</f>
        <v>8 AGOSTO 2026</v>
      </c>
      <c r="G23" s="59" t="s">
        <v>96</v>
      </c>
      <c r="H23" s="59" t="str">
        <f>VLOOKUP(G23,CATEGORIE!$H$3:$I$55,2,FALSE)</f>
        <v>COSTO SOPRAVVIVENZA</v>
      </c>
      <c r="I23" s="59">
        <v>7.95</v>
      </c>
      <c r="J23" s="59"/>
      <c r="K23" s="59"/>
      <c r="L23" s="59"/>
    </row>
    <row r="24" spans="1:12">
      <c r="A24" s="57" t="s">
        <v>170</v>
      </c>
      <c r="B24" s="57" t="s">
        <v>261</v>
      </c>
      <c r="C24" s="57">
        <v>2026</v>
      </c>
      <c r="D24" s="58">
        <f>MATCH(B24,{"GENNAIO","FEBBRAIO","MARZO","APRILE","MAGGIO","GIUGNO","LUGLIO","AGOSTO","SETTEMBRE","OTTOBRE","NOVEMBRE","DICEMBRE"},0)</f>
        <v>8</v>
      </c>
      <c r="E24" s="57" t="str">
        <f t="shared" ref="E24" si="44">CONCATENATE(,B24," ",C24)</f>
        <v>AGOSTO 2026</v>
      </c>
      <c r="F24" s="57" t="str">
        <f t="shared" ref="F24" si="45">CONCATENATE(D24," ",E24)</f>
        <v>8 AGOSTO 2026</v>
      </c>
      <c r="G24" s="59" t="s">
        <v>132</v>
      </c>
      <c r="H24" s="59" t="str">
        <f>VLOOKUP(G24,CATEGORIE!$H$3:$I$55,2,FALSE)</f>
        <v>COSTO CASA</v>
      </c>
      <c r="I24" s="59">
        <v>63.3</v>
      </c>
      <c r="J24" s="59"/>
      <c r="K24" s="59"/>
      <c r="L24" s="59"/>
    </row>
    <row r="25" spans="1:12">
      <c r="A25" s="57" t="s">
        <v>1376</v>
      </c>
      <c r="B25" s="57" t="s">
        <v>261</v>
      </c>
      <c r="C25" s="57">
        <v>2026</v>
      </c>
      <c r="D25" s="58">
        <f>MATCH(B25,{"GENNAIO","FEBBRAIO","MARZO","APRILE","MAGGIO","GIUGNO","LUGLIO","AGOSTO","SETTEMBRE","OTTOBRE","NOVEMBRE","DICEMBRE"},0)</f>
        <v>8</v>
      </c>
      <c r="E25" s="57" t="str">
        <f t="shared" ref="E25" si="46">CONCATENATE(,B25," ",C25)</f>
        <v>AGOSTO 2026</v>
      </c>
      <c r="F25" s="57" t="str">
        <f t="shared" ref="F25" si="47">CONCATENATE(D25," ",E25)</f>
        <v>8 AGOSTO 2026</v>
      </c>
      <c r="G25" s="59" t="s">
        <v>94</v>
      </c>
      <c r="H25" s="59" t="str">
        <f>VLOOKUP(G25,CATEGORIE!$H$3:$I$55,2,FALSE)</f>
        <v>COSTO SVAGHI</v>
      </c>
      <c r="I25" s="59">
        <v>84</v>
      </c>
      <c r="J25" s="59"/>
      <c r="K25" s="59"/>
      <c r="L25" s="59" t="s">
        <v>1358</v>
      </c>
    </row>
    <row r="26" spans="1:12">
      <c r="A26" s="57" t="s">
        <v>1375</v>
      </c>
      <c r="B26" s="57" t="s">
        <v>261</v>
      </c>
      <c r="C26" s="57">
        <v>2026</v>
      </c>
      <c r="D26" s="58">
        <f>MATCH(B26,{"GENNAIO","FEBBRAIO","MARZO","APRILE","MAGGIO","GIUGNO","LUGLIO","AGOSTO","SETTEMBRE","OTTOBRE","NOVEMBRE","DICEMBRE"},0)</f>
        <v>8</v>
      </c>
      <c r="E26" s="57" t="str">
        <f t="shared" ref="E26" si="48">CONCATENATE(,B26," ",C26)</f>
        <v>AGOSTO 2026</v>
      </c>
      <c r="F26" s="57" t="str">
        <f t="shared" ref="F26" si="49">CONCATENATE(D26," ",E26)</f>
        <v>8 AGOSTO 2026</v>
      </c>
      <c r="G26" s="59" t="s">
        <v>188</v>
      </c>
      <c r="H26" s="59" t="str">
        <f>VLOOKUP(G26,CATEGORIE!$H$3:$I$55,2,FALSE)</f>
        <v>COSTO VACANZE</v>
      </c>
      <c r="I26" s="59">
        <v>1852</v>
      </c>
      <c r="J26" s="59"/>
      <c r="K26" s="59"/>
      <c r="L26" s="59" t="s">
        <v>1358</v>
      </c>
    </row>
    <row r="27" spans="1:12">
      <c r="A27" s="57" t="s">
        <v>1341</v>
      </c>
      <c r="B27" s="57" t="s">
        <v>261</v>
      </c>
      <c r="C27" s="57">
        <v>2026</v>
      </c>
      <c r="D27" s="58">
        <f>MATCH(B27,{"GENNAIO","FEBBRAIO","MARZO","APRILE","MAGGIO","GIUGNO","LUGLIO","AGOSTO","SETTEMBRE","OTTOBRE","NOVEMBRE","DICEMBRE"},0)</f>
        <v>8</v>
      </c>
      <c r="E27" s="57" t="str">
        <f t="shared" ref="E27" si="50">CONCATENATE(,B27," ",C27)</f>
        <v>AGOSTO 2026</v>
      </c>
      <c r="F27" s="57" t="str">
        <f t="shared" ref="F27" si="51">CONCATENATE(D27," ",E27)</f>
        <v>8 AGOSTO 2026</v>
      </c>
      <c r="G27" s="59" t="s">
        <v>94</v>
      </c>
      <c r="H27" s="59" t="str">
        <f>VLOOKUP(G27,CATEGORIE!$H$3:$I$55,2,FALSE)</f>
        <v>COSTO SVAGHI</v>
      </c>
      <c r="I27" s="59">
        <v>20.99</v>
      </c>
      <c r="J27" s="59"/>
      <c r="K27" s="59"/>
      <c r="L27" s="59"/>
    </row>
    <row r="28" spans="1:12">
      <c r="A28" s="57" t="s">
        <v>1374</v>
      </c>
      <c r="B28" s="57" t="s">
        <v>261</v>
      </c>
      <c r="C28" s="57">
        <v>2026</v>
      </c>
      <c r="D28" s="58">
        <f>MATCH(B28,{"GENNAIO","FEBBRAIO","MARZO","APRILE","MAGGIO","GIUGNO","LUGLIO","AGOSTO","SETTEMBRE","OTTOBRE","NOVEMBRE","DICEMBRE"},0)</f>
        <v>8</v>
      </c>
      <c r="E28" s="57" t="str">
        <f t="shared" ref="E28" si="52">CONCATENATE(,B28," ",C28)</f>
        <v>AGOSTO 2026</v>
      </c>
      <c r="F28" s="57" t="str">
        <f t="shared" ref="F28:F29" si="53">CONCATENATE(D28," ",E28)</f>
        <v>8 AGOSTO 2026</v>
      </c>
      <c r="G28" s="1309" t="s">
        <v>111</v>
      </c>
      <c r="H28" s="1309" t="str">
        <f>VLOOKUP(G28,CATEGORIE!$H$3:$I$55,2,FALSE)</f>
        <v>COSTO MOBILITA'</v>
      </c>
      <c r="I28" s="59">
        <v>48</v>
      </c>
      <c r="J28" s="940"/>
      <c r="K28" s="59"/>
      <c r="L28" s="59" t="s">
        <v>1358</v>
      </c>
    </row>
    <row r="29" spans="1:12">
      <c r="A29" s="57" t="s">
        <v>1373</v>
      </c>
      <c r="B29" s="57" t="s">
        <v>261</v>
      </c>
      <c r="C29" s="57">
        <v>2026</v>
      </c>
      <c r="D29" s="58">
        <f>MATCH(B29,{"GENNAIO","FEBBRAIO","MARZO","APRILE","MAGGIO","GIUGNO","LUGLIO","AGOSTO","SETTEMBRE","OTTOBRE","NOVEMBRE","DICEMBRE"},0)</f>
        <v>8</v>
      </c>
      <c r="E29" s="57" t="str">
        <f t="shared" ref="E29" si="54">CONCATENATE(,B29," ",C29)</f>
        <v>AGOSTO 2026</v>
      </c>
      <c r="F29" s="57" t="str">
        <f t="shared" si="53"/>
        <v>8 AGOSTO 2026</v>
      </c>
      <c r="G29" s="59" t="s">
        <v>94</v>
      </c>
      <c r="H29" s="59" t="str">
        <f>VLOOKUP(G29,CATEGORIE!$H$3:$I$55,2,FALSE)</f>
        <v>COSTO SVAGHI</v>
      </c>
      <c r="I29" s="59">
        <v>107</v>
      </c>
      <c r="J29" s="59"/>
      <c r="K29" s="59"/>
      <c r="L29" s="59" t="s">
        <v>1358</v>
      </c>
    </row>
    <row r="30" spans="1:12">
      <c r="A30" s="57" t="s">
        <v>1372</v>
      </c>
      <c r="B30" s="57" t="s">
        <v>261</v>
      </c>
      <c r="C30" s="57">
        <v>2026</v>
      </c>
      <c r="D30" s="58">
        <f>MATCH(B30,{"GENNAIO","FEBBRAIO","MARZO","APRILE","MAGGIO","GIUGNO","LUGLIO","AGOSTO","SETTEMBRE","OTTOBRE","NOVEMBRE","DICEMBRE"},0)</f>
        <v>8</v>
      </c>
      <c r="E30" s="57" t="str">
        <f t="shared" ref="E30" si="55">CONCATENATE(,B30," ",C30)</f>
        <v>AGOSTO 2026</v>
      </c>
      <c r="F30" s="57" t="str">
        <f t="shared" ref="F30" si="56">CONCATENATE(D30," ",E30)</f>
        <v>8 AGOSTO 2026</v>
      </c>
      <c r="G30" s="59" t="s">
        <v>94</v>
      </c>
      <c r="H30" s="59" t="str">
        <f>VLOOKUP(G30,CATEGORIE!$H$3:$I$55,2,FALSE)</f>
        <v>COSTO SVAGHI</v>
      </c>
      <c r="I30" s="59">
        <v>85</v>
      </c>
      <c r="J30" s="59"/>
      <c r="K30" s="59"/>
      <c r="L30" s="59"/>
    </row>
    <row r="31" spans="1:12">
      <c r="A31" s="57" t="s">
        <v>160</v>
      </c>
      <c r="B31" s="57" t="s">
        <v>288</v>
      </c>
      <c r="C31" s="57">
        <v>2026</v>
      </c>
      <c r="D31" s="58">
        <f>MATCH(B31,{"GENNAIO","FEBBRAIO","MARZO","APRILE","MAGGIO","GIUGNO","LUGLIO","AGOSTO","SETTEMBRE","OTTOBRE","NOVEMBRE","DICEMBRE"},0)</f>
        <v>7</v>
      </c>
      <c r="E31" s="57" t="str">
        <f t="shared" ref="E31" si="57">CONCATENATE(,B31," ",C31)</f>
        <v>LUGLIO 2026</v>
      </c>
      <c r="F31" s="57" t="str">
        <f t="shared" ref="F31" si="58">CONCATENATE(D31," ",E31)</f>
        <v>7 LUGLIO 2026</v>
      </c>
      <c r="G31" s="1309" t="s">
        <v>111</v>
      </c>
      <c r="H31" s="1309" t="str">
        <f>VLOOKUP(G31,CATEGORIE!$H$3:$I$55,2,FALSE)</f>
        <v>COSTO MOBILITA'</v>
      </c>
      <c r="I31" s="59">
        <v>6</v>
      </c>
      <c r="J31" s="940"/>
      <c r="K31" s="59"/>
      <c r="L31" s="59"/>
    </row>
    <row r="32" spans="1:12">
      <c r="A32" s="57" t="s">
        <v>160</v>
      </c>
      <c r="B32" s="57" t="s">
        <v>288</v>
      </c>
      <c r="C32" s="57">
        <v>2026</v>
      </c>
      <c r="D32" s="58">
        <f>MATCH(B32,{"GENNAIO","FEBBRAIO","MARZO","APRILE","MAGGIO","GIUGNO","LUGLIO","AGOSTO","SETTEMBRE","OTTOBRE","NOVEMBRE","DICEMBRE"},0)</f>
        <v>7</v>
      </c>
      <c r="E32" s="57" t="str">
        <f t="shared" ref="E32" si="59">CONCATENATE(,B32," ",C32)</f>
        <v>LUGLIO 2026</v>
      </c>
      <c r="F32" s="57" t="str">
        <f t="shared" ref="F32" si="60">CONCATENATE(D32," ",E32)</f>
        <v>7 LUGLIO 2026</v>
      </c>
      <c r="G32" s="1309" t="s">
        <v>111</v>
      </c>
      <c r="H32" s="1309" t="str">
        <f>VLOOKUP(G32,CATEGORIE!$H$3:$I$55,2,FALSE)</f>
        <v>COSTO MOBILITA'</v>
      </c>
      <c r="I32" s="59">
        <v>5.3</v>
      </c>
      <c r="J32" s="940"/>
      <c r="K32" s="59"/>
      <c r="L32" s="59"/>
    </row>
    <row r="33" spans="1:12">
      <c r="A33" s="57" t="s">
        <v>673</v>
      </c>
      <c r="B33" s="57" t="s">
        <v>288</v>
      </c>
      <c r="C33" s="57">
        <v>2026</v>
      </c>
      <c r="D33" s="58">
        <f>MATCH(B33,{"GENNAIO","FEBBRAIO","MARZO","APRILE","MAGGIO","GIUGNO","LUGLIO","AGOSTO","SETTEMBRE","OTTOBRE","NOVEMBRE","DICEMBRE"},0)</f>
        <v>7</v>
      </c>
      <c r="E33" s="57" t="str">
        <f t="shared" ref="E33:E35" si="61">CONCATENATE(,B33," ",C33)</f>
        <v>LUGLIO 2026</v>
      </c>
      <c r="F33" s="57" t="str">
        <f t="shared" ref="F33:F35" si="62">CONCATENATE(D33," ",E33)</f>
        <v>7 LUGLIO 2026</v>
      </c>
      <c r="G33" s="59" t="s">
        <v>116</v>
      </c>
      <c r="H33" s="59" t="str">
        <f>VLOOKUP(G33,CATEGORIE!$H$3:$I$55,2,FALSE)</f>
        <v>TASSE</v>
      </c>
      <c r="I33" s="59">
        <v>0.9</v>
      </c>
      <c r="J33" s="59"/>
      <c r="K33" s="59"/>
      <c r="L33" s="59" t="s">
        <v>1298</v>
      </c>
    </row>
    <row r="34" spans="1:12">
      <c r="A34" s="57" t="s">
        <v>1341</v>
      </c>
      <c r="B34" s="57" t="s">
        <v>288</v>
      </c>
      <c r="C34" s="57">
        <v>2026</v>
      </c>
      <c r="D34" s="58">
        <f>MATCH(B34,{"GENNAIO","FEBBRAIO","MARZO","APRILE","MAGGIO","GIUGNO","LUGLIO","AGOSTO","SETTEMBRE","OTTOBRE","NOVEMBRE","DICEMBRE"},0)</f>
        <v>7</v>
      </c>
      <c r="E34" s="57" t="str">
        <f t="shared" si="61"/>
        <v>LUGLIO 2026</v>
      </c>
      <c r="F34" s="57" t="str">
        <f t="shared" si="62"/>
        <v>7 LUGLIO 2026</v>
      </c>
      <c r="G34" s="59" t="s">
        <v>94</v>
      </c>
      <c r="H34" s="59" t="str">
        <f>VLOOKUP(G34,CATEGORIE!$H$3:$I$55,2,FALSE)</f>
        <v>COSTO SVAGHI</v>
      </c>
      <c r="I34" s="59">
        <v>20.99</v>
      </c>
      <c r="J34" s="59"/>
      <c r="K34" s="59"/>
      <c r="L34" s="59"/>
    </row>
    <row r="35" spans="1:12">
      <c r="A35" s="57" t="s">
        <v>1293</v>
      </c>
      <c r="B35" s="57" t="s">
        <v>288</v>
      </c>
      <c r="C35" s="57">
        <v>2026</v>
      </c>
      <c r="D35" s="58">
        <f>MATCH(B35,{"GENNAIO","FEBBRAIO","MARZO","APRILE","MAGGIO","GIUGNO","LUGLIO","AGOSTO","SETTEMBRE","OTTOBRE","NOVEMBRE","DICEMBRE"},0)</f>
        <v>7</v>
      </c>
      <c r="E35" s="57" t="str">
        <f t="shared" si="61"/>
        <v>LUGLIO 2026</v>
      </c>
      <c r="F35" s="57" t="str">
        <f t="shared" si="62"/>
        <v>7 LUGLIO 2026</v>
      </c>
      <c r="G35" s="59" t="s">
        <v>185</v>
      </c>
      <c r="H35" s="59" t="str">
        <f>VLOOKUP(G35,CATEGORIE!$H$3:$I$55,2,FALSE)</f>
        <v>COSTO SFIZI</v>
      </c>
      <c r="I35" s="59">
        <v>128.44999999999999</v>
      </c>
      <c r="J35" s="59"/>
      <c r="K35" s="59"/>
      <c r="L35" s="59" t="s">
        <v>1298</v>
      </c>
    </row>
    <row r="36" spans="1:12">
      <c r="A36" s="57" t="s">
        <v>130</v>
      </c>
      <c r="B36" s="57" t="s">
        <v>288</v>
      </c>
      <c r="C36" s="57">
        <v>2026</v>
      </c>
      <c r="D36" s="58">
        <f>MATCH(B36,{"GENNAIO","FEBBRAIO","MARZO","APRILE","MAGGIO","GIUGNO","LUGLIO","AGOSTO","SETTEMBRE","OTTOBRE","NOVEMBRE","DICEMBRE"},0)</f>
        <v>7</v>
      </c>
      <c r="E36" s="57" t="str">
        <f t="shared" ref="E36" si="63">CONCATENATE(,B36," ",C36)</f>
        <v>LUGLIO 2026</v>
      </c>
      <c r="F36" s="57" t="str">
        <f t="shared" ref="F36" si="64">CONCATENATE(D36," ",E36)</f>
        <v>7 LUGLIO 2026</v>
      </c>
      <c r="G36" s="1309" t="s">
        <v>94</v>
      </c>
      <c r="H36" s="1309" t="str">
        <f>VLOOKUP(G36,CATEGORIE!$H$3:$I$104,2,FALSE)</f>
        <v>COSTO SVAGHI</v>
      </c>
      <c r="I36" s="59">
        <v>14.5</v>
      </c>
      <c r="J36" s="940"/>
      <c r="K36" s="59"/>
      <c r="L36" s="59"/>
    </row>
    <row r="37" spans="1:12">
      <c r="A37" s="57" t="s">
        <v>528</v>
      </c>
      <c r="B37" s="57" t="s">
        <v>288</v>
      </c>
      <c r="C37" s="57">
        <v>2026</v>
      </c>
      <c r="D37" s="58">
        <f>MATCH(B37,{"GENNAIO","FEBBRAIO","MARZO","APRILE","MAGGIO","GIUGNO","LUGLIO","AGOSTO","SETTEMBRE","OTTOBRE","NOVEMBRE","DICEMBRE"},0)</f>
        <v>7</v>
      </c>
      <c r="E37" s="57" t="str">
        <f t="shared" ref="E37:E39" si="65">CONCATENATE(,B37," ",C37)</f>
        <v>LUGLIO 2026</v>
      </c>
      <c r="F37" s="57" t="str">
        <f t="shared" ref="F37:F39" si="66">CONCATENATE(D37," ",E37)</f>
        <v>7 LUGLIO 2026</v>
      </c>
      <c r="G37" s="1309" t="s">
        <v>94</v>
      </c>
      <c r="H37" s="1309" t="str">
        <f>VLOOKUP(G37,CATEGORIE!$H$3:$I$104,2,FALSE)</f>
        <v>COSTO SVAGHI</v>
      </c>
      <c r="I37" s="59">
        <v>38</v>
      </c>
      <c r="J37" s="940"/>
      <c r="K37" s="59"/>
      <c r="L37" s="59"/>
    </row>
    <row r="38" spans="1:12">
      <c r="A38" s="57" t="s">
        <v>95</v>
      </c>
      <c r="B38" s="57" t="s">
        <v>288</v>
      </c>
      <c r="C38" s="57">
        <v>2026</v>
      </c>
      <c r="D38" s="58">
        <f>MATCH(B38,{"GENNAIO","FEBBRAIO","MARZO","APRILE","MAGGIO","GIUGNO","LUGLIO","AGOSTO","SETTEMBRE","OTTOBRE","NOVEMBRE","DICEMBRE"},0)</f>
        <v>7</v>
      </c>
      <c r="E38" s="57" t="str">
        <f t="shared" si="65"/>
        <v>LUGLIO 2026</v>
      </c>
      <c r="F38" s="57" t="str">
        <f t="shared" si="66"/>
        <v>7 LUGLIO 2026</v>
      </c>
      <c r="G38" s="1309" t="s">
        <v>96</v>
      </c>
      <c r="H38" s="1309" t="str">
        <f>VLOOKUP(G38,CATEGORIE!$H$3:$I$55,2,FALSE)</f>
        <v>COSTO SOPRAVVIVENZA</v>
      </c>
      <c r="I38" s="59">
        <v>16.8</v>
      </c>
      <c r="J38" s="940"/>
      <c r="K38" s="59"/>
      <c r="L38" s="59"/>
    </row>
    <row r="39" spans="1:12">
      <c r="A39" s="57" t="s">
        <v>130</v>
      </c>
      <c r="B39" s="57" t="s">
        <v>314</v>
      </c>
      <c r="C39" s="57">
        <v>2026</v>
      </c>
      <c r="D39" s="58">
        <f>MATCH(B39,{"GENNAIO","FEBBRAIO","MARZO","APRILE","MAGGIO","GIUGNO","LUGLIO","AGOSTO","SETTEMBRE","OTTOBRE","NOVEMBRE","DICEMBRE"},0)</f>
        <v>6</v>
      </c>
      <c r="E39" s="57" t="str">
        <f t="shared" si="65"/>
        <v>GIUGNO 2026</v>
      </c>
      <c r="F39" s="57" t="str">
        <f t="shared" si="66"/>
        <v>6 GIUGNO 2026</v>
      </c>
      <c r="G39" s="1309" t="s">
        <v>94</v>
      </c>
      <c r="H39" s="1309" t="str">
        <f>VLOOKUP(G39,CATEGORIE!$H$3:$I$104,2,FALSE)</f>
        <v>COSTO SVAGHI</v>
      </c>
      <c r="I39" s="59">
        <v>18.5</v>
      </c>
      <c r="J39" s="940"/>
      <c r="K39" s="59"/>
      <c r="L39" s="59"/>
    </row>
    <row r="40" spans="1:12">
      <c r="A40" s="57" t="s">
        <v>464</v>
      </c>
      <c r="B40" s="57" t="s">
        <v>314</v>
      </c>
      <c r="C40" s="57">
        <v>2026</v>
      </c>
      <c r="D40" s="58">
        <f>MATCH(B40,{"GENNAIO","FEBBRAIO","MARZO","APRILE","MAGGIO","GIUGNO","LUGLIO","AGOSTO","SETTEMBRE","OTTOBRE","NOVEMBRE","DICEMBRE"},0)</f>
        <v>6</v>
      </c>
      <c r="E40" s="57" t="str">
        <f t="shared" ref="E40" si="67">CONCATENATE(,B40," ",C40)</f>
        <v>GIUGNO 2026</v>
      </c>
      <c r="F40" s="57" t="str">
        <f t="shared" ref="F40" si="68">CONCATENATE(D40," ",E40)</f>
        <v>6 GIUGNO 2026</v>
      </c>
      <c r="G40" s="1309" t="s">
        <v>94</v>
      </c>
      <c r="H40" s="1309" t="str">
        <f>VLOOKUP(G40,CATEGORIE!$H$3:$I$104,2,FALSE)</f>
        <v>COSTO SVAGHI</v>
      </c>
      <c r="I40" s="59">
        <v>6.7</v>
      </c>
      <c r="J40" s="940"/>
      <c r="K40" s="59"/>
      <c r="L40" s="59"/>
    </row>
    <row r="41" spans="1:12">
      <c r="A41" s="57" t="s">
        <v>464</v>
      </c>
      <c r="B41" s="57" t="s">
        <v>314</v>
      </c>
      <c r="C41" s="57">
        <v>2026</v>
      </c>
      <c r="D41" s="58">
        <f>MATCH(B41,{"GENNAIO","FEBBRAIO","MARZO","APRILE","MAGGIO","GIUGNO","LUGLIO","AGOSTO","SETTEMBRE","OTTOBRE","NOVEMBRE","DICEMBRE"},0)</f>
        <v>6</v>
      </c>
      <c r="E41" s="57" t="str">
        <f t="shared" ref="E41" si="69">CONCATENATE(,B41," ",C41)</f>
        <v>GIUGNO 2026</v>
      </c>
      <c r="F41" s="57" t="str">
        <f t="shared" ref="F41" si="70">CONCATENATE(D41," ",E41)</f>
        <v>6 GIUGNO 2026</v>
      </c>
      <c r="G41" s="1309" t="s">
        <v>94</v>
      </c>
      <c r="H41" s="1309" t="str">
        <f>VLOOKUP(G41,CATEGORIE!$H$3:$I$104,2,FALSE)</f>
        <v>COSTO SVAGHI</v>
      </c>
      <c r="I41" s="59">
        <v>16.7</v>
      </c>
      <c r="J41" s="940"/>
      <c r="K41" s="59"/>
      <c r="L41" s="59"/>
    </row>
    <row r="42" spans="1:12">
      <c r="A42" s="57" t="s">
        <v>130</v>
      </c>
      <c r="B42" s="57" t="s">
        <v>314</v>
      </c>
      <c r="C42" s="57">
        <v>2026</v>
      </c>
      <c r="D42" s="58">
        <f>MATCH(B42,{"GENNAIO","FEBBRAIO","MARZO","APRILE","MAGGIO","GIUGNO","LUGLIO","AGOSTO","SETTEMBRE","OTTOBRE","NOVEMBRE","DICEMBRE"},0)</f>
        <v>6</v>
      </c>
      <c r="E42" s="57" t="str">
        <f t="shared" ref="E42" si="71">CONCATENATE(,B42," ",C42)</f>
        <v>GIUGNO 2026</v>
      </c>
      <c r="F42" s="57" t="str">
        <f t="shared" ref="F42" si="72">CONCATENATE(D42," ",E42)</f>
        <v>6 GIUGNO 2026</v>
      </c>
      <c r="G42" s="59" t="s">
        <v>94</v>
      </c>
      <c r="H42" s="59" t="str">
        <f>VLOOKUP(G42,CATEGORIE!$H$3:$I$55,2,FALSE)</f>
        <v>COSTO SVAGHI</v>
      </c>
      <c r="I42" s="59">
        <v>22</v>
      </c>
      <c r="J42" s="59"/>
      <c r="K42" s="59"/>
      <c r="L42" s="59"/>
    </row>
    <row r="43" spans="1:12">
      <c r="A43" s="57" t="s">
        <v>102</v>
      </c>
      <c r="B43" s="57" t="s">
        <v>314</v>
      </c>
      <c r="C43" s="57">
        <v>2026</v>
      </c>
      <c r="D43" s="58">
        <f>MATCH(B43,{"GENNAIO","FEBBRAIO","MARZO","APRILE","MAGGIO","GIUGNO","LUGLIO","AGOSTO","SETTEMBRE","OTTOBRE","NOVEMBRE","DICEMBRE"},0)</f>
        <v>6</v>
      </c>
      <c r="E43" s="57" t="str">
        <f t="shared" ref="E43" si="73">CONCATENATE(,B43," ",C43)</f>
        <v>GIUGNO 2026</v>
      </c>
      <c r="F43" s="57" t="str">
        <f t="shared" ref="F43" si="74">CONCATENATE(D43," ",E43)</f>
        <v>6 GIUGNO 2026</v>
      </c>
      <c r="G43" s="59" t="s">
        <v>96</v>
      </c>
      <c r="H43" s="59" t="str">
        <f>VLOOKUP(G43,CATEGORIE!$H$3:$I$55,2,FALSE)</f>
        <v>COSTO SOPRAVVIVENZA</v>
      </c>
      <c r="I43" s="59">
        <v>25.15</v>
      </c>
      <c r="J43" s="59"/>
      <c r="K43" s="59"/>
      <c r="L43" s="59"/>
    </row>
    <row r="44" spans="1:12">
      <c r="A44" s="57" t="s">
        <v>670</v>
      </c>
      <c r="B44" s="57" t="s">
        <v>314</v>
      </c>
      <c r="C44" s="57">
        <v>2026</v>
      </c>
      <c r="D44" s="58">
        <f>MATCH(B44,{"GENNAIO","FEBBRAIO","MARZO","APRILE","MAGGIO","GIUGNO","LUGLIO","AGOSTO","SETTEMBRE","OTTOBRE","NOVEMBRE","DICEMBRE"},0)</f>
        <v>6</v>
      </c>
      <c r="E44" s="57" t="str">
        <f t="shared" ref="E44" si="75">CONCATENATE(,B44," ",C44)</f>
        <v>GIUGNO 2026</v>
      </c>
      <c r="F44" s="57" t="str">
        <f t="shared" ref="F44" si="76">CONCATENATE(D44," ",E44)</f>
        <v>6 GIUGNO 2026</v>
      </c>
      <c r="G44" s="59" t="s">
        <v>116</v>
      </c>
      <c r="H44" s="59" t="str">
        <f>VLOOKUP(G44,CATEGORIE!$H$3:$I$55,2,FALSE)</f>
        <v>TASSE</v>
      </c>
      <c r="I44" s="59">
        <v>44</v>
      </c>
      <c r="J44" s="59"/>
      <c r="K44" s="59"/>
      <c r="L44" s="59" t="s">
        <v>671</v>
      </c>
    </row>
    <row r="45" spans="1:12">
      <c r="A45" s="57" t="s">
        <v>670</v>
      </c>
      <c r="B45" s="57" t="s">
        <v>314</v>
      </c>
      <c r="C45" s="57">
        <v>2026</v>
      </c>
      <c r="D45" s="58">
        <f>MATCH(B45,{"GENNAIO","FEBBRAIO","MARZO","APRILE","MAGGIO","GIUGNO","LUGLIO","AGOSTO","SETTEMBRE","OTTOBRE","NOVEMBRE","DICEMBRE"},0)</f>
        <v>6</v>
      </c>
      <c r="E45" s="57" t="str">
        <f t="shared" ref="E45" si="77">CONCATENATE(,B45," ",C45)</f>
        <v>GIUGNO 2026</v>
      </c>
      <c r="F45" s="57" t="str">
        <f t="shared" ref="F45" si="78">CONCATENATE(D45," ",E45)</f>
        <v>6 GIUGNO 2026</v>
      </c>
      <c r="G45" s="59" t="s">
        <v>116</v>
      </c>
      <c r="H45" s="59" t="str">
        <f>VLOOKUP(G45,CATEGORIE!$H$3:$I$55,2,FALSE)</f>
        <v>TASSE</v>
      </c>
      <c r="I45" s="59">
        <v>43</v>
      </c>
      <c r="J45" s="59"/>
      <c r="K45" s="59"/>
      <c r="L45" s="59" t="s">
        <v>671</v>
      </c>
    </row>
    <row r="46" spans="1:12">
      <c r="A46" s="57" t="s">
        <v>135</v>
      </c>
      <c r="B46" s="57" t="s">
        <v>314</v>
      </c>
      <c r="C46" s="57">
        <v>2026</v>
      </c>
      <c r="D46" s="58">
        <f>MATCH(B46,{"GENNAIO","FEBBRAIO","MARZO","APRILE","MAGGIO","GIUGNO","LUGLIO","AGOSTO","SETTEMBRE","OTTOBRE","NOVEMBRE","DICEMBRE"},0)</f>
        <v>6</v>
      </c>
      <c r="E46" s="57" t="str">
        <f t="shared" ref="E46:E47" si="79">CONCATENATE(,B46," ",C46)</f>
        <v>GIUGNO 2026</v>
      </c>
      <c r="F46" s="57" t="str">
        <f t="shared" ref="F46:F47" si="80">CONCATENATE(D46," ",E46)</f>
        <v>6 GIUGNO 2026</v>
      </c>
      <c r="G46" s="59" t="s">
        <v>96</v>
      </c>
      <c r="H46" s="59" t="str">
        <f>VLOOKUP(G46,CATEGORIE!$H$3:$I$55,2,FALSE)</f>
        <v>COSTO SOPRAVVIVENZA</v>
      </c>
      <c r="I46" s="59">
        <v>24</v>
      </c>
      <c r="J46" s="59"/>
      <c r="K46" s="59"/>
      <c r="L46" s="59"/>
    </row>
    <row r="47" spans="1:12">
      <c r="A47" s="57" t="s">
        <v>166</v>
      </c>
      <c r="B47" s="57" t="s">
        <v>314</v>
      </c>
      <c r="C47" s="57">
        <v>2026</v>
      </c>
      <c r="D47" s="58">
        <f>MATCH(B47,{"GENNAIO","FEBBRAIO","MARZO","APRILE","MAGGIO","GIUGNO","LUGLIO","AGOSTO","SETTEMBRE","OTTOBRE","NOVEMBRE","DICEMBRE"},0)</f>
        <v>6</v>
      </c>
      <c r="E47" s="57" t="str">
        <f t="shared" si="79"/>
        <v>GIUGNO 2026</v>
      </c>
      <c r="F47" s="57" t="str">
        <f t="shared" si="80"/>
        <v>6 GIUGNO 2026</v>
      </c>
      <c r="G47" s="59" t="s">
        <v>94</v>
      </c>
      <c r="H47" s="59" t="str">
        <f>VLOOKUP(G47,CATEGORIE!$H$3:$I$55,2,FALSE)</f>
        <v>COSTO SVAGHI</v>
      </c>
      <c r="I47" s="59">
        <v>22.3</v>
      </c>
      <c r="J47" s="59"/>
      <c r="K47" s="59"/>
      <c r="L47" s="59"/>
    </row>
    <row r="48" spans="1:12">
      <c r="A48" s="57" t="s">
        <v>95</v>
      </c>
      <c r="B48" s="57" t="s">
        <v>314</v>
      </c>
      <c r="C48" s="57">
        <v>2026</v>
      </c>
      <c r="D48" s="58">
        <f>MATCH(B48,{"GENNAIO","FEBBRAIO","MARZO","APRILE","MAGGIO","GIUGNO","LUGLIO","AGOSTO","SETTEMBRE","OTTOBRE","NOVEMBRE","DICEMBRE"},0)</f>
        <v>6</v>
      </c>
      <c r="E48" s="57" t="str">
        <f t="shared" ref="E48" si="81">CONCATENATE(,B48," ",C48)</f>
        <v>GIUGNO 2026</v>
      </c>
      <c r="F48" s="57" t="str">
        <f t="shared" ref="F48" si="82">CONCATENATE(D48," ",E48)</f>
        <v>6 GIUGNO 2026</v>
      </c>
      <c r="G48" s="59" t="s">
        <v>96</v>
      </c>
      <c r="H48" s="59" t="str">
        <f>VLOOKUP(G48,CATEGORIE!$H$3:$I$55,2,FALSE)</f>
        <v>COSTO SOPRAVVIVENZA</v>
      </c>
      <c r="I48" s="59">
        <v>28.08</v>
      </c>
      <c r="J48" s="59"/>
      <c r="K48" s="59"/>
      <c r="L48" s="59"/>
    </row>
    <row r="49" spans="1:12">
      <c r="A49" s="57" t="s">
        <v>1341</v>
      </c>
      <c r="B49" s="57" t="s">
        <v>314</v>
      </c>
      <c r="C49" s="57">
        <v>2026</v>
      </c>
      <c r="D49" s="58">
        <f>MATCH(B49,{"GENNAIO","FEBBRAIO","MARZO","APRILE","MAGGIO","GIUGNO","LUGLIO","AGOSTO","SETTEMBRE","OTTOBRE","NOVEMBRE","DICEMBRE"},0)</f>
        <v>6</v>
      </c>
      <c r="E49" s="57" t="str">
        <f t="shared" ref="E49:E50" si="83">CONCATENATE(,B49," ",C49)</f>
        <v>GIUGNO 2026</v>
      </c>
      <c r="F49" s="57" t="str">
        <f t="shared" ref="F49:F50" si="84">CONCATENATE(D49," ",E49)</f>
        <v>6 GIUGNO 2026</v>
      </c>
      <c r="G49" s="59" t="s">
        <v>94</v>
      </c>
      <c r="H49" s="59" t="str">
        <f>VLOOKUP(G49,CATEGORIE!$H$3:$I$55,2,FALSE)</f>
        <v>COSTO SVAGHI</v>
      </c>
      <c r="I49" s="59">
        <v>20.99</v>
      </c>
      <c r="J49" s="59"/>
      <c r="K49" s="59"/>
      <c r="L49" s="59"/>
    </row>
    <row r="50" spans="1:12">
      <c r="A50" s="57" t="s">
        <v>673</v>
      </c>
      <c r="B50" s="57" t="s">
        <v>314</v>
      </c>
      <c r="C50" s="57">
        <v>2026</v>
      </c>
      <c r="D50" s="58">
        <f>MATCH(B50,{"GENNAIO","FEBBRAIO","MARZO","APRILE","MAGGIO","GIUGNO","LUGLIO","AGOSTO","SETTEMBRE","OTTOBRE","NOVEMBRE","DICEMBRE"},0)</f>
        <v>6</v>
      </c>
      <c r="E50" s="57" t="str">
        <f t="shared" si="83"/>
        <v>GIUGNO 2026</v>
      </c>
      <c r="F50" s="57" t="str">
        <f t="shared" si="84"/>
        <v>6 GIUGNO 2026</v>
      </c>
      <c r="G50" s="59" t="s">
        <v>116</v>
      </c>
      <c r="H50" s="59" t="str">
        <f>VLOOKUP(G50,CATEGORIE!$H$3:$I$55,2,FALSE)</f>
        <v>TASSE</v>
      </c>
      <c r="I50" s="59">
        <v>0.5</v>
      </c>
      <c r="J50" s="59"/>
      <c r="K50" s="59"/>
      <c r="L50" s="59"/>
    </row>
    <row r="51" spans="1:12">
      <c r="A51" s="57" t="s">
        <v>1339</v>
      </c>
      <c r="B51" s="57" t="s">
        <v>314</v>
      </c>
      <c r="C51" s="57">
        <v>2026</v>
      </c>
      <c r="D51" s="58">
        <f>MATCH(B51,{"GENNAIO","FEBBRAIO","MARZO","APRILE","MAGGIO","GIUGNO","LUGLIO","AGOSTO","SETTEMBRE","OTTOBRE","NOVEMBRE","DICEMBRE"},0)</f>
        <v>6</v>
      </c>
      <c r="E51" s="57" t="str">
        <f t="shared" ref="E51" si="85">CONCATENATE(,B51," ",C51)</f>
        <v>GIUGNO 2026</v>
      </c>
      <c r="F51" s="57" t="str">
        <f t="shared" ref="F51" si="86">CONCATENATE(D51," ",E51)</f>
        <v>6 GIUGNO 2026</v>
      </c>
      <c r="G51" s="59" t="s">
        <v>185</v>
      </c>
      <c r="H51" s="59" t="str">
        <f>VLOOKUP(G51,CATEGORIE!$H$3:$I$55,2,FALSE)</f>
        <v>COSTO SFIZI</v>
      </c>
      <c r="I51" s="59">
        <v>350</v>
      </c>
      <c r="J51" s="59"/>
      <c r="K51" s="59"/>
      <c r="L51" s="59" t="s">
        <v>1340</v>
      </c>
    </row>
    <row r="52" spans="1:12">
      <c r="A52" s="57" t="s">
        <v>369</v>
      </c>
      <c r="B52" s="57" t="s">
        <v>314</v>
      </c>
      <c r="C52" s="57">
        <v>2026</v>
      </c>
      <c r="D52" s="58">
        <f>MATCH(B52,{"GENNAIO","FEBBRAIO","MARZO","APRILE","MAGGIO","GIUGNO","LUGLIO","AGOSTO","SETTEMBRE","OTTOBRE","NOVEMBRE","DICEMBRE"},0)</f>
        <v>6</v>
      </c>
      <c r="E52" s="57" t="str">
        <f t="shared" ref="E52" si="87">CONCATENATE(,B52," ",C52)</f>
        <v>GIUGNO 2026</v>
      </c>
      <c r="F52" s="57" t="str">
        <f t="shared" ref="F52" si="88">CONCATENATE(D52," ",E52)</f>
        <v>6 GIUGNO 2026</v>
      </c>
      <c r="G52" s="59" t="s">
        <v>94</v>
      </c>
      <c r="H52" s="59" t="str">
        <f>VLOOKUP(G52,CATEGORIE!$H$3:$I$55,2,FALSE)</f>
        <v>COSTO SVAGHI</v>
      </c>
      <c r="I52" s="59">
        <v>40.700000000000003</v>
      </c>
      <c r="J52" s="59"/>
      <c r="K52" s="59"/>
      <c r="L52" s="59"/>
    </row>
    <row r="53" spans="1:12">
      <c r="A53" s="57" t="s">
        <v>102</v>
      </c>
      <c r="B53" s="57" t="s">
        <v>333</v>
      </c>
      <c r="C53" s="57">
        <v>2026</v>
      </c>
      <c r="D53" s="58">
        <f>MATCH(B53,{"GENNAIO","FEBBRAIO","MARZO","APRILE","MAGGIO","GIUGNO","LUGLIO","AGOSTO","SETTEMBRE","OTTOBRE","NOVEMBRE","DICEMBRE"},0)</f>
        <v>5</v>
      </c>
      <c r="E53" s="57" t="str">
        <f t="shared" ref="E53" si="89">CONCATENATE(,B53," ",C53)</f>
        <v>MAGGIO 2026</v>
      </c>
      <c r="F53" s="57" t="str">
        <f t="shared" ref="F53" si="90">CONCATENATE(D53," ",E53)</f>
        <v>5 MAGGIO 2026</v>
      </c>
      <c r="G53" s="59" t="s">
        <v>96</v>
      </c>
      <c r="H53" s="59" t="str">
        <f>VLOOKUP(G53,CATEGORIE!$H$3:$I$55,2,FALSE)</f>
        <v>COSTO SOPRAVVIVENZA</v>
      </c>
      <c r="I53" s="59">
        <v>12.67</v>
      </c>
      <c r="J53" s="59"/>
      <c r="K53" s="59"/>
      <c r="L53" s="59"/>
    </row>
    <row r="54" spans="1:12">
      <c r="A54" s="57" t="s">
        <v>106</v>
      </c>
      <c r="B54" s="57" t="s">
        <v>333</v>
      </c>
      <c r="C54" s="57">
        <v>2026</v>
      </c>
      <c r="D54" s="58">
        <f>MATCH(B54,{"GENNAIO","FEBBRAIO","MARZO","APRILE","MAGGIO","GIUGNO","LUGLIO","AGOSTO","SETTEMBRE","OTTOBRE","NOVEMBRE","DICEMBRE"},0)</f>
        <v>5</v>
      </c>
      <c r="E54" s="57" t="str">
        <f t="shared" ref="E54" si="91">CONCATENATE(,B54," ",C54)</f>
        <v>MAGGIO 2026</v>
      </c>
      <c r="F54" s="57" t="str">
        <f t="shared" ref="F54" si="92">CONCATENATE(D54," ",E54)</f>
        <v>5 MAGGIO 2026</v>
      </c>
      <c r="G54" s="59" t="s">
        <v>107</v>
      </c>
      <c r="H54" s="59" t="str">
        <f>VLOOKUP(G54,CATEGORIE!$H$3:$I$55,2,FALSE)</f>
        <v>COSTO SOPRAVVIVENZA</v>
      </c>
      <c r="I54" s="59">
        <v>33</v>
      </c>
      <c r="J54" s="942"/>
      <c r="K54" s="946"/>
      <c r="L54" s="55"/>
    </row>
    <row r="55" spans="1:12">
      <c r="A55" s="57" t="s">
        <v>673</v>
      </c>
      <c r="B55" s="57" t="s">
        <v>333</v>
      </c>
      <c r="C55" s="57">
        <v>2026</v>
      </c>
      <c r="D55" s="58">
        <f>MATCH(B55,{"GENNAIO","FEBBRAIO","MARZO","APRILE","MAGGIO","GIUGNO","LUGLIO","AGOSTO","SETTEMBRE","OTTOBRE","NOVEMBRE","DICEMBRE"},0)</f>
        <v>5</v>
      </c>
      <c r="E55" s="57" t="str">
        <f t="shared" ref="E55" si="93">CONCATENATE(,B55," ",C55)</f>
        <v>MAGGIO 2026</v>
      </c>
      <c r="F55" s="57" t="str">
        <f t="shared" ref="F55" si="94">CONCATENATE(D55," ",E55)</f>
        <v>5 MAGGIO 2026</v>
      </c>
      <c r="G55" s="59" t="s">
        <v>116</v>
      </c>
      <c r="H55" s="59" t="str">
        <f>VLOOKUP(G55,CATEGORIE!$H$3:$I$55,2,FALSE)</f>
        <v>TASSE</v>
      </c>
      <c r="I55" s="59">
        <v>0.5</v>
      </c>
      <c r="J55" s="59"/>
      <c r="K55" s="59"/>
      <c r="L55" s="59"/>
    </row>
    <row r="56" spans="1:12">
      <c r="A56" s="57" t="s">
        <v>1303</v>
      </c>
      <c r="B56" s="57" t="s">
        <v>333</v>
      </c>
      <c r="C56" s="57">
        <v>2026</v>
      </c>
      <c r="D56" s="58">
        <f>MATCH(B56,{"GENNAIO","FEBBRAIO","MARZO","APRILE","MAGGIO","GIUGNO","LUGLIO","AGOSTO","SETTEMBRE","OTTOBRE","NOVEMBRE","DICEMBRE"},0)</f>
        <v>5</v>
      </c>
      <c r="E56" s="57" t="str">
        <f t="shared" ref="E56" si="95">CONCATENATE(,B56," ",C56)</f>
        <v>MAGGIO 2026</v>
      </c>
      <c r="F56" s="57" t="str">
        <f t="shared" ref="F56" si="96">CONCATENATE(D56," ",E56)</f>
        <v>5 MAGGIO 2026</v>
      </c>
      <c r="G56" s="59" t="s">
        <v>1253</v>
      </c>
      <c r="H56" s="59" t="s">
        <v>1252</v>
      </c>
      <c r="I56" s="59">
        <v>155.06</v>
      </c>
      <c r="J56" s="942"/>
      <c r="K56" s="946"/>
      <c r="L56" s="59" t="s">
        <v>1304</v>
      </c>
    </row>
    <row r="57" spans="1:12" ht="16.5" customHeight="1">
      <c r="A57" s="57" t="s">
        <v>170</v>
      </c>
      <c r="B57" s="57" t="s">
        <v>352</v>
      </c>
      <c r="C57" s="57">
        <v>2026</v>
      </c>
      <c r="D57" s="58">
        <f>MATCH(B57,{"GENNAIO","FEBBRAIO","MARZO","APRILE","MAGGIO","GIUGNO","LUGLIO","AGOSTO","SETTEMBRE","OTTOBRE","NOVEMBRE","DICEMBRE"},0)</f>
        <v>4</v>
      </c>
      <c r="E57" s="57" t="str">
        <f t="shared" ref="E57" si="97">CONCATENATE(,B57," ",C57)</f>
        <v>APRILE 2026</v>
      </c>
      <c r="F57" s="57" t="str">
        <f t="shared" ref="F57" si="98">CONCATENATE(D57," ",E57)</f>
        <v>4 APRILE 2026</v>
      </c>
      <c r="G57" s="59" t="s">
        <v>132</v>
      </c>
      <c r="H57" s="59" t="str">
        <f>VLOOKUP(G57,CATEGORIE!$H$3:$I$55,2,FALSE)</f>
        <v>COSTO CASA</v>
      </c>
      <c r="I57" s="59">
        <v>13.2</v>
      </c>
      <c r="J57" s="59"/>
      <c r="K57" s="59"/>
      <c r="L57" s="59"/>
    </row>
    <row r="58" spans="1:12">
      <c r="A58" s="57" t="s">
        <v>95</v>
      </c>
      <c r="B58" s="57" t="s">
        <v>352</v>
      </c>
      <c r="C58" s="57">
        <v>2026</v>
      </c>
      <c r="D58" s="58">
        <f>MATCH(B58,{"GENNAIO","FEBBRAIO","MARZO","APRILE","MAGGIO","GIUGNO","LUGLIO","AGOSTO","SETTEMBRE","OTTOBRE","NOVEMBRE","DICEMBRE"},0)</f>
        <v>4</v>
      </c>
      <c r="E58" s="57" t="str">
        <f t="shared" ref="E58" si="99">CONCATENATE(,B58," ",C58)</f>
        <v>APRILE 2026</v>
      </c>
      <c r="F58" s="57" t="str">
        <f t="shared" ref="F58" si="100">CONCATENATE(D58," ",E58)</f>
        <v>4 APRILE 2026</v>
      </c>
      <c r="G58" s="59" t="s">
        <v>96</v>
      </c>
      <c r="H58" s="59" t="str">
        <f>VLOOKUP(G58,CATEGORIE!$H$3:$I$55,2,FALSE)</f>
        <v>COSTO SOPRAVVIVENZA</v>
      </c>
      <c r="I58" s="59">
        <v>9.3699999999999992</v>
      </c>
      <c r="J58" s="59"/>
      <c r="K58" s="59"/>
      <c r="L58" s="59"/>
    </row>
    <row r="59" spans="1:12">
      <c r="A59" s="57" t="s">
        <v>1307</v>
      </c>
      <c r="B59" s="57" t="s">
        <v>352</v>
      </c>
      <c r="C59" s="57">
        <v>2026</v>
      </c>
      <c r="D59" s="58">
        <f>MATCH(B59,{"GENNAIO","FEBBRAIO","MARZO","APRILE","MAGGIO","GIUGNO","LUGLIO","AGOSTO","SETTEMBRE","OTTOBRE","NOVEMBRE","DICEMBRE"},0)</f>
        <v>4</v>
      </c>
      <c r="E59" s="57" t="str">
        <f t="shared" ref="E59" si="101">CONCATENATE(,B59," ",C59)</f>
        <v>APRILE 2026</v>
      </c>
      <c r="F59" s="57" t="str">
        <f t="shared" ref="F59" si="102">CONCATENATE(D59," ",E59)</f>
        <v>4 APRILE 2026</v>
      </c>
      <c r="G59" s="59" t="s">
        <v>94</v>
      </c>
      <c r="H59" s="59" t="str">
        <f>VLOOKUP(G59,CATEGORIE!$H$3:$I$55,2,FALSE)</f>
        <v>COSTO SVAGHI</v>
      </c>
      <c r="I59" s="59">
        <v>26</v>
      </c>
      <c r="J59" s="59"/>
      <c r="K59" s="59"/>
      <c r="L59" s="59"/>
    </row>
    <row r="60" spans="1:12">
      <c r="A60" s="57" t="s">
        <v>102</v>
      </c>
      <c r="B60" s="57" t="s">
        <v>352</v>
      </c>
      <c r="C60" s="57">
        <v>2026</v>
      </c>
      <c r="D60" s="58">
        <f>MATCH(B60,{"GENNAIO","FEBBRAIO","MARZO","APRILE","MAGGIO","GIUGNO","LUGLIO","AGOSTO","SETTEMBRE","OTTOBRE","NOVEMBRE","DICEMBRE"},0)</f>
        <v>4</v>
      </c>
      <c r="E60" s="57" t="str">
        <f t="shared" ref="E60" si="103">CONCATENATE(,B60," ",C60)</f>
        <v>APRILE 2026</v>
      </c>
      <c r="F60" s="57" t="str">
        <f t="shared" ref="F60" si="104">CONCATENATE(D60," ",E60)</f>
        <v>4 APRILE 2026</v>
      </c>
      <c r="G60" s="59" t="s">
        <v>96</v>
      </c>
      <c r="H60" s="59" t="str">
        <f>VLOOKUP(G60,CATEGORIE!$H$3:$I$55,2,FALSE)</f>
        <v>COSTO SOPRAVVIVENZA</v>
      </c>
      <c r="I60" s="59">
        <v>28.57</v>
      </c>
      <c r="J60" s="59"/>
      <c r="K60" s="59"/>
      <c r="L60" s="59"/>
    </row>
    <row r="61" spans="1:12">
      <c r="A61" s="57" t="s">
        <v>1306</v>
      </c>
      <c r="B61" s="57" t="s">
        <v>352</v>
      </c>
      <c r="C61" s="57">
        <v>2026</v>
      </c>
      <c r="D61" s="58">
        <f>MATCH(B61,{"GENNAIO","FEBBRAIO","MARZO","APRILE","MAGGIO","GIUGNO","LUGLIO","AGOSTO","SETTEMBRE","OTTOBRE","NOVEMBRE","DICEMBRE"},0)</f>
        <v>4</v>
      </c>
      <c r="E61" s="57" t="str">
        <f t="shared" ref="E61" si="105">CONCATENATE(,B61," ",C61)</f>
        <v>APRILE 2026</v>
      </c>
      <c r="F61" s="57" t="str">
        <f t="shared" ref="F61" si="106">CONCATENATE(D61," ",E61)</f>
        <v>4 APRILE 2026</v>
      </c>
      <c r="G61" s="59" t="s">
        <v>108</v>
      </c>
      <c r="H61" s="59" t="str">
        <f>VLOOKUP(G61,CATEGORIE!$H$3:$I$55,2,FALSE)</f>
        <v>COSTO SFIZI</v>
      </c>
      <c r="I61" s="59">
        <v>99.72</v>
      </c>
      <c r="J61" s="940"/>
      <c r="K61" s="142"/>
      <c r="L61" s="59"/>
    </row>
    <row r="62" spans="1:12">
      <c r="A62" s="57" t="s">
        <v>1305</v>
      </c>
      <c r="B62" s="57" t="s">
        <v>352</v>
      </c>
      <c r="C62" s="57">
        <v>2026</v>
      </c>
      <c r="D62" s="58">
        <f>MATCH(B62,{"GENNAIO","FEBBRAIO","MARZO","APRILE","MAGGIO","GIUGNO","LUGLIO","AGOSTO","SETTEMBRE","OTTOBRE","NOVEMBRE","DICEMBRE"},0)</f>
        <v>4</v>
      </c>
      <c r="E62" s="57" t="str">
        <f t="shared" ref="E62" si="107">CONCATENATE(,B62," ",C62)</f>
        <v>APRILE 2026</v>
      </c>
      <c r="F62" s="57" t="str">
        <f t="shared" ref="F62" si="108">CONCATENATE(D62," ",E62)</f>
        <v>4 APRILE 2026</v>
      </c>
      <c r="G62" s="59" t="s">
        <v>108</v>
      </c>
      <c r="H62" s="59" t="str">
        <f>VLOOKUP(G62,CATEGORIE!$H$3:$I$55,2,FALSE)</f>
        <v>COSTO SFIZI</v>
      </c>
      <c r="I62" s="59">
        <v>44.27</v>
      </c>
      <c r="J62" s="940"/>
      <c r="K62" s="142"/>
      <c r="L62" s="59"/>
    </row>
    <row r="63" spans="1:12">
      <c r="A63" s="57" t="s">
        <v>131</v>
      </c>
      <c r="B63" s="57" t="s">
        <v>352</v>
      </c>
      <c r="C63" s="57">
        <v>2026</v>
      </c>
      <c r="D63" s="58">
        <f>MATCH(B63,{"GENNAIO","FEBBRAIO","MARZO","APRILE","MAGGIO","GIUGNO","LUGLIO","AGOSTO","SETTEMBRE","OTTOBRE","NOVEMBRE","DICEMBRE"},0)</f>
        <v>4</v>
      </c>
      <c r="E63" s="57" t="str">
        <f t="shared" ref="E63" si="109">CONCATENATE(,B63," ",C63)</f>
        <v>APRILE 2026</v>
      </c>
      <c r="F63" s="57" t="str">
        <f t="shared" ref="F63" si="110">CONCATENATE(D63," ",E63)</f>
        <v>4 APRILE 2026</v>
      </c>
      <c r="G63" s="59" t="s">
        <v>132</v>
      </c>
      <c r="H63" s="59" t="str">
        <f>VLOOKUP(G63,CATEGORIE!$H$3:$I$55,2,FALSE)</f>
        <v>COSTO CASA</v>
      </c>
      <c r="I63" s="59">
        <v>79.099999999999994</v>
      </c>
      <c r="J63" s="59"/>
      <c r="K63" s="59"/>
      <c r="L63" s="59"/>
    </row>
    <row r="64" spans="1:12">
      <c r="A64" s="57" t="s">
        <v>1303</v>
      </c>
      <c r="B64" s="57" t="s">
        <v>352</v>
      </c>
      <c r="C64" s="57">
        <v>2026</v>
      </c>
      <c r="D64" s="58">
        <f>MATCH(B64,{"GENNAIO","FEBBRAIO","MARZO","APRILE","MAGGIO","GIUGNO","LUGLIO","AGOSTO","SETTEMBRE","OTTOBRE","NOVEMBRE","DICEMBRE"},0)</f>
        <v>4</v>
      </c>
      <c r="E64" s="57" t="str">
        <f t="shared" ref="E64" si="111">CONCATENATE(,B64," ",C64)</f>
        <v>APRILE 2026</v>
      </c>
      <c r="F64" s="57" t="str">
        <f t="shared" ref="F64" si="112">CONCATENATE(D64," ",E64)</f>
        <v>4 APRILE 2026</v>
      </c>
      <c r="G64" s="59" t="s">
        <v>1253</v>
      </c>
      <c r="H64" s="59" t="s">
        <v>1252</v>
      </c>
      <c r="I64" s="59">
        <v>427.5</v>
      </c>
      <c r="J64" s="942"/>
      <c r="K64" s="946"/>
      <c r="L64" s="59" t="s">
        <v>1304</v>
      </c>
    </row>
    <row r="65" spans="1:12">
      <c r="A65" s="57" t="s">
        <v>679</v>
      </c>
      <c r="B65" s="57" t="s">
        <v>352</v>
      </c>
      <c r="C65" s="57">
        <v>2026</v>
      </c>
      <c r="D65" s="58">
        <f>MATCH(B65,{"GENNAIO","FEBBRAIO","MARZO","APRILE","MAGGIO","GIUGNO","LUGLIO","AGOSTO","SETTEMBRE","OTTOBRE","NOVEMBRE","DICEMBRE"},0)</f>
        <v>4</v>
      </c>
      <c r="E65" s="57" t="str">
        <f t="shared" ref="E65" si="113">CONCATENATE(,B65," ",C65)</f>
        <v>APRILE 2026</v>
      </c>
      <c r="F65" s="57" t="str">
        <f t="shared" ref="F65" si="114">CONCATENATE(D65," ",E65)</f>
        <v>4 APRILE 2026</v>
      </c>
      <c r="G65" s="59" t="s">
        <v>94</v>
      </c>
      <c r="H65" s="59" t="str">
        <f>VLOOKUP(G65,CATEGORIE!$H$3:$I$55,2,FALSE)</f>
        <v>COSTO SVAGHI</v>
      </c>
      <c r="I65" s="59">
        <v>10</v>
      </c>
      <c r="J65" s="59"/>
      <c r="K65" s="59"/>
      <c r="L65" s="59"/>
    </row>
    <row r="66" spans="1:12">
      <c r="A66" s="57" t="s">
        <v>104</v>
      </c>
      <c r="B66" s="57" t="s">
        <v>352</v>
      </c>
      <c r="C66" s="57">
        <v>2026</v>
      </c>
      <c r="D66" s="58">
        <f>MATCH(B66,{"GENNAIO","FEBBRAIO","MARZO","APRILE","MAGGIO","GIUGNO","LUGLIO","AGOSTO","SETTEMBRE","OTTOBRE","NOVEMBRE","DICEMBRE"},0)</f>
        <v>4</v>
      </c>
      <c r="E66" s="57" t="str">
        <f t="shared" ref="E66" si="115">CONCATENATE(,B66," ",C66)</f>
        <v>APRILE 2026</v>
      </c>
      <c r="F66" s="57" t="str">
        <f t="shared" ref="F66" si="116">CONCATENATE(D66," ",E66)</f>
        <v>4 APRILE 2026</v>
      </c>
      <c r="G66" s="59" t="s">
        <v>94</v>
      </c>
      <c r="H66" s="59" t="str">
        <f>VLOOKUP(G66,CATEGORIE!$H$3:$I$55,2,FALSE)</f>
        <v>COSTO SVAGHI</v>
      </c>
      <c r="I66" s="59">
        <v>36.700000000000003</v>
      </c>
      <c r="J66" s="59"/>
      <c r="K66" s="59"/>
      <c r="L66" s="59"/>
    </row>
    <row r="67" spans="1:12">
      <c r="A67" s="57" t="s">
        <v>1300</v>
      </c>
      <c r="B67" s="57" t="s">
        <v>352</v>
      </c>
      <c r="C67" s="57">
        <v>2026</v>
      </c>
      <c r="D67" s="58">
        <f>MATCH(B67,{"GENNAIO","FEBBRAIO","MARZO","APRILE","MAGGIO","GIUGNO","LUGLIO","AGOSTO","SETTEMBRE","OTTOBRE","NOVEMBRE","DICEMBRE"},0)</f>
        <v>4</v>
      </c>
      <c r="E67" s="57" t="str">
        <f t="shared" ref="E67" si="117">CONCATENATE(,B67," ",C67)</f>
        <v>APRILE 2026</v>
      </c>
      <c r="F67" s="57" t="str">
        <f t="shared" ref="F67" si="118">CONCATENATE(D67," ",E67)</f>
        <v>4 APRILE 2026</v>
      </c>
      <c r="G67" s="59" t="s">
        <v>94</v>
      </c>
      <c r="H67" s="59" t="str">
        <f>VLOOKUP(G67,CATEGORIE!$H$3:$I$55,2,FALSE)</f>
        <v>COSTO SVAGHI</v>
      </c>
      <c r="I67" s="59">
        <v>65</v>
      </c>
      <c r="J67" s="59"/>
      <c r="K67" s="59"/>
      <c r="L67" s="59"/>
    </row>
    <row r="68" spans="1:12">
      <c r="A68" s="57" t="s">
        <v>92</v>
      </c>
      <c r="B68" s="57" t="s">
        <v>352</v>
      </c>
      <c r="C68" s="57">
        <v>2026</v>
      </c>
      <c r="D68" s="58">
        <f>MATCH(B68,{"GENNAIO","FEBBRAIO","MARZO","APRILE","MAGGIO","GIUGNO","LUGLIO","AGOSTO","SETTEMBRE","OTTOBRE","NOVEMBRE","DICEMBRE"},0)</f>
        <v>4</v>
      </c>
      <c r="E68" s="57" t="str">
        <f t="shared" ref="E68" si="119">CONCATENATE(,B68," ",C68)</f>
        <v>APRILE 2026</v>
      </c>
      <c r="F68" s="57" t="str">
        <f t="shared" ref="F68" si="120">CONCATENATE(D68," ",E68)</f>
        <v>4 APRILE 2026</v>
      </c>
      <c r="G68" s="59" t="s">
        <v>94</v>
      </c>
      <c r="H68" s="59" t="str">
        <f>VLOOKUP(G68,CATEGORIE!$H$3:$I$55,2,FALSE)</f>
        <v>COSTO SVAGHI</v>
      </c>
      <c r="I68" s="59">
        <v>28.5</v>
      </c>
      <c r="J68" s="59"/>
      <c r="K68" s="59"/>
      <c r="L68" s="59"/>
    </row>
    <row r="69" spans="1:12">
      <c r="A69" s="57" t="s">
        <v>92</v>
      </c>
      <c r="B69" s="57" t="s">
        <v>352</v>
      </c>
      <c r="C69" s="57">
        <v>2026</v>
      </c>
      <c r="D69" s="58">
        <f>MATCH(B69,{"GENNAIO","FEBBRAIO","MARZO","APRILE","MAGGIO","GIUGNO","LUGLIO","AGOSTO","SETTEMBRE","OTTOBRE","NOVEMBRE","DICEMBRE"},0)</f>
        <v>4</v>
      </c>
      <c r="E69" s="57" t="str">
        <f t="shared" ref="E69" si="121">CONCATENATE(,B69," ",C69)</f>
        <v>APRILE 2026</v>
      </c>
      <c r="F69" s="57" t="str">
        <f t="shared" ref="F69" si="122">CONCATENATE(D69," ",E69)</f>
        <v>4 APRILE 2026</v>
      </c>
      <c r="G69" s="59" t="s">
        <v>94</v>
      </c>
      <c r="H69" s="59" t="str">
        <f>VLOOKUP(G69,CATEGORIE!$H$3:$I$55,2,FALSE)</f>
        <v>COSTO SVAGHI</v>
      </c>
      <c r="I69" s="59">
        <v>437.5</v>
      </c>
      <c r="J69" s="59"/>
      <c r="K69" s="59"/>
      <c r="L69" s="59" t="s">
        <v>1299</v>
      </c>
    </row>
    <row r="70" spans="1:12" ht="16.5" customHeight="1">
      <c r="A70" s="57" t="s">
        <v>673</v>
      </c>
      <c r="B70" s="57" t="s">
        <v>352</v>
      </c>
      <c r="C70" s="57">
        <v>2026</v>
      </c>
      <c r="D70" s="58">
        <f>MATCH(B70,{"GENNAIO","FEBBRAIO","MARZO","APRILE","MAGGIO","GIUGNO","LUGLIO","AGOSTO","SETTEMBRE","OTTOBRE","NOVEMBRE","DICEMBRE"},0)</f>
        <v>4</v>
      </c>
      <c r="E70" s="57" t="str">
        <f t="shared" ref="E70" si="123">CONCATENATE(,B70," ",C70)</f>
        <v>APRILE 2026</v>
      </c>
      <c r="F70" s="57" t="str">
        <f t="shared" ref="F70" si="124">CONCATENATE(D70," ",E70)</f>
        <v>4 APRILE 2026</v>
      </c>
      <c r="G70" s="59" t="s">
        <v>116</v>
      </c>
      <c r="H70" s="59" t="str">
        <f>VLOOKUP(G70,CATEGORIE!$H$3:$I$55,2,FALSE)</f>
        <v>TASSE</v>
      </c>
      <c r="I70" s="59">
        <v>0.9</v>
      </c>
      <c r="J70" s="59"/>
      <c r="K70" s="59"/>
      <c r="L70" s="59" t="s">
        <v>1298</v>
      </c>
    </row>
    <row r="71" spans="1:12">
      <c r="A71" s="57" t="s">
        <v>1293</v>
      </c>
      <c r="B71" s="57" t="s">
        <v>352</v>
      </c>
      <c r="C71" s="57">
        <v>2026</v>
      </c>
      <c r="D71" s="58">
        <f>MATCH(B71,{"GENNAIO","FEBBRAIO","MARZO","APRILE","MAGGIO","GIUGNO","LUGLIO","AGOSTO","SETTEMBRE","OTTOBRE","NOVEMBRE","DICEMBRE"},0)</f>
        <v>4</v>
      </c>
      <c r="E71" s="57" t="str">
        <f t="shared" ref="E71" si="125">CONCATENATE(,B71," ",C71)</f>
        <v>APRILE 2026</v>
      </c>
      <c r="F71" s="57" t="str">
        <f t="shared" ref="F71" si="126">CONCATENATE(D71," ",E71)</f>
        <v>4 APRILE 2026</v>
      </c>
      <c r="G71" s="59" t="s">
        <v>185</v>
      </c>
      <c r="H71" s="59" t="str">
        <f>VLOOKUP(G71,CATEGORIE!$H$3:$I$55,2,FALSE)</f>
        <v>COSTO SFIZI</v>
      </c>
      <c r="I71" s="59">
        <v>128.44999999999999</v>
      </c>
      <c r="J71" s="59"/>
      <c r="K71" s="59"/>
      <c r="L71" s="59" t="s">
        <v>1298</v>
      </c>
    </row>
    <row r="72" spans="1:12">
      <c r="A72" s="57" t="s">
        <v>670</v>
      </c>
      <c r="B72" s="57" t="s">
        <v>90</v>
      </c>
      <c r="C72" s="57">
        <v>2026</v>
      </c>
      <c r="D72" s="58">
        <f>MATCH(B72,{"GENNAIO","FEBBRAIO","MARZO","APRILE","MAGGIO","GIUGNO","LUGLIO","AGOSTO","SETTEMBRE","OTTOBRE","NOVEMBRE","DICEMBRE"},0)</f>
        <v>3</v>
      </c>
      <c r="E72" s="57" t="str">
        <f t="shared" ref="E72" si="127">CONCATENATE(,B72," ",C72)</f>
        <v>MARZO 2026</v>
      </c>
      <c r="F72" s="57" t="str">
        <f t="shared" ref="F72" si="128">CONCATENATE(D72," ",E72)</f>
        <v>3 MARZO 2026</v>
      </c>
      <c r="G72" s="59" t="s">
        <v>116</v>
      </c>
      <c r="H72" s="59" t="str">
        <f>VLOOKUP(G72,CATEGORIE!$H$3:$I$55,2,FALSE)</f>
        <v>TASSE</v>
      </c>
      <c r="I72" s="59">
        <v>72.599999999999994</v>
      </c>
      <c r="J72" s="59"/>
      <c r="K72" s="59"/>
      <c r="L72" s="59" t="s">
        <v>671</v>
      </c>
    </row>
    <row r="73" spans="1:12">
      <c r="A73" s="57" t="s">
        <v>672</v>
      </c>
      <c r="B73" s="57" t="s">
        <v>154</v>
      </c>
      <c r="C73" s="57">
        <v>2026</v>
      </c>
      <c r="D73" s="58">
        <f>MATCH(B73,{"GENNAIO","FEBBRAIO","MARZO","APRILE","MAGGIO","GIUGNO","LUGLIO","AGOSTO","SETTEMBRE","OTTOBRE","NOVEMBRE","DICEMBRE"},0)</f>
        <v>1</v>
      </c>
      <c r="E73" s="57" t="str">
        <f t="shared" ref="E73" si="129">CONCATENATE(,B73," ",C73)</f>
        <v>GENNAIO 2026</v>
      </c>
      <c r="F73" s="57" t="str">
        <f t="shared" ref="F73:F136" si="130">CONCATENATE(D73," ",E73)</f>
        <v>1 GENNAIO 2026</v>
      </c>
      <c r="G73" s="59" t="s">
        <v>94</v>
      </c>
      <c r="H73" s="59" t="str">
        <f>VLOOKUP(G73,CATEGORIE!$H$3:$I$55,2,FALSE)</f>
        <v>COSTO SVAGHI</v>
      </c>
      <c r="I73" s="59">
        <v>225.2</v>
      </c>
      <c r="J73" s="59"/>
      <c r="K73" s="59"/>
      <c r="L73" s="59"/>
    </row>
    <row r="74" spans="1:12" ht="16.5" customHeight="1">
      <c r="A74" s="57" t="s">
        <v>673</v>
      </c>
      <c r="B74" s="57" t="s">
        <v>154</v>
      </c>
      <c r="C74" s="57">
        <v>2026</v>
      </c>
      <c r="D74" s="58">
        <f>MATCH(B74,{"GENNAIO","FEBBRAIO","MARZO","APRILE","MAGGIO","GIUGNO","LUGLIO","AGOSTO","SETTEMBRE","OTTOBRE","NOVEMBRE","DICEMBRE"},0)</f>
        <v>1</v>
      </c>
      <c r="E74" s="57" t="str">
        <f t="shared" ref="E74" si="131">CONCATENATE(,B74," ",C74)</f>
        <v>GENNAIO 2026</v>
      </c>
      <c r="F74" s="57" t="str">
        <f t="shared" si="130"/>
        <v>1 GENNAIO 2026</v>
      </c>
      <c r="G74" s="59" t="s">
        <v>116</v>
      </c>
      <c r="H74" s="59" t="str">
        <f>VLOOKUP(G74,CATEGORIE!$H$3:$I$55,2,FALSE)</f>
        <v>TASSE</v>
      </c>
      <c r="I74" s="59">
        <v>0.5</v>
      </c>
      <c r="J74" s="59"/>
      <c r="K74" s="59"/>
      <c r="L74" s="59"/>
    </row>
    <row r="75" spans="1:12">
      <c r="A75" s="57" t="s">
        <v>674</v>
      </c>
      <c r="B75" s="57" t="s">
        <v>154</v>
      </c>
      <c r="C75" s="57">
        <v>2026</v>
      </c>
      <c r="D75" s="58">
        <f>MATCH(B75,{"GENNAIO","FEBBRAIO","MARZO","APRILE","MAGGIO","GIUGNO","LUGLIO","AGOSTO","SETTEMBRE","OTTOBRE","NOVEMBRE","DICEMBRE"},0)</f>
        <v>1</v>
      </c>
      <c r="E75" s="57" t="str">
        <f t="shared" ref="E75" si="132">CONCATENATE(,B75," ",C75)</f>
        <v>GENNAIO 2026</v>
      </c>
      <c r="F75" s="57" t="str">
        <f t="shared" si="130"/>
        <v>1 GENNAIO 2026</v>
      </c>
      <c r="G75" s="59" t="s">
        <v>116</v>
      </c>
      <c r="H75" s="59" t="str">
        <f>VLOOKUP(G75,CATEGORIE!$H$3:$I$55,2,FALSE)</f>
        <v>TASSE</v>
      </c>
      <c r="I75" s="59">
        <v>31.91</v>
      </c>
      <c r="J75" s="59"/>
      <c r="K75" s="59"/>
      <c r="L75" s="59"/>
    </row>
    <row r="76" spans="1:12">
      <c r="A76" s="57" t="s">
        <v>675</v>
      </c>
      <c r="B76" s="57" t="s">
        <v>154</v>
      </c>
      <c r="C76" s="57">
        <v>2026</v>
      </c>
      <c r="D76" s="58">
        <f>MATCH(B76,{"GENNAIO","FEBBRAIO","MARZO","APRILE","MAGGIO","GIUGNO","LUGLIO","AGOSTO","SETTEMBRE","OTTOBRE","NOVEMBRE","DICEMBRE"},0)</f>
        <v>1</v>
      </c>
      <c r="E76" s="57" t="str">
        <f t="shared" ref="E76" si="133">CONCATENATE(,B76," ",C76)</f>
        <v>GENNAIO 2026</v>
      </c>
      <c r="F76" s="57" t="str">
        <f t="shared" si="130"/>
        <v>1 GENNAIO 2026</v>
      </c>
      <c r="G76" s="59" t="s">
        <v>116</v>
      </c>
      <c r="H76" s="59" t="str">
        <f>VLOOKUP(G76,CATEGORIE!$H$3:$I$55,2,FALSE)</f>
        <v>TASSE</v>
      </c>
      <c r="I76" s="59">
        <v>0.03</v>
      </c>
      <c r="J76" s="59"/>
      <c r="K76" s="59"/>
      <c r="L76" s="59"/>
    </row>
    <row r="77" spans="1:12">
      <c r="A77" s="57" t="s">
        <v>676</v>
      </c>
      <c r="B77" s="57" t="s">
        <v>154</v>
      </c>
      <c r="C77" s="57">
        <v>2026</v>
      </c>
      <c r="D77" s="58">
        <f>MATCH(B77,{"GENNAIO","FEBBRAIO","MARZO","APRILE","MAGGIO","GIUGNO","LUGLIO","AGOSTO","SETTEMBRE","OTTOBRE","NOVEMBRE","DICEMBRE"},0)</f>
        <v>1</v>
      </c>
      <c r="E77" s="57" t="str">
        <f t="shared" ref="E77" si="134">CONCATENATE(,B77," ",C77)</f>
        <v>GENNAIO 2026</v>
      </c>
      <c r="F77" s="57" t="str">
        <f t="shared" si="130"/>
        <v>1 GENNAIO 2026</v>
      </c>
      <c r="G77" s="59" t="s">
        <v>116</v>
      </c>
      <c r="H77" s="59" t="str">
        <f>VLOOKUP(G77,CATEGORIE!$H$3:$I$55,2,FALSE)</f>
        <v>TASSE</v>
      </c>
      <c r="I77" s="59">
        <v>34.200000000000003</v>
      </c>
      <c r="J77" s="59"/>
      <c r="K77" s="59"/>
      <c r="L77" s="59"/>
    </row>
    <row r="78" spans="1:12">
      <c r="A78" s="57" t="s">
        <v>130</v>
      </c>
      <c r="B78" s="57" t="s">
        <v>173</v>
      </c>
      <c r="C78" s="57">
        <v>2025</v>
      </c>
      <c r="D78" s="58">
        <f>MATCH(B78,{"GENNAIO","FEBBRAIO","MARZO","APRILE","MAGGIO","GIUGNO","LUGLIO","AGOSTO","SETTEMBRE","OTTOBRE","NOVEMBRE","DICEMBRE"},0)</f>
        <v>12</v>
      </c>
      <c r="E78" s="57" t="str">
        <f t="shared" ref="E78" si="135">CONCATENATE(,B78," ",C78)</f>
        <v>DICEMBRE 2025</v>
      </c>
      <c r="F78" s="57" t="str">
        <f t="shared" si="130"/>
        <v>12 DICEMBRE 2025</v>
      </c>
      <c r="G78" s="59" t="s">
        <v>94</v>
      </c>
      <c r="H78" s="59" t="str">
        <f>VLOOKUP(G78,CATEGORIE!$H$3:$I$55,2,FALSE)</f>
        <v>COSTO SVAGHI</v>
      </c>
      <c r="I78" s="59">
        <v>12</v>
      </c>
      <c r="J78" s="59"/>
      <c r="K78" s="59"/>
      <c r="L78" s="59"/>
    </row>
    <row r="79" spans="1:12">
      <c r="A79" s="57" t="s">
        <v>130</v>
      </c>
      <c r="B79" s="57" t="s">
        <v>173</v>
      </c>
      <c r="C79" s="57">
        <v>2025</v>
      </c>
      <c r="D79" s="58">
        <f>MATCH(B79,{"GENNAIO","FEBBRAIO","MARZO","APRILE","MAGGIO","GIUGNO","LUGLIO","AGOSTO","SETTEMBRE","OTTOBRE","NOVEMBRE","DICEMBRE"},0)</f>
        <v>12</v>
      </c>
      <c r="E79" s="57" t="str">
        <f t="shared" ref="E79" si="136">CONCATENATE(,B79," ",C79)</f>
        <v>DICEMBRE 2025</v>
      </c>
      <c r="F79" s="57" t="str">
        <f t="shared" si="130"/>
        <v>12 DICEMBRE 2025</v>
      </c>
      <c r="G79" s="59" t="s">
        <v>94</v>
      </c>
      <c r="H79" s="59" t="str">
        <f>VLOOKUP(G79,CATEGORIE!$H$3:$I$55,2,FALSE)</f>
        <v>COSTO SVAGHI</v>
      </c>
      <c r="I79" s="59">
        <v>20</v>
      </c>
      <c r="J79" s="59"/>
      <c r="K79" s="59"/>
      <c r="L79" s="59"/>
    </row>
    <row r="80" spans="1:12">
      <c r="A80" s="57" t="s">
        <v>677</v>
      </c>
      <c r="B80" s="57" t="s">
        <v>173</v>
      </c>
      <c r="C80" s="57">
        <v>2025</v>
      </c>
      <c r="D80" s="58">
        <f>MATCH(B80,{"GENNAIO","FEBBRAIO","MARZO","APRILE","MAGGIO","GIUGNO","LUGLIO","AGOSTO","SETTEMBRE","OTTOBRE","NOVEMBRE","DICEMBRE"},0)</f>
        <v>12</v>
      </c>
      <c r="E80" s="57" t="str">
        <f t="shared" ref="E80" si="137">CONCATENATE(,B80," ",C80)</f>
        <v>DICEMBRE 2025</v>
      </c>
      <c r="F80" s="57" t="str">
        <f t="shared" si="130"/>
        <v>12 DICEMBRE 2025</v>
      </c>
      <c r="G80" s="59" t="s">
        <v>185</v>
      </c>
      <c r="H80" s="59" t="str">
        <f>VLOOKUP(G80,CATEGORIE!$H$3:$I$55,2,FALSE)</f>
        <v>COSTO SFIZI</v>
      </c>
      <c r="I80" s="59">
        <v>25.98</v>
      </c>
      <c r="J80" s="59"/>
      <c r="K80" s="59"/>
      <c r="L80" s="59" t="s">
        <v>175</v>
      </c>
    </row>
    <row r="81" spans="1:12">
      <c r="A81" s="57" t="s">
        <v>678</v>
      </c>
      <c r="B81" s="57" t="s">
        <v>173</v>
      </c>
      <c r="C81" s="57">
        <v>2025</v>
      </c>
      <c r="D81" s="58">
        <f>MATCH(B81,{"GENNAIO","FEBBRAIO","MARZO","APRILE","MAGGIO","GIUGNO","LUGLIO","AGOSTO","SETTEMBRE","OTTOBRE","NOVEMBRE","DICEMBRE"},0)</f>
        <v>12</v>
      </c>
      <c r="E81" s="57" t="str">
        <f t="shared" ref="E81" si="138">CONCATENATE(,B81," ",C81)</f>
        <v>DICEMBRE 2025</v>
      </c>
      <c r="F81" s="57" t="str">
        <f t="shared" si="130"/>
        <v>12 DICEMBRE 2025</v>
      </c>
      <c r="G81" s="59" t="s">
        <v>185</v>
      </c>
      <c r="H81" s="59" t="str">
        <f>VLOOKUP(G81,CATEGORIE!$H$3:$I$55,2,FALSE)</f>
        <v>COSTO SFIZI</v>
      </c>
      <c r="I81" s="59">
        <v>42.5</v>
      </c>
      <c r="J81" s="59"/>
      <c r="K81" s="59"/>
      <c r="L81" s="59" t="s">
        <v>175</v>
      </c>
    </row>
    <row r="82" spans="1:12">
      <c r="A82" s="57" t="s">
        <v>679</v>
      </c>
      <c r="B82" s="57" t="s">
        <v>173</v>
      </c>
      <c r="C82" s="57">
        <v>2025</v>
      </c>
      <c r="D82" s="58">
        <f>MATCH(B82,{"GENNAIO","FEBBRAIO","MARZO","APRILE","MAGGIO","GIUGNO","LUGLIO","AGOSTO","SETTEMBRE","OTTOBRE","NOVEMBRE","DICEMBRE"},0)</f>
        <v>12</v>
      </c>
      <c r="E82" s="57" t="str">
        <f t="shared" ref="E82" si="139">CONCATENATE(,B82," ",C82)</f>
        <v>DICEMBRE 2025</v>
      </c>
      <c r="F82" s="57" t="str">
        <f t="shared" si="130"/>
        <v>12 DICEMBRE 2025</v>
      </c>
      <c r="G82" s="59" t="s">
        <v>94</v>
      </c>
      <c r="H82" s="59" t="str">
        <f>VLOOKUP(G82,CATEGORIE!$H$3:$I$55,2,FALSE)</f>
        <v>COSTO SVAGHI</v>
      </c>
      <c r="I82" s="59">
        <v>80</v>
      </c>
      <c r="J82" s="59"/>
      <c r="K82" s="59"/>
      <c r="L82" s="59" t="s">
        <v>175</v>
      </c>
    </row>
    <row r="83" spans="1:12">
      <c r="A83" s="57" t="s">
        <v>106</v>
      </c>
      <c r="B83" s="57" t="s">
        <v>173</v>
      </c>
      <c r="C83" s="57">
        <v>2025</v>
      </c>
      <c r="D83" s="58">
        <f>MATCH(B83,{"GENNAIO","FEBBRAIO","MARZO","APRILE","MAGGIO","GIUGNO","LUGLIO","AGOSTO","SETTEMBRE","OTTOBRE","NOVEMBRE","DICEMBRE"},0)</f>
        <v>12</v>
      </c>
      <c r="E83" s="57" t="str">
        <f t="shared" ref="E83" si="140">CONCATENATE(,B83," ",C83)</f>
        <v>DICEMBRE 2025</v>
      </c>
      <c r="F83" s="57" t="str">
        <f t="shared" si="130"/>
        <v>12 DICEMBRE 2025</v>
      </c>
      <c r="G83" s="59" t="s">
        <v>107</v>
      </c>
      <c r="H83" s="59" t="str">
        <f>VLOOKUP(G83,CATEGORIE!$H$3:$I$55,2,FALSE)</f>
        <v>COSTO SOPRAVVIVENZA</v>
      </c>
      <c r="I83" s="59">
        <v>33</v>
      </c>
      <c r="J83" s="942"/>
      <c r="K83" s="946"/>
      <c r="L83" s="55"/>
    </row>
    <row r="84" spans="1:12">
      <c r="A84" s="57" t="s">
        <v>102</v>
      </c>
      <c r="B84" s="57" t="s">
        <v>173</v>
      </c>
      <c r="C84" s="57">
        <v>2025</v>
      </c>
      <c r="D84" s="58">
        <f>MATCH(B84,{"GENNAIO","FEBBRAIO","MARZO","APRILE","MAGGIO","GIUGNO","LUGLIO","AGOSTO","SETTEMBRE","OTTOBRE","NOVEMBRE","DICEMBRE"},0)</f>
        <v>12</v>
      </c>
      <c r="E84" s="57" t="str">
        <f t="shared" ref="E84" si="141">CONCATENATE(,B84," ",C84)</f>
        <v>DICEMBRE 2025</v>
      </c>
      <c r="F84" s="57" t="str">
        <f t="shared" si="130"/>
        <v>12 DICEMBRE 2025</v>
      </c>
      <c r="G84" s="59" t="s">
        <v>96</v>
      </c>
      <c r="H84" s="59" t="str">
        <f>VLOOKUP(G84,CATEGORIE!$H$3:$I$55,2,FALSE)</f>
        <v>COSTO SOPRAVVIVENZA</v>
      </c>
      <c r="I84" s="59">
        <v>10.99</v>
      </c>
      <c r="J84" s="59"/>
      <c r="K84" s="59"/>
      <c r="L84" s="59"/>
    </row>
    <row r="85" spans="1:12">
      <c r="A85" s="57" t="s">
        <v>680</v>
      </c>
      <c r="B85" s="57" t="s">
        <v>173</v>
      </c>
      <c r="C85" s="57">
        <v>2025</v>
      </c>
      <c r="D85" s="58">
        <f>MATCH(B85,{"GENNAIO","FEBBRAIO","MARZO","APRILE","MAGGIO","GIUGNO","LUGLIO","AGOSTO","SETTEMBRE","OTTOBRE","NOVEMBRE","DICEMBRE"},0)</f>
        <v>12</v>
      </c>
      <c r="E85" s="57" t="str">
        <f t="shared" ref="E85" si="142">CONCATENATE(,B85," ",C85)</f>
        <v>DICEMBRE 2025</v>
      </c>
      <c r="F85" s="57" t="str">
        <f t="shared" si="130"/>
        <v>12 DICEMBRE 2025</v>
      </c>
      <c r="G85" s="59" t="s">
        <v>132</v>
      </c>
      <c r="H85" s="59" t="str">
        <f>VLOOKUP(G85,CATEGORIE!$H$3:$I$55,2,FALSE)</f>
        <v>COSTO CASA</v>
      </c>
      <c r="I85" s="59">
        <v>25.89</v>
      </c>
      <c r="J85" s="59"/>
      <c r="K85" s="59"/>
      <c r="L85" s="59"/>
    </row>
    <row r="86" spans="1:12">
      <c r="A86" s="57" t="s">
        <v>95</v>
      </c>
      <c r="B86" s="57" t="s">
        <v>173</v>
      </c>
      <c r="C86" s="57">
        <v>2025</v>
      </c>
      <c r="D86" s="58">
        <f>MATCH(B86,{"GENNAIO","FEBBRAIO","MARZO","APRILE","MAGGIO","GIUGNO","LUGLIO","AGOSTO","SETTEMBRE","OTTOBRE","NOVEMBRE","DICEMBRE"},0)</f>
        <v>12</v>
      </c>
      <c r="E86" s="57" t="str">
        <f t="shared" ref="E86" si="143">CONCATENATE(,B86," ",C86)</f>
        <v>DICEMBRE 2025</v>
      </c>
      <c r="F86" s="57" t="str">
        <f t="shared" si="130"/>
        <v>12 DICEMBRE 2025</v>
      </c>
      <c r="G86" s="59" t="s">
        <v>96</v>
      </c>
      <c r="H86" s="59" t="str">
        <f>VLOOKUP(G86,CATEGORIE!$H$3:$I$55,2,FALSE)</f>
        <v>COSTO SOPRAVVIVENZA</v>
      </c>
      <c r="I86" s="59">
        <v>17.350000000000001</v>
      </c>
      <c r="J86" s="59"/>
      <c r="K86" s="59"/>
      <c r="L86" s="59"/>
    </row>
    <row r="87" spans="1:12">
      <c r="A87" s="57" t="s">
        <v>131</v>
      </c>
      <c r="B87" s="57" t="s">
        <v>173</v>
      </c>
      <c r="C87" s="57">
        <v>2025</v>
      </c>
      <c r="D87" s="58">
        <f>MATCH(B87,{"GENNAIO","FEBBRAIO","MARZO","APRILE","MAGGIO","GIUGNO","LUGLIO","AGOSTO","SETTEMBRE","OTTOBRE","NOVEMBRE","DICEMBRE"},0)</f>
        <v>12</v>
      </c>
      <c r="E87" s="57" t="str">
        <f t="shared" ref="E87:E151" si="144">CONCATENATE(,B87," ",C87)</f>
        <v>DICEMBRE 2025</v>
      </c>
      <c r="F87" s="57" t="str">
        <f t="shared" si="130"/>
        <v>12 DICEMBRE 2025</v>
      </c>
      <c r="G87" s="59" t="s">
        <v>132</v>
      </c>
      <c r="H87" s="59" t="str">
        <f>VLOOKUP(G87,CATEGORIE!$H$3:$I$55,2,FALSE)</f>
        <v>COSTO CASA</v>
      </c>
      <c r="I87" s="59">
        <v>43.75</v>
      </c>
      <c r="J87" s="59"/>
      <c r="K87" s="59"/>
      <c r="L87" s="59"/>
    </row>
    <row r="88" spans="1:12">
      <c r="A88" s="57" t="s">
        <v>224</v>
      </c>
      <c r="B88" s="57" t="s">
        <v>173</v>
      </c>
      <c r="C88" s="57">
        <v>2025</v>
      </c>
      <c r="D88" s="58">
        <f>MATCH(B88,{"GENNAIO","FEBBRAIO","MARZO","APRILE","MAGGIO","GIUGNO","LUGLIO","AGOSTO","SETTEMBRE","OTTOBRE","NOVEMBRE","DICEMBRE"},0)</f>
        <v>12</v>
      </c>
      <c r="E88" s="57" t="str">
        <f t="shared" ref="E88" si="145">CONCATENATE(,B88," ",C88)</f>
        <v>DICEMBRE 2025</v>
      </c>
      <c r="F88" s="57" t="str">
        <f t="shared" si="130"/>
        <v>12 DICEMBRE 2025</v>
      </c>
      <c r="G88" s="59" t="s">
        <v>185</v>
      </c>
      <c r="H88" s="59" t="str">
        <f>VLOOKUP(G88,CATEGORIE!$H$3:$I$55,2,FALSE)</f>
        <v>COSTO SFIZI</v>
      </c>
      <c r="I88" s="59">
        <v>4.95</v>
      </c>
      <c r="J88" s="59"/>
      <c r="K88" s="59"/>
      <c r="L88" s="59" t="s">
        <v>175</v>
      </c>
    </row>
    <row r="89" spans="1:12">
      <c r="A89" s="57" t="s">
        <v>226</v>
      </c>
      <c r="B89" s="57" t="s">
        <v>173</v>
      </c>
      <c r="C89" s="57">
        <v>2025</v>
      </c>
      <c r="D89" s="58">
        <f>MATCH(B89,{"GENNAIO","FEBBRAIO","MARZO","APRILE","MAGGIO","GIUGNO","LUGLIO","AGOSTO","SETTEMBRE","OTTOBRE","NOVEMBRE","DICEMBRE"},0)</f>
        <v>12</v>
      </c>
      <c r="E89" s="57" t="str">
        <f t="shared" si="144"/>
        <v>DICEMBRE 2025</v>
      </c>
      <c r="F89" s="57" t="str">
        <f t="shared" si="130"/>
        <v>12 DICEMBRE 2025</v>
      </c>
      <c r="G89" s="59" t="s">
        <v>185</v>
      </c>
      <c r="H89" s="59" t="str">
        <f>VLOOKUP(G89,CATEGORIE!$H$3:$I$55,2,FALSE)</f>
        <v>COSTO SFIZI</v>
      </c>
      <c r="I89" s="59">
        <v>34.99</v>
      </c>
      <c r="J89" s="59"/>
      <c r="K89" s="59"/>
      <c r="L89" s="59" t="s">
        <v>175</v>
      </c>
    </row>
    <row r="90" spans="1:12">
      <c r="A90" s="57" t="s">
        <v>130</v>
      </c>
      <c r="B90" s="57" t="s">
        <v>173</v>
      </c>
      <c r="C90" s="57">
        <v>2025</v>
      </c>
      <c r="D90" s="58">
        <f>MATCH(B90,{"GENNAIO","FEBBRAIO","MARZO","APRILE","MAGGIO","GIUGNO","LUGLIO","AGOSTO","SETTEMBRE","OTTOBRE","NOVEMBRE","DICEMBRE"},0)</f>
        <v>12</v>
      </c>
      <c r="E90" s="57" t="str">
        <f t="shared" si="144"/>
        <v>DICEMBRE 2025</v>
      </c>
      <c r="F90" s="57" t="str">
        <f t="shared" si="130"/>
        <v>12 DICEMBRE 2025</v>
      </c>
      <c r="G90" s="59" t="s">
        <v>94</v>
      </c>
      <c r="H90" s="59" t="str">
        <f>VLOOKUP(G90,CATEGORIE!$H$3:$I$55,2,FALSE)</f>
        <v>COSTO SVAGHI</v>
      </c>
      <c r="I90" s="59">
        <v>20</v>
      </c>
      <c r="J90" s="59"/>
      <c r="K90" s="59"/>
      <c r="L90" s="59"/>
    </row>
    <row r="91" spans="1:12">
      <c r="A91" s="57" t="s">
        <v>130</v>
      </c>
      <c r="B91" s="57" t="s">
        <v>173</v>
      </c>
      <c r="C91" s="57">
        <v>2025</v>
      </c>
      <c r="D91" s="58">
        <f>MATCH(B91,{"GENNAIO","FEBBRAIO","MARZO","APRILE","MAGGIO","GIUGNO","LUGLIO","AGOSTO","SETTEMBRE","OTTOBRE","NOVEMBRE","DICEMBRE"},0)</f>
        <v>12</v>
      </c>
      <c r="E91" s="57" t="str">
        <f t="shared" si="144"/>
        <v>DICEMBRE 2025</v>
      </c>
      <c r="F91" s="57" t="str">
        <f t="shared" si="130"/>
        <v>12 DICEMBRE 2025</v>
      </c>
      <c r="G91" s="59" t="s">
        <v>94</v>
      </c>
      <c r="H91" s="59" t="str">
        <f>VLOOKUP(G91,CATEGORIE!$H$3:$I$55,2,FALSE)</f>
        <v>COSTO SVAGHI</v>
      </c>
      <c r="I91" s="59">
        <v>33</v>
      </c>
      <c r="J91" s="59"/>
      <c r="K91" s="59"/>
      <c r="L91" s="59"/>
    </row>
    <row r="92" spans="1:12">
      <c r="A92" s="57" t="s">
        <v>681</v>
      </c>
      <c r="B92" s="57" t="s">
        <v>200</v>
      </c>
      <c r="C92" s="57">
        <v>2025</v>
      </c>
      <c r="D92" s="58">
        <f>MATCH(B92,{"GENNAIO","FEBBRAIO","MARZO","APRILE","MAGGIO","GIUGNO","LUGLIO","AGOSTO","SETTEMBRE","OTTOBRE","NOVEMBRE","DICEMBRE"},0)</f>
        <v>11</v>
      </c>
      <c r="E92" s="57" t="str">
        <f t="shared" si="144"/>
        <v>NOVEMBRE 2025</v>
      </c>
      <c r="F92" s="57" t="str">
        <f t="shared" si="130"/>
        <v>11 NOVEMBRE 2025</v>
      </c>
      <c r="G92" s="59" t="s">
        <v>766</v>
      </c>
      <c r="H92" s="59" t="str">
        <f>VLOOKUP(G92,CATEGORIE!$H$3:$I$55,2,FALSE)</f>
        <v>TASSE</v>
      </c>
      <c r="I92" s="59">
        <v>2.5</v>
      </c>
      <c r="J92" s="59"/>
      <c r="K92" s="59"/>
      <c r="L92" s="59"/>
    </row>
    <row r="93" spans="1:12">
      <c r="A93" s="57" t="s">
        <v>653</v>
      </c>
      <c r="B93" s="57" t="s">
        <v>200</v>
      </c>
      <c r="C93" s="57">
        <v>2025</v>
      </c>
      <c r="D93" s="58">
        <f>MATCH(B93,{"GENNAIO","FEBBRAIO","MARZO","APRILE","MAGGIO","GIUGNO","LUGLIO","AGOSTO","SETTEMBRE","OTTOBRE","NOVEMBRE","DICEMBRE"},0)</f>
        <v>11</v>
      </c>
      <c r="E93" s="57" t="str">
        <f t="shared" si="144"/>
        <v>NOVEMBRE 2025</v>
      </c>
      <c r="F93" s="57" t="str">
        <f t="shared" si="130"/>
        <v>11 NOVEMBRE 2025</v>
      </c>
      <c r="G93" s="59" t="s">
        <v>242</v>
      </c>
      <c r="H93" s="59" t="str">
        <f>VLOOKUP(G93,CATEGORIE!$H$3:$I$55,2,FALSE)</f>
        <v>COSTO ABBONAMENTI</v>
      </c>
      <c r="I93" s="59">
        <v>4.99</v>
      </c>
      <c r="J93" s="940"/>
      <c r="K93" s="142" t="s">
        <v>112</v>
      </c>
      <c r="L93" s="59"/>
    </row>
    <row r="94" spans="1:12">
      <c r="A94" s="57" t="s">
        <v>681</v>
      </c>
      <c r="B94" s="57" t="s">
        <v>200</v>
      </c>
      <c r="C94" s="57">
        <v>2025</v>
      </c>
      <c r="D94" s="58">
        <f>MATCH(B94,{"GENNAIO","FEBBRAIO","MARZO","APRILE","MAGGIO","GIUGNO","LUGLIO","AGOSTO","SETTEMBRE","OTTOBRE","NOVEMBRE","DICEMBRE"},0)</f>
        <v>11</v>
      </c>
      <c r="E94" s="57" t="str">
        <f t="shared" si="144"/>
        <v>NOVEMBRE 2025</v>
      </c>
      <c r="F94" s="57" t="str">
        <f t="shared" si="130"/>
        <v>11 NOVEMBRE 2025</v>
      </c>
      <c r="G94" s="59" t="s">
        <v>766</v>
      </c>
      <c r="H94" s="59" t="str">
        <f>VLOOKUP(G94,CATEGORIE!$H$3:$I$55,2,FALSE)</f>
        <v>TASSE</v>
      </c>
      <c r="I94" s="59">
        <v>2.5</v>
      </c>
      <c r="J94" s="59"/>
      <c r="K94" s="59"/>
      <c r="L94" s="59"/>
    </row>
    <row r="95" spans="1:12">
      <c r="A95" s="57" t="s">
        <v>682</v>
      </c>
      <c r="B95" s="57" t="s">
        <v>200</v>
      </c>
      <c r="C95" s="57">
        <v>2025</v>
      </c>
      <c r="D95" s="58">
        <f>MATCH(B95,{"GENNAIO","FEBBRAIO","MARZO","APRILE","MAGGIO","GIUGNO","LUGLIO","AGOSTO","SETTEMBRE","OTTOBRE","NOVEMBRE","DICEMBRE"},0)</f>
        <v>11</v>
      </c>
      <c r="E95" s="57" t="str">
        <f t="shared" si="144"/>
        <v>NOVEMBRE 2025</v>
      </c>
      <c r="F95" s="57" t="str">
        <f t="shared" si="130"/>
        <v>11 NOVEMBRE 2025</v>
      </c>
      <c r="G95" s="59" t="s">
        <v>242</v>
      </c>
      <c r="H95" s="59" t="str">
        <f>VLOOKUP(G95,CATEGORIE!$H$3:$I$55,2,FALSE)</f>
        <v>COSTO ABBONAMENTI</v>
      </c>
      <c r="I95" s="59">
        <v>6.99</v>
      </c>
      <c r="J95" s="940"/>
      <c r="K95" s="142" t="s">
        <v>112</v>
      </c>
      <c r="L95" s="59"/>
    </row>
    <row r="96" spans="1:12">
      <c r="A96" s="57" t="s">
        <v>334</v>
      </c>
      <c r="B96" s="57" t="s">
        <v>217</v>
      </c>
      <c r="C96" s="57">
        <v>2025</v>
      </c>
      <c r="D96" s="58">
        <f>MATCH(B96,{"GENNAIO","FEBBRAIO","MARZO","APRILE","MAGGIO","GIUGNO","LUGLIO","AGOSTO","SETTEMBRE","OTTOBRE","NOVEMBRE","DICEMBRE"},0)</f>
        <v>10</v>
      </c>
      <c r="E96" s="57" t="str">
        <f t="shared" si="144"/>
        <v>OTTOBRE 2025</v>
      </c>
      <c r="F96" s="57" t="str">
        <f t="shared" si="130"/>
        <v>10 OTTOBRE 2025</v>
      </c>
      <c r="G96" s="59" t="s">
        <v>94</v>
      </c>
      <c r="H96" s="59" t="str">
        <f>VLOOKUP(G96,CATEGORIE!$H$3:$I$55,2,FALSE)</f>
        <v>COSTO SVAGHI</v>
      </c>
      <c r="I96" s="59">
        <v>40</v>
      </c>
      <c r="J96" s="59"/>
      <c r="K96" s="59"/>
      <c r="L96" s="59"/>
    </row>
    <row r="97" spans="1:12">
      <c r="A97" s="57" t="s">
        <v>670</v>
      </c>
      <c r="B97" s="57" t="s">
        <v>240</v>
      </c>
      <c r="C97" s="57">
        <v>2025</v>
      </c>
      <c r="D97" s="58">
        <f>MATCH(B97,{"GENNAIO","FEBBRAIO","MARZO","APRILE","MAGGIO","GIUGNO","LUGLIO","AGOSTO","SETTEMBRE","OTTOBRE","NOVEMBRE","DICEMBRE"},0)</f>
        <v>9</v>
      </c>
      <c r="E97" s="57" t="str">
        <f t="shared" si="144"/>
        <v>SETTEMBRE 2025</v>
      </c>
      <c r="F97" s="57" t="str">
        <f t="shared" si="130"/>
        <v>9 SETTEMBRE 2025</v>
      </c>
      <c r="G97" s="59" t="s">
        <v>116</v>
      </c>
      <c r="H97" s="59" t="str">
        <f>VLOOKUP(G97,CATEGORIE!$H$3:$I$55,2,FALSE)</f>
        <v>TASSE</v>
      </c>
      <c r="I97" s="59">
        <v>40</v>
      </c>
      <c r="J97" s="59"/>
      <c r="K97" s="59"/>
      <c r="L97" s="59" t="s">
        <v>683</v>
      </c>
    </row>
    <row r="98" spans="1:12">
      <c r="A98" s="57" t="s">
        <v>670</v>
      </c>
      <c r="B98" s="57" t="s">
        <v>240</v>
      </c>
      <c r="C98" s="57">
        <v>2025</v>
      </c>
      <c r="D98" s="58">
        <f>MATCH(B98,{"GENNAIO","FEBBRAIO","MARZO","APRILE","MAGGIO","GIUGNO","LUGLIO","AGOSTO","SETTEMBRE","OTTOBRE","NOVEMBRE","DICEMBRE"},0)</f>
        <v>9</v>
      </c>
      <c r="E98" s="57" t="str">
        <f t="shared" si="144"/>
        <v>SETTEMBRE 2025</v>
      </c>
      <c r="F98" s="57" t="str">
        <f t="shared" si="130"/>
        <v>9 SETTEMBRE 2025</v>
      </c>
      <c r="G98" s="59" t="s">
        <v>116</v>
      </c>
      <c r="H98" s="59" t="str">
        <f>VLOOKUP(G98,CATEGORIE!$H$3:$I$55,2,FALSE)</f>
        <v>TASSE</v>
      </c>
      <c r="I98" s="59">
        <v>40</v>
      </c>
      <c r="J98" s="59"/>
      <c r="K98" s="59"/>
      <c r="L98" s="59" t="s">
        <v>683</v>
      </c>
    </row>
    <row r="99" spans="1:12">
      <c r="A99" s="57" t="s">
        <v>684</v>
      </c>
      <c r="B99" s="57" t="s">
        <v>261</v>
      </c>
      <c r="C99" s="57">
        <v>2025</v>
      </c>
      <c r="D99" s="58">
        <f>MATCH(B99,{"GENNAIO","FEBBRAIO","MARZO","APRILE","MAGGIO","GIUGNO","LUGLIO","AGOSTO","SETTEMBRE","OTTOBRE","NOVEMBRE","DICEMBRE"},0)</f>
        <v>8</v>
      </c>
      <c r="E99" s="57" t="str">
        <f t="shared" si="144"/>
        <v>AGOSTO 2025</v>
      </c>
      <c r="F99" s="57" t="str">
        <f t="shared" si="130"/>
        <v>8 AGOSTO 2025</v>
      </c>
      <c r="G99" s="59" t="s">
        <v>94</v>
      </c>
      <c r="H99" s="59" t="str">
        <f>VLOOKUP(G99,CATEGORIE!$H$3:$I$55,2,FALSE)</f>
        <v>COSTO SVAGHI</v>
      </c>
      <c r="I99" s="59">
        <v>32.9</v>
      </c>
      <c r="J99" s="59"/>
      <c r="K99" s="59"/>
      <c r="L99" s="59"/>
    </row>
    <row r="100" spans="1:12">
      <c r="A100" s="57" t="s">
        <v>274</v>
      </c>
      <c r="B100" s="57" t="s">
        <v>261</v>
      </c>
      <c r="C100" s="57">
        <v>2025</v>
      </c>
      <c r="D100" s="58">
        <f>MATCH(B100,{"GENNAIO","FEBBRAIO","MARZO","APRILE","MAGGIO","GIUGNO","LUGLIO","AGOSTO","SETTEMBRE","OTTOBRE","NOVEMBRE","DICEMBRE"},0)</f>
        <v>8</v>
      </c>
      <c r="E100" s="57" t="str">
        <f t="shared" si="144"/>
        <v>AGOSTO 2025</v>
      </c>
      <c r="F100" s="57" t="str">
        <f t="shared" si="130"/>
        <v>8 AGOSTO 2025</v>
      </c>
      <c r="G100" s="59" t="s">
        <v>1250</v>
      </c>
      <c r="H100" s="59" t="str">
        <f>VLOOKUP(G100,CATEGORIE!$H$3:$I$55,2,FALSE)</f>
        <v>COSTO VACANZE</v>
      </c>
      <c r="I100" s="59">
        <v>0.75</v>
      </c>
      <c r="J100" s="940"/>
      <c r="K100" s="142" t="s">
        <v>112</v>
      </c>
      <c r="L100" s="59"/>
    </row>
    <row r="101" spans="1:12">
      <c r="A101" s="57" t="s">
        <v>329</v>
      </c>
      <c r="B101" s="57" t="s">
        <v>261</v>
      </c>
      <c r="C101" s="57">
        <v>2025</v>
      </c>
      <c r="D101" s="58">
        <f>MATCH(B101,{"GENNAIO","FEBBRAIO","MARZO","APRILE","MAGGIO","GIUGNO","LUGLIO","AGOSTO","SETTEMBRE","OTTOBRE","NOVEMBRE","DICEMBRE"},0)</f>
        <v>8</v>
      </c>
      <c r="E101" s="57" t="str">
        <f t="shared" si="144"/>
        <v>AGOSTO 2025</v>
      </c>
      <c r="F101" s="57" t="str">
        <f t="shared" si="130"/>
        <v>8 AGOSTO 2025</v>
      </c>
      <c r="G101" s="59" t="s">
        <v>94</v>
      </c>
      <c r="H101" s="59" t="str">
        <f>VLOOKUP(G101,CATEGORIE!$H$3:$I$55,2,FALSE)</f>
        <v>COSTO SVAGHI</v>
      </c>
      <c r="I101" s="59">
        <v>15</v>
      </c>
      <c r="J101" s="59"/>
      <c r="K101" s="59"/>
      <c r="L101" s="59"/>
    </row>
    <row r="102" spans="1:12">
      <c r="A102" s="57" t="s">
        <v>286</v>
      </c>
      <c r="B102" s="57" t="s">
        <v>314</v>
      </c>
      <c r="C102" s="57">
        <v>2025</v>
      </c>
      <c r="D102" s="58">
        <f>MATCH(B102,{"GENNAIO","FEBBRAIO","MARZO","APRILE","MAGGIO","GIUGNO","LUGLIO","AGOSTO","SETTEMBRE","OTTOBRE","NOVEMBRE","DICEMBRE"},0)</f>
        <v>6</v>
      </c>
      <c r="E102" s="57" t="str">
        <f t="shared" si="144"/>
        <v>GIUGNO 2025</v>
      </c>
      <c r="F102" s="57" t="str">
        <f t="shared" si="130"/>
        <v>6 GIUGNO 2025</v>
      </c>
      <c r="G102" s="59" t="s">
        <v>1250</v>
      </c>
      <c r="H102" s="59" t="str">
        <f>VLOOKUP(G102,CATEGORIE!$H$3:$I$55,2,FALSE)</f>
        <v>COSTO VACANZE</v>
      </c>
      <c r="I102" s="59">
        <v>-222.3</v>
      </c>
      <c r="J102" s="940"/>
      <c r="K102" s="142" t="s">
        <v>112</v>
      </c>
      <c r="L102" s="59" t="s">
        <v>685</v>
      </c>
    </row>
    <row r="103" spans="1:12">
      <c r="A103" s="57" t="s">
        <v>286</v>
      </c>
      <c r="B103" s="57" t="s">
        <v>314</v>
      </c>
      <c r="C103" s="57">
        <v>2025</v>
      </c>
      <c r="D103" s="58">
        <f>MATCH(B103,{"GENNAIO","FEBBRAIO","MARZO","APRILE","MAGGIO","GIUGNO","LUGLIO","AGOSTO","SETTEMBRE","OTTOBRE","NOVEMBRE","DICEMBRE"},0)</f>
        <v>6</v>
      </c>
      <c r="E103" s="57" t="str">
        <f t="shared" si="144"/>
        <v>GIUGNO 2025</v>
      </c>
      <c r="F103" s="57" t="str">
        <f t="shared" si="130"/>
        <v>6 GIUGNO 2025</v>
      </c>
      <c r="G103" s="59" t="s">
        <v>1250</v>
      </c>
      <c r="H103" s="59" t="str">
        <f>VLOOKUP(G103,CATEGORIE!$H$3:$I$55,2,FALSE)</f>
        <v>COSTO VACANZE</v>
      </c>
      <c r="I103" s="59">
        <v>222.3</v>
      </c>
      <c r="J103" s="943"/>
      <c r="K103" s="142" t="s">
        <v>112</v>
      </c>
      <c r="L103" s="59" t="s">
        <v>368</v>
      </c>
    </row>
    <row r="104" spans="1:12">
      <c r="A104" s="57" t="s">
        <v>340</v>
      </c>
      <c r="B104" s="57" t="s">
        <v>333</v>
      </c>
      <c r="C104" s="57">
        <v>2025</v>
      </c>
      <c r="D104" s="58">
        <f>MATCH(B104,{"GENNAIO","FEBBRAIO","MARZO","APRILE","MAGGIO","GIUGNO","LUGLIO","AGOSTO","SETTEMBRE","OTTOBRE","NOVEMBRE","DICEMBRE"},0)</f>
        <v>5</v>
      </c>
      <c r="E104" s="57" t="str">
        <f t="shared" si="144"/>
        <v>MAGGIO 2025</v>
      </c>
      <c r="F104" s="57" t="str">
        <f t="shared" si="130"/>
        <v>5 MAGGIO 2025</v>
      </c>
      <c r="G104" s="59" t="s">
        <v>108</v>
      </c>
      <c r="H104" s="59" t="str">
        <f>VLOOKUP(G104,CATEGORIE!$H$3:$I$55,2,FALSE)</f>
        <v>COSTO SFIZI</v>
      </c>
      <c r="I104" s="59">
        <v>-885</v>
      </c>
      <c r="J104" s="940"/>
      <c r="K104" s="142" t="s">
        <v>112</v>
      </c>
      <c r="L104" s="59" t="s">
        <v>686</v>
      </c>
    </row>
    <row r="105" spans="1:12">
      <c r="A105" s="57" t="s">
        <v>340</v>
      </c>
      <c r="B105" s="57" t="s">
        <v>333</v>
      </c>
      <c r="C105" s="57">
        <v>2025</v>
      </c>
      <c r="D105" s="58">
        <f>MATCH(B105,{"GENNAIO","FEBBRAIO","MARZO","APRILE","MAGGIO","GIUGNO","LUGLIO","AGOSTO","SETTEMBRE","OTTOBRE","NOVEMBRE","DICEMBRE"},0)</f>
        <v>5</v>
      </c>
      <c r="E105" s="57" t="str">
        <f t="shared" si="144"/>
        <v>MAGGIO 2025</v>
      </c>
      <c r="F105" s="57" t="str">
        <f t="shared" si="130"/>
        <v>5 MAGGIO 2025</v>
      </c>
      <c r="G105" s="59" t="s">
        <v>108</v>
      </c>
      <c r="H105" s="59" t="str">
        <f>VLOOKUP(G105,CATEGORIE!$H$3:$I$55,2,FALSE)</f>
        <v>COSTO SFIZI</v>
      </c>
      <c r="I105" s="59">
        <v>889.75</v>
      </c>
      <c r="J105" s="940"/>
      <c r="K105" s="142" t="s">
        <v>112</v>
      </c>
      <c r="L105" s="59" t="s">
        <v>687</v>
      </c>
    </row>
    <row r="106" spans="1:12">
      <c r="A106" s="57" t="s">
        <v>99</v>
      </c>
      <c r="B106" s="57" t="s">
        <v>352</v>
      </c>
      <c r="C106" s="57">
        <v>2025</v>
      </c>
      <c r="D106" s="58">
        <f>MATCH(B106,{"GENNAIO","FEBBRAIO","MARZO","APRILE","MAGGIO","GIUGNO","LUGLIO","AGOSTO","SETTEMBRE","OTTOBRE","NOVEMBRE","DICEMBRE"},0)</f>
        <v>4</v>
      </c>
      <c r="E106" s="57" t="str">
        <f t="shared" si="144"/>
        <v>APRILE 2025</v>
      </c>
      <c r="F106" s="57" t="str">
        <f t="shared" si="130"/>
        <v>4 APRILE 2025</v>
      </c>
      <c r="G106" s="59" t="s">
        <v>185</v>
      </c>
      <c r="H106" s="59" t="str">
        <f>VLOOKUP(G106,CATEGORIE!$H$3:$I$55,2,FALSE)</f>
        <v>COSTO SFIZI</v>
      </c>
      <c r="I106" s="59">
        <v>494.28</v>
      </c>
      <c r="J106" s="59"/>
      <c r="K106" s="59"/>
      <c r="L106" s="59" t="s">
        <v>688</v>
      </c>
    </row>
    <row r="107" spans="1:12">
      <c r="A107" s="57" t="s">
        <v>229</v>
      </c>
      <c r="B107" s="57" t="s">
        <v>352</v>
      </c>
      <c r="C107" s="57">
        <v>2025</v>
      </c>
      <c r="D107" s="58">
        <f>MATCH(B107,{"GENNAIO","FEBBRAIO","MARZO","APRILE","MAGGIO","GIUGNO","LUGLIO","AGOSTO","SETTEMBRE","OTTOBRE","NOVEMBRE","DICEMBRE"},0)</f>
        <v>4</v>
      </c>
      <c r="E107" s="57" t="str">
        <f t="shared" si="144"/>
        <v>APRILE 2025</v>
      </c>
      <c r="F107" s="57" t="str">
        <f t="shared" si="130"/>
        <v>4 APRILE 2025</v>
      </c>
      <c r="G107" s="59" t="s">
        <v>163</v>
      </c>
      <c r="H107" s="59" t="str">
        <f>VLOOKUP(G107,CATEGORIE!$H$3:$I$55,2,FALSE)</f>
        <v>COSTO SVAGHI</v>
      </c>
      <c r="I107" s="59">
        <v>38.200000000000003</v>
      </c>
      <c r="J107" s="940" t="s">
        <v>124</v>
      </c>
      <c r="K107" s="142" t="s">
        <v>112</v>
      </c>
      <c r="L107" s="59" t="s">
        <v>689</v>
      </c>
    </row>
    <row r="108" spans="1:12">
      <c r="A108" s="57" t="s">
        <v>131</v>
      </c>
      <c r="B108" s="57" t="s">
        <v>90</v>
      </c>
      <c r="C108" s="57">
        <v>2025</v>
      </c>
      <c r="D108" s="58">
        <f>MATCH(B108,{"GENNAIO","FEBBRAIO","MARZO","APRILE","MAGGIO","GIUGNO","LUGLIO","AGOSTO","SETTEMBRE","OTTOBRE","NOVEMBRE","DICEMBRE"},0)</f>
        <v>3</v>
      </c>
      <c r="E108" s="57" t="str">
        <f t="shared" si="144"/>
        <v>MARZO 2025</v>
      </c>
      <c r="F108" s="57" t="str">
        <f t="shared" si="130"/>
        <v>3 MARZO 2025</v>
      </c>
      <c r="G108" s="59" t="s">
        <v>132</v>
      </c>
      <c r="H108" s="59" t="str">
        <f>VLOOKUP(G108,CATEGORIE!$H$3:$I$55,2,FALSE)</f>
        <v>COSTO CASA</v>
      </c>
      <c r="I108" s="59">
        <v>127.9</v>
      </c>
      <c r="J108" s="59"/>
      <c r="K108" s="59"/>
      <c r="L108" s="59"/>
    </row>
    <row r="109" spans="1:12">
      <c r="A109" s="57" t="s">
        <v>690</v>
      </c>
      <c r="B109" s="57" t="s">
        <v>90</v>
      </c>
      <c r="C109" s="57">
        <v>2025</v>
      </c>
      <c r="D109" s="58">
        <f>MATCH(B109,{"GENNAIO","FEBBRAIO","MARZO","APRILE","MAGGIO","GIUGNO","LUGLIO","AGOSTO","SETTEMBRE","OTTOBRE","NOVEMBRE","DICEMBRE"},0)</f>
        <v>3</v>
      </c>
      <c r="E109" s="57" t="str">
        <f t="shared" si="144"/>
        <v>MARZO 2025</v>
      </c>
      <c r="F109" s="57" t="str">
        <f t="shared" si="130"/>
        <v>3 MARZO 2025</v>
      </c>
      <c r="G109" s="59" t="s">
        <v>94</v>
      </c>
      <c r="H109" s="59" t="str">
        <f>VLOOKUP(G109,CATEGORIE!$H$3:$I$55,2,FALSE)</f>
        <v>COSTO SVAGHI</v>
      </c>
      <c r="I109" s="59">
        <v>95</v>
      </c>
      <c r="J109" s="59"/>
      <c r="K109" s="59"/>
      <c r="L109" s="59"/>
    </row>
    <row r="110" spans="1:12">
      <c r="A110" s="57" t="s">
        <v>680</v>
      </c>
      <c r="B110" s="57" t="s">
        <v>90</v>
      </c>
      <c r="C110" s="57">
        <v>2025</v>
      </c>
      <c r="D110" s="58">
        <f>MATCH(B110,{"GENNAIO","FEBBRAIO","MARZO","APRILE","MAGGIO","GIUGNO","LUGLIO","AGOSTO","SETTEMBRE","OTTOBRE","NOVEMBRE","DICEMBRE"},0)</f>
        <v>3</v>
      </c>
      <c r="E110" s="57" t="str">
        <f t="shared" si="144"/>
        <v>MARZO 2025</v>
      </c>
      <c r="F110" s="57" t="str">
        <f t="shared" si="130"/>
        <v>3 MARZO 2025</v>
      </c>
      <c r="G110" s="59" t="s">
        <v>132</v>
      </c>
      <c r="H110" s="59" t="str">
        <f>VLOOKUP(G110,CATEGORIE!$H$3:$I$55,2,FALSE)</f>
        <v>COSTO CASA</v>
      </c>
      <c r="I110" s="59">
        <v>14.74</v>
      </c>
      <c r="J110" s="59"/>
      <c r="K110" s="59"/>
      <c r="L110" s="59"/>
    </row>
    <row r="111" spans="1:12" ht="16.5" customHeight="1">
      <c r="A111" s="57" t="s">
        <v>357</v>
      </c>
      <c r="B111" s="57" t="s">
        <v>90</v>
      </c>
      <c r="C111" s="57">
        <v>2025</v>
      </c>
      <c r="D111" s="58">
        <f>MATCH(B111,{"GENNAIO","FEBBRAIO","MARZO","APRILE","MAGGIO","GIUGNO","LUGLIO","AGOSTO","SETTEMBRE","OTTOBRE","NOVEMBRE","DICEMBRE"},0)</f>
        <v>3</v>
      </c>
      <c r="E111" s="57" t="str">
        <f t="shared" si="144"/>
        <v>MARZO 2025</v>
      </c>
      <c r="F111" s="57" t="str">
        <f t="shared" si="130"/>
        <v>3 MARZO 2025</v>
      </c>
      <c r="G111" s="59" t="s">
        <v>96</v>
      </c>
      <c r="H111" s="59" t="str">
        <f>VLOOKUP(G111,CATEGORIE!$H$3:$I$55,2,FALSE)</f>
        <v>COSTO SOPRAVVIVENZA</v>
      </c>
      <c r="I111" s="59">
        <v>5.44</v>
      </c>
      <c r="J111" s="59"/>
      <c r="K111" s="59"/>
      <c r="L111" s="59"/>
    </row>
    <row r="112" spans="1:12">
      <c r="A112" s="57" t="s">
        <v>229</v>
      </c>
      <c r="B112" s="57" t="s">
        <v>90</v>
      </c>
      <c r="C112" s="57">
        <v>2025</v>
      </c>
      <c r="D112" s="58">
        <f>MATCH(B112,{"GENNAIO","FEBBRAIO","MARZO","APRILE","MAGGIO","GIUGNO","LUGLIO","AGOSTO","SETTEMBRE","OTTOBRE","NOVEMBRE","DICEMBRE"},0)</f>
        <v>3</v>
      </c>
      <c r="E112" s="57" t="str">
        <f t="shared" si="144"/>
        <v>MARZO 2025</v>
      </c>
      <c r="F112" s="57" t="str">
        <f t="shared" si="130"/>
        <v>3 MARZO 2025</v>
      </c>
      <c r="G112" s="59" t="s">
        <v>163</v>
      </c>
      <c r="H112" s="59" t="str">
        <f>VLOOKUP(G112,CATEGORIE!$H$3:$I$55,2,FALSE)</f>
        <v>COSTO SVAGHI</v>
      </c>
      <c r="I112" s="59">
        <v>38.19</v>
      </c>
      <c r="J112" s="940" t="s">
        <v>138</v>
      </c>
      <c r="K112" s="142" t="s">
        <v>112</v>
      </c>
      <c r="L112" s="59" t="s">
        <v>689</v>
      </c>
    </row>
    <row r="113" spans="1:12">
      <c r="A113" s="57" t="s">
        <v>691</v>
      </c>
      <c r="B113" s="57" t="s">
        <v>90</v>
      </c>
      <c r="C113" s="57">
        <v>2025</v>
      </c>
      <c r="D113" s="58">
        <f>MATCH(B113,{"GENNAIO","FEBBRAIO","MARZO","APRILE","MAGGIO","GIUGNO","LUGLIO","AGOSTO","SETTEMBRE","OTTOBRE","NOVEMBRE","DICEMBRE"},0)</f>
        <v>3</v>
      </c>
      <c r="E113" s="57" t="str">
        <f t="shared" si="144"/>
        <v>MARZO 2025</v>
      </c>
      <c r="F113" s="57" t="str">
        <f t="shared" si="130"/>
        <v>3 MARZO 2025</v>
      </c>
      <c r="G113" s="59" t="s">
        <v>1250</v>
      </c>
      <c r="H113" s="59" t="str">
        <f>VLOOKUP(G113,CATEGORIE!$H$3:$I$55,2,FALSE)</f>
        <v>COSTO VACANZE</v>
      </c>
      <c r="I113" s="59">
        <v>349.48</v>
      </c>
      <c r="J113" s="59"/>
      <c r="K113" s="59"/>
      <c r="L113" s="59"/>
    </row>
    <row r="114" spans="1:12">
      <c r="A114" s="57" t="s">
        <v>92</v>
      </c>
      <c r="B114" s="57" t="s">
        <v>90</v>
      </c>
      <c r="C114" s="57">
        <v>2025</v>
      </c>
      <c r="D114" s="58">
        <f>MATCH(B114,{"GENNAIO","FEBBRAIO","MARZO","APRILE","MAGGIO","GIUGNO","LUGLIO","AGOSTO","SETTEMBRE","OTTOBRE","NOVEMBRE","DICEMBRE"},0)</f>
        <v>3</v>
      </c>
      <c r="E114" s="57" t="str">
        <f t="shared" si="144"/>
        <v>MARZO 2025</v>
      </c>
      <c r="F114" s="57" t="str">
        <f t="shared" si="130"/>
        <v>3 MARZO 2025</v>
      </c>
      <c r="G114" s="59" t="s">
        <v>94</v>
      </c>
      <c r="H114" s="59" t="str">
        <f>VLOOKUP(G114,CATEGORIE!$H$3:$I$55,2,FALSE)</f>
        <v>COSTO SVAGHI</v>
      </c>
      <c r="I114" s="59">
        <v>6.5</v>
      </c>
      <c r="J114" s="59"/>
      <c r="K114" s="59"/>
      <c r="L114" s="59"/>
    </row>
    <row r="115" spans="1:12">
      <c r="A115" s="57" t="s">
        <v>692</v>
      </c>
      <c r="B115" s="57" t="s">
        <v>129</v>
      </c>
      <c r="C115" s="57">
        <v>2025</v>
      </c>
      <c r="D115" s="58">
        <f>MATCH(B115,{"GENNAIO","FEBBRAIO","MARZO","APRILE","MAGGIO","GIUGNO","LUGLIO","AGOSTO","SETTEMBRE","OTTOBRE","NOVEMBRE","DICEMBRE"},0)</f>
        <v>2</v>
      </c>
      <c r="E115" s="57" t="str">
        <f t="shared" si="144"/>
        <v>FEBBRAIO 2025</v>
      </c>
      <c r="F115" s="57" t="str">
        <f t="shared" si="130"/>
        <v>2 FEBBRAIO 2025</v>
      </c>
      <c r="G115" s="59" t="s">
        <v>693</v>
      </c>
      <c r="H115" s="59" t="str">
        <f>VLOOKUP(G115,CATEGORIE!$H$3:$I$55,2,FALSE)</f>
        <v>GESTIONE CONTO</v>
      </c>
      <c r="I115" s="59">
        <v>26.34</v>
      </c>
      <c r="J115" s="59"/>
      <c r="K115" s="59"/>
      <c r="L115" s="59"/>
    </row>
    <row r="116" spans="1:12" ht="18.600000000000001" customHeight="1">
      <c r="A116" s="57" t="s">
        <v>670</v>
      </c>
      <c r="B116" s="57" t="s">
        <v>154</v>
      </c>
      <c r="C116" s="57">
        <v>2025</v>
      </c>
      <c r="D116" s="58">
        <f>MATCH(B116,{"GENNAIO","FEBBRAIO","MARZO","APRILE","MAGGIO","GIUGNO","LUGLIO","AGOSTO","SETTEMBRE","OTTOBRE","NOVEMBRE","DICEMBRE"},0)</f>
        <v>1</v>
      </c>
      <c r="E116" s="57" t="str">
        <f t="shared" si="144"/>
        <v>GENNAIO 2025</v>
      </c>
      <c r="F116" s="57" t="str">
        <f t="shared" si="130"/>
        <v>1 GENNAIO 2025</v>
      </c>
      <c r="G116" s="59" t="s">
        <v>116</v>
      </c>
      <c r="H116" s="59" t="str">
        <f>VLOOKUP(G116,CATEGORIE!$H$3:$I$55,2,FALSE)</f>
        <v>TASSE</v>
      </c>
      <c r="I116" s="59">
        <v>63</v>
      </c>
      <c r="J116" s="59"/>
      <c r="K116" s="59"/>
      <c r="L116" s="59" t="s">
        <v>694</v>
      </c>
    </row>
    <row r="117" spans="1:12" ht="16.5" customHeight="1">
      <c r="A117" s="57" t="s">
        <v>102</v>
      </c>
      <c r="B117" s="57" t="s">
        <v>154</v>
      </c>
      <c r="C117" s="57">
        <v>2025</v>
      </c>
      <c r="D117" s="58">
        <f>MATCH(B117,{"GENNAIO","FEBBRAIO","MARZO","APRILE","MAGGIO","GIUGNO","LUGLIO","AGOSTO","SETTEMBRE","OTTOBRE","NOVEMBRE","DICEMBRE"},0)</f>
        <v>1</v>
      </c>
      <c r="E117" s="57" t="str">
        <f t="shared" si="144"/>
        <v>GENNAIO 2025</v>
      </c>
      <c r="F117" s="57" t="str">
        <f t="shared" si="130"/>
        <v>1 GENNAIO 2025</v>
      </c>
      <c r="G117" s="59" t="s">
        <v>96</v>
      </c>
      <c r="H117" s="59" t="str">
        <f>VLOOKUP(G117,CATEGORIE!$H$3:$I$55,2,FALSE)</f>
        <v>COSTO SOPRAVVIVENZA</v>
      </c>
      <c r="I117" s="59">
        <v>6.33</v>
      </c>
      <c r="J117" s="59"/>
      <c r="K117" s="59"/>
      <c r="L117" s="59"/>
    </row>
    <row r="118" spans="1:12" ht="16.5" customHeight="1">
      <c r="A118" s="57" t="s">
        <v>105</v>
      </c>
      <c r="B118" s="57" t="s">
        <v>154</v>
      </c>
      <c r="C118" s="57">
        <v>2025</v>
      </c>
      <c r="D118" s="58">
        <f>MATCH(B118,{"GENNAIO","FEBBRAIO","MARZO","APRILE","MAGGIO","GIUGNO","LUGLIO","AGOSTO","SETTEMBRE","OTTOBRE","NOVEMBRE","DICEMBRE"},0)</f>
        <v>1</v>
      </c>
      <c r="E118" s="57" t="str">
        <f t="shared" si="144"/>
        <v>GENNAIO 2025</v>
      </c>
      <c r="F118" s="57" t="str">
        <f t="shared" si="130"/>
        <v>1 GENNAIO 2025</v>
      </c>
      <c r="G118" s="59" t="s">
        <v>96</v>
      </c>
      <c r="H118" s="59" t="str">
        <f>VLOOKUP(G118,CATEGORIE!$H$3:$I$55,2,FALSE)</f>
        <v>COSTO SOPRAVVIVENZA</v>
      </c>
      <c r="I118" s="59">
        <v>5.66</v>
      </c>
      <c r="J118" s="59"/>
      <c r="K118" s="59"/>
      <c r="L118" s="59"/>
    </row>
    <row r="119" spans="1:12" ht="16.5" customHeight="1">
      <c r="A119" s="57" t="s">
        <v>695</v>
      </c>
      <c r="B119" s="57" t="s">
        <v>154</v>
      </c>
      <c r="C119" s="57">
        <v>2025</v>
      </c>
      <c r="D119" s="58">
        <f>MATCH(B119,{"GENNAIO","FEBBRAIO","MARZO","APRILE","MAGGIO","GIUGNO","LUGLIO","AGOSTO","SETTEMBRE","OTTOBRE","NOVEMBRE","DICEMBRE"},0)</f>
        <v>1</v>
      </c>
      <c r="E119" s="57" t="str">
        <f t="shared" si="144"/>
        <v>GENNAIO 2025</v>
      </c>
      <c r="F119" s="57" t="str">
        <f t="shared" si="130"/>
        <v>1 GENNAIO 2025</v>
      </c>
      <c r="G119" s="59" t="s">
        <v>94</v>
      </c>
      <c r="H119" s="59" t="str">
        <f>VLOOKUP(G119,CATEGORIE!$H$3:$I$55,2,FALSE)</f>
        <v>COSTO SVAGHI</v>
      </c>
      <c r="I119" s="59">
        <v>8</v>
      </c>
      <c r="J119" s="59"/>
      <c r="K119" s="59"/>
      <c r="L119" s="59"/>
    </row>
    <row r="120" spans="1:12" ht="16.5" customHeight="1">
      <c r="A120" s="57" t="s">
        <v>696</v>
      </c>
      <c r="B120" s="57" t="s">
        <v>154</v>
      </c>
      <c r="C120" s="57">
        <v>2025</v>
      </c>
      <c r="D120" s="58">
        <f>MATCH(B120,{"GENNAIO","FEBBRAIO","MARZO","APRILE","MAGGIO","GIUGNO","LUGLIO","AGOSTO","SETTEMBRE","OTTOBRE","NOVEMBRE","DICEMBRE"},0)</f>
        <v>1</v>
      </c>
      <c r="E120" s="57" t="str">
        <f t="shared" si="144"/>
        <v>GENNAIO 2025</v>
      </c>
      <c r="F120" s="57" t="str">
        <f t="shared" si="130"/>
        <v>1 GENNAIO 2025</v>
      </c>
      <c r="G120" s="59" t="s">
        <v>94</v>
      </c>
      <c r="H120" s="59" t="str">
        <f>VLOOKUP(G120,CATEGORIE!$H$3:$I$55,2,FALSE)</f>
        <v>COSTO SVAGHI</v>
      </c>
      <c r="I120" s="59">
        <v>25</v>
      </c>
      <c r="J120" s="59"/>
      <c r="K120" s="59"/>
      <c r="L120" s="59"/>
    </row>
    <row r="121" spans="1:12" ht="16.5" customHeight="1">
      <c r="A121" s="57" t="s">
        <v>105</v>
      </c>
      <c r="B121" s="57" t="s">
        <v>154</v>
      </c>
      <c r="C121" s="57">
        <v>2025</v>
      </c>
      <c r="D121" s="58">
        <f>MATCH(B121,{"GENNAIO","FEBBRAIO","MARZO","APRILE","MAGGIO","GIUGNO","LUGLIO","AGOSTO","SETTEMBRE","OTTOBRE","NOVEMBRE","DICEMBRE"},0)</f>
        <v>1</v>
      </c>
      <c r="E121" s="57" t="str">
        <f t="shared" si="144"/>
        <v>GENNAIO 2025</v>
      </c>
      <c r="F121" s="57" t="str">
        <f t="shared" si="130"/>
        <v>1 GENNAIO 2025</v>
      </c>
      <c r="G121" s="59" t="s">
        <v>96</v>
      </c>
      <c r="H121" s="59" t="str">
        <f>VLOOKUP(G121,CATEGORIE!$H$3:$I$55,2,FALSE)</f>
        <v>COSTO SOPRAVVIVENZA</v>
      </c>
      <c r="I121" s="59">
        <v>20.71</v>
      </c>
      <c r="J121" s="59"/>
      <c r="K121" s="59"/>
      <c r="L121" s="59"/>
    </row>
    <row r="122" spans="1:12" ht="18.600000000000001" customHeight="1">
      <c r="A122" s="57" t="s">
        <v>135</v>
      </c>
      <c r="B122" s="57" t="s">
        <v>154</v>
      </c>
      <c r="C122" s="57">
        <v>2025</v>
      </c>
      <c r="D122" s="58">
        <f>MATCH(B122,{"GENNAIO","FEBBRAIO","MARZO","APRILE","MAGGIO","GIUGNO","LUGLIO","AGOSTO","SETTEMBRE","OTTOBRE","NOVEMBRE","DICEMBRE"},0)</f>
        <v>1</v>
      </c>
      <c r="E122" s="57" t="str">
        <f t="shared" si="144"/>
        <v>GENNAIO 2025</v>
      </c>
      <c r="F122" s="57" t="str">
        <f t="shared" si="130"/>
        <v>1 GENNAIO 2025</v>
      </c>
      <c r="G122" s="59" t="s">
        <v>132</v>
      </c>
      <c r="H122" s="59" t="str">
        <f>VLOOKUP(G122,CATEGORIE!$H$3:$I$55,2,FALSE)</f>
        <v>COSTO CASA</v>
      </c>
      <c r="I122" s="59">
        <v>20.64</v>
      </c>
      <c r="J122" s="59"/>
      <c r="K122" s="59"/>
      <c r="L122" s="59"/>
    </row>
    <row r="123" spans="1:12" ht="16.5" customHeight="1">
      <c r="A123" s="57" t="s">
        <v>357</v>
      </c>
      <c r="B123" s="57" t="s">
        <v>154</v>
      </c>
      <c r="C123" s="57">
        <v>2025</v>
      </c>
      <c r="D123" s="58">
        <f>MATCH(B123,{"GENNAIO","FEBBRAIO","MARZO","APRILE","MAGGIO","GIUGNO","LUGLIO","AGOSTO","SETTEMBRE","OTTOBRE","NOVEMBRE","DICEMBRE"},0)</f>
        <v>1</v>
      </c>
      <c r="E123" s="57" t="str">
        <f t="shared" si="144"/>
        <v>GENNAIO 2025</v>
      </c>
      <c r="F123" s="57" t="str">
        <f t="shared" si="130"/>
        <v>1 GENNAIO 2025</v>
      </c>
      <c r="G123" s="59" t="s">
        <v>96</v>
      </c>
      <c r="H123" s="59" t="str">
        <f>VLOOKUP(G123,CATEGORIE!$H$3:$I$55,2,FALSE)</f>
        <v>COSTO SOPRAVVIVENZA</v>
      </c>
      <c r="I123" s="59">
        <v>16.39</v>
      </c>
      <c r="J123" s="59"/>
      <c r="K123" s="59"/>
      <c r="L123" s="59"/>
    </row>
    <row r="124" spans="1:12" ht="16.5" customHeight="1">
      <c r="A124" s="57" t="s">
        <v>95</v>
      </c>
      <c r="B124" s="57" t="s">
        <v>154</v>
      </c>
      <c r="C124" s="57">
        <v>2025</v>
      </c>
      <c r="D124" s="58">
        <f>MATCH(B124,{"GENNAIO","FEBBRAIO","MARZO","APRILE","MAGGIO","GIUGNO","LUGLIO","AGOSTO","SETTEMBRE","OTTOBRE","NOVEMBRE","DICEMBRE"},0)</f>
        <v>1</v>
      </c>
      <c r="E124" s="57" t="str">
        <f t="shared" si="144"/>
        <v>GENNAIO 2025</v>
      </c>
      <c r="F124" s="57" t="str">
        <f t="shared" si="130"/>
        <v>1 GENNAIO 2025</v>
      </c>
      <c r="G124" s="59" t="s">
        <v>96</v>
      </c>
      <c r="H124" s="59" t="str">
        <f>VLOOKUP(G124,CATEGORIE!$H$3:$I$55,2,FALSE)</f>
        <v>COSTO SOPRAVVIVENZA</v>
      </c>
      <c r="I124" s="59">
        <v>21.05</v>
      </c>
      <c r="J124" s="59"/>
      <c r="K124" s="59"/>
      <c r="L124" s="59"/>
    </row>
    <row r="125" spans="1:12" ht="16.5" customHeight="1">
      <c r="A125" s="57" t="s">
        <v>131</v>
      </c>
      <c r="B125" s="57" t="s">
        <v>154</v>
      </c>
      <c r="C125" s="57">
        <v>2025</v>
      </c>
      <c r="D125" s="58">
        <f>MATCH(B125,{"GENNAIO","FEBBRAIO","MARZO","APRILE","MAGGIO","GIUGNO","LUGLIO","AGOSTO","SETTEMBRE","OTTOBRE","NOVEMBRE","DICEMBRE"},0)</f>
        <v>1</v>
      </c>
      <c r="E125" s="57" t="str">
        <f t="shared" si="144"/>
        <v>GENNAIO 2025</v>
      </c>
      <c r="F125" s="57" t="str">
        <f t="shared" si="130"/>
        <v>1 GENNAIO 2025</v>
      </c>
      <c r="G125" s="59" t="s">
        <v>132</v>
      </c>
      <c r="H125" s="59" t="str">
        <f>VLOOKUP(G125,CATEGORIE!$H$3:$I$55,2,FALSE)</f>
        <v>COSTO CASA</v>
      </c>
      <c r="I125" s="59">
        <v>101.7</v>
      </c>
      <c r="J125" s="59"/>
      <c r="K125" s="59"/>
      <c r="L125" s="59"/>
    </row>
    <row r="126" spans="1:12" ht="16.5" customHeight="1">
      <c r="A126" s="57" t="s">
        <v>681</v>
      </c>
      <c r="B126" s="57" t="s">
        <v>154</v>
      </c>
      <c r="C126" s="57">
        <v>2025</v>
      </c>
      <c r="D126" s="58">
        <f>MATCH(B126,{"GENNAIO","FEBBRAIO","MARZO","APRILE","MAGGIO","GIUGNO","LUGLIO","AGOSTO","SETTEMBRE","OTTOBRE","NOVEMBRE","DICEMBRE"},0)</f>
        <v>1</v>
      </c>
      <c r="E126" s="57" t="str">
        <f t="shared" si="144"/>
        <v>GENNAIO 2025</v>
      </c>
      <c r="F126" s="57" t="str">
        <f t="shared" si="130"/>
        <v>1 GENNAIO 2025</v>
      </c>
      <c r="G126" s="59" t="s">
        <v>766</v>
      </c>
      <c r="H126" s="59" t="str">
        <f>VLOOKUP(G126,CATEGORIE!$H$3:$I$55,2,FALSE)</f>
        <v>TASSE</v>
      </c>
      <c r="I126" s="59">
        <v>2.5</v>
      </c>
      <c r="J126" s="59"/>
      <c r="K126" s="59"/>
      <c r="L126" s="59"/>
    </row>
    <row r="127" spans="1:12" ht="18" customHeight="1">
      <c r="A127" s="57" t="s">
        <v>682</v>
      </c>
      <c r="B127" s="57" t="s">
        <v>154</v>
      </c>
      <c r="C127" s="57">
        <v>2025</v>
      </c>
      <c r="D127" s="58">
        <f>MATCH(B127,{"GENNAIO","FEBBRAIO","MARZO","APRILE","MAGGIO","GIUGNO","LUGLIO","AGOSTO","SETTEMBRE","OTTOBRE","NOVEMBRE","DICEMBRE"},0)</f>
        <v>1</v>
      </c>
      <c r="E127" s="57" t="str">
        <f t="shared" si="144"/>
        <v>GENNAIO 2025</v>
      </c>
      <c r="F127" s="57" t="str">
        <f t="shared" si="130"/>
        <v>1 GENNAIO 2025</v>
      </c>
      <c r="G127" s="59" t="s">
        <v>242</v>
      </c>
      <c r="H127" s="59" t="str">
        <f>VLOOKUP(G127,CATEGORIE!$H$3:$I$55,2,FALSE)</f>
        <v>COSTO ABBONAMENTI</v>
      </c>
      <c r="I127" s="59">
        <v>6.99</v>
      </c>
      <c r="J127" s="940"/>
      <c r="K127" s="142" t="s">
        <v>112</v>
      </c>
      <c r="L127" s="59"/>
    </row>
    <row r="128" spans="1:12" ht="16.5" customHeight="1">
      <c r="A128" s="57" t="s">
        <v>673</v>
      </c>
      <c r="B128" s="57" t="s">
        <v>154</v>
      </c>
      <c r="C128" s="57">
        <v>2025</v>
      </c>
      <c r="D128" s="58">
        <f>MATCH(B128,{"GENNAIO","FEBBRAIO","MARZO","APRILE","MAGGIO","GIUGNO","LUGLIO","AGOSTO","SETTEMBRE","OTTOBRE","NOVEMBRE","DICEMBRE"},0)</f>
        <v>1</v>
      </c>
      <c r="E128" s="57" t="str">
        <f t="shared" si="144"/>
        <v>GENNAIO 2025</v>
      </c>
      <c r="F128" s="57" t="str">
        <f t="shared" si="130"/>
        <v>1 GENNAIO 2025</v>
      </c>
      <c r="G128" s="59" t="s">
        <v>116</v>
      </c>
      <c r="H128" s="59" t="str">
        <f>VLOOKUP(G128,CATEGORIE!$H$3:$I$55,2,FALSE)</f>
        <v>TASSE</v>
      </c>
      <c r="I128" s="59">
        <v>0.5</v>
      </c>
      <c r="J128" s="59"/>
      <c r="K128" s="59"/>
      <c r="L128" s="59"/>
    </row>
    <row r="129" spans="1:12">
      <c r="A129" s="57" t="s">
        <v>674</v>
      </c>
      <c r="B129" s="57" t="s">
        <v>154</v>
      </c>
      <c r="C129" s="57">
        <v>2025</v>
      </c>
      <c r="D129" s="58">
        <f>MATCH(B129,{"GENNAIO","FEBBRAIO","MARZO","APRILE","MAGGIO","GIUGNO","LUGLIO","AGOSTO","SETTEMBRE","OTTOBRE","NOVEMBRE","DICEMBRE"},0)</f>
        <v>1</v>
      </c>
      <c r="E129" s="57" t="str">
        <f t="shared" si="144"/>
        <v>GENNAIO 2025</v>
      </c>
      <c r="F129" s="57" t="str">
        <f t="shared" si="130"/>
        <v>1 GENNAIO 2025</v>
      </c>
      <c r="G129" s="59" t="s">
        <v>116</v>
      </c>
      <c r="H129" s="59" t="str">
        <f>VLOOKUP(G129,CATEGORIE!$H$3:$I$55,2,FALSE)</f>
        <v>TASSE</v>
      </c>
      <c r="I129" s="59">
        <v>31.72</v>
      </c>
      <c r="J129" s="59"/>
      <c r="K129" s="59"/>
      <c r="L129" s="59"/>
    </row>
    <row r="130" spans="1:12">
      <c r="A130" s="57" t="s">
        <v>675</v>
      </c>
      <c r="B130" s="57" t="s">
        <v>154</v>
      </c>
      <c r="C130" s="57">
        <v>2025</v>
      </c>
      <c r="D130" s="58">
        <f>MATCH(B130,{"GENNAIO","FEBBRAIO","MARZO","APRILE","MAGGIO","GIUGNO","LUGLIO","AGOSTO","SETTEMBRE","OTTOBRE","NOVEMBRE","DICEMBRE"},0)</f>
        <v>1</v>
      </c>
      <c r="E130" s="57" t="str">
        <f t="shared" si="144"/>
        <v>GENNAIO 2025</v>
      </c>
      <c r="F130" s="57" t="str">
        <f t="shared" si="130"/>
        <v>1 GENNAIO 2025</v>
      </c>
      <c r="G130" s="59" t="s">
        <v>116</v>
      </c>
      <c r="H130" s="59" t="str">
        <f>VLOOKUP(G130,CATEGORIE!$H$3:$I$55,2,FALSE)</f>
        <v>TASSE</v>
      </c>
      <c r="I130" s="59">
        <v>0.02</v>
      </c>
      <c r="J130" s="59"/>
      <c r="K130" s="59"/>
      <c r="L130" s="59"/>
    </row>
    <row r="131" spans="1:12">
      <c r="A131" s="57" t="s">
        <v>676</v>
      </c>
      <c r="B131" s="57" t="s">
        <v>154</v>
      </c>
      <c r="C131" s="57">
        <v>2025</v>
      </c>
      <c r="D131" s="58">
        <f>MATCH(B131,{"GENNAIO","FEBBRAIO","MARZO","APRILE","MAGGIO","GIUGNO","LUGLIO","AGOSTO","SETTEMBRE","OTTOBRE","NOVEMBRE","DICEMBRE"},0)</f>
        <v>1</v>
      </c>
      <c r="E131" s="57" t="str">
        <f t="shared" si="144"/>
        <v>GENNAIO 2025</v>
      </c>
      <c r="F131" s="57" t="str">
        <f t="shared" si="130"/>
        <v>1 GENNAIO 2025</v>
      </c>
      <c r="G131" s="59" t="s">
        <v>116</v>
      </c>
      <c r="H131" s="59" t="str">
        <f>VLOOKUP(G131,CATEGORIE!$H$3:$I$55,2,FALSE)</f>
        <v>TASSE</v>
      </c>
      <c r="I131" s="59">
        <v>34.200000000000003</v>
      </c>
      <c r="J131" s="59"/>
      <c r="K131" s="59"/>
      <c r="L131" s="59"/>
    </row>
    <row r="132" spans="1:12" ht="16.5" customHeight="1">
      <c r="A132" s="57" t="s">
        <v>697</v>
      </c>
      <c r="B132" s="57" t="s">
        <v>173</v>
      </c>
      <c r="C132" s="57">
        <v>2024</v>
      </c>
      <c r="D132" s="58">
        <f>MATCH(B132,{"GENNAIO","FEBBRAIO","MARZO","APRILE","MAGGIO","GIUGNO","LUGLIO","AGOSTO","SETTEMBRE","OTTOBRE","NOVEMBRE","DICEMBRE"},0)</f>
        <v>12</v>
      </c>
      <c r="E132" s="57" t="str">
        <f t="shared" si="144"/>
        <v>DICEMBRE 2024</v>
      </c>
      <c r="F132" s="57" t="str">
        <f t="shared" si="130"/>
        <v>12 DICEMBRE 2024</v>
      </c>
      <c r="G132" s="59" t="s">
        <v>94</v>
      </c>
      <c r="H132" s="59" t="str">
        <f>VLOOKUP(G132,CATEGORIE!$H$3:$I$55,2,FALSE)</f>
        <v>COSTO SVAGHI</v>
      </c>
      <c r="I132" s="59">
        <v>41.3</v>
      </c>
      <c r="J132" s="59"/>
      <c r="K132" s="59"/>
      <c r="L132" s="59"/>
    </row>
    <row r="133" spans="1:12">
      <c r="A133" s="57" t="s">
        <v>131</v>
      </c>
      <c r="B133" s="57" t="s">
        <v>173</v>
      </c>
      <c r="C133" s="57">
        <v>2024</v>
      </c>
      <c r="D133" s="58">
        <f>MATCH(B133,{"GENNAIO","FEBBRAIO","MARZO","APRILE","MAGGIO","GIUGNO","LUGLIO","AGOSTO","SETTEMBRE","OTTOBRE","NOVEMBRE","DICEMBRE"},0)</f>
        <v>12</v>
      </c>
      <c r="E133" s="57" t="str">
        <f t="shared" si="144"/>
        <v>DICEMBRE 2024</v>
      </c>
      <c r="F133" s="57" t="str">
        <f t="shared" si="130"/>
        <v>12 DICEMBRE 2024</v>
      </c>
      <c r="G133" s="59" t="s">
        <v>132</v>
      </c>
      <c r="H133" s="59" t="str">
        <f>VLOOKUP(G133,CATEGORIE!$H$3:$I$55,2,FALSE)</f>
        <v>COSTO CASA</v>
      </c>
      <c r="I133" s="59">
        <v>14.45</v>
      </c>
      <c r="J133" s="59"/>
      <c r="K133" s="59"/>
      <c r="L133" s="59"/>
    </row>
    <row r="134" spans="1:12">
      <c r="A134" s="57" t="s">
        <v>433</v>
      </c>
      <c r="B134" s="57" t="s">
        <v>173</v>
      </c>
      <c r="C134" s="57">
        <v>2024</v>
      </c>
      <c r="D134" s="58">
        <f>MATCH(B134,{"GENNAIO","FEBBRAIO","MARZO","APRILE","MAGGIO","GIUGNO","LUGLIO","AGOSTO","SETTEMBRE","OTTOBRE","NOVEMBRE","DICEMBRE"},0)</f>
        <v>12</v>
      </c>
      <c r="E134" s="57" t="str">
        <f t="shared" si="144"/>
        <v>DICEMBRE 2024</v>
      </c>
      <c r="F134" s="57" t="str">
        <f t="shared" si="130"/>
        <v>12 DICEMBRE 2024</v>
      </c>
      <c r="G134" s="59" t="s">
        <v>185</v>
      </c>
      <c r="H134" s="59" t="str">
        <f>VLOOKUP(G134,CATEGORIE!$H$3:$I$55,2,FALSE)</f>
        <v>COSTO SFIZI</v>
      </c>
      <c r="I134" s="60">
        <v>50</v>
      </c>
      <c r="J134" s="59"/>
      <c r="K134" s="59"/>
      <c r="L134" s="59" t="s">
        <v>569</v>
      </c>
    </row>
    <row r="135" spans="1:12" ht="16.5" customHeight="1">
      <c r="A135" s="57" t="s">
        <v>681</v>
      </c>
      <c r="B135" s="57" t="s">
        <v>173</v>
      </c>
      <c r="C135" s="57">
        <v>2024</v>
      </c>
      <c r="D135" s="58">
        <f>MATCH(B135,{"GENNAIO","FEBBRAIO","MARZO","APRILE","MAGGIO","GIUGNO","LUGLIO","AGOSTO","SETTEMBRE","OTTOBRE","NOVEMBRE","DICEMBRE"},0)</f>
        <v>12</v>
      </c>
      <c r="E135" s="57" t="str">
        <f t="shared" si="144"/>
        <v>DICEMBRE 2024</v>
      </c>
      <c r="F135" s="57" t="str">
        <f t="shared" si="130"/>
        <v>12 DICEMBRE 2024</v>
      </c>
      <c r="G135" s="59" t="s">
        <v>766</v>
      </c>
      <c r="H135" s="59" t="str">
        <f>VLOOKUP(G135,CATEGORIE!$H$3:$I$55,2,FALSE)</f>
        <v>TASSE</v>
      </c>
      <c r="I135" s="59">
        <v>2.5</v>
      </c>
      <c r="J135" s="59"/>
      <c r="K135" s="59"/>
      <c r="L135" s="59"/>
    </row>
    <row r="136" spans="1:12">
      <c r="A136" s="57" t="s">
        <v>340</v>
      </c>
      <c r="B136" s="57" t="s">
        <v>173</v>
      </c>
      <c r="C136" s="57">
        <v>2024</v>
      </c>
      <c r="D136" s="58">
        <f>MATCH(B136,{"GENNAIO","FEBBRAIO","MARZO","APRILE","MAGGIO","GIUGNO","LUGLIO","AGOSTO","SETTEMBRE","OTTOBRE","NOVEMBRE","DICEMBRE"},0)</f>
        <v>12</v>
      </c>
      <c r="E136" s="57" t="str">
        <f t="shared" si="144"/>
        <v>DICEMBRE 2024</v>
      </c>
      <c r="F136" s="57" t="str">
        <f t="shared" si="130"/>
        <v>12 DICEMBRE 2024</v>
      </c>
      <c r="G136" s="59" t="s">
        <v>185</v>
      </c>
      <c r="H136" s="59" t="str">
        <f>VLOOKUP(G136,CATEGORIE!$H$3:$I$55,2,FALSE)</f>
        <v>COSTO SFIZI</v>
      </c>
      <c r="I136" s="59">
        <v>93</v>
      </c>
      <c r="J136" s="940"/>
      <c r="K136" s="142" t="s">
        <v>112</v>
      </c>
      <c r="L136" s="59" t="s">
        <v>569</v>
      </c>
    </row>
    <row r="137" spans="1:12">
      <c r="A137" s="57" t="s">
        <v>340</v>
      </c>
      <c r="B137" s="57" t="s">
        <v>173</v>
      </c>
      <c r="C137" s="57">
        <v>2024</v>
      </c>
      <c r="D137" s="58">
        <f>MATCH(B137,{"GENNAIO","FEBBRAIO","MARZO","APRILE","MAGGIO","GIUGNO","LUGLIO","AGOSTO","SETTEMBRE","OTTOBRE","NOVEMBRE","DICEMBRE"},0)</f>
        <v>12</v>
      </c>
      <c r="E137" s="57" t="str">
        <f t="shared" si="144"/>
        <v>DICEMBRE 2024</v>
      </c>
      <c r="F137" s="57" t="str">
        <f t="shared" ref="F137:F200" si="146">CONCATENATE(D137," ",E137)</f>
        <v>12 DICEMBRE 2024</v>
      </c>
      <c r="G137" s="59" t="s">
        <v>108</v>
      </c>
      <c r="H137" s="59" t="str">
        <f>VLOOKUP(G137,CATEGORIE!$H$3:$I$55,2,FALSE)</f>
        <v>COSTO SFIZI</v>
      </c>
      <c r="I137" s="59">
        <v>318.89999999999998</v>
      </c>
      <c r="J137" s="940"/>
      <c r="K137" s="142" t="s">
        <v>112</v>
      </c>
      <c r="L137" s="59" t="s">
        <v>698</v>
      </c>
    </row>
    <row r="138" spans="1:12" ht="16.5" customHeight="1">
      <c r="A138" s="57" t="s">
        <v>681</v>
      </c>
      <c r="B138" s="57" t="s">
        <v>173</v>
      </c>
      <c r="C138" s="57">
        <v>2024</v>
      </c>
      <c r="D138" s="58">
        <f>MATCH(B138,{"GENNAIO","FEBBRAIO","MARZO","APRILE","MAGGIO","GIUGNO","LUGLIO","AGOSTO","SETTEMBRE","OTTOBRE","NOVEMBRE","DICEMBRE"},0)</f>
        <v>12</v>
      </c>
      <c r="E138" s="57" t="str">
        <f t="shared" si="144"/>
        <v>DICEMBRE 2024</v>
      </c>
      <c r="F138" s="57" t="str">
        <f t="shared" si="146"/>
        <v>12 DICEMBRE 2024</v>
      </c>
      <c r="G138" s="59" t="s">
        <v>766</v>
      </c>
      <c r="H138" s="59" t="str">
        <f>VLOOKUP(G138,CATEGORIE!$H$3:$I$55,2,FALSE)</f>
        <v>TASSE</v>
      </c>
      <c r="I138" s="59">
        <v>2.5</v>
      </c>
      <c r="J138" s="59"/>
      <c r="K138" s="59"/>
      <c r="L138" s="59"/>
    </row>
    <row r="139" spans="1:12">
      <c r="A139" s="57" t="s">
        <v>682</v>
      </c>
      <c r="B139" s="57" t="s">
        <v>173</v>
      </c>
      <c r="C139" s="57">
        <v>2024</v>
      </c>
      <c r="D139" s="58">
        <f>MATCH(B139,{"GENNAIO","FEBBRAIO","MARZO","APRILE","MAGGIO","GIUGNO","LUGLIO","AGOSTO","SETTEMBRE","OTTOBRE","NOVEMBRE","DICEMBRE"},0)</f>
        <v>12</v>
      </c>
      <c r="E139" s="57" t="str">
        <f t="shared" si="144"/>
        <v>DICEMBRE 2024</v>
      </c>
      <c r="F139" s="57" t="str">
        <f t="shared" si="146"/>
        <v>12 DICEMBRE 2024</v>
      </c>
      <c r="G139" s="59" t="s">
        <v>242</v>
      </c>
      <c r="H139" s="59" t="str">
        <f>VLOOKUP(G139,CATEGORIE!$H$3:$I$55,2,FALSE)</f>
        <v>COSTO ABBONAMENTI</v>
      </c>
      <c r="I139" s="59">
        <v>9.99</v>
      </c>
      <c r="J139" s="940"/>
      <c r="K139" s="142" t="s">
        <v>112</v>
      </c>
      <c r="L139" s="59"/>
    </row>
    <row r="140" spans="1:12" ht="18.600000000000001" customHeight="1">
      <c r="A140" s="57" t="s">
        <v>670</v>
      </c>
      <c r="B140" s="57" t="s">
        <v>173</v>
      </c>
      <c r="C140" s="57">
        <v>2024</v>
      </c>
      <c r="D140" s="58">
        <f>MATCH(B140,{"GENNAIO","FEBBRAIO","MARZO","APRILE","MAGGIO","GIUGNO","LUGLIO","AGOSTO","SETTEMBRE","OTTOBRE","NOVEMBRE","DICEMBRE"},0)</f>
        <v>12</v>
      </c>
      <c r="E140" s="57" t="str">
        <f t="shared" si="144"/>
        <v>DICEMBRE 2024</v>
      </c>
      <c r="F140" s="57" t="str">
        <f t="shared" si="146"/>
        <v>12 DICEMBRE 2024</v>
      </c>
      <c r="G140" s="59" t="s">
        <v>116</v>
      </c>
      <c r="H140" s="59" t="str">
        <f>VLOOKUP(G140,CATEGORIE!$H$3:$I$55,2,FALSE)</f>
        <v>TASSE</v>
      </c>
      <c r="I140" s="59">
        <v>36</v>
      </c>
      <c r="J140" s="59"/>
      <c r="K140" s="59"/>
      <c r="L140" s="59" t="s">
        <v>694</v>
      </c>
    </row>
    <row r="141" spans="1:12" ht="18.600000000000001" customHeight="1">
      <c r="A141" s="57" t="s">
        <v>670</v>
      </c>
      <c r="B141" s="57" t="s">
        <v>173</v>
      </c>
      <c r="C141" s="57">
        <v>2024</v>
      </c>
      <c r="D141" s="58">
        <f>MATCH(B141,{"GENNAIO","FEBBRAIO","MARZO","APRILE","MAGGIO","GIUGNO","LUGLIO","AGOSTO","SETTEMBRE","OTTOBRE","NOVEMBRE","DICEMBRE"},0)</f>
        <v>12</v>
      </c>
      <c r="E141" s="57" t="str">
        <f t="shared" si="144"/>
        <v>DICEMBRE 2024</v>
      </c>
      <c r="F141" s="57" t="str">
        <f t="shared" si="146"/>
        <v>12 DICEMBRE 2024</v>
      </c>
      <c r="G141" s="59" t="s">
        <v>116</v>
      </c>
      <c r="H141" s="59" t="str">
        <f>VLOOKUP(G141,CATEGORIE!$H$3:$I$55,2,FALSE)</f>
        <v>TASSE</v>
      </c>
      <c r="I141" s="59">
        <v>36</v>
      </c>
      <c r="J141" s="59"/>
      <c r="K141" s="59"/>
      <c r="L141" s="59" t="s">
        <v>694</v>
      </c>
    </row>
    <row r="142" spans="1:12">
      <c r="A142" s="57" t="s">
        <v>648</v>
      </c>
      <c r="B142" s="57" t="s">
        <v>200</v>
      </c>
      <c r="C142" s="57">
        <v>2024</v>
      </c>
      <c r="D142" s="58">
        <f>MATCH(B142,{"GENNAIO","FEBBRAIO","MARZO","APRILE","MAGGIO","GIUGNO","LUGLIO","AGOSTO","SETTEMBRE","OTTOBRE","NOVEMBRE","DICEMBRE"},0)</f>
        <v>11</v>
      </c>
      <c r="E142" s="57" t="str">
        <f t="shared" si="144"/>
        <v>NOVEMBRE 2024</v>
      </c>
      <c r="F142" s="57" t="str">
        <f t="shared" si="146"/>
        <v>11 NOVEMBRE 2024</v>
      </c>
      <c r="G142" s="59" t="s">
        <v>108</v>
      </c>
      <c r="H142" s="59" t="str">
        <f>VLOOKUP(G142,CATEGORIE!$H$3:$I$55,2,FALSE)</f>
        <v>COSTO SFIZI</v>
      </c>
      <c r="I142" s="59">
        <v>109.2</v>
      </c>
      <c r="J142" s="59"/>
      <c r="K142" s="59"/>
      <c r="L142" s="59"/>
    </row>
    <row r="143" spans="1:12" ht="16.5" customHeight="1">
      <c r="A143" s="57" t="s">
        <v>187</v>
      </c>
      <c r="B143" s="57" t="s">
        <v>200</v>
      </c>
      <c r="C143" s="57">
        <v>2024</v>
      </c>
      <c r="D143" s="58">
        <f>MATCH(B143,{"GENNAIO","FEBBRAIO","MARZO","APRILE","MAGGIO","GIUGNO","LUGLIO","AGOSTO","SETTEMBRE","OTTOBRE","NOVEMBRE","DICEMBRE"},0)</f>
        <v>11</v>
      </c>
      <c r="E143" s="57" t="str">
        <f t="shared" si="144"/>
        <v>NOVEMBRE 2024</v>
      </c>
      <c r="F143" s="57" t="str">
        <f t="shared" si="146"/>
        <v>11 NOVEMBRE 2024</v>
      </c>
      <c r="G143" s="59" t="s">
        <v>188</v>
      </c>
      <c r="H143" s="59" t="str">
        <f>VLOOKUP(G143,CATEGORIE!$H$3:$I$55,2,FALSE)</f>
        <v>COSTO VACANZE</v>
      </c>
      <c r="I143" s="59">
        <v>125.2</v>
      </c>
      <c r="J143" s="59"/>
      <c r="K143" s="59"/>
      <c r="L143" s="59" t="s">
        <v>699</v>
      </c>
    </row>
    <row r="144" spans="1:12" ht="16.5" customHeight="1">
      <c r="A144" s="57" t="s">
        <v>673</v>
      </c>
      <c r="B144" s="57" t="s">
        <v>200</v>
      </c>
      <c r="C144" s="57">
        <v>2024</v>
      </c>
      <c r="D144" s="58">
        <f>MATCH(B144,{"GENNAIO","FEBBRAIO","MARZO","APRILE","MAGGIO","GIUGNO","LUGLIO","AGOSTO","SETTEMBRE","OTTOBRE","NOVEMBRE","DICEMBRE"},0)</f>
        <v>11</v>
      </c>
      <c r="E144" s="57" t="str">
        <f t="shared" si="144"/>
        <v>NOVEMBRE 2024</v>
      </c>
      <c r="F144" s="57" t="str">
        <f t="shared" si="146"/>
        <v>11 NOVEMBRE 2024</v>
      </c>
      <c r="G144" s="59" t="s">
        <v>116</v>
      </c>
      <c r="H144" s="59" t="str">
        <f>VLOOKUP(G144,CATEGORIE!$H$3:$I$55,2,FALSE)</f>
        <v>TASSE</v>
      </c>
      <c r="I144" s="59">
        <v>0.5</v>
      </c>
      <c r="J144" s="59"/>
      <c r="K144" s="59"/>
      <c r="L144" s="59" t="s">
        <v>699</v>
      </c>
    </row>
    <row r="145" spans="1:12" ht="16.5" customHeight="1">
      <c r="A145" s="57" t="s">
        <v>681</v>
      </c>
      <c r="B145" s="57" t="s">
        <v>200</v>
      </c>
      <c r="C145" s="57">
        <v>2024</v>
      </c>
      <c r="D145" s="58">
        <f>MATCH(B145,{"GENNAIO","FEBBRAIO","MARZO","APRILE","MAGGIO","GIUGNO","LUGLIO","AGOSTO","SETTEMBRE","OTTOBRE","NOVEMBRE","DICEMBRE"},0)</f>
        <v>11</v>
      </c>
      <c r="E145" s="57" t="str">
        <f t="shared" si="144"/>
        <v>NOVEMBRE 2024</v>
      </c>
      <c r="F145" s="57" t="str">
        <f t="shared" si="146"/>
        <v>11 NOVEMBRE 2024</v>
      </c>
      <c r="G145" s="59" t="s">
        <v>766</v>
      </c>
      <c r="H145" s="59" t="str">
        <f>VLOOKUP(G145,CATEGORIE!$H$3:$I$55,2,FALSE)</f>
        <v>TASSE</v>
      </c>
      <c r="I145" s="59">
        <v>2.5</v>
      </c>
      <c r="J145" s="59"/>
      <c r="K145" s="59"/>
      <c r="L145" s="59"/>
    </row>
    <row r="146" spans="1:12">
      <c r="A146" s="57" t="s">
        <v>340</v>
      </c>
      <c r="B146" s="57" t="s">
        <v>200</v>
      </c>
      <c r="C146" s="57">
        <v>2024</v>
      </c>
      <c r="D146" s="58">
        <f>MATCH(B146,{"GENNAIO","FEBBRAIO","MARZO","APRILE","MAGGIO","GIUGNO","LUGLIO","AGOSTO","SETTEMBRE","OTTOBRE","NOVEMBRE","DICEMBRE"},0)</f>
        <v>11</v>
      </c>
      <c r="E146" s="57" t="str">
        <f t="shared" si="144"/>
        <v>NOVEMBRE 2024</v>
      </c>
      <c r="F146" s="57" t="str">
        <f t="shared" si="146"/>
        <v>11 NOVEMBRE 2024</v>
      </c>
      <c r="G146" s="59" t="s">
        <v>108</v>
      </c>
      <c r="H146" s="59" t="str">
        <f>VLOOKUP(G146,CATEGORIE!$H$3:$I$55,2,FALSE)</f>
        <v>COSTO SFIZI</v>
      </c>
      <c r="I146" s="59">
        <v>1591.51</v>
      </c>
      <c r="J146" s="940"/>
      <c r="K146" s="142" t="s">
        <v>112</v>
      </c>
      <c r="L146" s="59" t="s">
        <v>698</v>
      </c>
    </row>
    <row r="147" spans="1:12" ht="15.75" customHeight="1">
      <c r="A147" s="57" t="s">
        <v>681</v>
      </c>
      <c r="B147" s="57" t="s">
        <v>200</v>
      </c>
      <c r="C147" s="57">
        <v>2024</v>
      </c>
      <c r="D147" s="58">
        <f>MATCH(B147,{"GENNAIO","FEBBRAIO","MARZO","APRILE","MAGGIO","GIUGNO","LUGLIO","AGOSTO","SETTEMBRE","OTTOBRE","NOVEMBRE","DICEMBRE"},0)</f>
        <v>11</v>
      </c>
      <c r="E147" s="57" t="str">
        <f t="shared" si="144"/>
        <v>NOVEMBRE 2024</v>
      </c>
      <c r="F147" s="57" t="str">
        <f t="shared" si="146"/>
        <v>11 NOVEMBRE 2024</v>
      </c>
      <c r="G147" s="59" t="s">
        <v>766</v>
      </c>
      <c r="H147" s="59" t="str">
        <f>VLOOKUP(G147,CATEGORIE!$H$3:$I$55,2,FALSE)</f>
        <v>TASSE</v>
      </c>
      <c r="I147" s="59">
        <v>2.5</v>
      </c>
      <c r="J147" s="59"/>
      <c r="K147" s="59"/>
      <c r="L147" s="59"/>
    </row>
    <row r="148" spans="1:12">
      <c r="A148" s="57" t="s">
        <v>112</v>
      </c>
      <c r="B148" s="57" t="s">
        <v>200</v>
      </c>
      <c r="C148" s="57">
        <v>2024</v>
      </c>
      <c r="D148" s="58">
        <f>MATCH(B148,{"GENNAIO","FEBBRAIO","MARZO","APRILE","MAGGIO","GIUGNO","LUGLIO","AGOSTO","SETTEMBRE","OTTOBRE","NOVEMBRE","DICEMBRE"},0)</f>
        <v>11</v>
      </c>
      <c r="E148" s="57" t="str">
        <f t="shared" si="144"/>
        <v>NOVEMBRE 2024</v>
      </c>
      <c r="F148" s="57" t="str">
        <f t="shared" si="146"/>
        <v>11 NOVEMBRE 2024</v>
      </c>
      <c r="G148" s="59" t="s">
        <v>108</v>
      </c>
      <c r="H148" s="59" t="str">
        <f>VLOOKUP(G148,CATEGORIE!$H$3:$I$55,2,FALSE)</f>
        <v>COSTO SFIZI</v>
      </c>
      <c r="I148" s="59">
        <v>0.97</v>
      </c>
      <c r="J148" s="940"/>
      <c r="K148" s="142" t="s">
        <v>112</v>
      </c>
      <c r="L148" s="59"/>
    </row>
    <row r="149" spans="1:12">
      <c r="A149" s="57" t="s">
        <v>340</v>
      </c>
      <c r="B149" s="57" t="s">
        <v>217</v>
      </c>
      <c r="C149" s="57">
        <v>2024</v>
      </c>
      <c r="D149" s="58">
        <f>MATCH(B149,{"GENNAIO","FEBBRAIO","MARZO","APRILE","MAGGIO","GIUGNO","LUGLIO","AGOSTO","SETTEMBRE","OTTOBRE","NOVEMBRE","DICEMBRE"},0)</f>
        <v>10</v>
      </c>
      <c r="E149" s="57" t="str">
        <f t="shared" si="144"/>
        <v>OTTOBRE 2024</v>
      </c>
      <c r="F149" s="57" t="str">
        <f t="shared" si="146"/>
        <v>10 OTTOBRE 2024</v>
      </c>
      <c r="G149" s="59" t="s">
        <v>108</v>
      </c>
      <c r="H149" s="59" t="str">
        <f>VLOOKUP(G149,CATEGORIE!$H$3:$I$55,2,FALSE)</f>
        <v>COSTO SFIZI</v>
      </c>
      <c r="I149" s="59">
        <v>-300</v>
      </c>
      <c r="J149" s="940"/>
      <c r="K149" s="142" t="s">
        <v>112</v>
      </c>
      <c r="L149" s="59" t="s">
        <v>700</v>
      </c>
    </row>
    <row r="150" spans="1:12">
      <c r="A150" s="57" t="s">
        <v>340</v>
      </c>
      <c r="B150" s="57" t="s">
        <v>217</v>
      </c>
      <c r="C150" s="57">
        <v>2024</v>
      </c>
      <c r="D150" s="58">
        <f>MATCH(B150,{"GENNAIO","FEBBRAIO","MARZO","APRILE","MAGGIO","GIUGNO","LUGLIO","AGOSTO","SETTEMBRE","OTTOBRE","NOVEMBRE","DICEMBRE"},0)</f>
        <v>10</v>
      </c>
      <c r="E150" s="57" t="str">
        <f t="shared" si="144"/>
        <v>OTTOBRE 2024</v>
      </c>
      <c r="F150" s="57" t="str">
        <f t="shared" si="146"/>
        <v>10 OTTOBRE 2024</v>
      </c>
      <c r="G150" s="59" t="s">
        <v>108</v>
      </c>
      <c r="H150" s="59" t="str">
        <f>VLOOKUP(G150,CATEGORIE!$H$3:$I$55,2,FALSE)</f>
        <v>COSTO SFIZI</v>
      </c>
      <c r="I150" s="59">
        <v>-229.01</v>
      </c>
      <c r="J150" s="940"/>
      <c r="K150" s="142" t="s">
        <v>112</v>
      </c>
      <c r="L150" s="59" t="s">
        <v>700</v>
      </c>
    </row>
    <row r="151" spans="1:12">
      <c r="A151" s="57" t="s">
        <v>340</v>
      </c>
      <c r="B151" s="57" t="s">
        <v>217</v>
      </c>
      <c r="C151" s="57">
        <v>2024</v>
      </c>
      <c r="D151" s="58">
        <f>MATCH(B151,{"GENNAIO","FEBBRAIO","MARZO","APRILE","MAGGIO","GIUGNO","LUGLIO","AGOSTO","SETTEMBRE","OTTOBRE","NOVEMBRE","DICEMBRE"},0)</f>
        <v>10</v>
      </c>
      <c r="E151" s="57" t="str">
        <f t="shared" si="144"/>
        <v>OTTOBRE 2024</v>
      </c>
      <c r="F151" s="57" t="str">
        <f t="shared" si="146"/>
        <v>10 OTTOBRE 2024</v>
      </c>
      <c r="G151" s="59" t="s">
        <v>108</v>
      </c>
      <c r="H151" s="59" t="str">
        <f>VLOOKUP(G151,CATEGORIE!$H$3:$I$55,2,FALSE)</f>
        <v>COSTO SFIZI</v>
      </c>
      <c r="I151" s="59">
        <v>-1050</v>
      </c>
      <c r="J151" s="940"/>
      <c r="K151" s="142" t="s">
        <v>112</v>
      </c>
      <c r="L151" s="59" t="s">
        <v>700</v>
      </c>
    </row>
    <row r="152" spans="1:12" ht="16.5" customHeight="1">
      <c r="A152" s="57" t="s">
        <v>673</v>
      </c>
      <c r="B152" s="57" t="s">
        <v>217</v>
      </c>
      <c r="C152" s="57">
        <v>2024</v>
      </c>
      <c r="D152" s="58">
        <f>MATCH(B152,{"GENNAIO","FEBBRAIO","MARZO","APRILE","MAGGIO","GIUGNO","LUGLIO","AGOSTO","SETTEMBRE","OTTOBRE","NOVEMBRE","DICEMBRE"},0)</f>
        <v>10</v>
      </c>
      <c r="E152" s="57" t="str">
        <f t="shared" ref="E152:E199" si="147">CONCATENATE(,B152," ",C152)</f>
        <v>OTTOBRE 2024</v>
      </c>
      <c r="F152" s="57" t="str">
        <f t="shared" si="146"/>
        <v>10 OTTOBRE 2024</v>
      </c>
      <c r="G152" s="59" t="s">
        <v>116</v>
      </c>
      <c r="H152" s="59" t="str">
        <f>VLOOKUP(G152,CATEGORIE!$H$3:$I$55,2,FALSE)</f>
        <v>TASSE</v>
      </c>
      <c r="I152" s="59">
        <v>0.5</v>
      </c>
      <c r="J152" s="59"/>
      <c r="K152" s="59"/>
      <c r="L152" s="59"/>
    </row>
    <row r="153" spans="1:12">
      <c r="A153" s="57" t="s">
        <v>97</v>
      </c>
      <c r="B153" s="57" t="s">
        <v>217</v>
      </c>
      <c r="C153" s="57">
        <v>2024</v>
      </c>
      <c r="D153" s="58">
        <f>MATCH(B153,{"GENNAIO","FEBBRAIO","MARZO","APRILE","MAGGIO","GIUGNO","LUGLIO","AGOSTO","SETTEMBRE","OTTOBRE","NOVEMBRE","DICEMBRE"},0)</f>
        <v>10</v>
      </c>
      <c r="E153" s="57" t="str">
        <f t="shared" si="147"/>
        <v>OTTOBRE 2024</v>
      </c>
      <c r="F153" s="57" t="str">
        <f t="shared" si="146"/>
        <v>10 OTTOBRE 2024</v>
      </c>
      <c r="G153" s="59" t="s">
        <v>1253</v>
      </c>
      <c r="H153" s="59" t="str">
        <f>VLOOKUP(G153,CATEGORIE!$H$3:$I$55,2,FALSE)</f>
        <v>MOVIMENTI CONTO</v>
      </c>
      <c r="I153" s="59">
        <v>-30</v>
      </c>
      <c r="J153" s="59"/>
      <c r="K153" s="142" t="s">
        <v>97</v>
      </c>
      <c r="L153" s="59" t="s">
        <v>701</v>
      </c>
    </row>
    <row r="154" spans="1:12">
      <c r="A154" s="57" t="s">
        <v>112</v>
      </c>
      <c r="B154" s="57" t="s">
        <v>217</v>
      </c>
      <c r="C154" s="57">
        <v>2024</v>
      </c>
      <c r="D154" s="58">
        <f>MATCH(B154,{"GENNAIO","FEBBRAIO","MARZO","APRILE","MAGGIO","GIUGNO","LUGLIO","AGOSTO","SETTEMBRE","OTTOBRE","NOVEMBRE","DICEMBRE"},0)</f>
        <v>10</v>
      </c>
      <c r="E154" s="57" t="str">
        <f t="shared" si="147"/>
        <v>OTTOBRE 2024</v>
      </c>
      <c r="F154" s="57" t="str">
        <f t="shared" si="146"/>
        <v>10 OTTOBRE 2024</v>
      </c>
      <c r="G154" s="59" t="s">
        <v>108</v>
      </c>
      <c r="H154" s="59" t="str">
        <f>VLOOKUP(G154,CATEGORIE!$H$3:$I$55,2,FALSE)</f>
        <v>COSTO SFIZI</v>
      </c>
      <c r="I154" s="59">
        <v>30</v>
      </c>
      <c r="J154" s="940"/>
      <c r="K154" s="142" t="s">
        <v>112</v>
      </c>
      <c r="L154" s="59" t="s">
        <v>702</v>
      </c>
    </row>
    <row r="155" spans="1:12" ht="16.5" customHeight="1">
      <c r="A155" s="57" t="s">
        <v>251</v>
      </c>
      <c r="B155" s="57" t="s">
        <v>217</v>
      </c>
      <c r="C155" s="57">
        <v>2024</v>
      </c>
      <c r="D155" s="58">
        <f>MATCH(B155,{"GENNAIO","FEBBRAIO","MARZO","APRILE","MAGGIO","GIUGNO","LUGLIO","AGOSTO","SETTEMBRE","OTTOBRE","NOVEMBRE","DICEMBRE"},0)</f>
        <v>10</v>
      </c>
      <c r="E155" s="57" t="str">
        <f t="shared" si="147"/>
        <v>OTTOBRE 2024</v>
      </c>
      <c r="F155" s="57" t="str">
        <f t="shared" si="146"/>
        <v>10 OTTOBRE 2024</v>
      </c>
      <c r="G155" s="59" t="s">
        <v>185</v>
      </c>
      <c r="H155" s="59" t="str">
        <f>VLOOKUP(G155,CATEGORIE!$H$3:$I$55,2,FALSE)</f>
        <v>COSTO SFIZI</v>
      </c>
      <c r="I155" s="59">
        <v>60</v>
      </c>
      <c r="J155" s="59"/>
      <c r="K155" s="59"/>
      <c r="L155" s="59" t="s">
        <v>703</v>
      </c>
    </row>
    <row r="156" spans="1:12" ht="16.5" customHeight="1">
      <c r="A156" s="57" t="s">
        <v>681</v>
      </c>
      <c r="B156" s="57" t="s">
        <v>217</v>
      </c>
      <c r="C156" s="57">
        <v>2024</v>
      </c>
      <c r="D156" s="58">
        <f>MATCH(B156,{"GENNAIO","FEBBRAIO","MARZO","APRILE","MAGGIO","GIUGNO","LUGLIO","AGOSTO","SETTEMBRE","OTTOBRE","NOVEMBRE","DICEMBRE"},0)</f>
        <v>10</v>
      </c>
      <c r="E156" s="57" t="str">
        <f t="shared" si="147"/>
        <v>OTTOBRE 2024</v>
      </c>
      <c r="F156" s="57" t="str">
        <f t="shared" si="146"/>
        <v>10 OTTOBRE 2024</v>
      </c>
      <c r="G156" s="59" t="s">
        <v>766</v>
      </c>
      <c r="H156" s="59" t="str">
        <f>VLOOKUP(G156,CATEGORIE!$H$3:$I$55,2,FALSE)</f>
        <v>TASSE</v>
      </c>
      <c r="I156" s="59">
        <v>2.5</v>
      </c>
      <c r="J156" s="59"/>
      <c r="K156" s="59"/>
      <c r="L156" s="59"/>
    </row>
    <row r="157" spans="1:12">
      <c r="A157" s="57" t="s">
        <v>704</v>
      </c>
      <c r="B157" s="57" t="s">
        <v>261</v>
      </c>
      <c r="C157" s="57">
        <v>2024</v>
      </c>
      <c r="D157" s="58">
        <f>MATCH(B157,{"GENNAIO","FEBBRAIO","MARZO","APRILE","MAGGIO","GIUGNO","LUGLIO","AGOSTO","SETTEMBRE","OTTOBRE","NOVEMBRE","DICEMBRE"},0)</f>
        <v>8</v>
      </c>
      <c r="E157" s="57" t="str">
        <f t="shared" si="147"/>
        <v>AGOSTO 2024</v>
      </c>
      <c r="F157" s="57" t="str">
        <f t="shared" si="146"/>
        <v>8 AGOSTO 2024</v>
      </c>
      <c r="G157" s="59" t="s">
        <v>116</v>
      </c>
      <c r="H157" s="59" t="str">
        <f>VLOOKUP(G157,CATEGORIE!$H$3:$I$55,2,FALSE)</f>
        <v>TASSE</v>
      </c>
      <c r="I157" s="59">
        <v>607.21</v>
      </c>
      <c r="J157" s="59"/>
      <c r="K157" s="59"/>
      <c r="L157" s="59" t="s">
        <v>443</v>
      </c>
    </row>
    <row r="158" spans="1:12">
      <c r="A158" s="57" t="s">
        <v>705</v>
      </c>
      <c r="B158" s="57" t="s">
        <v>261</v>
      </c>
      <c r="C158" s="57">
        <v>2024</v>
      </c>
      <c r="D158" s="58">
        <f>MATCH(B158,{"GENNAIO","FEBBRAIO","MARZO","APRILE","MAGGIO","GIUGNO","LUGLIO","AGOSTO","SETTEMBRE","OTTOBRE","NOVEMBRE","DICEMBRE"},0)</f>
        <v>8</v>
      </c>
      <c r="E158" s="57" t="str">
        <f t="shared" si="147"/>
        <v>AGOSTO 2024</v>
      </c>
      <c r="F158" s="57" t="str">
        <f t="shared" si="146"/>
        <v>8 AGOSTO 2024</v>
      </c>
      <c r="G158" s="59" t="s">
        <v>121</v>
      </c>
      <c r="H158" s="59" t="str">
        <f>VLOOKUP(G158,CATEGORIE!$H$3:$I$55,2,FALSE)</f>
        <v>COSTO MOBILITA'</v>
      </c>
      <c r="I158" s="59">
        <v>310.39</v>
      </c>
      <c r="J158" s="59"/>
      <c r="K158" s="59"/>
      <c r="L158" s="59"/>
    </row>
    <row r="159" spans="1:12">
      <c r="A159" s="57" t="s">
        <v>135</v>
      </c>
      <c r="B159" s="57" t="s">
        <v>288</v>
      </c>
      <c r="C159" s="57">
        <v>2024</v>
      </c>
      <c r="D159" s="58">
        <f>MATCH(B159,{"GENNAIO","FEBBRAIO","MARZO","APRILE","MAGGIO","GIUGNO","LUGLIO","AGOSTO","SETTEMBRE","OTTOBRE","NOVEMBRE","DICEMBRE"},0)</f>
        <v>7</v>
      </c>
      <c r="E159" s="57" t="str">
        <f t="shared" si="147"/>
        <v>LUGLIO 2024</v>
      </c>
      <c r="F159" s="57" t="str">
        <f t="shared" si="146"/>
        <v>7 LUGLIO 2024</v>
      </c>
      <c r="G159" s="59" t="s">
        <v>132</v>
      </c>
      <c r="H159" s="59" t="str">
        <f>VLOOKUP(G159,CATEGORIE!$H$3:$I$55,2,FALSE)</f>
        <v>COSTO CASA</v>
      </c>
      <c r="I159" s="59">
        <v>15.04</v>
      </c>
      <c r="J159" s="59"/>
      <c r="K159" s="59"/>
      <c r="L159" s="59"/>
    </row>
    <row r="160" spans="1:12" ht="16.5" customHeight="1">
      <c r="A160" s="57" t="s">
        <v>357</v>
      </c>
      <c r="B160" s="57" t="s">
        <v>314</v>
      </c>
      <c r="C160" s="57">
        <v>2024</v>
      </c>
      <c r="D160" s="58">
        <f>MATCH(B160,{"GENNAIO","FEBBRAIO","MARZO","APRILE","MAGGIO","GIUGNO","LUGLIO","AGOSTO","SETTEMBRE","OTTOBRE","NOVEMBRE","DICEMBRE"},0)</f>
        <v>6</v>
      </c>
      <c r="E160" s="57" t="str">
        <f t="shared" si="147"/>
        <v>GIUGNO 2024</v>
      </c>
      <c r="F160" s="57" t="str">
        <f t="shared" si="146"/>
        <v>6 GIUGNO 2024</v>
      </c>
      <c r="G160" s="59" t="s">
        <v>96</v>
      </c>
      <c r="H160" s="59" t="str">
        <f>VLOOKUP(G160,CATEGORIE!$H$3:$I$55,2,FALSE)</f>
        <v>COSTO SOPRAVVIVENZA</v>
      </c>
      <c r="I160" s="59">
        <v>10.199999999999999</v>
      </c>
      <c r="J160" s="59"/>
      <c r="K160" s="59"/>
      <c r="L160" s="59"/>
    </row>
    <row r="161" spans="1:12">
      <c r="A161" s="57" t="s">
        <v>377</v>
      </c>
      <c r="B161" s="57" t="s">
        <v>333</v>
      </c>
      <c r="C161" s="57">
        <v>2024</v>
      </c>
      <c r="D161" s="58">
        <f>MATCH(B161,{"GENNAIO","FEBBRAIO","MARZO","APRILE","MAGGIO","GIUGNO","LUGLIO","AGOSTO","SETTEMBRE","OTTOBRE","NOVEMBRE","DICEMBRE"},0)</f>
        <v>5</v>
      </c>
      <c r="E161" s="57" t="str">
        <f t="shared" si="147"/>
        <v>MAGGIO 2024</v>
      </c>
      <c r="F161" s="57" t="str">
        <f t="shared" si="146"/>
        <v>5 MAGGIO 2024</v>
      </c>
      <c r="G161" s="59" t="s">
        <v>116</v>
      </c>
      <c r="H161" s="59" t="str">
        <f>VLOOKUP(G161,CATEGORIE!$H$3:$I$55,2,FALSE)</f>
        <v>TASSE</v>
      </c>
      <c r="I161" s="59">
        <v>75.5</v>
      </c>
      <c r="J161" s="59"/>
      <c r="K161" s="59"/>
      <c r="L161" s="59"/>
    </row>
    <row r="162" spans="1:12" ht="16.5" customHeight="1">
      <c r="A162" s="57" t="s">
        <v>357</v>
      </c>
      <c r="B162" s="57" t="s">
        <v>333</v>
      </c>
      <c r="C162" s="57">
        <v>2024</v>
      </c>
      <c r="D162" s="58">
        <f>MATCH(B162,{"GENNAIO","FEBBRAIO","MARZO","APRILE","MAGGIO","GIUGNO","LUGLIO","AGOSTO","SETTEMBRE","OTTOBRE","NOVEMBRE","DICEMBRE"},0)</f>
        <v>5</v>
      </c>
      <c r="E162" s="57" t="str">
        <f t="shared" si="147"/>
        <v>MAGGIO 2024</v>
      </c>
      <c r="F162" s="57" t="str">
        <f t="shared" si="146"/>
        <v>5 MAGGIO 2024</v>
      </c>
      <c r="G162" s="59" t="s">
        <v>96</v>
      </c>
      <c r="H162" s="59" t="str">
        <f>VLOOKUP(G162,CATEGORIE!$H$3:$I$55,2,FALSE)</f>
        <v>COSTO SOPRAVVIVENZA</v>
      </c>
      <c r="I162" s="59">
        <v>3.5</v>
      </c>
      <c r="J162" s="59"/>
      <c r="K162" s="59"/>
      <c r="L162" s="59"/>
    </row>
    <row r="163" spans="1:12">
      <c r="A163" s="57" t="s">
        <v>706</v>
      </c>
      <c r="B163" s="57" t="s">
        <v>352</v>
      </c>
      <c r="C163" s="57">
        <v>2024</v>
      </c>
      <c r="D163" s="58">
        <f>MATCH(B163,{"GENNAIO","FEBBRAIO","MARZO","APRILE","MAGGIO","GIUGNO","LUGLIO","AGOSTO","SETTEMBRE","OTTOBRE","NOVEMBRE","DICEMBRE"},0)</f>
        <v>4</v>
      </c>
      <c r="E163" s="57" t="str">
        <f t="shared" si="147"/>
        <v>APRILE 2024</v>
      </c>
      <c r="F163" s="57" t="str">
        <f t="shared" si="146"/>
        <v>4 APRILE 2024</v>
      </c>
      <c r="G163" s="59" t="s">
        <v>1250</v>
      </c>
      <c r="H163" s="59" t="str">
        <f>VLOOKUP(G163,CATEGORIE!$H$3:$I$55,2,FALSE)</f>
        <v>COSTO VACANZE</v>
      </c>
      <c r="I163" s="59">
        <v>-68</v>
      </c>
      <c r="J163" s="59"/>
      <c r="K163" s="59"/>
      <c r="L163" s="59"/>
    </row>
    <row r="164" spans="1:12" ht="16.5" customHeight="1">
      <c r="A164" s="57" t="s">
        <v>673</v>
      </c>
      <c r="B164" s="57" t="s">
        <v>90</v>
      </c>
      <c r="C164" s="57">
        <v>2024</v>
      </c>
      <c r="D164" s="58">
        <f>MATCH(B164,{"GENNAIO","FEBBRAIO","MARZO","APRILE","MAGGIO","GIUGNO","LUGLIO","AGOSTO","SETTEMBRE","OTTOBRE","NOVEMBRE","DICEMBRE"},0)</f>
        <v>3</v>
      </c>
      <c r="E164" s="57" t="str">
        <f t="shared" si="147"/>
        <v>MARZO 2024</v>
      </c>
      <c r="F164" s="57" t="str">
        <f t="shared" si="146"/>
        <v>3 MARZO 2024</v>
      </c>
      <c r="G164" s="59" t="s">
        <v>116</v>
      </c>
      <c r="H164" s="59" t="str">
        <f>VLOOKUP(G164,CATEGORIE!$H$3:$I$55,2,FALSE)</f>
        <v>TASSE</v>
      </c>
      <c r="I164" s="59">
        <v>0.5</v>
      </c>
      <c r="J164" s="59"/>
      <c r="K164" s="59"/>
      <c r="L164" s="59"/>
    </row>
    <row r="165" spans="1:12">
      <c r="A165" s="57" t="s">
        <v>706</v>
      </c>
      <c r="B165" s="57" t="s">
        <v>90</v>
      </c>
      <c r="C165" s="57">
        <v>2024</v>
      </c>
      <c r="D165" s="58">
        <f>MATCH(B165,{"GENNAIO","FEBBRAIO","MARZO","APRILE","MAGGIO","GIUGNO","LUGLIO","AGOSTO","SETTEMBRE","OTTOBRE","NOVEMBRE","DICEMBRE"},0)</f>
        <v>3</v>
      </c>
      <c r="E165" s="57" t="str">
        <f t="shared" si="147"/>
        <v>MARZO 2024</v>
      </c>
      <c r="F165" s="57" t="str">
        <f t="shared" si="146"/>
        <v>3 MARZO 2024</v>
      </c>
      <c r="G165" s="59" t="s">
        <v>1250</v>
      </c>
      <c r="H165" s="59" t="str">
        <f>VLOOKUP(G165,CATEGORIE!$H$3:$I$55,2,FALSE)</f>
        <v>COSTO VACANZE</v>
      </c>
      <c r="I165" s="59">
        <v>68</v>
      </c>
      <c r="J165" s="59"/>
      <c r="K165" s="59"/>
      <c r="L165" s="59"/>
    </row>
    <row r="166" spans="1:12">
      <c r="A166" s="57" t="s">
        <v>707</v>
      </c>
      <c r="B166" s="57" t="s">
        <v>90</v>
      </c>
      <c r="C166" s="57">
        <v>2024</v>
      </c>
      <c r="D166" s="58">
        <f>MATCH(B166,{"GENNAIO","FEBBRAIO","MARZO","APRILE","MAGGIO","GIUGNO","LUGLIO","AGOSTO","SETTEMBRE","OTTOBRE","NOVEMBRE","DICEMBRE"},0)</f>
        <v>3</v>
      </c>
      <c r="E166" s="57" t="str">
        <f t="shared" si="147"/>
        <v>MARZO 2024</v>
      </c>
      <c r="F166" s="57" t="str">
        <f t="shared" si="146"/>
        <v>3 MARZO 2024</v>
      </c>
      <c r="G166" s="59" t="s">
        <v>163</v>
      </c>
      <c r="H166" s="59" t="str">
        <f>VLOOKUP(G166,CATEGORIE!$H$3:$I$55,2,FALSE)</f>
        <v>COSTO SVAGHI</v>
      </c>
      <c r="I166" s="59">
        <f>59.78+0.5</f>
        <v>60.28</v>
      </c>
      <c r="J166" s="59"/>
      <c r="K166" s="59"/>
      <c r="L166" s="59"/>
    </row>
    <row r="167" spans="1:12">
      <c r="A167" s="57" t="s">
        <v>706</v>
      </c>
      <c r="B167" s="57" t="s">
        <v>90</v>
      </c>
      <c r="C167" s="57">
        <v>2024</v>
      </c>
      <c r="D167" s="58">
        <f>MATCH(B167,{"GENNAIO","FEBBRAIO","MARZO","APRILE","MAGGIO","GIUGNO","LUGLIO","AGOSTO","SETTEMBRE","OTTOBRE","NOVEMBRE","DICEMBRE"},0)</f>
        <v>3</v>
      </c>
      <c r="E167" s="57" t="str">
        <f t="shared" si="147"/>
        <v>MARZO 2024</v>
      </c>
      <c r="F167" s="57" t="str">
        <f t="shared" si="146"/>
        <v>3 MARZO 2024</v>
      </c>
      <c r="G167" s="59" t="s">
        <v>1250</v>
      </c>
      <c r="H167" s="59" t="str">
        <f>VLOOKUP(G167,CATEGORIE!$H$3:$I$55,2,FALSE)</f>
        <v>COSTO VACANZE</v>
      </c>
      <c r="I167" s="59">
        <v>-68</v>
      </c>
      <c r="J167" s="59"/>
      <c r="K167" s="59"/>
      <c r="L167" s="59" t="s">
        <v>685</v>
      </c>
    </row>
    <row r="168" spans="1:12" ht="16.5" customHeight="1">
      <c r="A168" s="57" t="s">
        <v>673</v>
      </c>
      <c r="B168" s="57" t="s">
        <v>90</v>
      </c>
      <c r="C168" s="57">
        <v>2024</v>
      </c>
      <c r="D168" s="58">
        <f>MATCH(B168,{"GENNAIO","FEBBRAIO","MARZO","APRILE","MAGGIO","GIUGNO","LUGLIO","AGOSTO","SETTEMBRE","OTTOBRE","NOVEMBRE","DICEMBRE"},0)</f>
        <v>3</v>
      </c>
      <c r="E168" s="57" t="str">
        <f t="shared" si="147"/>
        <v>MARZO 2024</v>
      </c>
      <c r="F168" s="57" t="str">
        <f t="shared" si="146"/>
        <v>3 MARZO 2024</v>
      </c>
      <c r="G168" s="59" t="s">
        <v>116</v>
      </c>
      <c r="H168" s="59" t="str">
        <f>VLOOKUP(G168,CATEGORIE!$H$3:$I$55,2,FALSE)</f>
        <v>TASSE</v>
      </c>
      <c r="I168" s="59">
        <v>0.5</v>
      </c>
      <c r="J168" s="59"/>
      <c r="K168" s="59"/>
      <c r="L168" s="59"/>
    </row>
    <row r="169" spans="1:12">
      <c r="A169" s="57" t="s">
        <v>706</v>
      </c>
      <c r="B169" s="57" t="s">
        <v>90</v>
      </c>
      <c r="C169" s="57">
        <v>2024</v>
      </c>
      <c r="D169" s="58">
        <f>MATCH(B169,{"GENNAIO","FEBBRAIO","MARZO","APRILE","MAGGIO","GIUGNO","LUGLIO","AGOSTO","SETTEMBRE","OTTOBRE","NOVEMBRE","DICEMBRE"},0)</f>
        <v>3</v>
      </c>
      <c r="E169" s="57" t="str">
        <f t="shared" si="147"/>
        <v>MARZO 2024</v>
      </c>
      <c r="F169" s="57" t="str">
        <f t="shared" si="146"/>
        <v>3 MARZO 2024</v>
      </c>
      <c r="G169" s="59" t="s">
        <v>1250</v>
      </c>
      <c r="H169" s="59" t="str">
        <f>VLOOKUP(G169,CATEGORIE!$H$3:$I$55,2,FALSE)</f>
        <v>COSTO VACANZE</v>
      </c>
      <c r="I169" s="59">
        <v>68</v>
      </c>
      <c r="J169" s="59"/>
      <c r="K169" s="59"/>
      <c r="L169" s="59"/>
    </row>
    <row r="170" spans="1:12">
      <c r="A170" s="57" t="s">
        <v>708</v>
      </c>
      <c r="B170" s="57" t="s">
        <v>90</v>
      </c>
      <c r="C170" s="57">
        <v>2024</v>
      </c>
      <c r="D170" s="58">
        <f>MATCH(B170,{"GENNAIO","FEBBRAIO","MARZO","APRILE","MAGGIO","GIUGNO","LUGLIO","AGOSTO","SETTEMBRE","OTTOBRE","NOVEMBRE","DICEMBRE"},0)</f>
        <v>3</v>
      </c>
      <c r="E170" s="57" t="str">
        <f t="shared" si="147"/>
        <v>MARZO 2024</v>
      </c>
      <c r="F170" s="57" t="str">
        <f t="shared" si="146"/>
        <v>3 MARZO 2024</v>
      </c>
      <c r="G170" s="59" t="s">
        <v>1250</v>
      </c>
      <c r="H170" s="59" t="str">
        <f>VLOOKUP(G170,CATEGORIE!$H$3:$I$55,2,FALSE)</f>
        <v>COSTO VACANZE</v>
      </c>
      <c r="I170" s="59">
        <v>78.5</v>
      </c>
      <c r="J170" s="59"/>
      <c r="K170" s="59"/>
      <c r="L170" s="59"/>
    </row>
    <row r="171" spans="1:12" ht="16.5" customHeight="1">
      <c r="A171" s="57" t="s">
        <v>307</v>
      </c>
      <c r="B171" s="57" t="s">
        <v>129</v>
      </c>
      <c r="C171" s="57">
        <v>2024</v>
      </c>
      <c r="D171" s="58">
        <f>MATCH(B171,{"GENNAIO","FEBBRAIO","MARZO","APRILE","MAGGIO","GIUGNO","LUGLIO","AGOSTO","SETTEMBRE","OTTOBRE","NOVEMBRE","DICEMBRE"},0)</f>
        <v>2</v>
      </c>
      <c r="E171" s="57" t="str">
        <f t="shared" si="147"/>
        <v>FEBBRAIO 2024</v>
      </c>
      <c r="F171" s="57" t="str">
        <f t="shared" si="146"/>
        <v>2 FEBBRAIO 2024</v>
      </c>
      <c r="G171" s="59" t="s">
        <v>116</v>
      </c>
      <c r="H171" s="59" t="str">
        <f>VLOOKUP(G171,CATEGORIE!$H$3:$I$55,2,FALSE)</f>
        <v>TASSE</v>
      </c>
      <c r="I171" s="59">
        <v>150.5</v>
      </c>
      <c r="J171" s="59"/>
      <c r="K171" s="59"/>
      <c r="L171" s="59"/>
    </row>
    <row r="172" spans="1:12" ht="18.600000000000001" customHeight="1">
      <c r="A172" s="57" t="s">
        <v>670</v>
      </c>
      <c r="B172" s="57" t="s">
        <v>154</v>
      </c>
      <c r="C172" s="57">
        <v>2024</v>
      </c>
      <c r="D172" s="58">
        <f>MATCH(B172,{"GENNAIO","FEBBRAIO","MARZO","APRILE","MAGGIO","GIUGNO","LUGLIO","AGOSTO","SETTEMBRE","OTTOBRE","NOVEMBRE","DICEMBRE"},0)</f>
        <v>1</v>
      </c>
      <c r="E172" s="57" t="str">
        <f t="shared" si="147"/>
        <v>GENNAIO 2024</v>
      </c>
      <c r="F172" s="57" t="str">
        <f t="shared" si="146"/>
        <v>1 GENNAIO 2024</v>
      </c>
      <c r="G172" s="59" t="s">
        <v>116</v>
      </c>
      <c r="H172" s="59" t="str">
        <f>VLOOKUP(G172,CATEGORIE!$H$3:$I$55,2,FALSE)</f>
        <v>TASSE</v>
      </c>
      <c r="I172" s="59">
        <v>46</v>
      </c>
      <c r="J172" s="59"/>
      <c r="K172" s="59"/>
      <c r="L172" s="59" t="s">
        <v>709</v>
      </c>
    </row>
    <row r="173" spans="1:12" ht="18.600000000000001" customHeight="1">
      <c r="A173" s="57" t="s">
        <v>675</v>
      </c>
      <c r="B173" s="57" t="s">
        <v>154</v>
      </c>
      <c r="C173" s="57">
        <v>2024</v>
      </c>
      <c r="D173" s="58">
        <f>MATCH(B173,{"GENNAIO","FEBBRAIO","MARZO","APRILE","MAGGIO","GIUGNO","LUGLIO","AGOSTO","SETTEMBRE","OTTOBRE","NOVEMBRE","DICEMBRE"},0)</f>
        <v>1</v>
      </c>
      <c r="E173" s="57" t="str">
        <f t="shared" si="147"/>
        <v>GENNAIO 2024</v>
      </c>
      <c r="F173" s="57" t="str">
        <f t="shared" si="146"/>
        <v>1 GENNAIO 2024</v>
      </c>
      <c r="G173" s="59" t="s">
        <v>116</v>
      </c>
      <c r="H173" s="59" t="str">
        <f>VLOOKUP(G173,CATEGORIE!$H$3:$I$55,2,FALSE)</f>
        <v>TASSE</v>
      </c>
      <c r="I173" s="59">
        <v>0.01</v>
      </c>
      <c r="J173" s="59"/>
      <c r="K173" s="59"/>
      <c r="L173" s="59"/>
    </row>
    <row r="174" spans="1:12" ht="18" customHeight="1">
      <c r="A174" s="57" t="s">
        <v>651</v>
      </c>
      <c r="B174" s="57" t="s">
        <v>154</v>
      </c>
      <c r="C174" s="57">
        <v>2024</v>
      </c>
      <c r="D174" s="58">
        <f>MATCH(B174,{"GENNAIO","FEBBRAIO","MARZO","APRILE","MAGGIO","GIUGNO","LUGLIO","AGOSTO","SETTEMBRE","OTTOBRE","NOVEMBRE","DICEMBRE"},0)</f>
        <v>1</v>
      </c>
      <c r="E174" s="57" t="str">
        <f t="shared" si="147"/>
        <v>GENNAIO 2024</v>
      </c>
      <c r="F174" s="57" t="str">
        <f t="shared" si="146"/>
        <v>1 GENNAIO 2024</v>
      </c>
      <c r="G174" s="59" t="s">
        <v>121</v>
      </c>
      <c r="H174" s="59" t="str">
        <f>VLOOKUP(G174,CATEGORIE!$H$3:$I$55,2,FALSE)</f>
        <v>COSTO MOBILITA'</v>
      </c>
      <c r="I174" s="59">
        <f>327.71</f>
        <v>327.71</v>
      </c>
      <c r="J174" s="59"/>
      <c r="K174" s="59"/>
      <c r="L174" s="59"/>
    </row>
    <row r="175" spans="1:12">
      <c r="A175" s="57" t="s">
        <v>674</v>
      </c>
      <c r="B175" s="57" t="s">
        <v>173</v>
      </c>
      <c r="C175" s="57">
        <v>2023</v>
      </c>
      <c r="D175" s="58">
        <f>MATCH(B175,{"GENNAIO","FEBBRAIO","MARZO","APRILE","MAGGIO","GIUGNO","LUGLIO","AGOSTO","SETTEMBRE","OTTOBRE","NOVEMBRE","DICEMBRE"},0)</f>
        <v>12</v>
      </c>
      <c r="E175" s="57" t="str">
        <f t="shared" si="147"/>
        <v>DICEMBRE 2023</v>
      </c>
      <c r="F175" s="57" t="str">
        <f t="shared" si="146"/>
        <v>12 DICEMBRE 2023</v>
      </c>
      <c r="G175" s="59" t="s">
        <v>116</v>
      </c>
      <c r="H175" s="59" t="str">
        <f>VLOOKUP(G175,CATEGORIE!$H$3:$I$55,2,FALSE)</f>
        <v>TASSE</v>
      </c>
      <c r="I175" s="59">
        <v>20.59</v>
      </c>
      <c r="J175" s="59"/>
      <c r="K175" s="59"/>
      <c r="L175" s="59"/>
    </row>
    <row r="176" spans="1:12">
      <c r="A176" s="57" t="s">
        <v>133</v>
      </c>
      <c r="B176" s="57" t="s">
        <v>173</v>
      </c>
      <c r="C176" s="57">
        <v>2023</v>
      </c>
      <c r="D176" s="58">
        <f>MATCH(B176,{"GENNAIO","FEBBRAIO","MARZO","APRILE","MAGGIO","GIUGNO","LUGLIO","AGOSTO","SETTEMBRE","OTTOBRE","NOVEMBRE","DICEMBRE"},0)</f>
        <v>12</v>
      </c>
      <c r="E176" s="57" t="str">
        <f t="shared" si="147"/>
        <v>DICEMBRE 2023</v>
      </c>
      <c r="F176" s="57" t="str">
        <f t="shared" si="146"/>
        <v>12 DICEMBRE 2023</v>
      </c>
      <c r="G176" s="59" t="s">
        <v>108</v>
      </c>
      <c r="H176" s="59" t="str">
        <f>VLOOKUP(G176,CATEGORIE!$H$3:$I$55,2,FALSE)</f>
        <v>COSTO SFIZI</v>
      </c>
      <c r="I176" s="59">
        <v>19</v>
      </c>
      <c r="J176" s="59"/>
      <c r="K176" s="59"/>
      <c r="L176" s="59" t="s">
        <v>569</v>
      </c>
    </row>
    <row r="177" spans="1:12" ht="18.600000000000001" customHeight="1">
      <c r="A177" s="57" t="s">
        <v>710</v>
      </c>
      <c r="B177" s="57" t="s">
        <v>173</v>
      </c>
      <c r="C177" s="57">
        <v>2023</v>
      </c>
      <c r="D177" s="58">
        <f>MATCH(B177,{"GENNAIO","FEBBRAIO","MARZO","APRILE","MAGGIO","GIUGNO","LUGLIO","AGOSTO","SETTEMBRE","OTTOBRE","NOVEMBRE","DICEMBRE"},0)</f>
        <v>12</v>
      </c>
      <c r="E177" s="57" t="str">
        <f t="shared" si="147"/>
        <v>DICEMBRE 2023</v>
      </c>
      <c r="F177" s="57" t="str">
        <f t="shared" si="146"/>
        <v>12 DICEMBRE 2023</v>
      </c>
      <c r="G177" s="59" t="s">
        <v>693</v>
      </c>
      <c r="H177" s="59" t="str">
        <f>VLOOKUP(G177,CATEGORIE!$H$3:$I$55,2,FALSE)</f>
        <v>GESTIONE CONTO</v>
      </c>
      <c r="I177" s="59">
        <f>85.4+0.5</f>
        <v>85.9</v>
      </c>
      <c r="J177" s="59"/>
      <c r="K177" s="59"/>
      <c r="L177" s="59"/>
    </row>
    <row r="178" spans="1:12">
      <c r="A178" s="57" t="s">
        <v>670</v>
      </c>
      <c r="B178" s="57" t="s">
        <v>200</v>
      </c>
      <c r="C178" s="57">
        <v>2023</v>
      </c>
      <c r="D178" s="58">
        <f>MATCH(B178,{"GENNAIO","FEBBRAIO","MARZO","APRILE","MAGGIO","GIUGNO","LUGLIO","AGOSTO","SETTEMBRE","OTTOBRE","NOVEMBRE","DICEMBRE"},0)</f>
        <v>11</v>
      </c>
      <c r="E178" s="57" t="str">
        <f t="shared" si="147"/>
        <v>NOVEMBRE 2023</v>
      </c>
      <c r="F178" s="57" t="str">
        <f t="shared" si="146"/>
        <v>11 NOVEMBRE 2023</v>
      </c>
      <c r="G178" s="59" t="s">
        <v>116</v>
      </c>
      <c r="H178" s="59" t="str">
        <f>VLOOKUP(G178,CATEGORIE!$H$3:$I$55,2,FALSE)</f>
        <v>TASSE</v>
      </c>
      <c r="I178" s="59">
        <v>39</v>
      </c>
      <c r="J178" s="59"/>
      <c r="K178" s="59"/>
      <c r="L178" s="59" t="s">
        <v>709</v>
      </c>
    </row>
    <row r="179" spans="1:12">
      <c r="A179" s="57" t="s">
        <v>670</v>
      </c>
      <c r="B179" s="57" t="s">
        <v>200</v>
      </c>
      <c r="C179" s="57">
        <v>2023</v>
      </c>
      <c r="D179" s="58">
        <f>MATCH(B179,{"GENNAIO","FEBBRAIO","MARZO","APRILE","MAGGIO","GIUGNO","LUGLIO","AGOSTO","SETTEMBRE","OTTOBRE","NOVEMBRE","DICEMBRE"},0)</f>
        <v>11</v>
      </c>
      <c r="E179" s="57" t="str">
        <f t="shared" si="147"/>
        <v>NOVEMBRE 2023</v>
      </c>
      <c r="F179" s="57" t="str">
        <f t="shared" si="146"/>
        <v>11 NOVEMBRE 2023</v>
      </c>
      <c r="G179" s="59" t="s">
        <v>116</v>
      </c>
      <c r="H179" s="59" t="str">
        <f>VLOOKUP(G179,CATEGORIE!$H$3:$I$55,2,FALSE)</f>
        <v>TASSE</v>
      </c>
      <c r="I179" s="59">
        <v>39</v>
      </c>
      <c r="J179" s="59"/>
      <c r="K179" s="59"/>
      <c r="L179" s="59" t="s">
        <v>709</v>
      </c>
    </row>
    <row r="180" spans="1:12">
      <c r="A180" s="57" t="s">
        <v>711</v>
      </c>
      <c r="B180" s="57" t="s">
        <v>217</v>
      </c>
      <c r="C180" s="57">
        <v>2023</v>
      </c>
      <c r="D180" s="58">
        <f>MATCH(B180,{"GENNAIO","FEBBRAIO","MARZO","APRILE","MAGGIO","GIUGNO","LUGLIO","AGOSTO","SETTEMBRE","OTTOBRE","NOVEMBRE","DICEMBRE"},0)</f>
        <v>10</v>
      </c>
      <c r="E180" s="57" t="str">
        <f t="shared" si="147"/>
        <v>OTTOBRE 2023</v>
      </c>
      <c r="F180" s="57" t="str">
        <f t="shared" si="146"/>
        <v>10 OTTOBRE 2023</v>
      </c>
      <c r="G180" s="59" t="s">
        <v>116</v>
      </c>
      <c r="H180" s="59" t="str">
        <f>VLOOKUP(G180,CATEGORIE!$H$3:$I$55,2,FALSE)</f>
        <v>TASSE</v>
      </c>
      <c r="I180" s="59">
        <v>75.5</v>
      </c>
      <c r="J180" s="59"/>
      <c r="K180" s="59"/>
      <c r="L180" s="59"/>
    </row>
    <row r="181" spans="1:12">
      <c r="A181" s="57" t="s">
        <v>436</v>
      </c>
      <c r="B181" s="57" t="s">
        <v>261</v>
      </c>
      <c r="C181" s="57">
        <v>2023</v>
      </c>
      <c r="D181" s="58">
        <f>MATCH(B181,{"GENNAIO","FEBBRAIO","MARZO","APRILE","MAGGIO","GIUGNO","LUGLIO","AGOSTO","SETTEMBRE","OTTOBRE","NOVEMBRE","DICEMBRE"},0)</f>
        <v>8</v>
      </c>
      <c r="E181" s="57" t="str">
        <f t="shared" si="147"/>
        <v>AGOSTO 2023</v>
      </c>
      <c r="F181" s="57" t="str">
        <f t="shared" si="146"/>
        <v>8 AGOSTO 2023</v>
      </c>
      <c r="G181" s="59" t="s">
        <v>121</v>
      </c>
      <c r="H181" s="59" t="str">
        <f>VLOOKUP(G181,CATEGORIE!$H$3:$I$55,2,FALSE)</f>
        <v>COSTO MOBILITA'</v>
      </c>
      <c r="I181" s="59">
        <v>470</v>
      </c>
      <c r="J181" s="59"/>
      <c r="K181" s="59"/>
      <c r="L181" s="59"/>
    </row>
    <row r="182" spans="1:12" ht="16.5" customHeight="1">
      <c r="A182" s="57" t="s">
        <v>307</v>
      </c>
      <c r="B182" s="57" t="s">
        <v>261</v>
      </c>
      <c r="C182" s="57">
        <v>2023</v>
      </c>
      <c r="D182" s="58">
        <f>MATCH(B182,{"GENNAIO","FEBBRAIO","MARZO","APRILE","MAGGIO","GIUGNO","LUGLIO","AGOSTO","SETTEMBRE","OTTOBRE","NOVEMBRE","DICEMBRE"},0)</f>
        <v>8</v>
      </c>
      <c r="E182" s="57" t="str">
        <f t="shared" si="147"/>
        <v>AGOSTO 2023</v>
      </c>
      <c r="F182" s="57" t="str">
        <f t="shared" si="146"/>
        <v>8 AGOSTO 2023</v>
      </c>
      <c r="G182" s="59" t="s">
        <v>116</v>
      </c>
      <c r="H182" s="59" t="str">
        <f>VLOOKUP(G182,CATEGORIE!$H$3:$I$55,2,FALSE)</f>
        <v>TASSE</v>
      </c>
      <c r="I182" s="59">
        <v>150.5</v>
      </c>
      <c r="J182" s="59"/>
      <c r="K182" s="59"/>
      <c r="L182" s="59"/>
    </row>
    <row r="183" spans="1:12">
      <c r="A183" s="57" t="s">
        <v>712</v>
      </c>
      <c r="B183" s="57" t="s">
        <v>333</v>
      </c>
      <c r="C183" s="57">
        <v>2023</v>
      </c>
      <c r="D183" s="58">
        <f>MATCH(B183,{"GENNAIO","FEBBRAIO","MARZO","APRILE","MAGGIO","GIUGNO","LUGLIO","AGOSTO","SETTEMBRE","OTTOBRE","NOVEMBRE","DICEMBRE"},0)</f>
        <v>5</v>
      </c>
      <c r="E183" s="57" t="str">
        <f t="shared" si="147"/>
        <v>MAGGIO 2023</v>
      </c>
      <c r="F183" s="57" t="str">
        <f t="shared" si="146"/>
        <v>5 MAGGIO 2023</v>
      </c>
      <c r="G183" s="59" t="s">
        <v>121</v>
      </c>
      <c r="H183" s="59" t="str">
        <f>VLOOKUP(G183,CATEGORIE!$H$3:$I$55,2,FALSE)</f>
        <v>COSTO MOBILITA'</v>
      </c>
      <c r="I183" s="59">
        <v>250</v>
      </c>
      <c r="J183" s="59"/>
      <c r="K183" s="59"/>
      <c r="L183" s="59" t="s">
        <v>713</v>
      </c>
    </row>
    <row r="184" spans="1:12" ht="18" customHeight="1">
      <c r="A184" s="57" t="s">
        <v>674</v>
      </c>
      <c r="B184" s="57" t="s">
        <v>352</v>
      </c>
      <c r="C184" s="57">
        <v>2023</v>
      </c>
      <c r="D184" s="58">
        <f>MATCH(B184,{"GENNAIO","FEBBRAIO","MARZO","APRILE","MAGGIO","GIUGNO","LUGLIO","AGOSTO","SETTEMBRE","OTTOBRE","NOVEMBRE","DICEMBRE"},0)</f>
        <v>4</v>
      </c>
      <c r="E184" s="57" t="str">
        <f t="shared" si="147"/>
        <v>APRILE 2023</v>
      </c>
      <c r="F184" s="57" t="str">
        <f t="shared" si="146"/>
        <v>4 APRILE 2023</v>
      </c>
      <c r="G184" s="59" t="s">
        <v>116</v>
      </c>
      <c r="H184" s="59" t="str">
        <f>VLOOKUP(G184,CATEGORIE!$H$3:$I$55,2,FALSE)</f>
        <v>TASSE</v>
      </c>
      <c r="I184" s="59">
        <f>16.3+0.5</f>
        <v>16.8</v>
      </c>
      <c r="J184" s="59"/>
      <c r="K184" s="59"/>
      <c r="L184" s="59"/>
    </row>
    <row r="185" spans="1:12" ht="16.5" customHeight="1">
      <c r="A185" s="57" t="s">
        <v>307</v>
      </c>
      <c r="B185" s="57" t="s">
        <v>90</v>
      </c>
      <c r="C185" s="57">
        <v>2023</v>
      </c>
      <c r="D185" s="58">
        <f>MATCH(B185,{"GENNAIO","FEBBRAIO","MARZO","APRILE","MAGGIO","GIUGNO","LUGLIO","AGOSTO","SETTEMBRE","OTTOBRE","NOVEMBRE","DICEMBRE"},0)</f>
        <v>3</v>
      </c>
      <c r="E185" s="57" t="str">
        <f t="shared" si="147"/>
        <v>MARZO 2023</v>
      </c>
      <c r="F185" s="57" t="str">
        <f t="shared" si="146"/>
        <v>3 MARZO 2023</v>
      </c>
      <c r="G185" s="59" t="s">
        <v>116</v>
      </c>
      <c r="H185" s="59" t="str">
        <f>VLOOKUP(G185,CATEGORIE!$H$3:$I$55,2,FALSE)</f>
        <v>TASSE</v>
      </c>
      <c r="I185" s="59">
        <v>150.5</v>
      </c>
      <c r="J185" s="59"/>
      <c r="K185" s="59"/>
      <c r="L185" s="59"/>
    </row>
    <row r="186" spans="1:12" ht="18" customHeight="1">
      <c r="A186" s="57" t="s">
        <v>714</v>
      </c>
      <c r="B186" s="57" t="s">
        <v>154</v>
      </c>
      <c r="C186" s="57">
        <v>2023</v>
      </c>
      <c r="D186" s="58">
        <f>MATCH(B186,{"GENNAIO","FEBBRAIO","MARZO","APRILE","MAGGIO","GIUGNO","LUGLIO","AGOSTO","SETTEMBRE","OTTOBRE","NOVEMBRE","DICEMBRE"},0)</f>
        <v>1</v>
      </c>
      <c r="E186" s="57" t="str">
        <f t="shared" si="147"/>
        <v>GENNAIO 2023</v>
      </c>
      <c r="F186" s="57" t="str">
        <f t="shared" si="146"/>
        <v>1 GENNAIO 2023</v>
      </c>
      <c r="G186" s="59" t="s">
        <v>121</v>
      </c>
      <c r="H186" s="59" t="str">
        <f>VLOOKUP(G186,CATEGORIE!$H$3:$I$55,2,FALSE)</f>
        <v>COSTO MOBILITA'</v>
      </c>
      <c r="I186" s="59">
        <v>50.02</v>
      </c>
      <c r="J186" s="59"/>
      <c r="K186" s="59"/>
      <c r="L186" s="59"/>
    </row>
    <row r="187" spans="1:12" ht="18" customHeight="1">
      <c r="A187" s="57" t="s">
        <v>105</v>
      </c>
      <c r="B187" s="57" t="s">
        <v>154</v>
      </c>
      <c r="C187" s="57">
        <v>2023</v>
      </c>
      <c r="D187" s="58">
        <f>MATCH(B187,{"GENNAIO","FEBBRAIO","MARZO","APRILE","MAGGIO","GIUGNO","LUGLIO","AGOSTO","SETTEMBRE","OTTOBRE","NOVEMBRE","DICEMBRE"},0)</f>
        <v>1</v>
      </c>
      <c r="E187" s="57" t="str">
        <f t="shared" si="147"/>
        <v>GENNAIO 2023</v>
      </c>
      <c r="F187" s="57" t="str">
        <f t="shared" si="146"/>
        <v>1 GENNAIO 2023</v>
      </c>
      <c r="G187" s="59" t="s">
        <v>96</v>
      </c>
      <c r="H187" s="59" t="str">
        <f>VLOOKUP(G187,CATEGORIE!$H$3:$I$55,2,FALSE)</f>
        <v>COSTO SOPRAVVIVENZA</v>
      </c>
      <c r="I187" s="59">
        <v>17.13</v>
      </c>
      <c r="J187" s="59"/>
      <c r="K187" s="59"/>
      <c r="L187" s="59"/>
    </row>
    <row r="188" spans="1:12" ht="18.600000000000001" customHeight="1">
      <c r="A188" s="57" t="s">
        <v>710</v>
      </c>
      <c r="B188" s="57" t="s">
        <v>154</v>
      </c>
      <c r="C188" s="57">
        <v>2023</v>
      </c>
      <c r="D188" s="58">
        <f>MATCH(B188,{"GENNAIO","FEBBRAIO","MARZO","APRILE","MAGGIO","GIUGNO","LUGLIO","AGOSTO","SETTEMBRE","OTTOBRE","NOVEMBRE","DICEMBRE"},0)</f>
        <v>1</v>
      </c>
      <c r="E188" s="57" t="str">
        <f t="shared" si="147"/>
        <v>GENNAIO 2023</v>
      </c>
      <c r="F188" s="57" t="str">
        <f t="shared" si="146"/>
        <v>1 GENNAIO 2023</v>
      </c>
      <c r="G188" s="59" t="s">
        <v>693</v>
      </c>
      <c r="H188" s="59" t="str">
        <f>VLOOKUP(G188,CATEGORIE!$H$3:$I$55,2,FALSE)</f>
        <v>GESTIONE CONTO</v>
      </c>
      <c r="I188" s="59">
        <f>85.4+0.5</f>
        <v>85.9</v>
      </c>
      <c r="J188" s="59"/>
      <c r="K188" s="59"/>
      <c r="L188" s="59"/>
    </row>
    <row r="189" spans="1:12" ht="18.600000000000001" customHeight="1">
      <c r="A189" s="57" t="s">
        <v>675</v>
      </c>
      <c r="B189" s="57" t="s">
        <v>154</v>
      </c>
      <c r="C189" s="57">
        <v>2023</v>
      </c>
      <c r="D189" s="58">
        <f>MATCH(B189,{"GENNAIO","FEBBRAIO","MARZO","APRILE","MAGGIO","GIUGNO","LUGLIO","AGOSTO","SETTEMBRE","OTTOBRE","NOVEMBRE","DICEMBRE"},0)</f>
        <v>1</v>
      </c>
      <c r="E189" s="57" t="str">
        <f t="shared" si="147"/>
        <v>GENNAIO 2023</v>
      </c>
      <c r="F189" s="57" t="str">
        <f t="shared" si="146"/>
        <v>1 GENNAIO 2023</v>
      </c>
      <c r="G189" s="59" t="s">
        <v>116</v>
      </c>
      <c r="H189" s="59" t="str">
        <f>VLOOKUP(G189,CATEGORIE!$H$3:$I$55,2,FALSE)</f>
        <v>TASSE</v>
      </c>
      <c r="I189" s="59">
        <v>0.04</v>
      </c>
      <c r="J189" s="59"/>
      <c r="K189" s="59"/>
      <c r="L189" s="59"/>
    </row>
    <row r="190" spans="1:12" ht="18.600000000000001" customHeight="1">
      <c r="A190" s="57" t="s">
        <v>670</v>
      </c>
      <c r="B190" s="57" t="s">
        <v>154</v>
      </c>
      <c r="C190" s="57">
        <v>2023</v>
      </c>
      <c r="D190" s="58">
        <f>MATCH(B190,{"GENNAIO","FEBBRAIO","MARZO","APRILE","MAGGIO","GIUGNO","LUGLIO","AGOSTO","SETTEMBRE","OTTOBRE","NOVEMBRE","DICEMBRE"},0)</f>
        <v>1</v>
      </c>
      <c r="E190" s="57" t="str">
        <f t="shared" si="147"/>
        <v>GENNAIO 2023</v>
      </c>
      <c r="F190" s="57" t="str">
        <f t="shared" si="146"/>
        <v>1 GENNAIO 2023</v>
      </c>
      <c r="G190" s="59" t="s">
        <v>116</v>
      </c>
      <c r="H190" s="59" t="str">
        <f>VLOOKUP(G190,CATEGORIE!$H$3:$I$55,2,FALSE)</f>
        <v>TASSE</v>
      </c>
      <c r="I190" s="59">
        <v>97</v>
      </c>
      <c r="J190" s="59"/>
      <c r="K190" s="59"/>
      <c r="L190" s="59" t="s">
        <v>715</v>
      </c>
    </row>
    <row r="191" spans="1:12">
      <c r="A191" s="57" t="s">
        <v>670</v>
      </c>
      <c r="B191" s="57" t="s">
        <v>154</v>
      </c>
      <c r="C191" s="57">
        <v>2023</v>
      </c>
      <c r="D191" s="58">
        <f>MATCH(B191,{"GENNAIO","FEBBRAIO","MARZO","APRILE","MAGGIO","GIUGNO","LUGLIO","AGOSTO","SETTEMBRE","OTTOBRE","NOVEMBRE","DICEMBRE"},0)</f>
        <v>1</v>
      </c>
      <c r="E191" s="57" t="str">
        <f t="shared" si="147"/>
        <v>GENNAIO 2023</v>
      </c>
      <c r="F191" s="57" t="str">
        <f t="shared" si="146"/>
        <v>1 GENNAIO 2023</v>
      </c>
      <c r="G191" s="59" t="s">
        <v>116</v>
      </c>
      <c r="H191" s="59" t="str">
        <f>VLOOKUP(G191,CATEGORIE!$H$3:$I$55,2,FALSE)</f>
        <v>TASSE</v>
      </c>
      <c r="I191" s="59">
        <v>72</v>
      </c>
      <c r="J191" s="59"/>
      <c r="K191" s="59"/>
      <c r="L191" s="59" t="s">
        <v>715</v>
      </c>
    </row>
    <row r="192" spans="1:12" ht="18" customHeight="1">
      <c r="A192" s="57" t="s">
        <v>676</v>
      </c>
      <c r="B192" s="57" t="s">
        <v>154</v>
      </c>
      <c r="C192" s="57">
        <v>2023</v>
      </c>
      <c r="D192" s="58">
        <f>MATCH(B192,{"GENNAIO","FEBBRAIO","MARZO","APRILE","MAGGIO","GIUGNO","LUGLIO","AGOSTO","SETTEMBRE","OTTOBRE","NOVEMBRE","DICEMBRE"},0)</f>
        <v>1</v>
      </c>
      <c r="E192" s="57" t="str">
        <f t="shared" si="147"/>
        <v>GENNAIO 2023</v>
      </c>
      <c r="F192" s="57" t="str">
        <f t="shared" si="146"/>
        <v>1 GENNAIO 2023</v>
      </c>
      <c r="G192" s="59" t="s">
        <v>116</v>
      </c>
      <c r="H192" s="59" t="str">
        <f>VLOOKUP(G192,CATEGORIE!$H$3:$I$55,2,FALSE)</f>
        <v>TASSE</v>
      </c>
      <c r="I192" s="59">
        <v>34.200000000000003</v>
      </c>
      <c r="J192" s="59"/>
      <c r="K192" s="59"/>
      <c r="L192" s="59"/>
    </row>
    <row r="193" spans="1:47" ht="18" customHeight="1">
      <c r="A193" s="57" t="s">
        <v>674</v>
      </c>
      <c r="B193" s="57" t="s">
        <v>173</v>
      </c>
      <c r="C193" s="57">
        <v>2022</v>
      </c>
      <c r="D193" s="58">
        <f>MATCH(B193,{"GENNAIO","FEBBRAIO","MARZO","APRILE","MAGGIO","GIUGNO","LUGLIO","AGOSTO","SETTEMBRE","OTTOBRE","NOVEMBRE","DICEMBRE"},0)</f>
        <v>12</v>
      </c>
      <c r="E193" s="57" t="str">
        <f t="shared" si="147"/>
        <v>DICEMBRE 2022</v>
      </c>
      <c r="F193" s="57" t="str">
        <f t="shared" si="146"/>
        <v>12 DICEMBRE 2022</v>
      </c>
      <c r="G193" s="59" t="s">
        <v>116</v>
      </c>
      <c r="H193" s="59" t="str">
        <f>VLOOKUP(G193,CATEGORIE!$H$3:$I$55,2,FALSE)</f>
        <v>TASSE</v>
      </c>
      <c r="I193" s="59">
        <f>98.2+0.5</f>
        <v>98.7</v>
      </c>
      <c r="J193" s="59"/>
      <c r="K193" s="59"/>
      <c r="L193" s="59"/>
    </row>
    <row r="194" spans="1:47">
      <c r="A194" s="57" t="s">
        <v>135</v>
      </c>
      <c r="B194" s="57" t="s">
        <v>173</v>
      </c>
      <c r="C194" s="57">
        <v>2022</v>
      </c>
      <c r="D194" s="58">
        <f>MATCH(B194,{"GENNAIO","FEBBRAIO","MARZO","APRILE","MAGGIO","GIUGNO","LUGLIO","AGOSTO","SETTEMBRE","OTTOBRE","NOVEMBRE","DICEMBRE"},0)</f>
        <v>12</v>
      </c>
      <c r="E194" s="57" t="str">
        <f t="shared" si="147"/>
        <v>DICEMBRE 2022</v>
      </c>
      <c r="F194" s="57" t="str">
        <f t="shared" si="146"/>
        <v>12 DICEMBRE 2022</v>
      </c>
      <c r="G194" s="59" t="s">
        <v>132</v>
      </c>
      <c r="H194" s="59" t="str">
        <f>VLOOKUP(G194,CATEGORIE!$H$3:$I$55,2,FALSE)</f>
        <v>COSTO CASA</v>
      </c>
      <c r="I194" s="59">
        <v>90.19</v>
      </c>
      <c r="J194" s="59"/>
      <c r="K194" s="59"/>
      <c r="L194" s="59"/>
    </row>
    <row r="195" spans="1:47" ht="16.5" customHeight="1">
      <c r="A195" s="57" t="s">
        <v>716</v>
      </c>
      <c r="B195" s="57" t="s">
        <v>173</v>
      </c>
      <c r="C195" s="57">
        <v>2022</v>
      </c>
      <c r="D195" s="58">
        <f>MATCH(B195,{"GENNAIO","FEBBRAIO","MARZO","APRILE","MAGGIO","GIUGNO","LUGLIO","AGOSTO","SETTEMBRE","OTTOBRE","NOVEMBRE","DICEMBRE"},0)</f>
        <v>12</v>
      </c>
      <c r="E195" s="57" t="str">
        <f t="shared" si="147"/>
        <v>DICEMBRE 2022</v>
      </c>
      <c r="F195" s="57" t="str">
        <f t="shared" si="146"/>
        <v>12 DICEMBRE 2022</v>
      </c>
      <c r="G195" s="59" t="s">
        <v>132</v>
      </c>
      <c r="H195" s="59" t="str">
        <f>VLOOKUP(G195,CATEGORIE!$H$3:$I$55,2,FALSE)</f>
        <v>COSTO CASA</v>
      </c>
      <c r="I195" s="59">
        <v>14.2</v>
      </c>
      <c r="J195" s="59"/>
      <c r="K195" s="59"/>
      <c r="L195" s="59"/>
    </row>
    <row r="196" spans="1:47" ht="16.5" customHeight="1">
      <c r="A196" s="57" t="s">
        <v>714</v>
      </c>
      <c r="B196" s="57" t="s">
        <v>173</v>
      </c>
      <c r="C196" s="57">
        <v>2022</v>
      </c>
      <c r="D196" s="58">
        <f>MATCH(B196,{"GENNAIO","FEBBRAIO","MARZO","APRILE","MAGGIO","GIUGNO","LUGLIO","AGOSTO","SETTEMBRE","OTTOBRE","NOVEMBRE","DICEMBRE"},0)</f>
        <v>12</v>
      </c>
      <c r="E196" s="57" t="str">
        <f t="shared" si="147"/>
        <v>DICEMBRE 2022</v>
      </c>
      <c r="F196" s="57" t="str">
        <f t="shared" si="146"/>
        <v>12 DICEMBRE 2022</v>
      </c>
      <c r="G196" s="59" t="s">
        <v>121</v>
      </c>
      <c r="H196" s="59" t="str">
        <f>VLOOKUP(G196,CATEGORIE!$H$3:$I$55,2,FALSE)</f>
        <v>COSTO MOBILITA'</v>
      </c>
      <c r="I196" s="59">
        <v>40</v>
      </c>
      <c r="J196" s="59"/>
      <c r="K196" s="59"/>
      <c r="L196" s="59"/>
    </row>
    <row r="197" spans="1:47" ht="16.5" customHeight="1">
      <c r="A197" s="57" t="s">
        <v>95</v>
      </c>
      <c r="B197" s="57" t="s">
        <v>173</v>
      </c>
      <c r="C197" s="57">
        <v>2022</v>
      </c>
      <c r="D197" s="58">
        <f>MATCH(B197,{"GENNAIO","FEBBRAIO","MARZO","APRILE","MAGGIO","GIUGNO","LUGLIO","AGOSTO","SETTEMBRE","OTTOBRE","NOVEMBRE","DICEMBRE"},0)</f>
        <v>12</v>
      </c>
      <c r="E197" s="57" t="str">
        <f t="shared" si="147"/>
        <v>DICEMBRE 2022</v>
      </c>
      <c r="F197" s="57" t="str">
        <f t="shared" si="146"/>
        <v>12 DICEMBRE 2022</v>
      </c>
      <c r="G197" s="59" t="s">
        <v>96</v>
      </c>
      <c r="H197" s="59" t="str">
        <f>VLOOKUP(G197,CATEGORIE!$H$3:$I$55,2,FALSE)</f>
        <v>COSTO SOPRAVVIVENZA</v>
      </c>
      <c r="I197" s="59">
        <v>13.56</v>
      </c>
      <c r="J197" s="59"/>
      <c r="K197" s="59"/>
      <c r="L197" s="59"/>
    </row>
    <row r="198" spans="1:47" ht="16.5" customHeight="1">
      <c r="A198" s="57" t="s">
        <v>717</v>
      </c>
      <c r="B198" s="57" t="s">
        <v>200</v>
      </c>
      <c r="C198" s="57">
        <v>2022</v>
      </c>
      <c r="D198" s="58">
        <f>MATCH(B198,{"GENNAIO","FEBBRAIO","MARZO","APRILE","MAGGIO","GIUGNO","LUGLIO","AGOSTO","SETTEMBRE","OTTOBRE","NOVEMBRE","DICEMBRE"},0)</f>
        <v>11</v>
      </c>
      <c r="E198" s="57" t="str">
        <f t="shared" si="147"/>
        <v>NOVEMBRE 2022</v>
      </c>
      <c r="F198" s="57" t="str">
        <f t="shared" si="146"/>
        <v>11 NOVEMBRE 2022</v>
      </c>
      <c r="G198" s="59" t="s">
        <v>96</v>
      </c>
      <c r="H198" s="59" t="str">
        <f>VLOOKUP(G198,CATEGORIE!$H$3:$I$55,2,FALSE)</f>
        <v>COSTO SOPRAVVIVENZA</v>
      </c>
      <c r="I198" s="59">
        <v>24.15</v>
      </c>
      <c r="J198" s="59"/>
      <c r="K198" s="59"/>
      <c r="L198" s="59"/>
    </row>
    <row r="199" spans="1:47" ht="16.5" customHeight="1">
      <c r="A199" s="57" t="s">
        <v>670</v>
      </c>
      <c r="B199" s="57" t="s">
        <v>200</v>
      </c>
      <c r="C199" s="57">
        <v>2022</v>
      </c>
      <c r="D199" s="58">
        <f>MATCH(B199,{"GENNAIO","FEBBRAIO","MARZO","APRILE","MAGGIO","GIUGNO","LUGLIO","AGOSTO","SETTEMBRE","OTTOBRE","NOVEMBRE","DICEMBRE"},0)</f>
        <v>11</v>
      </c>
      <c r="E199" s="57" t="str">
        <f t="shared" si="147"/>
        <v>NOVEMBRE 2022</v>
      </c>
      <c r="F199" s="57" t="str">
        <f t="shared" si="146"/>
        <v>11 NOVEMBRE 2022</v>
      </c>
      <c r="G199" s="59" t="s">
        <v>116</v>
      </c>
      <c r="H199" s="59" t="str">
        <f>VLOOKUP(G199,CATEGORIE!$H$3:$I$55,2,FALSE)</f>
        <v>TASSE</v>
      </c>
      <c r="I199" s="59">
        <v>65</v>
      </c>
      <c r="J199" s="59"/>
      <c r="K199" s="59"/>
      <c r="L199" s="59" t="s">
        <v>715</v>
      </c>
    </row>
    <row r="200" spans="1:47" ht="16.5" customHeight="1">
      <c r="A200" s="57" t="s">
        <v>1272</v>
      </c>
      <c r="B200" s="57" t="s">
        <v>240</v>
      </c>
      <c r="C200" s="57">
        <v>2022</v>
      </c>
      <c r="D200" s="58">
        <f>MATCH(B200,{"GENNAIO","FEBBRAIO","MARZO","APRILE","MAGGIO","GIUGNO","LUGLIO","AGOSTO","SETTEMBRE","OTTOBRE","NOVEMBRE","DICEMBRE"},0)</f>
        <v>9</v>
      </c>
      <c r="E200" s="57" t="str">
        <f t="shared" ref="E200:E259" si="148">CONCATENATE(,B200," ",C200)</f>
        <v>SETTEMBRE 2022</v>
      </c>
      <c r="F200" s="57" t="str">
        <f t="shared" si="146"/>
        <v>9 SETTEMBRE 2022</v>
      </c>
      <c r="G200" s="59" t="s">
        <v>785</v>
      </c>
      <c r="H200" s="59" t="str">
        <f>VLOOKUP(G200,CATEGORIE!$H$3:$I$55,2,FALSE)</f>
        <v>COSTO MOBILITA'</v>
      </c>
      <c r="I200" s="59">
        <v>31.99</v>
      </c>
      <c r="J200" s="59"/>
      <c r="K200" s="59"/>
      <c r="L200" s="59"/>
    </row>
    <row r="201" spans="1:47">
      <c r="A201" s="57" t="s">
        <v>112</v>
      </c>
      <c r="B201" s="57" t="s">
        <v>240</v>
      </c>
      <c r="C201" s="57">
        <v>2022</v>
      </c>
      <c r="D201" s="58">
        <f>MATCH(B201,{"GENNAIO","FEBBRAIO","MARZO","APRILE","MAGGIO","GIUGNO","LUGLIO","AGOSTO","SETTEMBRE","OTTOBRE","NOVEMBRE","DICEMBRE"},0)</f>
        <v>9</v>
      </c>
      <c r="E201" s="57" t="str">
        <f t="shared" si="148"/>
        <v>SETTEMBRE 2022</v>
      </c>
      <c r="F201" s="57" t="str">
        <f t="shared" ref="F201:F260" si="149">CONCATENATE(D201," ",E201)</f>
        <v>9 SETTEMBRE 2022</v>
      </c>
      <c r="G201" s="59" t="s">
        <v>132</v>
      </c>
      <c r="H201" s="59" t="str">
        <f>VLOOKUP(G201,CATEGORIE!$H$3:$I$55,2,FALSE)</f>
        <v>COSTO CASA</v>
      </c>
      <c r="I201" s="59">
        <v>8.49</v>
      </c>
      <c r="J201" s="59"/>
      <c r="K201" s="59"/>
      <c r="L201" s="59"/>
    </row>
    <row r="202" spans="1:47">
      <c r="A202" s="57" t="s">
        <v>1263</v>
      </c>
      <c r="B202" s="57" t="s">
        <v>240</v>
      </c>
      <c r="C202" s="57">
        <v>2022</v>
      </c>
      <c r="D202" s="58">
        <f>MATCH(B202,{"GENNAIO","FEBBRAIO","MARZO","APRILE","MAGGIO","GIUGNO","LUGLIO","AGOSTO","SETTEMBRE","OTTOBRE","NOVEMBRE","DICEMBRE"},0)</f>
        <v>9</v>
      </c>
      <c r="E202" s="57" t="str">
        <f t="shared" si="148"/>
        <v>SETTEMBRE 2022</v>
      </c>
      <c r="F202" s="57" t="str">
        <f t="shared" si="149"/>
        <v>9 SETTEMBRE 2022</v>
      </c>
      <c r="G202" s="59" t="s">
        <v>766</v>
      </c>
      <c r="H202" s="59" t="str">
        <f>VLOOKUP(G202,CATEGORIE!$H$3:$I$55,2,FALSE)</f>
        <v>TASSE</v>
      </c>
      <c r="I202" s="59">
        <v>3</v>
      </c>
      <c r="J202" s="59"/>
      <c r="K202" s="59"/>
      <c r="L202" s="59"/>
    </row>
    <row r="203" spans="1:47">
      <c r="A203" s="57" t="s">
        <v>307</v>
      </c>
      <c r="B203" s="57" t="s">
        <v>261</v>
      </c>
      <c r="C203" s="57">
        <v>2022</v>
      </c>
      <c r="D203" s="58">
        <f>MATCH(B203,{"GENNAIO","FEBBRAIO","MARZO","APRILE","MAGGIO","GIUGNO","LUGLIO","AGOSTO","SETTEMBRE","OTTOBRE","NOVEMBRE","DICEMBRE"},0)</f>
        <v>8</v>
      </c>
      <c r="E203" s="57" t="str">
        <f t="shared" si="148"/>
        <v>AGOSTO 2022</v>
      </c>
      <c r="F203" s="57" t="str">
        <f t="shared" si="149"/>
        <v>8 AGOSTO 2022</v>
      </c>
      <c r="G203" s="59" t="s">
        <v>116</v>
      </c>
      <c r="H203" s="59" t="str">
        <f>VLOOKUP(G203,CATEGORIE!$H$3:$I$55,2,FALSE)</f>
        <v>TASSE</v>
      </c>
      <c r="I203" s="59">
        <v>150</v>
      </c>
      <c r="J203" s="59"/>
      <c r="K203" s="59"/>
      <c r="L203" s="59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</row>
    <row r="204" spans="1:47">
      <c r="A204" s="57" t="s">
        <v>307</v>
      </c>
      <c r="B204" s="57" t="s">
        <v>261</v>
      </c>
      <c r="C204" s="57">
        <v>2022</v>
      </c>
      <c r="D204" s="58">
        <f>MATCH(B204,{"GENNAIO","FEBBRAIO","MARZO","APRILE","MAGGIO","GIUGNO","LUGLIO","AGOSTO","SETTEMBRE","OTTOBRE","NOVEMBRE","DICEMBRE"},0)</f>
        <v>8</v>
      </c>
      <c r="E204" s="57" t="str">
        <f t="shared" si="148"/>
        <v>AGOSTO 2022</v>
      </c>
      <c r="F204" s="57" t="str">
        <f t="shared" si="149"/>
        <v>8 AGOSTO 2022</v>
      </c>
      <c r="G204" s="59" t="s">
        <v>116</v>
      </c>
      <c r="H204" s="59" t="str">
        <f>VLOOKUP(G204,CATEGORIE!$H$3:$I$55,2,FALSE)</f>
        <v>TASSE</v>
      </c>
      <c r="I204" s="59">
        <v>148.4</v>
      </c>
      <c r="J204" s="59"/>
      <c r="K204" s="59"/>
      <c r="L204" s="5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</row>
    <row r="205" spans="1:47">
      <c r="A205" s="57" t="s">
        <v>670</v>
      </c>
      <c r="B205" s="57" t="s">
        <v>261</v>
      </c>
      <c r="C205" s="57">
        <v>2022</v>
      </c>
      <c r="D205" s="58">
        <f>MATCH(B205,{"GENNAIO","FEBBRAIO","MARZO","APRILE","MAGGIO","GIUGNO","LUGLIO","AGOSTO","SETTEMBRE","OTTOBRE","NOVEMBRE","DICEMBRE"},0)</f>
        <v>8</v>
      </c>
      <c r="E205" s="57" t="str">
        <f t="shared" si="148"/>
        <v>AGOSTO 2022</v>
      </c>
      <c r="F205" s="57" t="str">
        <f t="shared" si="149"/>
        <v>8 AGOSTO 2022</v>
      </c>
      <c r="G205" s="59" t="s">
        <v>116</v>
      </c>
      <c r="H205" s="59" t="str">
        <f>VLOOKUP(G205,CATEGORIE!$H$3:$I$55,2,FALSE)</f>
        <v>TASSE</v>
      </c>
      <c r="I205" s="59">
        <v>65</v>
      </c>
      <c r="J205" s="59"/>
      <c r="K205" s="59"/>
      <c r="L205" s="5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</row>
    <row r="206" spans="1:47">
      <c r="A206" s="57" t="s">
        <v>718</v>
      </c>
      <c r="B206" s="57" t="s">
        <v>288</v>
      </c>
      <c r="C206" s="57">
        <v>2022</v>
      </c>
      <c r="D206" s="58">
        <f>MATCH(B206,{"GENNAIO","FEBBRAIO","MARZO","APRILE","MAGGIO","GIUGNO","LUGLIO","AGOSTO","SETTEMBRE","OTTOBRE","NOVEMBRE","DICEMBRE"},0)</f>
        <v>7</v>
      </c>
      <c r="E206" s="57" t="str">
        <f t="shared" si="148"/>
        <v>LUGLIO 2022</v>
      </c>
      <c r="F206" s="57" t="str">
        <f t="shared" si="149"/>
        <v>7 LUGLIO 2022</v>
      </c>
      <c r="G206" s="59" t="s">
        <v>185</v>
      </c>
      <c r="H206" s="59" t="str">
        <f>VLOOKUP(G206,CATEGORIE!$H$3:$I$55,2,FALSE)</f>
        <v>COSTO SFIZI</v>
      </c>
      <c r="I206" s="59">
        <v>120.5</v>
      </c>
      <c r="J206" s="59"/>
      <c r="K206" s="59"/>
      <c r="L206" s="5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</row>
    <row r="207" spans="1:47">
      <c r="A207" s="57" t="s">
        <v>1263</v>
      </c>
      <c r="B207" s="57" t="s">
        <v>314</v>
      </c>
      <c r="C207" s="57">
        <v>2022</v>
      </c>
      <c r="D207" s="58">
        <f>MATCH(B207,{"GENNAIO","FEBBRAIO","MARZO","APRILE","MAGGIO","GIUGNO","LUGLIO","AGOSTO","SETTEMBRE","OTTOBRE","NOVEMBRE","DICEMBRE"},0)</f>
        <v>6</v>
      </c>
      <c r="E207" s="57" t="str">
        <f t="shared" si="148"/>
        <v>GIUGNO 2022</v>
      </c>
      <c r="F207" s="57" t="str">
        <f t="shared" si="149"/>
        <v>6 GIUGNO 2022</v>
      </c>
      <c r="G207" s="59" t="s">
        <v>766</v>
      </c>
      <c r="H207" s="59" t="str">
        <f>VLOOKUP(G207,CATEGORIE!$H$3:$I$55,2,FALSE)</f>
        <v>TASSE</v>
      </c>
      <c r="I207" s="59">
        <v>2</v>
      </c>
      <c r="J207" s="59"/>
      <c r="K207" s="59"/>
      <c r="L207" s="5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</row>
    <row r="208" spans="1:47">
      <c r="A208" s="57" t="s">
        <v>1270</v>
      </c>
      <c r="B208" s="57" t="s">
        <v>333</v>
      </c>
      <c r="C208" s="57">
        <v>2022</v>
      </c>
      <c r="D208" s="58">
        <f>MATCH(B208,{"GENNAIO","FEBBRAIO","MARZO","APRILE","MAGGIO","GIUGNO","LUGLIO","AGOSTO","SETTEMBRE","OTTOBRE","NOVEMBRE","DICEMBRE"},0)</f>
        <v>5</v>
      </c>
      <c r="E208" s="57" t="str">
        <f t="shared" si="148"/>
        <v>MAGGIO 2022</v>
      </c>
      <c r="F208" s="57" t="str">
        <f t="shared" si="149"/>
        <v>5 MAGGIO 2022</v>
      </c>
      <c r="G208" s="59" t="s">
        <v>1250</v>
      </c>
      <c r="H208" s="59" t="str">
        <f>VLOOKUP(G208,CATEGORIE!$H$3:$I$55,2,FALSE)</f>
        <v>COSTO VACANZE</v>
      </c>
      <c r="I208" s="59">
        <v>80.5</v>
      </c>
      <c r="J208" s="59"/>
      <c r="K208" s="59"/>
      <c r="L208" s="59" t="s">
        <v>1271</v>
      </c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</row>
    <row r="209" spans="1:47">
      <c r="A209" s="57" t="s">
        <v>719</v>
      </c>
      <c r="B209" s="57" t="s">
        <v>333</v>
      </c>
      <c r="C209" s="57">
        <v>2022</v>
      </c>
      <c r="D209" s="58">
        <f>MATCH(B209,{"GENNAIO","FEBBRAIO","MARZO","APRILE","MAGGIO","GIUGNO","LUGLIO","AGOSTO","SETTEMBRE","OTTOBRE","NOVEMBRE","DICEMBRE"},0)</f>
        <v>5</v>
      </c>
      <c r="E209" s="57" t="str">
        <f t="shared" si="148"/>
        <v>MAGGIO 2022</v>
      </c>
      <c r="F209" s="57" t="str">
        <f t="shared" si="149"/>
        <v>5 MAGGIO 2022</v>
      </c>
      <c r="G209" s="59" t="s">
        <v>96</v>
      </c>
      <c r="H209" s="59" t="str">
        <f>VLOOKUP(G209,CATEGORIE!$H$3:$I$55,2,FALSE)</f>
        <v>COSTO SOPRAVVIVENZA</v>
      </c>
      <c r="I209" s="59">
        <v>24.33</v>
      </c>
      <c r="J209" s="59"/>
      <c r="K209" s="59"/>
      <c r="L209" s="5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</row>
    <row r="210" spans="1:47">
      <c r="A210" s="57" t="s">
        <v>651</v>
      </c>
      <c r="B210" s="57" t="s">
        <v>352</v>
      </c>
      <c r="C210" s="57">
        <v>2022</v>
      </c>
      <c r="D210" s="58">
        <f>MATCH(B210,{"GENNAIO","FEBBRAIO","MARZO","APRILE","MAGGIO","GIUGNO","LUGLIO","AGOSTO","SETTEMBRE","OTTOBRE","NOVEMBRE","DICEMBRE"},0)</f>
        <v>4</v>
      </c>
      <c r="E210" s="57" t="str">
        <f t="shared" si="148"/>
        <v>APRILE 2022</v>
      </c>
      <c r="F210" s="57" t="str">
        <f t="shared" si="149"/>
        <v>4 APRILE 2022</v>
      </c>
      <c r="G210" s="59" t="s">
        <v>121</v>
      </c>
      <c r="H210" s="59" t="str">
        <f>VLOOKUP(G210,CATEGORIE!$H$3:$I$55,2,FALSE)</f>
        <v>COSTO MOBILITA'</v>
      </c>
      <c r="I210" s="59">
        <v>430</v>
      </c>
      <c r="J210" s="59"/>
      <c r="K210" s="59"/>
      <c r="L210" s="5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</row>
    <row r="211" spans="1:47">
      <c r="A211" s="57" t="s">
        <v>714</v>
      </c>
      <c r="B211" s="57" t="s">
        <v>352</v>
      </c>
      <c r="C211" s="57">
        <v>2022</v>
      </c>
      <c r="D211" s="58">
        <f>MATCH(B211,{"GENNAIO","FEBBRAIO","MARZO","APRILE","MAGGIO","GIUGNO","LUGLIO","AGOSTO","SETTEMBRE","OTTOBRE","NOVEMBRE","DICEMBRE"},0)</f>
        <v>4</v>
      </c>
      <c r="E211" s="57" t="str">
        <f t="shared" si="148"/>
        <v>APRILE 2022</v>
      </c>
      <c r="F211" s="57" t="str">
        <f t="shared" si="149"/>
        <v>4 APRILE 2022</v>
      </c>
      <c r="G211" s="59" t="s">
        <v>785</v>
      </c>
      <c r="H211" s="59" t="str">
        <f>VLOOKUP(G211,CATEGORIE!$H$3:$I$55,2,FALSE)</f>
        <v>COSTO MOBILITA'</v>
      </c>
      <c r="I211" s="60">
        <v>44.75</v>
      </c>
      <c r="J211" s="59"/>
      <c r="K211" s="59"/>
      <c r="L211" s="5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</row>
    <row r="212" spans="1:47">
      <c r="A212" s="57" t="s">
        <v>156</v>
      </c>
      <c r="B212" s="57" t="s">
        <v>352</v>
      </c>
      <c r="C212" s="57">
        <v>2022</v>
      </c>
      <c r="D212" s="58">
        <f>MATCH(B212,{"GENNAIO","FEBBRAIO","MARZO","APRILE","MAGGIO","GIUGNO","LUGLIO","AGOSTO","SETTEMBRE","OTTOBRE","NOVEMBRE","DICEMBRE"},0)</f>
        <v>4</v>
      </c>
      <c r="E212" s="57" t="str">
        <f t="shared" si="148"/>
        <v>APRILE 2022</v>
      </c>
      <c r="F212" s="57" t="str">
        <f t="shared" si="149"/>
        <v>4 APRILE 2022</v>
      </c>
      <c r="G212" s="59" t="s">
        <v>96</v>
      </c>
      <c r="H212" s="59" t="str">
        <f>VLOOKUP(G212,CATEGORIE!$H$3:$I$55,2,FALSE)</f>
        <v>COSTO SOPRAVVIVENZA</v>
      </c>
      <c r="I212" s="59">
        <v>22.59</v>
      </c>
      <c r="J212" s="59"/>
      <c r="K212" s="59"/>
      <c r="L212" s="5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</row>
    <row r="213" spans="1:47">
      <c r="A213" s="57" t="s">
        <v>714</v>
      </c>
      <c r="B213" s="57" t="s">
        <v>129</v>
      </c>
      <c r="C213" s="57">
        <v>2022</v>
      </c>
      <c r="D213" s="58">
        <f>MATCH(B213,{"GENNAIO","FEBBRAIO","MARZO","APRILE","MAGGIO","GIUGNO","LUGLIO","AGOSTO","SETTEMBRE","OTTOBRE","NOVEMBRE","DICEMBRE"},0)</f>
        <v>2</v>
      </c>
      <c r="E213" s="57" t="str">
        <f t="shared" si="148"/>
        <v>FEBBRAIO 2022</v>
      </c>
      <c r="F213" s="57" t="str">
        <f t="shared" si="149"/>
        <v>2 FEBBRAIO 2022</v>
      </c>
      <c r="G213" s="59" t="s">
        <v>785</v>
      </c>
      <c r="H213" s="59" t="str">
        <f>VLOOKUP(G213,CATEGORIE!$H$3:$I$55,2,FALSE)</f>
        <v>COSTO MOBILITA'</v>
      </c>
      <c r="I213" s="59">
        <v>83.41</v>
      </c>
      <c r="J213" s="59"/>
      <c r="K213" s="59"/>
      <c r="L213" s="5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</row>
    <row r="214" spans="1:47">
      <c r="A214" s="57" t="s">
        <v>720</v>
      </c>
      <c r="B214" s="57" t="s">
        <v>129</v>
      </c>
      <c r="C214" s="57">
        <v>2022</v>
      </c>
      <c r="D214" s="58">
        <f>MATCH(B214,{"GENNAIO","FEBBRAIO","MARZO","APRILE","MAGGIO","GIUGNO","LUGLIO","AGOSTO","SETTEMBRE","OTTOBRE","NOVEMBRE","DICEMBRE"},0)</f>
        <v>2</v>
      </c>
      <c r="E214" s="57" t="str">
        <f t="shared" si="148"/>
        <v>FEBBRAIO 2022</v>
      </c>
      <c r="F214" s="57" t="str">
        <f t="shared" si="149"/>
        <v>2 FEBBRAIO 2022</v>
      </c>
      <c r="G214" s="59" t="s">
        <v>766</v>
      </c>
      <c r="H214" s="59" t="str">
        <f>VLOOKUP(G214,CATEGORIE!$H$3:$I$55,2,FALSE)</f>
        <v>TASSE</v>
      </c>
      <c r="I214" s="59">
        <v>2.5</v>
      </c>
      <c r="J214" s="59"/>
      <c r="K214" s="59"/>
      <c r="L214" s="5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</row>
    <row r="215" spans="1:47">
      <c r="A215" s="57" t="s">
        <v>1263</v>
      </c>
      <c r="B215" s="57" t="s">
        <v>129</v>
      </c>
      <c r="C215" s="57">
        <v>2022</v>
      </c>
      <c r="D215" s="58">
        <f>MATCH(B215,{"GENNAIO","FEBBRAIO","MARZO","APRILE","MAGGIO","GIUGNO","LUGLIO","AGOSTO","SETTEMBRE","OTTOBRE","NOVEMBRE","DICEMBRE"},0)</f>
        <v>2</v>
      </c>
      <c r="E215" s="57" t="str">
        <f t="shared" si="148"/>
        <v>FEBBRAIO 2022</v>
      </c>
      <c r="F215" s="57" t="str">
        <f t="shared" si="149"/>
        <v>2 FEBBRAIO 2022</v>
      </c>
      <c r="G215" s="59" t="s">
        <v>766</v>
      </c>
      <c r="H215" s="59" t="str">
        <f>VLOOKUP(G215,CATEGORIE!$H$3:$I$55,2,FALSE)</f>
        <v>TASSE</v>
      </c>
      <c r="I215" s="59">
        <v>4</v>
      </c>
      <c r="J215" s="59"/>
      <c r="K215" s="59"/>
      <c r="L215" s="59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</row>
    <row r="216" spans="1:47">
      <c r="A216" s="57" t="s">
        <v>1263</v>
      </c>
      <c r="B216" s="57" t="s">
        <v>129</v>
      </c>
      <c r="C216" s="57">
        <v>2022</v>
      </c>
      <c r="D216" s="58">
        <f>MATCH(B216,{"GENNAIO","FEBBRAIO","MARZO","APRILE","MAGGIO","GIUGNO","LUGLIO","AGOSTO","SETTEMBRE","OTTOBRE","NOVEMBRE","DICEMBRE"},0)</f>
        <v>2</v>
      </c>
      <c r="E216" s="57" t="str">
        <f t="shared" si="148"/>
        <v>FEBBRAIO 2022</v>
      </c>
      <c r="F216" s="57" t="str">
        <f t="shared" si="149"/>
        <v>2 FEBBRAIO 2022</v>
      </c>
      <c r="G216" s="59" t="s">
        <v>766</v>
      </c>
      <c r="H216" s="59" t="str">
        <f>VLOOKUP(G216,CATEGORIE!$H$3:$I$55,2,FALSE)</f>
        <v>TASSE</v>
      </c>
      <c r="I216" s="59">
        <v>0.5</v>
      </c>
      <c r="J216" s="59"/>
      <c r="K216" s="59"/>
      <c r="L216" s="59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</row>
    <row r="217" spans="1:47">
      <c r="A217" s="57" t="s">
        <v>675</v>
      </c>
      <c r="B217" s="57" t="s">
        <v>154</v>
      </c>
      <c r="C217" s="57">
        <v>2022</v>
      </c>
      <c r="D217" s="58">
        <f>MATCH(B217,{"GENNAIO","FEBBRAIO","MARZO","APRILE","MAGGIO","GIUGNO","LUGLIO","AGOSTO","SETTEMBRE","OTTOBRE","NOVEMBRE","DICEMBRE"},0)</f>
        <v>1</v>
      </c>
      <c r="E217" s="57" t="str">
        <f t="shared" si="148"/>
        <v>GENNAIO 2022</v>
      </c>
      <c r="F217" s="57" t="str">
        <f t="shared" si="149"/>
        <v>1 GENNAIO 2022</v>
      </c>
      <c r="G217" s="59" t="s">
        <v>116</v>
      </c>
      <c r="H217" s="59" t="str">
        <f>VLOOKUP(G217,CATEGORIE!$H$3:$I$55,2,FALSE)</f>
        <v>TASSE</v>
      </c>
      <c r="I217" s="59">
        <v>0.03</v>
      </c>
      <c r="J217" s="59"/>
      <c r="K217" s="59"/>
      <c r="L217" s="59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</row>
    <row r="218" spans="1:47">
      <c r="A218" s="57" t="s">
        <v>1267</v>
      </c>
      <c r="B218" s="57" t="s">
        <v>154</v>
      </c>
      <c r="C218" s="57">
        <v>2022</v>
      </c>
      <c r="D218" s="58">
        <f>MATCH(B218,{"GENNAIO","FEBBRAIO","MARZO","APRILE","MAGGIO","GIUGNO","LUGLIO","AGOSTO","SETTEMBRE","OTTOBRE","NOVEMBRE","DICEMBRE"},0)</f>
        <v>1</v>
      </c>
      <c r="E218" s="57" t="str">
        <f t="shared" si="148"/>
        <v>GENNAIO 2022</v>
      </c>
      <c r="F218" s="57" t="str">
        <f t="shared" si="149"/>
        <v>1 GENNAIO 2022</v>
      </c>
      <c r="G218" s="59" t="s">
        <v>790</v>
      </c>
      <c r="H218" s="59" t="str">
        <f>VLOOKUP(G218,CATEGORIE!$H$3:$I$55,2,FALSE)</f>
        <v>RATE GENERICHE</v>
      </c>
      <c r="I218" s="59">
        <v>1003.03</v>
      </c>
      <c r="J218" s="59"/>
      <c r="K218" s="59"/>
      <c r="L218" s="59" t="s">
        <v>1266</v>
      </c>
      <c r="AI218"/>
      <c r="AJ218"/>
      <c r="AK218"/>
      <c r="AL218"/>
      <c r="AM218"/>
      <c r="AN218"/>
      <c r="AO218"/>
      <c r="AP218"/>
      <c r="AQ218"/>
      <c r="AR218"/>
      <c r="AS218"/>
      <c r="AT218"/>
      <c r="AU218"/>
    </row>
    <row r="219" spans="1:47">
      <c r="A219" s="57" t="s">
        <v>1264</v>
      </c>
      <c r="B219" s="57" t="s">
        <v>154</v>
      </c>
      <c r="C219" s="57">
        <v>2022</v>
      </c>
      <c r="D219" s="58">
        <f>MATCH(B219,{"GENNAIO","FEBBRAIO","MARZO","APRILE","MAGGIO","GIUGNO","LUGLIO","AGOSTO","SETTEMBRE","OTTOBRE","NOVEMBRE","DICEMBRE"},0)</f>
        <v>1</v>
      </c>
      <c r="E219" s="57" t="str">
        <f t="shared" si="148"/>
        <v>GENNAIO 2022</v>
      </c>
      <c r="F219" s="57" t="str">
        <f t="shared" si="149"/>
        <v>1 GENNAIO 2022</v>
      </c>
      <c r="G219" s="59" t="s">
        <v>132</v>
      </c>
      <c r="H219" s="59" t="str">
        <f>VLOOKUP(G219,CATEGORIE!$H$3:$I$55,2,FALSE)</f>
        <v>COSTO CASA</v>
      </c>
      <c r="I219" s="59">
        <v>68.5</v>
      </c>
      <c r="J219" s="59"/>
      <c r="K219" s="59"/>
      <c r="L219" s="59" t="s">
        <v>1265</v>
      </c>
      <c r="AI219"/>
      <c r="AJ219"/>
      <c r="AK219"/>
      <c r="AL219"/>
      <c r="AM219"/>
      <c r="AN219"/>
      <c r="AO219"/>
      <c r="AP219"/>
      <c r="AQ219"/>
      <c r="AR219"/>
      <c r="AS219"/>
      <c r="AT219"/>
      <c r="AU219"/>
    </row>
    <row r="220" spans="1:47">
      <c r="A220" s="57" t="s">
        <v>1268</v>
      </c>
      <c r="B220" s="57" t="s">
        <v>154</v>
      </c>
      <c r="C220" s="57">
        <v>2022</v>
      </c>
      <c r="D220" s="58">
        <f>MATCH(B220,{"GENNAIO","FEBBRAIO","MARZO","APRILE","MAGGIO","GIUGNO","LUGLIO","AGOSTO","SETTEMBRE","OTTOBRE","NOVEMBRE","DICEMBRE"},0)</f>
        <v>1</v>
      </c>
      <c r="E220" s="57" t="str">
        <f t="shared" si="148"/>
        <v>GENNAIO 2022</v>
      </c>
      <c r="F220" s="57" t="str">
        <f t="shared" si="149"/>
        <v>1 GENNAIO 2022</v>
      </c>
      <c r="G220" s="59" t="s">
        <v>790</v>
      </c>
      <c r="H220" s="59" t="str">
        <f>VLOOKUP(G220,CATEGORIE!$H$3:$I$55,2,FALSE)</f>
        <v>RATE GENERICHE</v>
      </c>
      <c r="I220" s="59">
        <v>349.45</v>
      </c>
      <c r="J220" s="59"/>
      <c r="K220" s="59"/>
      <c r="L220" s="59" t="s">
        <v>1269</v>
      </c>
      <c r="AI220"/>
      <c r="AJ220"/>
      <c r="AK220"/>
      <c r="AL220"/>
      <c r="AM220"/>
      <c r="AN220"/>
      <c r="AO220"/>
      <c r="AP220"/>
      <c r="AQ220"/>
      <c r="AR220"/>
      <c r="AS220"/>
      <c r="AT220"/>
      <c r="AU220"/>
    </row>
    <row r="221" spans="1:47">
      <c r="A221" s="57" t="s">
        <v>721</v>
      </c>
      <c r="B221" s="57" t="s">
        <v>173</v>
      </c>
      <c r="C221" s="57">
        <v>2021</v>
      </c>
      <c r="D221" s="58">
        <f>MATCH(B221,{"GENNAIO","FEBBRAIO","MARZO","APRILE","MAGGIO","GIUGNO","LUGLIO","AGOSTO","SETTEMBRE","OTTOBRE","NOVEMBRE","DICEMBRE"},0)</f>
        <v>12</v>
      </c>
      <c r="E221" s="57" t="str">
        <f t="shared" si="148"/>
        <v>DICEMBRE 2021</v>
      </c>
      <c r="F221" s="57" t="str">
        <f t="shared" si="149"/>
        <v>12 DICEMBRE 2021</v>
      </c>
      <c r="G221" s="59" t="s">
        <v>693</v>
      </c>
      <c r="H221" s="59" t="str">
        <f>VLOOKUP(G221,CATEGORIE!$H$3:$I$55,2,FALSE)</f>
        <v>GESTIONE CONTO</v>
      </c>
      <c r="I221" s="59">
        <v>250.5</v>
      </c>
      <c r="J221" s="59"/>
      <c r="K221" s="59"/>
      <c r="L221" s="59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>
      <c r="A222" s="57" t="s">
        <v>789</v>
      </c>
      <c r="B222" s="57" t="s">
        <v>173</v>
      </c>
      <c r="C222" s="57">
        <v>2021</v>
      </c>
      <c r="D222" s="58">
        <f>MATCH(B222,{"GENNAIO","FEBBRAIO","MARZO","APRILE","MAGGIO","GIUGNO","LUGLIO","AGOSTO","SETTEMBRE","OTTOBRE","NOVEMBRE","DICEMBRE"},0)</f>
        <v>12</v>
      </c>
      <c r="E222" s="57" t="str">
        <f t="shared" si="148"/>
        <v>DICEMBRE 2021</v>
      </c>
      <c r="F222" s="57" t="str">
        <f t="shared" si="149"/>
        <v>12 DICEMBRE 2021</v>
      </c>
      <c r="G222" s="59" t="s">
        <v>789</v>
      </c>
      <c r="H222" s="59" t="str">
        <f>VLOOKUP(G222,CATEGORIE!$H$3:$I$55,2,FALSE)</f>
        <v>MOVIMENTI CONTO</v>
      </c>
      <c r="I222" s="59">
        <v>250</v>
      </c>
      <c r="J222" s="59"/>
      <c r="K222" s="59"/>
      <c r="L222" s="59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</row>
    <row r="223" spans="1:47">
      <c r="A223" s="57" t="s">
        <v>682</v>
      </c>
      <c r="B223" s="57" t="s">
        <v>173</v>
      </c>
      <c r="C223" s="57">
        <v>2021</v>
      </c>
      <c r="D223" s="58">
        <f>MATCH(B223,{"GENNAIO","FEBBRAIO","MARZO","APRILE","MAGGIO","GIUGNO","LUGLIO","AGOSTO","SETTEMBRE","OTTOBRE","NOVEMBRE","DICEMBRE"},0)</f>
        <v>12</v>
      </c>
      <c r="E223" s="57" t="str">
        <f t="shared" si="148"/>
        <v>DICEMBRE 2021</v>
      </c>
      <c r="F223" s="57" t="str">
        <f t="shared" si="149"/>
        <v>12 DICEMBRE 2021</v>
      </c>
      <c r="G223" s="59" t="s">
        <v>242</v>
      </c>
      <c r="H223" s="59" t="str">
        <f>VLOOKUP(G223,CATEGORIE!$H$3:$I$55,2,FALSE)</f>
        <v>COSTO ABBONAMENTI</v>
      </c>
      <c r="I223" s="59">
        <v>17.489999999999998</v>
      </c>
      <c r="J223" s="59"/>
      <c r="K223" s="59"/>
      <c r="L223" s="59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</row>
    <row r="224" spans="1:47">
      <c r="A224" s="57" t="s">
        <v>714</v>
      </c>
      <c r="B224" s="57" t="s">
        <v>173</v>
      </c>
      <c r="C224" s="57">
        <v>2021</v>
      </c>
      <c r="D224" s="58">
        <f>MATCH(B224,{"GENNAIO","FEBBRAIO","MARZO","APRILE","MAGGIO","GIUGNO","LUGLIO","AGOSTO","SETTEMBRE","OTTOBRE","NOVEMBRE","DICEMBRE"},0)</f>
        <v>12</v>
      </c>
      <c r="E224" s="57" t="str">
        <f t="shared" si="148"/>
        <v>DICEMBRE 2021</v>
      </c>
      <c r="F224" s="57" t="str">
        <f t="shared" si="149"/>
        <v>12 DICEMBRE 2021</v>
      </c>
      <c r="G224" s="59" t="s">
        <v>785</v>
      </c>
      <c r="H224" s="59" t="str">
        <f>VLOOKUP(G224,CATEGORIE!$H$3:$I$55,2,FALSE)</f>
        <v>COSTO MOBILITA'</v>
      </c>
      <c r="I224" s="59">
        <v>34.99</v>
      </c>
      <c r="J224" s="59"/>
      <c r="K224" s="59"/>
      <c r="L224" s="59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</row>
    <row r="225" spans="1:47">
      <c r="A225" s="57" t="s">
        <v>1257</v>
      </c>
      <c r="B225" s="57" t="s">
        <v>173</v>
      </c>
      <c r="C225" s="57">
        <v>2021</v>
      </c>
      <c r="D225" s="58">
        <f>MATCH(B225,{"GENNAIO","FEBBRAIO","MARZO","APRILE","MAGGIO","GIUGNO","LUGLIO","AGOSTO","SETTEMBRE","OTTOBRE","NOVEMBRE","DICEMBRE"},0)</f>
        <v>12</v>
      </c>
      <c r="E225" s="57" t="str">
        <f t="shared" si="148"/>
        <v>DICEMBRE 2021</v>
      </c>
      <c r="F225" s="57" t="str">
        <f t="shared" si="149"/>
        <v>12 DICEMBRE 2021</v>
      </c>
      <c r="G225" s="59" t="s">
        <v>1289</v>
      </c>
      <c r="H225" s="59" t="str">
        <f>VLOOKUP(G225,CATEGORIE!$H$3:$I$55,2,FALSE)</f>
        <v>COSTO SFIZI</v>
      </c>
      <c r="I225" s="59">
        <v>43</v>
      </c>
      <c r="J225" s="59"/>
      <c r="K225" s="59"/>
      <c r="L225" s="59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</row>
    <row r="226" spans="1:47">
      <c r="A226" s="57" t="s">
        <v>651</v>
      </c>
      <c r="B226" s="57" t="s">
        <v>173</v>
      </c>
      <c r="C226" s="57">
        <v>2021</v>
      </c>
      <c r="D226" s="58">
        <f>MATCH(B226,{"GENNAIO","FEBBRAIO","MARZO","APRILE","MAGGIO","GIUGNO","LUGLIO","AGOSTO","SETTEMBRE","OTTOBRE","NOVEMBRE","DICEMBRE"},0)</f>
        <v>12</v>
      </c>
      <c r="E226" s="57" t="str">
        <f t="shared" si="148"/>
        <v>DICEMBRE 2021</v>
      </c>
      <c r="F226" s="57" t="str">
        <f t="shared" si="149"/>
        <v>12 DICEMBRE 2021</v>
      </c>
      <c r="G226" s="59" t="s">
        <v>121</v>
      </c>
      <c r="H226" s="59" t="str">
        <f>VLOOKUP(G226,CATEGORIE!$H$3:$I$55,2,FALSE)</f>
        <v>COSTO MOBILITA'</v>
      </c>
      <c r="I226" s="59">
        <v>231.35</v>
      </c>
      <c r="J226" s="59"/>
      <c r="K226" s="59"/>
      <c r="L226" s="59" t="s">
        <v>1256</v>
      </c>
      <c r="AI226"/>
      <c r="AJ226"/>
      <c r="AK226"/>
      <c r="AL226"/>
      <c r="AM226"/>
      <c r="AN226"/>
      <c r="AO226"/>
      <c r="AP226"/>
      <c r="AQ226"/>
      <c r="AR226"/>
      <c r="AS226"/>
      <c r="AT226"/>
      <c r="AU226"/>
    </row>
    <row r="227" spans="1:47">
      <c r="A227" s="57" t="s">
        <v>710</v>
      </c>
      <c r="B227" s="57" t="s">
        <v>200</v>
      </c>
      <c r="C227" s="57">
        <v>2021</v>
      </c>
      <c r="D227" s="58">
        <f>MATCH(B227,{"GENNAIO","FEBBRAIO","MARZO","APRILE","MAGGIO","GIUGNO","LUGLIO","AGOSTO","SETTEMBRE","OTTOBRE","NOVEMBRE","DICEMBRE"},0)</f>
        <v>11</v>
      </c>
      <c r="E227" s="57" t="str">
        <f t="shared" si="148"/>
        <v>NOVEMBRE 2021</v>
      </c>
      <c r="F227" s="57" t="str">
        <f t="shared" si="149"/>
        <v>11 NOVEMBRE 2021</v>
      </c>
      <c r="G227" s="59" t="s">
        <v>693</v>
      </c>
      <c r="H227" s="59" t="str">
        <f>VLOOKUP(G227,CATEGORIE!$H$3:$I$55,2,FALSE)</f>
        <v>GESTIONE CONTO</v>
      </c>
      <c r="I227" s="59">
        <v>159.1</v>
      </c>
      <c r="J227" s="59"/>
      <c r="K227" s="59"/>
      <c r="L227" s="59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</row>
    <row r="228" spans="1:47">
      <c r="A228" s="57" t="s">
        <v>722</v>
      </c>
      <c r="B228" s="57" t="s">
        <v>200</v>
      </c>
      <c r="C228" s="57">
        <v>2021</v>
      </c>
      <c r="D228" s="58">
        <f>MATCH(B228,{"GENNAIO","FEBBRAIO","MARZO","APRILE","MAGGIO","GIUGNO","LUGLIO","AGOSTO","SETTEMBRE","OTTOBRE","NOVEMBRE","DICEMBRE"},0)</f>
        <v>11</v>
      </c>
      <c r="E228" s="57" t="str">
        <f t="shared" si="148"/>
        <v>NOVEMBRE 2021</v>
      </c>
      <c r="F228" s="57" t="str">
        <f t="shared" si="149"/>
        <v>11 NOVEMBRE 2021</v>
      </c>
      <c r="G228" s="59" t="s">
        <v>38</v>
      </c>
      <c r="H228" s="59" t="str">
        <f>VLOOKUP(G228,CATEGORIE!$H$3:$I$55,2,FALSE)</f>
        <v>COSTO SOPRAVVIVENZA</v>
      </c>
      <c r="I228" s="59">
        <v>20</v>
      </c>
      <c r="J228" s="59"/>
      <c r="K228" s="59"/>
      <c r="L228" s="59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</row>
    <row r="229" spans="1:47">
      <c r="A229" s="57" t="s">
        <v>670</v>
      </c>
      <c r="B229" s="57" t="s">
        <v>217</v>
      </c>
      <c r="C229" s="57">
        <v>2021</v>
      </c>
      <c r="D229" s="58">
        <f>MATCH(B229,{"GENNAIO","FEBBRAIO","MARZO","APRILE","MAGGIO","GIUGNO","LUGLIO","AGOSTO","SETTEMBRE","OTTOBRE","NOVEMBRE","DICEMBRE"},0)</f>
        <v>10</v>
      </c>
      <c r="E229" s="57" t="str">
        <f t="shared" si="148"/>
        <v>OTTOBRE 2021</v>
      </c>
      <c r="F229" s="57" t="str">
        <f t="shared" si="149"/>
        <v>10 OTTOBRE 2021</v>
      </c>
      <c r="G229" s="59" t="s">
        <v>116</v>
      </c>
      <c r="H229" s="59" t="str">
        <f>VLOOKUP(G229,CATEGORIE!$H$3:$I$55,2,FALSE)</f>
        <v>TASSE</v>
      </c>
      <c r="I229" s="59">
        <v>60</v>
      </c>
      <c r="J229" s="59"/>
      <c r="K229" s="59"/>
      <c r="L229" s="5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</row>
    <row r="230" spans="1:47">
      <c r="A230" s="57" t="s">
        <v>670</v>
      </c>
      <c r="B230" s="57" t="s">
        <v>217</v>
      </c>
      <c r="C230" s="57">
        <v>2021</v>
      </c>
      <c r="D230" s="58">
        <f>MATCH(B230,{"GENNAIO","FEBBRAIO","MARZO","APRILE","MAGGIO","GIUGNO","LUGLIO","AGOSTO","SETTEMBRE","OTTOBRE","NOVEMBRE","DICEMBRE"},0)</f>
        <v>10</v>
      </c>
      <c r="E230" s="57" t="str">
        <f t="shared" si="148"/>
        <v>OTTOBRE 2021</v>
      </c>
      <c r="F230" s="57" t="str">
        <f t="shared" si="149"/>
        <v>10 OTTOBRE 2021</v>
      </c>
      <c r="G230" s="59" t="s">
        <v>116</v>
      </c>
      <c r="H230" s="59" t="str">
        <f>VLOOKUP(G230,CATEGORIE!$H$3:$I$55,2,FALSE)</f>
        <v>TASSE</v>
      </c>
      <c r="I230" s="59">
        <v>3</v>
      </c>
      <c r="J230" s="59"/>
      <c r="K230" s="59"/>
      <c r="L230" s="59"/>
    </row>
    <row r="231" spans="1:47">
      <c r="A231" s="57" t="s">
        <v>670</v>
      </c>
      <c r="B231" s="57" t="s">
        <v>217</v>
      </c>
      <c r="C231" s="57">
        <v>2021</v>
      </c>
      <c r="D231" s="58">
        <f>MATCH(B231,{"GENNAIO","FEBBRAIO","MARZO","APRILE","MAGGIO","GIUGNO","LUGLIO","AGOSTO","SETTEMBRE","OTTOBRE","NOVEMBRE","DICEMBRE"},0)</f>
        <v>10</v>
      </c>
      <c r="E231" s="57" t="str">
        <f t="shared" si="148"/>
        <v>OTTOBRE 2021</v>
      </c>
      <c r="F231" s="57" t="str">
        <f t="shared" si="149"/>
        <v>10 OTTOBRE 2021</v>
      </c>
      <c r="G231" s="59" t="s">
        <v>116</v>
      </c>
      <c r="H231" s="59" t="str">
        <f>VLOOKUP(G231,CATEGORIE!$H$3:$I$55,2,FALSE)</f>
        <v>TASSE</v>
      </c>
      <c r="I231" s="59">
        <v>3</v>
      </c>
      <c r="J231" s="59"/>
      <c r="K231" s="59"/>
      <c r="L231" s="59"/>
    </row>
    <row r="232" spans="1:47">
      <c r="A232" s="57" t="s">
        <v>670</v>
      </c>
      <c r="B232" s="57" t="s">
        <v>217</v>
      </c>
      <c r="C232" s="57">
        <v>2021</v>
      </c>
      <c r="D232" s="58">
        <f>MATCH(B232,{"GENNAIO","FEBBRAIO","MARZO","APRILE","MAGGIO","GIUGNO","LUGLIO","AGOSTO","SETTEMBRE","OTTOBRE","NOVEMBRE","DICEMBRE"},0)</f>
        <v>10</v>
      </c>
      <c r="E232" s="57" t="str">
        <f t="shared" si="148"/>
        <v>OTTOBRE 2021</v>
      </c>
      <c r="F232" s="57" t="str">
        <f t="shared" si="149"/>
        <v>10 OTTOBRE 2021</v>
      </c>
      <c r="G232" s="59" t="s">
        <v>116</v>
      </c>
      <c r="H232" s="59" t="str">
        <f>VLOOKUP(G232,CATEGORIE!$H$3:$I$55,2,FALSE)</f>
        <v>TASSE</v>
      </c>
      <c r="I232" s="59">
        <v>3</v>
      </c>
      <c r="J232" s="59"/>
      <c r="K232" s="59"/>
      <c r="L232" s="59"/>
    </row>
    <row r="233" spans="1:47">
      <c r="A233" s="57" t="s">
        <v>661</v>
      </c>
      <c r="B233" s="57" t="s">
        <v>217</v>
      </c>
      <c r="C233" s="57">
        <v>2021</v>
      </c>
      <c r="D233" s="58">
        <f>MATCH(B233,{"GENNAIO","FEBBRAIO","MARZO","APRILE","MAGGIO","GIUGNO","LUGLIO","AGOSTO","SETTEMBRE","OTTOBRE","NOVEMBRE","DICEMBRE"},0)</f>
        <v>10</v>
      </c>
      <c r="E233" s="57" t="str">
        <f t="shared" si="148"/>
        <v>OTTOBRE 2021</v>
      </c>
      <c r="F233" s="57" t="str">
        <f t="shared" si="149"/>
        <v>10 OTTOBRE 2021</v>
      </c>
      <c r="G233" s="59" t="s">
        <v>107</v>
      </c>
      <c r="H233" s="59" t="str">
        <f>VLOOKUP(G233,CATEGORIE!$H$3:$I$55,2,FALSE)</f>
        <v>COSTO SOPRAVVIVENZA</v>
      </c>
      <c r="I233" s="59">
        <v>87</v>
      </c>
      <c r="J233" s="59"/>
      <c r="K233" s="59"/>
      <c r="L233" s="59"/>
    </row>
    <row r="234" spans="1:47">
      <c r="A234" s="57" t="s">
        <v>133</v>
      </c>
      <c r="B234" s="57" t="s">
        <v>217</v>
      </c>
      <c r="C234" s="57">
        <v>2021</v>
      </c>
      <c r="D234" s="58">
        <f>MATCH(B234,{"GENNAIO","FEBBRAIO","MARZO","APRILE","MAGGIO","GIUGNO","LUGLIO","AGOSTO","SETTEMBRE","OTTOBRE","NOVEMBRE","DICEMBRE"},0)</f>
        <v>10</v>
      </c>
      <c r="E234" s="57" t="str">
        <f t="shared" si="148"/>
        <v>OTTOBRE 2021</v>
      </c>
      <c r="F234" s="57" t="str">
        <f t="shared" si="149"/>
        <v>10 OTTOBRE 2021</v>
      </c>
      <c r="G234" s="59" t="s">
        <v>108</v>
      </c>
      <c r="H234" s="59" t="str">
        <f>VLOOKUP(G234,CATEGORIE!$H$3:$I$55,2,FALSE)</f>
        <v>COSTO SFIZI</v>
      </c>
      <c r="I234" s="59">
        <v>76.900000000000006</v>
      </c>
      <c r="J234" s="59"/>
      <c r="K234" s="59"/>
      <c r="L234" s="59"/>
    </row>
    <row r="235" spans="1:47">
      <c r="A235" s="57" t="s">
        <v>106</v>
      </c>
      <c r="B235" s="57" t="s">
        <v>240</v>
      </c>
      <c r="C235" s="57">
        <v>2021</v>
      </c>
      <c r="D235" s="58">
        <f>MATCH(B235,{"GENNAIO","FEBBRAIO","MARZO","APRILE","MAGGIO","GIUGNO","LUGLIO","AGOSTO","SETTEMBRE","OTTOBRE","NOVEMBRE","DICEMBRE"},0)</f>
        <v>9</v>
      </c>
      <c r="E235" s="57" t="str">
        <f t="shared" si="148"/>
        <v>SETTEMBRE 2021</v>
      </c>
      <c r="F235" s="57" t="str">
        <f t="shared" si="149"/>
        <v>9 SETTEMBRE 2021</v>
      </c>
      <c r="G235" s="59" t="s">
        <v>107</v>
      </c>
      <c r="H235" s="59" t="str">
        <f>VLOOKUP(G235,CATEGORIE!$H$3:$I$55,2,FALSE)</f>
        <v>COSTO SOPRAVVIVENZA</v>
      </c>
      <c r="I235" s="59">
        <v>105</v>
      </c>
      <c r="J235" s="59"/>
      <c r="K235" s="59"/>
      <c r="L235" s="59"/>
    </row>
    <row r="236" spans="1:47">
      <c r="A236" s="57" t="s">
        <v>714</v>
      </c>
      <c r="B236" s="57" t="s">
        <v>240</v>
      </c>
      <c r="C236" s="57">
        <v>2021</v>
      </c>
      <c r="D236" s="58">
        <f>MATCH(B236,{"GENNAIO","FEBBRAIO","MARZO","APRILE","MAGGIO","GIUGNO","LUGLIO","AGOSTO","SETTEMBRE","OTTOBRE","NOVEMBRE","DICEMBRE"},0)</f>
        <v>9</v>
      </c>
      <c r="E236" s="57" t="str">
        <f t="shared" si="148"/>
        <v>SETTEMBRE 2021</v>
      </c>
      <c r="F236" s="57" t="str">
        <f t="shared" si="149"/>
        <v>9 SETTEMBRE 2021</v>
      </c>
      <c r="G236" s="59" t="s">
        <v>785</v>
      </c>
      <c r="H236" s="59" t="str">
        <f>VLOOKUP(G236,CATEGORIE!$H$3:$I$55,2,FALSE)</f>
        <v>COSTO MOBILITA'</v>
      </c>
      <c r="I236" s="59">
        <v>25</v>
      </c>
      <c r="J236" s="59"/>
      <c r="K236" s="59"/>
      <c r="L236" s="59"/>
    </row>
    <row r="237" spans="1:47">
      <c r="A237" s="57" t="s">
        <v>1258</v>
      </c>
      <c r="B237" s="57" t="s">
        <v>261</v>
      </c>
      <c r="C237" s="57">
        <v>2021</v>
      </c>
      <c r="D237" s="58">
        <f>MATCH(B237,{"GENNAIO","FEBBRAIO","MARZO","APRILE","MAGGIO","GIUGNO","LUGLIO","AGOSTO","SETTEMBRE","OTTOBRE","NOVEMBRE","DICEMBRE"},0)</f>
        <v>8</v>
      </c>
      <c r="E237" s="57" t="str">
        <f t="shared" si="148"/>
        <v>AGOSTO 2021</v>
      </c>
      <c r="F237" s="57" t="str">
        <f t="shared" si="149"/>
        <v>8 AGOSTO 2021</v>
      </c>
      <c r="G237" s="59" t="s">
        <v>693</v>
      </c>
      <c r="H237" s="59" t="str">
        <f>VLOOKUP(G237,CATEGORIE!$H$3:$I$55,2,FALSE)</f>
        <v>GESTIONE CONTO</v>
      </c>
      <c r="I237" s="59">
        <v>42.9</v>
      </c>
      <c r="J237" s="59"/>
      <c r="K237" s="59"/>
      <c r="L237" s="59"/>
    </row>
    <row r="238" spans="1:47">
      <c r="A238" s="57" t="s">
        <v>464</v>
      </c>
      <c r="B238" s="57" t="s">
        <v>261</v>
      </c>
      <c r="C238" s="57">
        <v>2021</v>
      </c>
      <c r="D238" s="58">
        <f>MATCH(B238,{"GENNAIO","FEBBRAIO","MARZO","APRILE","MAGGIO","GIUGNO","LUGLIO","AGOSTO","SETTEMBRE","OTTOBRE","NOVEMBRE","DICEMBRE"},0)</f>
        <v>8</v>
      </c>
      <c r="E238" s="57" t="str">
        <f t="shared" si="148"/>
        <v>AGOSTO 2021</v>
      </c>
      <c r="F238" s="57" t="str">
        <f t="shared" si="149"/>
        <v>8 AGOSTO 2021</v>
      </c>
      <c r="G238" s="59" t="s">
        <v>94</v>
      </c>
      <c r="H238" s="59" t="str">
        <f>VLOOKUP(G238,CATEGORIE!$H$3:$I$55,2,FALSE)</f>
        <v>COSTO SVAGHI</v>
      </c>
      <c r="I238" s="59">
        <v>17.7</v>
      </c>
      <c r="J238" s="59"/>
      <c r="K238" s="59"/>
      <c r="L238" s="59"/>
    </row>
    <row r="239" spans="1:47">
      <c r="A239" s="57" t="s">
        <v>1283</v>
      </c>
      <c r="B239" s="57" t="s">
        <v>261</v>
      </c>
      <c r="C239" s="57">
        <v>2021</v>
      </c>
      <c r="D239" s="58">
        <f>MATCH(B239,{"GENNAIO","FEBBRAIO","MARZO","APRILE","MAGGIO","GIUGNO","LUGLIO","AGOSTO","SETTEMBRE","OTTOBRE","NOVEMBRE","DICEMBRE"},0)</f>
        <v>8</v>
      </c>
      <c r="E239" s="57" t="str">
        <f t="shared" si="148"/>
        <v>AGOSTO 2021</v>
      </c>
      <c r="F239" s="57" t="str">
        <f t="shared" si="149"/>
        <v>8 AGOSTO 2021</v>
      </c>
      <c r="G239" s="59" t="s">
        <v>132</v>
      </c>
      <c r="H239" s="59" t="str">
        <f>VLOOKUP(G239,CATEGORIE!$H$3:$I$55,2,FALSE)</f>
        <v>COSTO CASA</v>
      </c>
      <c r="I239" s="59">
        <v>1188.5</v>
      </c>
      <c r="J239" s="59"/>
      <c r="K239" s="59"/>
      <c r="L239" s="59"/>
    </row>
    <row r="240" spans="1:47">
      <c r="A240" s="57" t="s">
        <v>106</v>
      </c>
      <c r="B240" s="57" t="s">
        <v>288</v>
      </c>
      <c r="C240" s="57">
        <v>2021</v>
      </c>
      <c r="D240" s="58">
        <f>MATCH(B240,{"GENNAIO","FEBBRAIO","MARZO","APRILE","MAGGIO","GIUGNO","LUGLIO","AGOSTO","SETTEMBRE","OTTOBRE","NOVEMBRE","DICEMBRE"},0)</f>
        <v>7</v>
      </c>
      <c r="E240" s="57" t="str">
        <f t="shared" si="148"/>
        <v>LUGLIO 2021</v>
      </c>
      <c r="F240" s="57" t="str">
        <f t="shared" si="149"/>
        <v>7 LUGLIO 2021</v>
      </c>
      <c r="G240" s="59" t="s">
        <v>107</v>
      </c>
      <c r="H240" s="59" t="str">
        <f>VLOOKUP(G240,CATEGORIE!$H$3:$I$55,2,FALSE)</f>
        <v>COSTO SOPRAVVIVENZA</v>
      </c>
      <c r="I240" s="59">
        <v>105</v>
      </c>
      <c r="J240" s="59"/>
      <c r="K240" s="59"/>
      <c r="L240" s="59"/>
    </row>
    <row r="241" spans="1:12">
      <c r="A241" s="57" t="s">
        <v>1259</v>
      </c>
      <c r="B241" s="57" t="s">
        <v>288</v>
      </c>
      <c r="C241" s="57">
        <v>2021</v>
      </c>
      <c r="D241" s="58">
        <f>MATCH(B241,{"GENNAIO","FEBBRAIO","MARZO","APRILE","MAGGIO","GIUGNO","LUGLIO","AGOSTO","SETTEMBRE","OTTOBRE","NOVEMBRE","DICEMBRE"},0)</f>
        <v>7</v>
      </c>
      <c r="E241" s="57" t="str">
        <f t="shared" si="148"/>
        <v>LUGLIO 2021</v>
      </c>
      <c r="F241" s="57" t="str">
        <f t="shared" si="149"/>
        <v>7 LUGLIO 2021</v>
      </c>
      <c r="G241" s="59" t="s">
        <v>185</v>
      </c>
      <c r="H241" s="59" t="str">
        <f>VLOOKUP(G241,CATEGORIE!$H$3:$I$55,2,FALSE)</f>
        <v>COSTO SFIZI</v>
      </c>
      <c r="I241" s="59">
        <v>150.5</v>
      </c>
      <c r="J241" s="59"/>
      <c r="K241" s="59"/>
      <c r="L241" s="59" t="s">
        <v>1260</v>
      </c>
    </row>
    <row r="242" spans="1:12">
      <c r="A242" s="57" t="s">
        <v>670</v>
      </c>
      <c r="B242" s="57" t="s">
        <v>288</v>
      </c>
      <c r="C242" s="57">
        <v>2021</v>
      </c>
      <c r="D242" s="58">
        <f>MATCH(B242,{"GENNAIO","FEBBRAIO","MARZO","APRILE","MAGGIO","GIUGNO","LUGLIO","AGOSTO","SETTEMBRE","OTTOBRE","NOVEMBRE","DICEMBRE"},0)</f>
        <v>7</v>
      </c>
      <c r="E242" s="57" t="str">
        <f t="shared" si="148"/>
        <v>LUGLIO 2021</v>
      </c>
      <c r="F242" s="57" t="str">
        <f t="shared" si="149"/>
        <v>7 LUGLIO 2021</v>
      </c>
      <c r="G242" s="59" t="s">
        <v>116</v>
      </c>
      <c r="H242" s="59" t="str">
        <f>VLOOKUP(G242,CATEGORIE!$H$3:$I$55,2,FALSE)</f>
        <v>TASSE</v>
      </c>
      <c r="I242" s="59">
        <v>61</v>
      </c>
      <c r="J242" s="59"/>
      <c r="K242" s="59"/>
      <c r="L242" s="59"/>
    </row>
    <row r="243" spans="1:12">
      <c r="A243" s="57" t="s">
        <v>1261</v>
      </c>
      <c r="B243" s="57" t="s">
        <v>288</v>
      </c>
      <c r="C243" s="57">
        <v>2021</v>
      </c>
      <c r="D243" s="58">
        <f>MATCH(B243,{"GENNAIO","FEBBRAIO","MARZO","APRILE","MAGGIO","GIUGNO","LUGLIO","AGOSTO","SETTEMBRE","OTTOBRE","NOVEMBRE","DICEMBRE"},0)</f>
        <v>7</v>
      </c>
      <c r="E243" s="57" t="str">
        <f t="shared" si="148"/>
        <v>LUGLIO 2021</v>
      </c>
      <c r="F243" s="57" t="str">
        <f t="shared" si="149"/>
        <v>7 LUGLIO 2021</v>
      </c>
      <c r="G243" s="59" t="s">
        <v>108</v>
      </c>
      <c r="H243" s="59" t="str">
        <f>VLOOKUP(G243,CATEGORIE!$H$3:$I$55,2,FALSE)</f>
        <v>COSTO SFIZI</v>
      </c>
      <c r="I243" s="59">
        <v>188</v>
      </c>
      <c r="J243" s="59"/>
      <c r="K243" s="59"/>
      <c r="L243" s="59"/>
    </row>
    <row r="244" spans="1:12">
      <c r="A244" s="57" t="s">
        <v>156</v>
      </c>
      <c r="B244" s="57" t="s">
        <v>288</v>
      </c>
      <c r="C244" s="57">
        <v>2021</v>
      </c>
      <c r="D244" s="58">
        <f>MATCH(B244,{"GENNAIO","FEBBRAIO","MARZO","APRILE","MAGGIO","GIUGNO","LUGLIO","AGOSTO","SETTEMBRE","OTTOBRE","NOVEMBRE","DICEMBRE"},0)</f>
        <v>7</v>
      </c>
      <c r="E244" s="57" t="str">
        <f t="shared" si="148"/>
        <v>LUGLIO 2021</v>
      </c>
      <c r="F244" s="57" t="str">
        <f t="shared" si="149"/>
        <v>7 LUGLIO 2021</v>
      </c>
      <c r="G244" s="59" t="s">
        <v>96</v>
      </c>
      <c r="H244" s="59" t="str">
        <f>VLOOKUP(G244,CATEGORIE!$H$3:$I$55,2,FALSE)</f>
        <v>COSTO SOPRAVVIVENZA</v>
      </c>
      <c r="I244" s="59">
        <v>26.94</v>
      </c>
      <c r="J244" s="59"/>
      <c r="K244" s="59"/>
      <c r="L244" s="59"/>
    </row>
    <row r="245" spans="1:12">
      <c r="A245" s="57" t="s">
        <v>156</v>
      </c>
      <c r="B245" s="57" t="s">
        <v>288</v>
      </c>
      <c r="C245" s="57">
        <v>2021</v>
      </c>
      <c r="D245" s="58">
        <f>MATCH(B245,{"GENNAIO","FEBBRAIO","MARZO","APRILE","MAGGIO","GIUGNO","LUGLIO","AGOSTO","SETTEMBRE","OTTOBRE","NOVEMBRE","DICEMBRE"},0)</f>
        <v>7</v>
      </c>
      <c r="E245" s="57" t="str">
        <f t="shared" si="148"/>
        <v>LUGLIO 2021</v>
      </c>
      <c r="F245" s="57" t="str">
        <f t="shared" si="149"/>
        <v>7 LUGLIO 2021</v>
      </c>
      <c r="G245" s="59" t="s">
        <v>96</v>
      </c>
      <c r="H245" s="59" t="str">
        <f>VLOOKUP(G245,CATEGORIE!$H$3:$I$55,2,FALSE)</f>
        <v>COSTO SOPRAVVIVENZA</v>
      </c>
      <c r="I245" s="59">
        <v>18.37</v>
      </c>
      <c r="J245" s="59"/>
      <c r="K245" s="59"/>
      <c r="L245" s="59"/>
    </row>
    <row r="246" spans="1:12">
      <c r="A246" s="57" t="s">
        <v>1258</v>
      </c>
      <c r="B246" s="57" t="s">
        <v>333</v>
      </c>
      <c r="C246" s="57">
        <v>2021</v>
      </c>
      <c r="D246" s="58">
        <f>MATCH(B246,{"GENNAIO","FEBBRAIO","MARZO","APRILE","MAGGIO","GIUGNO","LUGLIO","AGOSTO","SETTEMBRE","OTTOBRE","NOVEMBRE","DICEMBRE"},0)</f>
        <v>5</v>
      </c>
      <c r="E246" s="57" t="str">
        <f t="shared" si="148"/>
        <v>MAGGIO 2021</v>
      </c>
      <c r="F246" s="57" t="str">
        <f t="shared" si="149"/>
        <v>5 MAGGIO 2021</v>
      </c>
      <c r="G246" s="59" t="s">
        <v>693</v>
      </c>
      <c r="H246" s="59" t="str">
        <f>VLOOKUP(G246,CATEGORIE!$H$3:$I$55,2,FALSE)</f>
        <v>GESTIONE CONTO</v>
      </c>
      <c r="I246" s="59">
        <v>30.03</v>
      </c>
      <c r="J246" s="59"/>
      <c r="K246" s="59"/>
      <c r="L246" s="59"/>
    </row>
    <row r="247" spans="1:12">
      <c r="A247" s="57" t="s">
        <v>1262</v>
      </c>
      <c r="B247" s="57" t="s">
        <v>333</v>
      </c>
      <c r="C247" s="57">
        <v>2021</v>
      </c>
      <c r="D247" s="58">
        <f>MATCH(B247,{"GENNAIO","FEBBRAIO","MARZO","APRILE","MAGGIO","GIUGNO","LUGLIO","AGOSTO","SETTEMBRE","OTTOBRE","NOVEMBRE","DICEMBRE"},0)</f>
        <v>5</v>
      </c>
      <c r="E247" s="57" t="str">
        <f t="shared" si="148"/>
        <v>MAGGIO 2021</v>
      </c>
      <c r="F247" s="57" t="str">
        <f t="shared" si="149"/>
        <v>5 MAGGIO 2021</v>
      </c>
      <c r="G247" s="59" t="s">
        <v>116</v>
      </c>
      <c r="H247" s="59" t="str">
        <f>VLOOKUP(G247,CATEGORIE!$H$3:$I$55,2,FALSE)</f>
        <v>TASSE</v>
      </c>
      <c r="I247" s="59">
        <v>35.01</v>
      </c>
      <c r="J247" s="59"/>
      <c r="K247" s="59"/>
      <c r="L247" s="59"/>
    </row>
    <row r="248" spans="1:12">
      <c r="A248" s="57" t="s">
        <v>1276</v>
      </c>
      <c r="B248" s="57" t="s">
        <v>352</v>
      </c>
      <c r="C248" s="57">
        <v>2021</v>
      </c>
      <c r="D248" s="58">
        <f>MATCH(B248,{"GENNAIO","FEBBRAIO","MARZO","APRILE","MAGGIO","GIUGNO","LUGLIO","AGOSTO","SETTEMBRE","OTTOBRE","NOVEMBRE","DICEMBRE"},0)</f>
        <v>4</v>
      </c>
      <c r="E248" s="57" t="str">
        <f t="shared" si="148"/>
        <v>APRILE 2021</v>
      </c>
      <c r="F248" s="57" t="str">
        <f t="shared" si="149"/>
        <v>4 APRILE 2021</v>
      </c>
      <c r="G248" s="59" t="s">
        <v>116</v>
      </c>
      <c r="H248" s="59" t="str">
        <f>VLOOKUP(G248,CATEGORIE!$H$3:$I$55,2,FALSE)</f>
        <v>TASSE</v>
      </c>
      <c r="I248" s="59">
        <v>39</v>
      </c>
      <c r="J248" s="59"/>
      <c r="K248" s="59"/>
      <c r="L248" s="59"/>
    </row>
    <row r="249" spans="1:12">
      <c r="A249" s="57" t="s">
        <v>221</v>
      </c>
      <c r="B249" s="57" t="s">
        <v>352</v>
      </c>
      <c r="C249" s="57">
        <v>2021</v>
      </c>
      <c r="D249" s="58">
        <f>MATCH(B249,{"GENNAIO","FEBBRAIO","MARZO","APRILE","MAGGIO","GIUGNO","LUGLIO","AGOSTO","SETTEMBRE","OTTOBRE","NOVEMBRE","DICEMBRE"},0)</f>
        <v>4</v>
      </c>
      <c r="E249" s="57" t="str">
        <f t="shared" si="148"/>
        <v>APRILE 2021</v>
      </c>
      <c r="F249" s="57" t="str">
        <f t="shared" si="149"/>
        <v>4 APRILE 2021</v>
      </c>
      <c r="G249" s="59" t="s">
        <v>94</v>
      </c>
      <c r="H249" s="59" t="str">
        <f>VLOOKUP(G249,CATEGORIE!$H$3:$I$55,2,FALSE)</f>
        <v>COSTO SVAGHI</v>
      </c>
      <c r="I249" s="59">
        <v>53.3</v>
      </c>
      <c r="J249" s="59"/>
      <c r="K249" s="59"/>
      <c r="L249" s="59"/>
    </row>
    <row r="250" spans="1:12">
      <c r="A250" s="57" t="s">
        <v>1277</v>
      </c>
      <c r="B250" s="57" t="s">
        <v>90</v>
      </c>
      <c r="C250" s="57">
        <v>2021</v>
      </c>
      <c r="D250" s="58">
        <f>MATCH(B250,{"GENNAIO","FEBBRAIO","MARZO","APRILE","MAGGIO","GIUGNO","LUGLIO","AGOSTO","SETTEMBRE","OTTOBRE","NOVEMBRE","DICEMBRE"},0)</f>
        <v>3</v>
      </c>
      <c r="E250" s="57" t="str">
        <f t="shared" si="148"/>
        <v>MARZO 2021</v>
      </c>
      <c r="F250" s="57" t="str">
        <f t="shared" si="149"/>
        <v>3 MARZO 2021</v>
      </c>
      <c r="G250" s="59" t="s">
        <v>132</v>
      </c>
      <c r="H250" s="59" t="str">
        <f>VLOOKUP(G250,CATEGORIE!$H$3:$I$55,2,FALSE)</f>
        <v>COSTO CASA</v>
      </c>
      <c r="I250" s="59">
        <v>1265.5</v>
      </c>
      <c r="J250" s="59"/>
      <c r="K250" s="59"/>
      <c r="L250" s="59" t="s">
        <v>1278</v>
      </c>
    </row>
    <row r="251" spans="1:12">
      <c r="A251" s="57" t="s">
        <v>1258</v>
      </c>
      <c r="B251" s="57" t="s">
        <v>129</v>
      </c>
      <c r="C251" s="57">
        <v>2021</v>
      </c>
      <c r="D251" s="58">
        <f>MATCH(B251,{"GENNAIO","FEBBRAIO","MARZO","APRILE","MAGGIO","GIUGNO","LUGLIO","AGOSTO","SETTEMBRE","OTTOBRE","NOVEMBRE","DICEMBRE"},0)</f>
        <v>2</v>
      </c>
      <c r="E251" s="57" t="str">
        <f t="shared" si="148"/>
        <v>FEBBRAIO 2021</v>
      </c>
      <c r="F251" s="57" t="str">
        <f t="shared" si="149"/>
        <v>2 FEBBRAIO 2021</v>
      </c>
      <c r="G251" s="59" t="s">
        <v>693</v>
      </c>
      <c r="H251" s="59" t="str">
        <f>VLOOKUP(G251,CATEGORIE!$H$3:$I$55,2,FALSE)</f>
        <v>GESTIONE CONTO</v>
      </c>
      <c r="I251" s="59">
        <v>30.15</v>
      </c>
      <c r="J251" s="59"/>
      <c r="K251" s="59"/>
      <c r="L251" s="59"/>
    </row>
    <row r="252" spans="1:12">
      <c r="A252" s="57" t="s">
        <v>156</v>
      </c>
      <c r="B252" s="57" t="s">
        <v>129</v>
      </c>
      <c r="C252" s="57">
        <v>2021</v>
      </c>
      <c r="D252" s="58">
        <f>MATCH(B252,{"GENNAIO","FEBBRAIO","MARZO","APRILE","MAGGIO","GIUGNO","LUGLIO","AGOSTO","SETTEMBRE","OTTOBRE","NOVEMBRE","DICEMBRE"},0)</f>
        <v>2</v>
      </c>
      <c r="E252" s="57" t="str">
        <f t="shared" si="148"/>
        <v>FEBBRAIO 2021</v>
      </c>
      <c r="F252" s="57" t="str">
        <f t="shared" si="149"/>
        <v>2 FEBBRAIO 2021</v>
      </c>
      <c r="G252" s="59" t="s">
        <v>96</v>
      </c>
      <c r="H252" s="59" t="str">
        <f>VLOOKUP(G252,CATEGORIE!$H$3:$I$55,2,FALSE)</f>
        <v>COSTO SOPRAVVIVENZA</v>
      </c>
      <c r="I252" s="59">
        <v>35.75</v>
      </c>
      <c r="J252" s="59"/>
      <c r="K252" s="59"/>
      <c r="L252" s="59"/>
    </row>
    <row r="253" spans="1:12">
      <c r="A253" s="57" t="s">
        <v>1288</v>
      </c>
      <c r="B253" s="57" t="s">
        <v>129</v>
      </c>
      <c r="C253" s="57">
        <v>2021</v>
      </c>
      <c r="D253" s="58">
        <f>MATCH(B253,{"GENNAIO","FEBBRAIO","MARZO","APRILE","MAGGIO","GIUGNO","LUGLIO","AGOSTO","SETTEMBRE","OTTOBRE","NOVEMBRE","DICEMBRE"},0)</f>
        <v>2</v>
      </c>
      <c r="E253" s="57" t="str">
        <f t="shared" si="148"/>
        <v>FEBBRAIO 2021</v>
      </c>
      <c r="F253" s="57" t="str">
        <f t="shared" si="149"/>
        <v>2 FEBBRAIO 2021</v>
      </c>
      <c r="G253" s="59" t="s">
        <v>94</v>
      </c>
      <c r="H253" s="59" t="str">
        <f>VLOOKUP(G253,CATEGORIE!$H$3:$I$55,2,FALSE)</f>
        <v>COSTO SVAGHI</v>
      </c>
      <c r="I253" s="59">
        <v>127.5</v>
      </c>
      <c r="J253" s="59"/>
      <c r="K253" s="59"/>
      <c r="L253" s="59"/>
    </row>
    <row r="254" spans="1:12">
      <c r="A254" s="57" t="s">
        <v>370</v>
      </c>
      <c r="B254" s="57" t="s">
        <v>129</v>
      </c>
      <c r="C254" s="57">
        <v>2021</v>
      </c>
      <c r="D254" s="58">
        <f>MATCH(B254,{"GENNAIO","FEBBRAIO","MARZO","APRILE","MAGGIO","GIUGNO","LUGLIO","AGOSTO","SETTEMBRE","OTTOBRE","NOVEMBRE","DICEMBRE"},0)</f>
        <v>2</v>
      </c>
      <c r="E254" s="57" t="str">
        <f t="shared" si="148"/>
        <v>FEBBRAIO 2021</v>
      </c>
      <c r="F254" s="57" t="str">
        <f t="shared" si="149"/>
        <v>2 FEBBRAIO 2021</v>
      </c>
      <c r="G254" s="59" t="s">
        <v>132</v>
      </c>
      <c r="H254" s="59" t="str">
        <f>VLOOKUP(G254,CATEGORIE!$H$3:$I$55,2,FALSE)</f>
        <v>COSTO CASA</v>
      </c>
      <c r="I254" s="59">
        <v>58.78</v>
      </c>
      <c r="J254" s="59"/>
      <c r="K254" s="59"/>
      <c r="L254" s="59"/>
    </row>
    <row r="255" spans="1:12">
      <c r="A255" s="57" t="s">
        <v>1279</v>
      </c>
      <c r="B255" s="57" t="s">
        <v>129</v>
      </c>
      <c r="C255" s="57">
        <v>2021</v>
      </c>
      <c r="D255" s="58">
        <f>MATCH(B255,{"GENNAIO","FEBBRAIO","MARZO","APRILE","MAGGIO","GIUGNO","LUGLIO","AGOSTO","SETTEMBRE","OTTOBRE","NOVEMBRE","DICEMBRE"},0)</f>
        <v>2</v>
      </c>
      <c r="E255" s="57" t="str">
        <f t="shared" si="148"/>
        <v>FEBBRAIO 2021</v>
      </c>
      <c r="F255" s="57" t="str">
        <f t="shared" si="149"/>
        <v>2 FEBBRAIO 2021</v>
      </c>
      <c r="G255" s="59" t="s">
        <v>132</v>
      </c>
      <c r="H255" s="59" t="str">
        <f>VLOOKUP(G255,CATEGORIE!$H$3:$I$55,2,FALSE)</f>
        <v>COSTO CASA</v>
      </c>
      <c r="I255" s="59">
        <v>2715.49</v>
      </c>
      <c r="J255" s="59"/>
      <c r="K255" s="59"/>
      <c r="L255" s="59" t="s">
        <v>1280</v>
      </c>
    </row>
    <row r="256" spans="1:12">
      <c r="A256" s="57" t="s">
        <v>611</v>
      </c>
      <c r="B256" s="57" t="s">
        <v>129</v>
      </c>
      <c r="C256" s="57">
        <v>2021</v>
      </c>
      <c r="D256" s="58">
        <f>MATCH(B256,{"GENNAIO","FEBBRAIO","MARZO","APRILE","MAGGIO","GIUGNO","LUGLIO","AGOSTO","SETTEMBRE","OTTOBRE","NOVEMBRE","DICEMBRE"},0)</f>
        <v>2</v>
      </c>
      <c r="E256" s="57" t="str">
        <f t="shared" si="148"/>
        <v>FEBBRAIO 2021</v>
      </c>
      <c r="F256" s="57" t="str">
        <f t="shared" si="149"/>
        <v>2 FEBBRAIO 2021</v>
      </c>
      <c r="G256" s="59" t="s">
        <v>96</v>
      </c>
      <c r="H256" s="59" t="str">
        <f>VLOOKUP(G256,CATEGORIE!$H$3:$I$55,2,FALSE)</f>
        <v>COSTO SOPRAVVIVENZA</v>
      </c>
      <c r="I256" s="59">
        <v>18.82</v>
      </c>
      <c r="J256" s="59"/>
      <c r="K256" s="59"/>
      <c r="L256" s="59"/>
    </row>
    <row r="257" spans="1:12">
      <c r="A257" s="57" t="s">
        <v>156</v>
      </c>
      <c r="B257" s="57" t="s">
        <v>129</v>
      </c>
      <c r="C257" s="57">
        <v>2021</v>
      </c>
      <c r="D257" s="58">
        <f>MATCH(B257,{"GENNAIO","FEBBRAIO","MARZO","APRILE","MAGGIO","GIUGNO","LUGLIO","AGOSTO","SETTEMBRE","OTTOBRE","NOVEMBRE","DICEMBRE"},0)</f>
        <v>2</v>
      </c>
      <c r="E257" s="57" t="str">
        <f t="shared" si="148"/>
        <v>FEBBRAIO 2021</v>
      </c>
      <c r="F257" s="57" t="str">
        <f t="shared" si="149"/>
        <v>2 FEBBRAIO 2021</v>
      </c>
      <c r="G257" s="59" t="s">
        <v>96</v>
      </c>
      <c r="H257" s="59" t="str">
        <f>VLOOKUP(G257,CATEGORIE!$H$3:$I$55,2,FALSE)</f>
        <v>COSTO SOPRAVVIVENZA</v>
      </c>
      <c r="I257" s="59">
        <v>90.24</v>
      </c>
      <c r="J257" s="59"/>
      <c r="K257" s="59"/>
      <c r="L257" s="59"/>
    </row>
    <row r="258" spans="1:12">
      <c r="A258" s="57" t="s">
        <v>723</v>
      </c>
      <c r="B258" s="57" t="s">
        <v>154</v>
      </c>
      <c r="C258" s="57">
        <v>2021</v>
      </c>
      <c r="D258" s="58">
        <f>MATCH(B258,{"GENNAIO","FEBBRAIO","MARZO","APRILE","MAGGIO","GIUGNO","LUGLIO","AGOSTO","SETTEMBRE","OTTOBRE","NOVEMBRE","DICEMBRE"},0)</f>
        <v>1</v>
      </c>
      <c r="E258" s="57" t="str">
        <f t="shared" si="148"/>
        <v>GENNAIO 2021</v>
      </c>
      <c r="F258" s="57" t="str">
        <f t="shared" si="149"/>
        <v>1 GENNAIO 2021</v>
      </c>
      <c r="G258" s="59" t="s">
        <v>185</v>
      </c>
      <c r="H258" s="59" t="str">
        <f>VLOOKUP(G258,CATEGORIE!$H$3:$I$55,2,FALSE)</f>
        <v>COSTO SFIZI</v>
      </c>
      <c r="I258" s="59">
        <v>40</v>
      </c>
      <c r="J258" s="59"/>
      <c r="K258" s="59"/>
      <c r="L258" s="59" t="s">
        <v>724</v>
      </c>
    </row>
    <row r="259" spans="1:12">
      <c r="A259" s="9" t="s">
        <v>723</v>
      </c>
      <c r="B259" s="57" t="s">
        <v>173</v>
      </c>
      <c r="C259" s="57">
        <v>2020</v>
      </c>
      <c r="D259" s="58">
        <f>MATCH(B259,{"GENNAIO","FEBBRAIO","MARZO","APRILE","MAGGIO","GIUGNO","LUGLIO","AGOSTO","SETTEMBRE","OTTOBRE","NOVEMBRE","DICEMBRE"},0)</f>
        <v>12</v>
      </c>
      <c r="E259" s="57" t="str">
        <f t="shared" si="148"/>
        <v>DICEMBRE 2020</v>
      </c>
      <c r="F259" s="57" t="str">
        <f t="shared" si="149"/>
        <v>12 DICEMBRE 2020</v>
      </c>
      <c r="G259" s="59" t="s">
        <v>185</v>
      </c>
      <c r="H259" s="59" t="str">
        <f>VLOOKUP(G259,CATEGORIE!$H$3:$I$55,2,FALSE)</f>
        <v>COSTO SFIZI</v>
      </c>
      <c r="I259" s="59">
        <v>40</v>
      </c>
      <c r="J259" s="59"/>
      <c r="K259" s="59"/>
      <c r="L259" s="59" t="s">
        <v>724</v>
      </c>
    </row>
    <row r="260" spans="1:12">
      <c r="A260" s="57" t="s">
        <v>1281</v>
      </c>
      <c r="B260" s="57" t="s">
        <v>173</v>
      </c>
      <c r="C260" s="57">
        <v>2020</v>
      </c>
      <c r="D260" s="58">
        <f>MATCH(B260,{"GENNAIO","FEBBRAIO","MARZO","APRILE","MAGGIO","GIUGNO","LUGLIO","AGOSTO","SETTEMBRE","OTTOBRE","NOVEMBRE","DICEMBRE"},0)</f>
        <v>12</v>
      </c>
      <c r="E260" s="57" t="str">
        <f t="shared" ref="E260:E315" si="150">CONCATENATE(,B260," ",C260)</f>
        <v>DICEMBRE 2020</v>
      </c>
      <c r="F260" s="57" t="str">
        <f t="shared" si="149"/>
        <v>12 DICEMBRE 2020</v>
      </c>
      <c r="G260" s="59" t="s">
        <v>107</v>
      </c>
      <c r="H260" s="59" t="str">
        <f>VLOOKUP(G260,CATEGORIE!$H$3:$I$55,2,FALSE)</f>
        <v>COSTO SOPRAVVIVENZA</v>
      </c>
      <c r="I260" s="59">
        <v>285.98</v>
      </c>
      <c r="J260" s="59"/>
      <c r="K260" s="59"/>
      <c r="L260" s="59"/>
    </row>
    <row r="261" spans="1:12">
      <c r="A261" s="57" t="s">
        <v>1283</v>
      </c>
      <c r="B261" s="57" t="s">
        <v>173</v>
      </c>
      <c r="C261" s="57">
        <v>2020</v>
      </c>
      <c r="D261" s="58">
        <f>MATCH(B261,{"GENNAIO","FEBBRAIO","MARZO","APRILE","MAGGIO","GIUGNO","LUGLIO","AGOSTO","SETTEMBRE","OTTOBRE","NOVEMBRE","DICEMBRE"},0)</f>
        <v>12</v>
      </c>
      <c r="E261" s="57" t="str">
        <f t="shared" si="150"/>
        <v>DICEMBRE 2020</v>
      </c>
      <c r="F261" s="57" t="str">
        <f t="shared" ref="F261:F315" si="151">CONCATENATE(D261," ",E261)</f>
        <v>12 DICEMBRE 2020</v>
      </c>
      <c r="G261" s="59" t="s">
        <v>132</v>
      </c>
      <c r="H261" s="59" t="str">
        <f>VLOOKUP(G261,CATEGORIE!$H$3:$I$55,2,FALSE)</f>
        <v>COSTO CASA</v>
      </c>
      <c r="I261" s="59">
        <v>2399.1999999999998</v>
      </c>
      <c r="J261" s="59"/>
      <c r="K261" s="59"/>
      <c r="L261" s="59" t="s">
        <v>1282</v>
      </c>
    </row>
    <row r="262" spans="1:12">
      <c r="A262" s="57" t="s">
        <v>1279</v>
      </c>
      <c r="B262" s="57" t="s">
        <v>173</v>
      </c>
      <c r="C262" s="57">
        <v>2020</v>
      </c>
      <c r="D262" s="58">
        <f>MATCH(B262,{"GENNAIO","FEBBRAIO","MARZO","APRILE","MAGGIO","GIUGNO","LUGLIO","AGOSTO","SETTEMBRE","OTTOBRE","NOVEMBRE","DICEMBRE"},0)</f>
        <v>12</v>
      </c>
      <c r="E262" s="57" t="str">
        <f t="shared" si="150"/>
        <v>DICEMBRE 2020</v>
      </c>
      <c r="F262" s="57" t="str">
        <f t="shared" si="151"/>
        <v>12 DICEMBRE 2020</v>
      </c>
      <c r="G262" s="59" t="s">
        <v>132</v>
      </c>
      <c r="H262" s="59" t="str">
        <f>VLOOKUP(G262,CATEGORIE!$H$3:$I$55,2,FALSE)</f>
        <v>COSTO CASA</v>
      </c>
      <c r="I262" s="59">
        <v>2500.5</v>
      </c>
      <c r="J262" s="59"/>
      <c r="K262" s="59"/>
      <c r="L262" s="59"/>
    </row>
    <row r="263" spans="1:12">
      <c r="A263" s="57" t="s">
        <v>1044</v>
      </c>
      <c r="B263" s="57" t="s">
        <v>173</v>
      </c>
      <c r="C263" s="57">
        <v>2020</v>
      </c>
      <c r="D263" s="58">
        <f>MATCH(B263,{"GENNAIO","FEBBRAIO","MARZO","APRILE","MAGGIO","GIUGNO","LUGLIO","AGOSTO","SETTEMBRE","OTTOBRE","NOVEMBRE","DICEMBRE"},0)</f>
        <v>12</v>
      </c>
      <c r="E263" s="57" t="str">
        <f t="shared" si="150"/>
        <v>DICEMBRE 2020</v>
      </c>
      <c r="F263" s="57" t="str">
        <f t="shared" si="151"/>
        <v>12 DICEMBRE 2020</v>
      </c>
      <c r="G263" s="59" t="s">
        <v>116</v>
      </c>
      <c r="H263" s="59" t="str">
        <f>VLOOKUP(G263,CATEGORIE!$H$3:$I$55,2,FALSE)</f>
        <v>TASSE</v>
      </c>
      <c r="I263" s="59">
        <v>0.3</v>
      </c>
      <c r="J263" s="59"/>
      <c r="K263" s="59"/>
      <c r="L263" s="59"/>
    </row>
    <row r="264" spans="1:12">
      <c r="A264" s="57" t="s">
        <v>106</v>
      </c>
      <c r="B264" s="57" t="s">
        <v>173</v>
      </c>
      <c r="C264" s="57">
        <v>2020</v>
      </c>
      <c r="D264" s="58">
        <f>MATCH(B264,{"GENNAIO","FEBBRAIO","MARZO","APRILE","MAGGIO","GIUGNO","LUGLIO","AGOSTO","SETTEMBRE","OTTOBRE","NOVEMBRE","DICEMBRE"},0)</f>
        <v>12</v>
      </c>
      <c r="E264" s="57" t="str">
        <f t="shared" si="150"/>
        <v>DICEMBRE 2020</v>
      </c>
      <c r="F264" s="57" t="str">
        <f t="shared" si="151"/>
        <v>12 DICEMBRE 2020</v>
      </c>
      <c r="G264" s="59" t="s">
        <v>107</v>
      </c>
      <c r="H264" s="59" t="str">
        <f>VLOOKUP(G264,CATEGORIE!$H$3:$I$55,2,FALSE)</f>
        <v>COSTO SOPRAVVIVENZA</v>
      </c>
      <c r="I264" s="59">
        <v>102</v>
      </c>
      <c r="J264" s="59"/>
      <c r="K264" s="59"/>
      <c r="L264" s="59"/>
    </row>
    <row r="265" spans="1:12">
      <c r="A265" s="57" t="s">
        <v>714</v>
      </c>
      <c r="B265" s="57" t="s">
        <v>173</v>
      </c>
      <c r="C265" s="57">
        <v>2020</v>
      </c>
      <c r="D265" s="58">
        <f>MATCH(B265,{"GENNAIO","FEBBRAIO","MARZO","APRILE","MAGGIO","GIUGNO","LUGLIO","AGOSTO","SETTEMBRE","OTTOBRE","NOVEMBRE","DICEMBRE"},0)</f>
        <v>12</v>
      </c>
      <c r="E265" s="57" t="str">
        <f t="shared" si="150"/>
        <v>DICEMBRE 2020</v>
      </c>
      <c r="F265" s="57" t="str">
        <f t="shared" si="151"/>
        <v>12 DICEMBRE 2020</v>
      </c>
      <c r="G265" s="59" t="s">
        <v>785</v>
      </c>
      <c r="H265" s="59" t="str">
        <f>VLOOKUP(G265,CATEGORIE!$H$3:$I$55,2,FALSE)</f>
        <v>COSTO MOBILITA'</v>
      </c>
      <c r="I265" s="59">
        <v>25</v>
      </c>
      <c r="J265" s="59"/>
      <c r="K265" s="59"/>
      <c r="L265" s="59"/>
    </row>
    <row r="266" spans="1:12">
      <c r="A266" s="57" t="s">
        <v>789</v>
      </c>
      <c r="B266" s="57" t="s">
        <v>173</v>
      </c>
      <c r="C266" s="57">
        <v>2020</v>
      </c>
      <c r="D266" s="58">
        <f>MATCH(B266,{"GENNAIO","FEBBRAIO","MARZO","APRILE","MAGGIO","GIUGNO","LUGLIO","AGOSTO","SETTEMBRE","OTTOBRE","NOVEMBRE","DICEMBRE"},0)</f>
        <v>12</v>
      </c>
      <c r="E266" s="57" t="str">
        <f t="shared" si="150"/>
        <v>DICEMBRE 2020</v>
      </c>
      <c r="F266" s="57" t="str">
        <f t="shared" si="151"/>
        <v>12 DICEMBRE 2020</v>
      </c>
      <c r="G266" s="59" t="s">
        <v>789</v>
      </c>
      <c r="H266" s="59" t="str">
        <f>VLOOKUP(G266,CATEGORIE!$H$3:$I$55,2,FALSE)</f>
        <v>MOVIMENTI CONTO</v>
      </c>
      <c r="I266" s="59">
        <v>72</v>
      </c>
      <c r="J266" s="59"/>
      <c r="K266" s="59"/>
      <c r="L266" s="59"/>
    </row>
    <row r="267" spans="1:12">
      <c r="A267" s="9" t="s">
        <v>723</v>
      </c>
      <c r="B267" s="57" t="s">
        <v>200</v>
      </c>
      <c r="C267" s="57">
        <v>2020</v>
      </c>
      <c r="D267" s="58">
        <f>MATCH(B267,{"GENNAIO","FEBBRAIO","MARZO","APRILE","MAGGIO","GIUGNO","LUGLIO","AGOSTO","SETTEMBRE","OTTOBRE","NOVEMBRE","DICEMBRE"},0)</f>
        <v>11</v>
      </c>
      <c r="E267" s="57" t="str">
        <f t="shared" si="150"/>
        <v>NOVEMBRE 2020</v>
      </c>
      <c r="F267" s="57" t="str">
        <f t="shared" si="151"/>
        <v>11 NOVEMBRE 2020</v>
      </c>
      <c r="G267" s="59" t="s">
        <v>185</v>
      </c>
      <c r="H267" s="59" t="str">
        <f>VLOOKUP(G267,CATEGORIE!$H$3:$I$55,2,FALSE)</f>
        <v>COSTO SFIZI</v>
      </c>
      <c r="I267" s="59">
        <v>40</v>
      </c>
      <c r="J267" s="59"/>
      <c r="K267" s="59"/>
      <c r="L267" s="59" t="s">
        <v>724</v>
      </c>
    </row>
    <row r="268" spans="1:12">
      <c r="A268" s="57" t="s">
        <v>1281</v>
      </c>
      <c r="B268" s="57" t="s">
        <v>200</v>
      </c>
      <c r="C268" s="57">
        <v>2020</v>
      </c>
      <c r="D268" s="58">
        <f>MATCH(B268,{"GENNAIO","FEBBRAIO","MARZO","APRILE","MAGGIO","GIUGNO","LUGLIO","AGOSTO","SETTEMBRE","OTTOBRE","NOVEMBRE","DICEMBRE"},0)</f>
        <v>11</v>
      </c>
      <c r="E268" s="57" t="str">
        <f t="shared" si="150"/>
        <v>NOVEMBRE 2020</v>
      </c>
      <c r="F268" s="57" t="str">
        <f t="shared" si="151"/>
        <v>11 NOVEMBRE 2020</v>
      </c>
      <c r="G268" s="59" t="s">
        <v>107</v>
      </c>
      <c r="H268" s="59" t="str">
        <f>VLOOKUP(G268,CATEGORIE!$H$3:$I$55,2,FALSE)</f>
        <v>COSTO SOPRAVVIVENZA</v>
      </c>
      <c r="I268" s="59">
        <v>285.98</v>
      </c>
      <c r="J268" s="59"/>
      <c r="K268" s="59"/>
      <c r="L268" s="59"/>
    </row>
    <row r="269" spans="1:12">
      <c r="A269" s="57" t="s">
        <v>766</v>
      </c>
      <c r="B269" s="57" t="s">
        <v>200</v>
      </c>
      <c r="C269" s="57">
        <v>2020</v>
      </c>
      <c r="D269" s="58">
        <f>MATCH(B269,{"GENNAIO","FEBBRAIO","MARZO","APRILE","MAGGIO","GIUGNO","LUGLIO","AGOSTO","SETTEMBRE","OTTOBRE","NOVEMBRE","DICEMBRE"},0)</f>
        <v>11</v>
      </c>
      <c r="E269" s="57" t="str">
        <f t="shared" si="150"/>
        <v>NOVEMBRE 2020</v>
      </c>
      <c r="F269" s="57" t="str">
        <f t="shared" si="151"/>
        <v>11 NOVEMBRE 2020</v>
      </c>
      <c r="G269" s="59" t="s">
        <v>766</v>
      </c>
      <c r="H269" s="59" t="str">
        <f>VLOOKUP(G269,CATEGORIE!$H$3:$I$55,2,FALSE)</f>
        <v>TASSE</v>
      </c>
      <c r="I269" s="59">
        <v>3.6</v>
      </c>
      <c r="J269" s="59"/>
      <c r="K269" s="59"/>
      <c r="L269" s="59"/>
    </row>
    <row r="270" spans="1:12">
      <c r="A270" s="57" t="s">
        <v>1281</v>
      </c>
      <c r="B270" s="57" t="s">
        <v>200</v>
      </c>
      <c r="C270" s="57">
        <v>2020</v>
      </c>
      <c r="D270" s="58">
        <f>MATCH(B270,{"GENNAIO","FEBBRAIO","MARZO","APRILE","MAGGIO","GIUGNO","LUGLIO","AGOSTO","SETTEMBRE","OTTOBRE","NOVEMBRE","DICEMBRE"},0)</f>
        <v>11</v>
      </c>
      <c r="E270" s="57" t="str">
        <f t="shared" si="150"/>
        <v>NOVEMBRE 2020</v>
      </c>
      <c r="F270" s="57" t="str">
        <f t="shared" si="151"/>
        <v>11 NOVEMBRE 2020</v>
      </c>
      <c r="G270" s="59" t="s">
        <v>107</v>
      </c>
      <c r="H270" s="59" t="str">
        <f>VLOOKUP(G270,CATEGORIE!$H$3:$I$55,2,FALSE)</f>
        <v>COSTO SOPRAVVIVENZA</v>
      </c>
      <c r="I270" s="59">
        <v>343.08</v>
      </c>
      <c r="J270" s="59"/>
      <c r="K270" s="59"/>
      <c r="L270" s="59"/>
    </row>
    <row r="271" spans="1:12">
      <c r="A271" s="57" t="s">
        <v>789</v>
      </c>
      <c r="B271" s="57" t="s">
        <v>217</v>
      </c>
      <c r="C271" s="57">
        <v>2020</v>
      </c>
      <c r="D271" s="58">
        <f>MATCH(B271,{"GENNAIO","FEBBRAIO","MARZO","APRILE","MAGGIO","GIUGNO","LUGLIO","AGOSTO","SETTEMBRE","OTTOBRE","NOVEMBRE","DICEMBRE"},0)</f>
        <v>10</v>
      </c>
      <c r="E271" s="57" t="str">
        <f t="shared" si="150"/>
        <v>OTTOBRE 2020</v>
      </c>
      <c r="F271" s="57" t="str">
        <f t="shared" si="151"/>
        <v>10 OTTOBRE 2020</v>
      </c>
      <c r="G271" s="59" t="s">
        <v>789</v>
      </c>
      <c r="H271" s="59" t="str">
        <f>VLOOKUP(G271,CATEGORIE!$H$3:$I$55,2,FALSE)</f>
        <v>MOVIMENTI CONTO</v>
      </c>
      <c r="I271" s="59">
        <v>50</v>
      </c>
      <c r="J271" s="59"/>
      <c r="K271" s="59"/>
      <c r="L271" s="59"/>
    </row>
    <row r="272" spans="1:12">
      <c r="A272" s="9" t="s">
        <v>723</v>
      </c>
      <c r="B272" s="57" t="s">
        <v>217</v>
      </c>
      <c r="C272" s="57">
        <v>2020</v>
      </c>
      <c r="D272" s="58">
        <f>MATCH(B272,{"GENNAIO","FEBBRAIO","MARZO","APRILE","MAGGIO","GIUGNO","LUGLIO","AGOSTO","SETTEMBRE","OTTOBRE","NOVEMBRE","DICEMBRE"},0)</f>
        <v>10</v>
      </c>
      <c r="E272" s="57" t="str">
        <f t="shared" si="150"/>
        <v>OTTOBRE 2020</v>
      </c>
      <c r="F272" s="57" t="str">
        <f t="shared" si="151"/>
        <v>10 OTTOBRE 2020</v>
      </c>
      <c r="G272" s="59" t="s">
        <v>185</v>
      </c>
      <c r="H272" s="59" t="str">
        <f>VLOOKUP(G272,CATEGORIE!$H$3:$I$55,2,FALSE)</f>
        <v>COSTO SFIZI</v>
      </c>
      <c r="I272" s="59">
        <v>40</v>
      </c>
      <c r="J272" s="59"/>
      <c r="K272" s="59"/>
      <c r="L272" s="59" t="s">
        <v>724</v>
      </c>
    </row>
    <row r="273" spans="1:12">
      <c r="A273" s="57" t="s">
        <v>1287</v>
      </c>
      <c r="B273" s="57" t="s">
        <v>217</v>
      </c>
      <c r="C273" s="57">
        <v>2020</v>
      </c>
      <c r="D273" s="58">
        <f>MATCH(B273,{"GENNAIO","FEBBRAIO","MARZO","APRILE","MAGGIO","GIUGNO","LUGLIO","AGOSTO","SETTEMBRE","OTTOBRE","NOVEMBRE","DICEMBRE"},0)</f>
        <v>10</v>
      </c>
      <c r="E273" s="57" t="str">
        <f t="shared" si="150"/>
        <v>OTTOBRE 2020</v>
      </c>
      <c r="F273" s="57" t="str">
        <f t="shared" si="151"/>
        <v>10 OTTOBRE 2020</v>
      </c>
      <c r="G273" s="59" t="s">
        <v>132</v>
      </c>
      <c r="H273" s="59" t="str">
        <f>VLOOKUP(G273,CATEGORIE!$H$3:$I$55,2,FALSE)</f>
        <v>COSTO CASA</v>
      </c>
      <c r="I273" s="59">
        <v>217.5</v>
      </c>
      <c r="J273" s="59"/>
      <c r="K273" s="59"/>
      <c r="L273" s="59"/>
    </row>
    <row r="274" spans="1:12">
      <c r="A274" s="57" t="s">
        <v>1281</v>
      </c>
      <c r="B274" s="57" t="s">
        <v>217</v>
      </c>
      <c r="C274" s="57">
        <v>2020</v>
      </c>
      <c r="D274" s="58">
        <f>MATCH(B274,{"GENNAIO","FEBBRAIO","MARZO","APRILE","MAGGIO","GIUGNO","LUGLIO","AGOSTO","SETTEMBRE","OTTOBRE","NOVEMBRE","DICEMBRE"},0)</f>
        <v>10</v>
      </c>
      <c r="E274" s="57" t="str">
        <f t="shared" si="150"/>
        <v>OTTOBRE 2020</v>
      </c>
      <c r="F274" s="57" t="str">
        <f t="shared" si="151"/>
        <v>10 OTTOBRE 2020</v>
      </c>
      <c r="G274" s="59" t="s">
        <v>107</v>
      </c>
      <c r="H274" s="59" t="str">
        <f>VLOOKUP(G274,CATEGORIE!$H$3:$I$55,2,FALSE)</f>
        <v>COSTO SOPRAVVIVENZA</v>
      </c>
      <c r="I274" s="59">
        <v>285.98</v>
      </c>
      <c r="J274" s="59"/>
      <c r="K274" s="59"/>
      <c r="L274" s="59"/>
    </row>
    <row r="275" spans="1:12">
      <c r="A275" s="57" t="s">
        <v>789</v>
      </c>
      <c r="B275" s="57" t="s">
        <v>217</v>
      </c>
      <c r="C275" s="57">
        <v>2020</v>
      </c>
      <c r="D275" s="58">
        <f>MATCH(B275,{"GENNAIO","FEBBRAIO","MARZO","APRILE","MAGGIO","GIUGNO","LUGLIO","AGOSTO","SETTEMBRE","OTTOBRE","NOVEMBRE","DICEMBRE"},0)</f>
        <v>10</v>
      </c>
      <c r="E275" s="57" t="str">
        <f t="shared" si="150"/>
        <v>OTTOBRE 2020</v>
      </c>
      <c r="F275" s="57" t="str">
        <f t="shared" si="151"/>
        <v>10 OTTOBRE 2020</v>
      </c>
      <c r="G275" s="59" t="s">
        <v>789</v>
      </c>
      <c r="H275" s="59" t="str">
        <f>VLOOKUP(G275,CATEGORIE!$H$3:$I$55,2,FALSE)</f>
        <v>MOVIMENTI CONTO</v>
      </c>
      <c r="I275" s="59">
        <v>90</v>
      </c>
      <c r="J275" s="59"/>
      <c r="K275" s="59"/>
      <c r="L275" s="59"/>
    </row>
    <row r="276" spans="1:12">
      <c r="A276" s="57" t="s">
        <v>714</v>
      </c>
      <c r="B276" s="57" t="s">
        <v>217</v>
      </c>
      <c r="C276" s="57">
        <v>2020</v>
      </c>
      <c r="D276" s="58">
        <f>MATCH(B276,{"GENNAIO","FEBBRAIO","MARZO","APRILE","MAGGIO","GIUGNO","LUGLIO","AGOSTO","SETTEMBRE","OTTOBRE","NOVEMBRE","DICEMBRE"},0)</f>
        <v>10</v>
      </c>
      <c r="E276" s="57" t="str">
        <f t="shared" si="150"/>
        <v>OTTOBRE 2020</v>
      </c>
      <c r="F276" s="57" t="str">
        <f t="shared" si="151"/>
        <v>10 OTTOBRE 2020</v>
      </c>
      <c r="G276" s="59" t="s">
        <v>785</v>
      </c>
      <c r="H276" s="59" t="str">
        <f>VLOOKUP(G276,CATEGORIE!$H$3:$I$55,2,FALSE)</f>
        <v>COSTO MOBILITA'</v>
      </c>
      <c r="I276" s="59">
        <v>15.1</v>
      </c>
      <c r="J276" s="59"/>
      <c r="K276" s="59"/>
      <c r="L276" s="59"/>
    </row>
    <row r="277" spans="1:12">
      <c r="A277" s="9" t="s">
        <v>723</v>
      </c>
      <c r="B277" s="57" t="s">
        <v>240</v>
      </c>
      <c r="C277" s="57">
        <v>2020</v>
      </c>
      <c r="D277" s="58">
        <f>MATCH(B277,{"GENNAIO","FEBBRAIO","MARZO","APRILE","MAGGIO","GIUGNO","LUGLIO","AGOSTO","SETTEMBRE","OTTOBRE","NOVEMBRE","DICEMBRE"},0)</f>
        <v>9</v>
      </c>
      <c r="E277" s="57" t="str">
        <f t="shared" si="150"/>
        <v>SETTEMBRE 2020</v>
      </c>
      <c r="F277" s="57" t="str">
        <f t="shared" si="151"/>
        <v>9 SETTEMBRE 2020</v>
      </c>
      <c r="G277" s="59" t="s">
        <v>185</v>
      </c>
      <c r="H277" s="59" t="str">
        <f>VLOOKUP(G277,CATEGORIE!$H$3:$I$55,2,FALSE)</f>
        <v>COSTO SFIZI</v>
      </c>
      <c r="I277" s="59">
        <v>40</v>
      </c>
      <c r="J277" s="59"/>
      <c r="K277" s="59"/>
      <c r="L277" s="59" t="s">
        <v>724</v>
      </c>
    </row>
    <row r="278" spans="1:12">
      <c r="A278" s="57" t="s">
        <v>789</v>
      </c>
      <c r="B278" s="57" t="s">
        <v>240</v>
      </c>
      <c r="C278" s="57">
        <v>2020</v>
      </c>
      <c r="D278" s="58">
        <f>MATCH(B278,{"GENNAIO","FEBBRAIO","MARZO","APRILE","MAGGIO","GIUGNO","LUGLIO","AGOSTO","SETTEMBRE","OTTOBRE","NOVEMBRE","DICEMBRE"},0)</f>
        <v>9</v>
      </c>
      <c r="E278" s="57" t="str">
        <f t="shared" si="150"/>
        <v>SETTEMBRE 2020</v>
      </c>
      <c r="F278" s="57" t="str">
        <f t="shared" si="151"/>
        <v>9 SETTEMBRE 2020</v>
      </c>
      <c r="G278" s="59" t="s">
        <v>789</v>
      </c>
      <c r="H278" s="59" t="str">
        <f>VLOOKUP(G278,CATEGORIE!$H$3:$I$55,2,FALSE)</f>
        <v>MOVIMENTI CONTO</v>
      </c>
      <c r="I278" s="59">
        <v>70</v>
      </c>
      <c r="J278" s="59"/>
      <c r="K278" s="59"/>
      <c r="L278" s="59"/>
    </row>
    <row r="279" spans="1:12">
      <c r="A279" s="57" t="s">
        <v>106</v>
      </c>
      <c r="B279" s="57" t="s">
        <v>240</v>
      </c>
      <c r="C279" s="57">
        <v>2020</v>
      </c>
      <c r="D279" s="58">
        <f>MATCH(B279,{"GENNAIO","FEBBRAIO","MARZO","APRILE","MAGGIO","GIUGNO","LUGLIO","AGOSTO","SETTEMBRE","OTTOBRE","NOVEMBRE","DICEMBRE"},0)</f>
        <v>9</v>
      </c>
      <c r="E279" s="57" t="str">
        <f t="shared" si="150"/>
        <v>SETTEMBRE 2020</v>
      </c>
      <c r="F279" s="57" t="str">
        <f t="shared" si="151"/>
        <v>9 SETTEMBRE 2020</v>
      </c>
      <c r="G279" s="59" t="s">
        <v>107</v>
      </c>
      <c r="H279" s="59" t="str">
        <f>VLOOKUP(G279,CATEGORIE!$H$3:$I$55,2,FALSE)</f>
        <v>COSTO SOPRAVVIVENZA</v>
      </c>
      <c r="I279" s="59">
        <v>100</v>
      </c>
      <c r="J279" s="59"/>
      <c r="K279" s="59"/>
      <c r="L279" s="59"/>
    </row>
    <row r="280" spans="1:12">
      <c r="A280" s="9" t="s">
        <v>723</v>
      </c>
      <c r="B280" s="57" t="s">
        <v>261</v>
      </c>
      <c r="C280" s="57">
        <v>2020</v>
      </c>
      <c r="D280" s="58">
        <f>MATCH(B280,{"GENNAIO","FEBBRAIO","MARZO","APRILE","MAGGIO","GIUGNO","LUGLIO","AGOSTO","SETTEMBRE","OTTOBRE","NOVEMBRE","DICEMBRE"},0)</f>
        <v>8</v>
      </c>
      <c r="E280" s="57" t="str">
        <f t="shared" si="150"/>
        <v>AGOSTO 2020</v>
      </c>
      <c r="F280" s="57" t="str">
        <f t="shared" si="151"/>
        <v>8 AGOSTO 2020</v>
      </c>
      <c r="G280" s="59" t="s">
        <v>185</v>
      </c>
      <c r="H280" s="59" t="str">
        <f>VLOOKUP(G280,CATEGORIE!$H$3:$I$55,2,FALSE)</f>
        <v>COSTO SFIZI</v>
      </c>
      <c r="I280" s="59">
        <v>40</v>
      </c>
      <c r="J280" s="59"/>
      <c r="K280" s="59"/>
      <c r="L280" s="59" t="s">
        <v>724</v>
      </c>
    </row>
    <row r="281" spans="1:12">
      <c r="A281" s="57" t="s">
        <v>789</v>
      </c>
      <c r="B281" s="57" t="s">
        <v>261</v>
      </c>
      <c r="C281" s="57">
        <v>2020</v>
      </c>
      <c r="D281" s="58">
        <f>MATCH(B281,{"GENNAIO","FEBBRAIO","MARZO","APRILE","MAGGIO","GIUGNO","LUGLIO","AGOSTO","SETTEMBRE","OTTOBRE","NOVEMBRE","DICEMBRE"},0)</f>
        <v>8</v>
      </c>
      <c r="E281" s="57" t="str">
        <f t="shared" si="150"/>
        <v>AGOSTO 2020</v>
      </c>
      <c r="F281" s="57" t="str">
        <f t="shared" si="151"/>
        <v>8 AGOSTO 2020</v>
      </c>
      <c r="G281" s="59" t="s">
        <v>789</v>
      </c>
      <c r="H281" s="59" t="str">
        <f>VLOOKUP(G281,CATEGORIE!$H$3:$I$55,2,FALSE)</f>
        <v>MOVIMENTI CONTO</v>
      </c>
      <c r="I281" s="59">
        <v>100</v>
      </c>
      <c r="J281" s="59"/>
      <c r="K281" s="59"/>
      <c r="L281" s="59"/>
    </row>
    <row r="282" spans="1:12">
      <c r="A282" s="57" t="s">
        <v>789</v>
      </c>
      <c r="B282" s="57" t="s">
        <v>261</v>
      </c>
      <c r="C282" s="57">
        <v>2020</v>
      </c>
      <c r="D282" s="58">
        <f>MATCH(B282,{"GENNAIO","FEBBRAIO","MARZO","APRILE","MAGGIO","GIUGNO","LUGLIO","AGOSTO","SETTEMBRE","OTTOBRE","NOVEMBRE","DICEMBRE"},0)</f>
        <v>8</v>
      </c>
      <c r="E282" s="57" t="str">
        <f t="shared" si="150"/>
        <v>AGOSTO 2020</v>
      </c>
      <c r="F282" s="57" t="str">
        <f t="shared" si="151"/>
        <v>8 AGOSTO 2020</v>
      </c>
      <c r="G282" s="59" t="s">
        <v>789</v>
      </c>
      <c r="H282" s="59" t="str">
        <f>VLOOKUP(G282,CATEGORIE!$H$3:$I$55,2,FALSE)</f>
        <v>MOVIMENTI CONTO</v>
      </c>
      <c r="I282" s="59">
        <v>150</v>
      </c>
      <c r="J282" s="59"/>
      <c r="K282" s="59"/>
      <c r="L282" s="59"/>
    </row>
    <row r="283" spans="1:12">
      <c r="A283" s="57" t="s">
        <v>611</v>
      </c>
      <c r="B283" s="57" t="s">
        <v>261</v>
      </c>
      <c r="C283" s="57">
        <v>2020</v>
      </c>
      <c r="D283" s="58">
        <f>MATCH(B283,{"GENNAIO","FEBBRAIO","MARZO","APRILE","MAGGIO","GIUGNO","LUGLIO","AGOSTO","SETTEMBRE","OTTOBRE","NOVEMBRE","DICEMBRE"},0)</f>
        <v>8</v>
      </c>
      <c r="E283" s="57" t="str">
        <f t="shared" si="150"/>
        <v>AGOSTO 2020</v>
      </c>
      <c r="F283" s="57" t="str">
        <f t="shared" si="151"/>
        <v>8 AGOSTO 2020</v>
      </c>
      <c r="G283" s="59" t="s">
        <v>96</v>
      </c>
      <c r="H283" s="59" t="str">
        <f>VLOOKUP(G283,CATEGORIE!$H$3:$I$55,2,FALSE)</f>
        <v>COSTO SOPRAVVIVENZA</v>
      </c>
      <c r="I283" s="59">
        <v>30.4</v>
      </c>
      <c r="J283" s="59"/>
      <c r="K283" s="59"/>
      <c r="L283" s="59"/>
    </row>
    <row r="284" spans="1:12">
      <c r="A284" s="57" t="s">
        <v>789</v>
      </c>
      <c r="B284" s="57" t="s">
        <v>261</v>
      </c>
      <c r="C284" s="57">
        <v>2020</v>
      </c>
      <c r="D284" s="58">
        <f>MATCH(B284,{"GENNAIO","FEBBRAIO","MARZO","APRILE","MAGGIO","GIUGNO","LUGLIO","AGOSTO","SETTEMBRE","OTTOBRE","NOVEMBRE","DICEMBRE"},0)</f>
        <v>8</v>
      </c>
      <c r="E284" s="57" t="str">
        <f t="shared" si="150"/>
        <v>AGOSTO 2020</v>
      </c>
      <c r="F284" s="57" t="str">
        <f t="shared" si="151"/>
        <v>8 AGOSTO 2020</v>
      </c>
      <c r="G284" s="59" t="s">
        <v>789</v>
      </c>
      <c r="H284" s="59" t="str">
        <f>VLOOKUP(G284,CATEGORIE!$H$3:$I$55,2,FALSE)</f>
        <v>MOVIMENTI CONTO</v>
      </c>
      <c r="I284" s="59">
        <v>152</v>
      </c>
      <c r="J284" s="59"/>
      <c r="K284" s="59"/>
      <c r="L284" s="59"/>
    </row>
    <row r="285" spans="1:12">
      <c r="A285" s="57" t="s">
        <v>714</v>
      </c>
      <c r="B285" s="57" t="s">
        <v>261</v>
      </c>
      <c r="C285" s="57">
        <v>2020</v>
      </c>
      <c r="D285" s="58">
        <f>MATCH(B285,{"GENNAIO","FEBBRAIO","MARZO","APRILE","MAGGIO","GIUGNO","LUGLIO","AGOSTO","SETTEMBRE","OTTOBRE","NOVEMBRE","DICEMBRE"},0)</f>
        <v>8</v>
      </c>
      <c r="E285" s="57" t="str">
        <f t="shared" si="150"/>
        <v>AGOSTO 2020</v>
      </c>
      <c r="F285" s="57" t="str">
        <f t="shared" si="151"/>
        <v>8 AGOSTO 2020</v>
      </c>
      <c r="G285" s="59" t="s">
        <v>785</v>
      </c>
      <c r="H285" s="59" t="str">
        <f>VLOOKUP(G285,CATEGORIE!$H$3:$I$55,2,FALSE)</f>
        <v>COSTO MOBILITA'</v>
      </c>
      <c r="I285" s="59">
        <v>56</v>
      </c>
      <c r="J285" s="59"/>
      <c r="K285" s="59"/>
      <c r="L285" s="59"/>
    </row>
    <row r="286" spans="1:12">
      <c r="A286" s="9" t="s">
        <v>723</v>
      </c>
      <c r="B286" s="57" t="s">
        <v>288</v>
      </c>
      <c r="C286" s="57">
        <v>2020</v>
      </c>
      <c r="D286" s="58">
        <f>MATCH(B286,{"GENNAIO","FEBBRAIO","MARZO","APRILE","MAGGIO","GIUGNO","LUGLIO","AGOSTO","SETTEMBRE","OTTOBRE","NOVEMBRE","DICEMBRE"},0)</f>
        <v>7</v>
      </c>
      <c r="E286" s="57" t="str">
        <f t="shared" si="150"/>
        <v>LUGLIO 2020</v>
      </c>
      <c r="F286" s="57" t="str">
        <f t="shared" si="151"/>
        <v>7 LUGLIO 2020</v>
      </c>
      <c r="G286" s="59" t="s">
        <v>185</v>
      </c>
      <c r="H286" s="59" t="str">
        <f>VLOOKUP(G286,CATEGORIE!$H$3:$I$55,2,FALSE)</f>
        <v>COSTO SFIZI</v>
      </c>
      <c r="I286" s="59">
        <v>40</v>
      </c>
      <c r="J286" s="59"/>
      <c r="K286" s="59"/>
      <c r="L286" s="59" t="s">
        <v>724</v>
      </c>
    </row>
    <row r="287" spans="1:12">
      <c r="A287" s="57" t="s">
        <v>789</v>
      </c>
      <c r="B287" s="57" t="s">
        <v>288</v>
      </c>
      <c r="C287" s="57">
        <v>2020</v>
      </c>
      <c r="D287" s="58">
        <f>MATCH(B287,{"GENNAIO","FEBBRAIO","MARZO","APRILE","MAGGIO","GIUGNO","LUGLIO","AGOSTO","SETTEMBRE","OTTOBRE","NOVEMBRE","DICEMBRE"},0)</f>
        <v>7</v>
      </c>
      <c r="E287" s="57" t="str">
        <f t="shared" si="150"/>
        <v>LUGLIO 2020</v>
      </c>
      <c r="F287" s="57" t="str">
        <f t="shared" si="151"/>
        <v>7 LUGLIO 2020</v>
      </c>
      <c r="G287" s="59" t="s">
        <v>789</v>
      </c>
      <c r="H287" s="59" t="str">
        <f>VLOOKUP(G287,CATEGORIE!$H$3:$I$55,2,FALSE)</f>
        <v>MOVIMENTI CONTO</v>
      </c>
      <c r="I287" s="59">
        <v>150</v>
      </c>
      <c r="J287" s="59"/>
      <c r="K287" s="59"/>
      <c r="L287" s="59"/>
    </row>
    <row r="288" spans="1:12">
      <c r="A288" s="9" t="s">
        <v>723</v>
      </c>
      <c r="B288" s="57" t="s">
        <v>314</v>
      </c>
      <c r="C288" s="57">
        <v>2020</v>
      </c>
      <c r="D288" s="58">
        <f>MATCH(B288,{"GENNAIO","FEBBRAIO","MARZO","APRILE","MAGGIO","GIUGNO","LUGLIO","AGOSTO","SETTEMBRE","OTTOBRE","NOVEMBRE","DICEMBRE"},0)</f>
        <v>6</v>
      </c>
      <c r="E288" s="57" t="str">
        <f t="shared" si="150"/>
        <v>GIUGNO 2020</v>
      </c>
      <c r="F288" s="57" t="str">
        <f t="shared" si="151"/>
        <v>6 GIUGNO 2020</v>
      </c>
      <c r="G288" s="59" t="s">
        <v>185</v>
      </c>
      <c r="H288" s="59" t="str">
        <f>VLOOKUP(G288,CATEGORIE!$H$3:$I$55,2,FALSE)</f>
        <v>COSTO SFIZI</v>
      </c>
      <c r="I288" s="59">
        <v>40</v>
      </c>
      <c r="J288" s="59"/>
      <c r="K288" s="59"/>
      <c r="L288" s="59" t="s">
        <v>724</v>
      </c>
    </row>
    <row r="289" spans="1:12">
      <c r="A289" s="57" t="s">
        <v>1257</v>
      </c>
      <c r="B289" s="57" t="s">
        <v>314</v>
      </c>
      <c r="C289" s="57">
        <v>2020</v>
      </c>
      <c r="D289" s="58">
        <f>MATCH(B289,{"GENNAIO","FEBBRAIO","MARZO","APRILE","MAGGIO","GIUGNO","LUGLIO","AGOSTO","SETTEMBRE","OTTOBRE","NOVEMBRE","DICEMBRE"},0)</f>
        <v>6</v>
      </c>
      <c r="E289" s="57" t="str">
        <f t="shared" si="150"/>
        <v>GIUGNO 2020</v>
      </c>
      <c r="F289" s="57" t="str">
        <f t="shared" si="151"/>
        <v>6 GIUGNO 2020</v>
      </c>
      <c r="G289" s="59" t="s">
        <v>1289</v>
      </c>
      <c r="H289" s="59" t="str">
        <f>VLOOKUP(G289,CATEGORIE!$H$3:$I$55,2,FALSE)</f>
        <v>COSTO SFIZI</v>
      </c>
      <c r="I289" s="59">
        <v>42</v>
      </c>
      <c r="J289" s="59"/>
      <c r="K289" s="59"/>
      <c r="L289" s="59"/>
    </row>
    <row r="290" spans="1:12">
      <c r="A290" s="57" t="s">
        <v>106</v>
      </c>
      <c r="B290" s="57" t="s">
        <v>314</v>
      </c>
      <c r="C290" s="57">
        <v>2020</v>
      </c>
      <c r="D290" s="58">
        <f>MATCH(B290,{"GENNAIO","FEBBRAIO","MARZO","APRILE","MAGGIO","GIUGNO","LUGLIO","AGOSTO","SETTEMBRE","OTTOBRE","NOVEMBRE","DICEMBRE"},0)</f>
        <v>6</v>
      </c>
      <c r="E290" s="57" t="str">
        <f t="shared" si="150"/>
        <v>GIUGNO 2020</v>
      </c>
      <c r="F290" s="57" t="str">
        <f t="shared" si="151"/>
        <v>6 GIUGNO 2020</v>
      </c>
      <c r="G290" s="59" t="s">
        <v>107</v>
      </c>
      <c r="H290" s="59" t="str">
        <f>VLOOKUP(G290,CATEGORIE!$H$3:$I$55,2,FALSE)</f>
        <v>COSTO SOPRAVVIVENZA</v>
      </c>
      <c r="I290" s="59">
        <v>100</v>
      </c>
      <c r="J290" s="59"/>
      <c r="K290" s="59"/>
      <c r="L290" s="59"/>
    </row>
    <row r="291" spans="1:12">
      <c r="A291" s="57" t="s">
        <v>789</v>
      </c>
      <c r="B291" s="57" t="s">
        <v>314</v>
      </c>
      <c r="C291" s="57">
        <v>2020</v>
      </c>
      <c r="D291" s="58">
        <f>MATCH(B291,{"GENNAIO","FEBBRAIO","MARZO","APRILE","MAGGIO","GIUGNO","LUGLIO","AGOSTO","SETTEMBRE","OTTOBRE","NOVEMBRE","DICEMBRE"},0)</f>
        <v>6</v>
      </c>
      <c r="E291" s="57" t="str">
        <f t="shared" si="150"/>
        <v>GIUGNO 2020</v>
      </c>
      <c r="F291" s="57" t="str">
        <f t="shared" si="151"/>
        <v>6 GIUGNO 2020</v>
      </c>
      <c r="G291" s="59" t="s">
        <v>789</v>
      </c>
      <c r="H291" s="59" t="str">
        <f>VLOOKUP(G291,CATEGORIE!$H$3:$I$55,2,FALSE)</f>
        <v>MOVIMENTI CONTO</v>
      </c>
      <c r="I291" s="59">
        <v>122</v>
      </c>
      <c r="J291" s="59"/>
      <c r="K291" s="59"/>
      <c r="L291" s="59"/>
    </row>
    <row r="292" spans="1:12">
      <c r="A292" s="57" t="s">
        <v>725</v>
      </c>
      <c r="B292" s="57" t="s">
        <v>314</v>
      </c>
      <c r="C292" s="57">
        <v>2020</v>
      </c>
      <c r="D292" s="58">
        <f>MATCH(B292,{"GENNAIO","FEBBRAIO","MARZO","APRILE","MAGGIO","GIUGNO","LUGLIO","AGOSTO","SETTEMBRE","OTTOBRE","NOVEMBRE","DICEMBRE"},0)</f>
        <v>6</v>
      </c>
      <c r="E292" s="57" t="str">
        <f t="shared" si="150"/>
        <v>GIUGNO 2020</v>
      </c>
      <c r="F292" s="57" t="str">
        <f t="shared" si="151"/>
        <v>6 GIUGNO 2020</v>
      </c>
      <c r="G292" s="59" t="s">
        <v>693</v>
      </c>
      <c r="H292" s="59" t="str">
        <f>VLOOKUP(G292,CATEGORIE!$H$3:$I$55,2,FALSE)</f>
        <v>GESTIONE CONTO</v>
      </c>
      <c r="I292" s="59">
        <v>48.5</v>
      </c>
      <c r="J292" s="59"/>
      <c r="K292" s="59"/>
      <c r="L292" s="59"/>
    </row>
    <row r="293" spans="1:12">
      <c r="A293" s="9" t="s">
        <v>723</v>
      </c>
      <c r="B293" s="57" t="s">
        <v>333</v>
      </c>
      <c r="C293" s="57">
        <v>2020</v>
      </c>
      <c r="D293" s="58">
        <f>MATCH(B293,{"GENNAIO","FEBBRAIO","MARZO","APRILE","MAGGIO","GIUGNO","LUGLIO","AGOSTO","SETTEMBRE","OTTOBRE","NOVEMBRE","DICEMBRE"},0)</f>
        <v>5</v>
      </c>
      <c r="E293" s="57" t="str">
        <f t="shared" si="150"/>
        <v>MAGGIO 2020</v>
      </c>
      <c r="F293" s="57" t="str">
        <f t="shared" si="151"/>
        <v>5 MAGGIO 2020</v>
      </c>
      <c r="G293" s="59" t="s">
        <v>185</v>
      </c>
      <c r="H293" s="59" t="str">
        <f>VLOOKUP(G293,CATEGORIE!$H$3:$I$55,2,FALSE)</f>
        <v>COSTO SFIZI</v>
      </c>
      <c r="I293" s="59">
        <v>40</v>
      </c>
      <c r="J293" s="59"/>
      <c r="K293" s="59"/>
      <c r="L293" s="59" t="s">
        <v>724</v>
      </c>
    </row>
    <row r="294" spans="1:12">
      <c r="A294" s="57" t="s">
        <v>789</v>
      </c>
      <c r="B294" s="57" t="s">
        <v>333</v>
      </c>
      <c r="C294" s="57">
        <v>2020</v>
      </c>
      <c r="D294" s="58">
        <f>MATCH(B294,{"GENNAIO","FEBBRAIO","MARZO","APRILE","MAGGIO","GIUGNO","LUGLIO","AGOSTO","SETTEMBRE","OTTOBRE","NOVEMBRE","DICEMBRE"},0)</f>
        <v>5</v>
      </c>
      <c r="E294" s="57" t="str">
        <f t="shared" si="150"/>
        <v>MAGGIO 2020</v>
      </c>
      <c r="F294" s="57" t="str">
        <f t="shared" si="151"/>
        <v>5 MAGGIO 2020</v>
      </c>
      <c r="G294" s="59" t="s">
        <v>789</v>
      </c>
      <c r="H294" s="59" t="str">
        <f>VLOOKUP(G294,CATEGORIE!$H$3:$I$55,2,FALSE)</f>
        <v>MOVIMENTI CONTO</v>
      </c>
      <c r="I294" s="59">
        <v>102</v>
      </c>
      <c r="J294" s="59"/>
      <c r="K294" s="59"/>
      <c r="L294" s="59"/>
    </row>
    <row r="295" spans="1:12">
      <c r="A295" s="9" t="s">
        <v>723</v>
      </c>
      <c r="B295" s="57" t="s">
        <v>352</v>
      </c>
      <c r="C295" s="57">
        <v>2020</v>
      </c>
      <c r="D295" s="58">
        <f>MATCH(B295,{"GENNAIO","FEBBRAIO","MARZO","APRILE","MAGGIO","GIUGNO","LUGLIO","AGOSTO","SETTEMBRE","OTTOBRE","NOVEMBRE","DICEMBRE"},0)</f>
        <v>4</v>
      </c>
      <c r="E295" s="57" t="str">
        <f t="shared" si="150"/>
        <v>APRILE 2020</v>
      </c>
      <c r="F295" s="57" t="str">
        <f t="shared" si="151"/>
        <v>4 APRILE 2020</v>
      </c>
      <c r="G295" s="59" t="s">
        <v>185</v>
      </c>
      <c r="H295" s="59" t="str">
        <f>VLOOKUP(G295,CATEGORIE!$H$3:$I$55,2,FALSE)</f>
        <v>COSTO SFIZI</v>
      </c>
      <c r="I295" s="59">
        <v>40</v>
      </c>
      <c r="J295" s="59"/>
      <c r="K295" s="59"/>
      <c r="L295" s="59" t="s">
        <v>724</v>
      </c>
    </row>
    <row r="296" spans="1:12">
      <c r="A296" s="57" t="s">
        <v>1273</v>
      </c>
      <c r="B296" s="57" t="s">
        <v>90</v>
      </c>
      <c r="C296" s="57">
        <v>2020</v>
      </c>
      <c r="D296" s="58">
        <f>MATCH(B296,{"GENNAIO","FEBBRAIO","MARZO","APRILE","MAGGIO","GIUGNO","LUGLIO","AGOSTO","SETTEMBRE","OTTOBRE","NOVEMBRE","DICEMBRE"},0)</f>
        <v>3</v>
      </c>
      <c r="E296" s="57" t="str">
        <f t="shared" si="150"/>
        <v>MARZO 2020</v>
      </c>
      <c r="F296" s="57" t="str">
        <f t="shared" si="151"/>
        <v>3 MARZO 2020</v>
      </c>
      <c r="G296" s="59" t="s">
        <v>1246</v>
      </c>
      <c r="H296" s="59" t="str">
        <f>VLOOKUP(G296,CATEGORIE!$H$3:$I$55,2,FALSE)</f>
        <v>COSTO SVAGHI</v>
      </c>
      <c r="I296" s="59">
        <v>120.5</v>
      </c>
      <c r="J296" s="59"/>
      <c r="K296" s="59"/>
      <c r="L296" s="59"/>
    </row>
    <row r="297" spans="1:12">
      <c r="A297" s="57" t="s">
        <v>587</v>
      </c>
      <c r="B297" s="57" t="s">
        <v>90</v>
      </c>
      <c r="C297" s="57">
        <v>2020</v>
      </c>
      <c r="D297" s="58">
        <f>MATCH(B297,{"GENNAIO","FEBBRAIO","MARZO","APRILE","MAGGIO","GIUGNO","LUGLIO","AGOSTO","SETTEMBRE","OTTOBRE","NOVEMBRE","DICEMBRE"},0)</f>
        <v>3</v>
      </c>
      <c r="E297" s="57" t="str">
        <f t="shared" si="150"/>
        <v>MARZO 2020</v>
      </c>
      <c r="F297" s="57" t="str">
        <f t="shared" si="151"/>
        <v>3 MARZO 2020</v>
      </c>
      <c r="G297" s="59" t="s">
        <v>94</v>
      </c>
      <c r="H297" s="59" t="str">
        <f>VLOOKUP(G297,CATEGORIE!$H$3:$I$55,2,FALSE)</f>
        <v>COSTO SVAGHI</v>
      </c>
      <c r="I297" s="59">
        <v>28.3</v>
      </c>
      <c r="J297" s="59"/>
      <c r="K297" s="59"/>
      <c r="L297" s="59"/>
    </row>
    <row r="298" spans="1:12">
      <c r="A298" s="57" t="s">
        <v>789</v>
      </c>
      <c r="B298" s="57" t="s">
        <v>129</v>
      </c>
      <c r="C298" s="57">
        <v>2020</v>
      </c>
      <c r="D298" s="58">
        <f>MATCH(B298,{"GENNAIO","FEBBRAIO","MARZO","APRILE","MAGGIO","GIUGNO","LUGLIO","AGOSTO","SETTEMBRE","OTTOBRE","NOVEMBRE","DICEMBRE"},0)</f>
        <v>2</v>
      </c>
      <c r="E298" s="57" t="str">
        <f t="shared" si="150"/>
        <v>FEBBRAIO 2020</v>
      </c>
      <c r="F298" s="57" t="str">
        <f t="shared" si="151"/>
        <v>2 FEBBRAIO 2020</v>
      </c>
      <c r="G298" s="59" t="s">
        <v>789</v>
      </c>
      <c r="H298" s="59" t="str">
        <f>VLOOKUP(G298,CATEGORIE!$H$3:$I$55,2,FALSE)</f>
        <v>MOVIMENTI CONTO</v>
      </c>
      <c r="I298" s="59">
        <v>70</v>
      </c>
      <c r="J298" s="59"/>
      <c r="K298" s="59"/>
      <c r="L298" s="59"/>
    </row>
    <row r="299" spans="1:12">
      <c r="A299" s="57" t="s">
        <v>106</v>
      </c>
      <c r="B299" s="57" t="s">
        <v>129</v>
      </c>
      <c r="C299" s="57">
        <v>2020</v>
      </c>
      <c r="D299" s="58">
        <f>MATCH(B299,{"GENNAIO","FEBBRAIO","MARZO","APRILE","MAGGIO","GIUGNO","LUGLIO","AGOSTO","SETTEMBRE","OTTOBRE","NOVEMBRE","DICEMBRE"},0)</f>
        <v>2</v>
      </c>
      <c r="E299" s="57" t="str">
        <f t="shared" si="150"/>
        <v>FEBBRAIO 2020</v>
      </c>
      <c r="F299" s="57" t="str">
        <f t="shared" si="151"/>
        <v>2 FEBBRAIO 2020</v>
      </c>
      <c r="G299" s="59" t="s">
        <v>107</v>
      </c>
      <c r="H299" s="59" t="str">
        <f>VLOOKUP(G299,CATEGORIE!$H$3:$I$55,2,FALSE)</f>
        <v>COSTO SOPRAVVIVENZA</v>
      </c>
      <c r="I299" s="59">
        <v>132</v>
      </c>
      <c r="J299" s="59"/>
      <c r="K299" s="59"/>
      <c r="L299" s="59"/>
    </row>
    <row r="300" spans="1:12">
      <c r="A300" s="57" t="s">
        <v>436</v>
      </c>
      <c r="B300" s="57" t="s">
        <v>129</v>
      </c>
      <c r="C300" s="57">
        <v>2020</v>
      </c>
      <c r="D300" s="58">
        <f>MATCH(B300,{"GENNAIO","FEBBRAIO","MARZO","APRILE","MAGGIO","GIUGNO","LUGLIO","AGOSTO","SETTEMBRE","OTTOBRE","NOVEMBRE","DICEMBRE"},0)</f>
        <v>2</v>
      </c>
      <c r="E300" s="57" t="str">
        <f t="shared" si="150"/>
        <v>FEBBRAIO 2020</v>
      </c>
      <c r="F300" s="57" t="str">
        <f t="shared" si="151"/>
        <v>2 FEBBRAIO 2020</v>
      </c>
      <c r="G300" s="59" t="s">
        <v>121</v>
      </c>
      <c r="H300" s="59" t="str">
        <f>VLOOKUP(G300,CATEGORIE!$H$3:$I$55,2,FALSE)</f>
        <v>COSTO MOBILITA'</v>
      </c>
      <c r="I300" s="59">
        <v>310</v>
      </c>
      <c r="J300" s="59"/>
      <c r="K300" s="59"/>
      <c r="L300" s="59"/>
    </row>
    <row r="301" spans="1:12">
      <c r="A301" s="57" t="s">
        <v>676</v>
      </c>
      <c r="B301" s="57" t="s">
        <v>154</v>
      </c>
      <c r="C301" s="57">
        <v>2020</v>
      </c>
      <c r="D301" s="58">
        <f>MATCH(B301,{"GENNAIO","FEBBRAIO","MARZO","APRILE","MAGGIO","GIUGNO","LUGLIO","AGOSTO","SETTEMBRE","OTTOBRE","NOVEMBRE","DICEMBRE"},0)</f>
        <v>1</v>
      </c>
      <c r="E301" s="57" t="str">
        <f t="shared" si="150"/>
        <v>GENNAIO 2020</v>
      </c>
      <c r="F301" s="57" t="str">
        <f t="shared" si="151"/>
        <v>1 GENNAIO 2020</v>
      </c>
      <c r="G301" s="59" t="s">
        <v>116</v>
      </c>
      <c r="H301" s="59" t="str">
        <f>VLOOKUP(G301,CATEGORIE!$H$3:$I$55,2,FALSE)</f>
        <v>TASSE</v>
      </c>
      <c r="I301" s="59">
        <v>34.200000000000003</v>
      </c>
      <c r="J301" s="59"/>
      <c r="K301" s="59"/>
      <c r="L301" s="59"/>
    </row>
    <row r="302" spans="1:12">
      <c r="A302" s="57" t="s">
        <v>156</v>
      </c>
      <c r="B302" s="57" t="s">
        <v>154</v>
      </c>
      <c r="C302" s="57">
        <v>2020</v>
      </c>
      <c r="D302" s="58">
        <f>MATCH(B302,{"GENNAIO","FEBBRAIO","MARZO","APRILE","MAGGIO","GIUGNO","LUGLIO","AGOSTO","SETTEMBRE","OTTOBRE","NOVEMBRE","DICEMBRE"},0)</f>
        <v>1</v>
      </c>
      <c r="E302" s="57" t="str">
        <f t="shared" si="150"/>
        <v>GENNAIO 2020</v>
      </c>
      <c r="F302" s="57" t="str">
        <f t="shared" si="151"/>
        <v>1 GENNAIO 2020</v>
      </c>
      <c r="G302" s="59" t="s">
        <v>96</v>
      </c>
      <c r="H302" s="59" t="str">
        <f>VLOOKUP(G302,CATEGORIE!$H$3:$I$55,2,FALSE)</f>
        <v>COSTO SOPRAVVIVENZA</v>
      </c>
      <c r="I302" s="59">
        <v>97.89</v>
      </c>
      <c r="J302" s="59"/>
      <c r="K302" s="59"/>
      <c r="L302" s="59"/>
    </row>
    <row r="303" spans="1:12">
      <c r="A303" s="57" t="s">
        <v>1285</v>
      </c>
      <c r="B303" s="57" t="s">
        <v>154</v>
      </c>
      <c r="C303" s="57">
        <v>2020</v>
      </c>
      <c r="D303" s="58">
        <f>MATCH(B303,{"GENNAIO","FEBBRAIO","MARZO","APRILE","MAGGIO","GIUGNO","LUGLIO","AGOSTO","SETTEMBRE","OTTOBRE","NOVEMBRE","DICEMBRE"},0)</f>
        <v>1</v>
      </c>
      <c r="E303" s="57" t="str">
        <f t="shared" si="150"/>
        <v>GENNAIO 2020</v>
      </c>
      <c r="F303" s="57" t="str">
        <f t="shared" si="151"/>
        <v>1 GENNAIO 2020</v>
      </c>
      <c r="G303" s="59" t="s">
        <v>185</v>
      </c>
      <c r="H303" s="59" t="str">
        <f>VLOOKUP(G303,CATEGORIE!$H$3:$I$55,2,FALSE)</f>
        <v>COSTO SFIZI</v>
      </c>
      <c r="I303" s="59">
        <v>30.5</v>
      </c>
      <c r="J303" s="59"/>
      <c r="K303" s="59"/>
      <c r="L303" s="59"/>
    </row>
    <row r="304" spans="1:12">
      <c r="A304" s="57" t="s">
        <v>160</v>
      </c>
      <c r="B304" s="57" t="s">
        <v>154</v>
      </c>
      <c r="C304" s="57">
        <v>2020</v>
      </c>
      <c r="D304" s="58">
        <f>MATCH(B304,{"GENNAIO","FEBBRAIO","MARZO","APRILE","MAGGIO","GIUGNO","LUGLIO","AGOSTO","SETTEMBRE","OTTOBRE","NOVEMBRE","DICEMBRE"},0)</f>
        <v>1</v>
      </c>
      <c r="E304" s="57" t="str">
        <f t="shared" si="150"/>
        <v>GENNAIO 2020</v>
      </c>
      <c r="F304" s="57" t="str">
        <f t="shared" si="151"/>
        <v>1 GENNAIO 2020</v>
      </c>
      <c r="G304" s="59" t="s">
        <v>111</v>
      </c>
      <c r="H304" s="59" t="str">
        <f>VLOOKUP(G304,CATEGORIE!$H$3:$I$55,2,FALSE)</f>
        <v>COSTO MOBILITA'</v>
      </c>
      <c r="I304" s="59">
        <v>55.1</v>
      </c>
      <c r="J304" s="59"/>
      <c r="K304" s="59"/>
      <c r="L304" s="59"/>
    </row>
    <row r="305" spans="1:12">
      <c r="A305" s="57" t="s">
        <v>1286</v>
      </c>
      <c r="B305" s="57" t="s">
        <v>154</v>
      </c>
      <c r="C305" s="57">
        <v>2020</v>
      </c>
      <c r="D305" s="58">
        <f>MATCH(B305,{"GENNAIO","FEBBRAIO","MARZO","APRILE","MAGGIO","GIUGNO","LUGLIO","AGOSTO","SETTEMBRE","OTTOBRE","NOVEMBRE","DICEMBRE"},0)</f>
        <v>1</v>
      </c>
      <c r="E305" s="57" t="str">
        <f t="shared" si="150"/>
        <v>GENNAIO 2020</v>
      </c>
      <c r="F305" s="57" t="str">
        <f t="shared" si="151"/>
        <v>1 GENNAIO 2020</v>
      </c>
      <c r="G305" s="59" t="s">
        <v>94</v>
      </c>
      <c r="H305" s="59" t="str">
        <f>VLOOKUP(G305,CATEGORIE!$H$3:$I$55,2,FALSE)</f>
        <v>COSTO SVAGHI</v>
      </c>
      <c r="I305" s="59">
        <v>44.2</v>
      </c>
      <c r="J305" s="59"/>
      <c r="K305" s="59"/>
      <c r="L305" s="59"/>
    </row>
    <row r="306" spans="1:12">
      <c r="A306" s="57" t="s">
        <v>106</v>
      </c>
      <c r="B306" s="57" t="s">
        <v>173</v>
      </c>
      <c r="C306" s="57">
        <v>2019</v>
      </c>
      <c r="D306" s="58">
        <f>MATCH(B306,{"GENNAIO","FEBBRAIO","MARZO","APRILE","MAGGIO","GIUGNO","LUGLIO","AGOSTO","SETTEMBRE","OTTOBRE","NOVEMBRE","DICEMBRE"},0)</f>
        <v>12</v>
      </c>
      <c r="E306" s="57" t="str">
        <f t="shared" si="150"/>
        <v>DICEMBRE 2019</v>
      </c>
      <c r="F306" s="57" t="str">
        <f t="shared" si="151"/>
        <v>12 DICEMBRE 2019</v>
      </c>
      <c r="G306" s="59" t="s">
        <v>107</v>
      </c>
      <c r="H306" s="59" t="str">
        <f>VLOOKUP(G306,CATEGORIE!$H$3:$I$55,2,FALSE)</f>
        <v>COSTO SOPRAVVIVENZA</v>
      </c>
      <c r="I306" s="59">
        <v>100</v>
      </c>
      <c r="J306" s="59"/>
      <c r="K306" s="59"/>
      <c r="L306" s="59"/>
    </row>
    <row r="307" spans="1:12">
      <c r="A307" s="57" t="s">
        <v>789</v>
      </c>
      <c r="B307" s="57" t="s">
        <v>173</v>
      </c>
      <c r="C307" s="57">
        <v>2019</v>
      </c>
      <c r="D307" s="58">
        <f>MATCH(B307,{"GENNAIO","FEBBRAIO","MARZO","APRILE","MAGGIO","GIUGNO","LUGLIO","AGOSTO","SETTEMBRE","OTTOBRE","NOVEMBRE","DICEMBRE"},0)</f>
        <v>12</v>
      </c>
      <c r="E307" s="57" t="str">
        <f t="shared" si="150"/>
        <v>DICEMBRE 2019</v>
      </c>
      <c r="F307" s="57" t="str">
        <f t="shared" si="151"/>
        <v>12 DICEMBRE 2019</v>
      </c>
      <c r="G307" s="59" t="s">
        <v>789</v>
      </c>
      <c r="H307" s="59" t="str">
        <f>VLOOKUP(G307,CATEGORIE!$H$3:$I$55,2,FALSE)</f>
        <v>MOVIMENTI CONTO</v>
      </c>
      <c r="I307" s="59">
        <v>100</v>
      </c>
      <c r="J307" s="59"/>
      <c r="K307" s="59"/>
      <c r="L307" s="59"/>
    </row>
    <row r="308" spans="1:12">
      <c r="A308" s="57" t="s">
        <v>789</v>
      </c>
      <c r="B308" s="57" t="s">
        <v>173</v>
      </c>
      <c r="C308" s="57">
        <v>2019</v>
      </c>
      <c r="D308" s="58">
        <f>MATCH(B308,{"GENNAIO","FEBBRAIO","MARZO","APRILE","MAGGIO","GIUGNO","LUGLIO","AGOSTO","SETTEMBRE","OTTOBRE","NOVEMBRE","DICEMBRE"},0)</f>
        <v>12</v>
      </c>
      <c r="E308" s="57" t="str">
        <f t="shared" si="150"/>
        <v>DICEMBRE 2019</v>
      </c>
      <c r="F308" s="57" t="str">
        <f t="shared" si="151"/>
        <v>12 DICEMBRE 2019</v>
      </c>
      <c r="G308" s="59" t="s">
        <v>789</v>
      </c>
      <c r="H308" s="59" t="str">
        <f>VLOOKUP(G308,CATEGORIE!$H$3:$I$55,2,FALSE)</f>
        <v>MOVIMENTI CONTO</v>
      </c>
      <c r="I308" s="59">
        <v>150</v>
      </c>
      <c r="J308" s="59"/>
      <c r="K308" s="59"/>
      <c r="L308" s="59"/>
    </row>
    <row r="309" spans="1:12">
      <c r="A309" s="57" t="s">
        <v>789</v>
      </c>
      <c r="B309" s="57" t="s">
        <v>173</v>
      </c>
      <c r="C309" s="57">
        <v>2019</v>
      </c>
      <c r="D309" s="58">
        <f>MATCH(B309,{"GENNAIO","FEBBRAIO","MARZO","APRILE","MAGGIO","GIUGNO","LUGLIO","AGOSTO","SETTEMBRE","OTTOBRE","NOVEMBRE","DICEMBRE"},0)</f>
        <v>12</v>
      </c>
      <c r="E309" s="57" t="str">
        <f t="shared" si="150"/>
        <v>DICEMBRE 2019</v>
      </c>
      <c r="F309" s="57" t="str">
        <f t="shared" si="151"/>
        <v>12 DICEMBRE 2019</v>
      </c>
      <c r="G309" s="59" t="s">
        <v>789</v>
      </c>
      <c r="H309" s="59" t="str">
        <f>VLOOKUP(G309,CATEGORIE!$H$3:$I$55,2,FALSE)</f>
        <v>MOVIMENTI CONTO</v>
      </c>
      <c r="I309" s="59">
        <v>160</v>
      </c>
      <c r="J309" s="59"/>
      <c r="K309" s="59"/>
      <c r="L309" s="59"/>
    </row>
    <row r="310" spans="1:12">
      <c r="A310" s="57" t="s">
        <v>92</v>
      </c>
      <c r="B310" s="57" t="s">
        <v>173</v>
      </c>
      <c r="C310" s="57">
        <v>2019</v>
      </c>
      <c r="D310" s="58">
        <f>MATCH(B310,{"GENNAIO","FEBBRAIO","MARZO","APRILE","MAGGIO","GIUGNO","LUGLIO","AGOSTO","SETTEMBRE","OTTOBRE","NOVEMBRE","DICEMBRE"},0)</f>
        <v>12</v>
      </c>
      <c r="E310" s="57" t="str">
        <f t="shared" si="150"/>
        <v>DICEMBRE 2019</v>
      </c>
      <c r="F310" s="57" t="str">
        <f t="shared" si="151"/>
        <v>12 DICEMBRE 2019</v>
      </c>
      <c r="G310" s="59" t="s">
        <v>94</v>
      </c>
      <c r="H310" s="59" t="str">
        <f>VLOOKUP(G310,CATEGORIE!$H$3:$I$55,2,FALSE)</f>
        <v>COSTO SVAGHI</v>
      </c>
      <c r="I310" s="59">
        <v>4</v>
      </c>
      <c r="J310" s="59"/>
      <c r="K310" s="59"/>
      <c r="L310" s="59"/>
    </row>
    <row r="311" spans="1:12">
      <c r="A311" s="57" t="s">
        <v>1284</v>
      </c>
      <c r="B311" s="57" t="s">
        <v>173</v>
      </c>
      <c r="C311" s="57">
        <v>2019</v>
      </c>
      <c r="D311" s="58">
        <f>MATCH(B311,{"GENNAIO","FEBBRAIO","MARZO","APRILE","MAGGIO","GIUGNO","LUGLIO","AGOSTO","SETTEMBRE","OTTOBRE","NOVEMBRE","DICEMBRE"},0)</f>
        <v>12</v>
      </c>
      <c r="E311" s="57" t="str">
        <f t="shared" si="150"/>
        <v>DICEMBRE 2019</v>
      </c>
      <c r="F311" s="57" t="str">
        <f t="shared" si="151"/>
        <v>12 DICEMBRE 2019</v>
      </c>
      <c r="G311" s="59" t="s">
        <v>94</v>
      </c>
      <c r="H311" s="59" t="str">
        <f>VLOOKUP(G311,CATEGORIE!$H$3:$I$55,2,FALSE)</f>
        <v>COSTO SVAGHI</v>
      </c>
      <c r="I311" s="59">
        <v>21</v>
      </c>
      <c r="J311" s="59"/>
      <c r="K311" s="59"/>
      <c r="L311" s="59"/>
    </row>
    <row r="312" spans="1:12">
      <c r="A312" s="57" t="s">
        <v>714</v>
      </c>
      <c r="B312" s="57" t="s">
        <v>173</v>
      </c>
      <c r="C312" s="57">
        <v>2019</v>
      </c>
      <c r="D312" s="58">
        <f>MATCH(B312,{"GENNAIO","FEBBRAIO","MARZO","APRILE","MAGGIO","GIUGNO","LUGLIO","AGOSTO","SETTEMBRE","OTTOBRE","NOVEMBRE","DICEMBRE"},0)</f>
        <v>12</v>
      </c>
      <c r="E312" s="57" t="str">
        <f t="shared" si="150"/>
        <v>DICEMBRE 2019</v>
      </c>
      <c r="F312" s="57" t="str">
        <f t="shared" si="151"/>
        <v>12 DICEMBRE 2019</v>
      </c>
      <c r="G312" s="59" t="s">
        <v>785</v>
      </c>
      <c r="H312" s="59" t="str">
        <f>VLOOKUP(G312,CATEGORIE!$H$3:$I$55,2,FALSE)</f>
        <v>COSTO MOBILITA'</v>
      </c>
      <c r="I312" s="59">
        <v>80.52</v>
      </c>
      <c r="J312" s="59"/>
      <c r="K312" s="59"/>
      <c r="L312" s="59"/>
    </row>
    <row r="313" spans="1:12">
      <c r="A313" s="57" t="s">
        <v>789</v>
      </c>
      <c r="B313" s="57" t="s">
        <v>173</v>
      </c>
      <c r="C313" s="57">
        <v>2019</v>
      </c>
      <c r="D313" s="58">
        <f>MATCH(B313,{"GENNAIO","FEBBRAIO","MARZO","APRILE","MAGGIO","GIUGNO","LUGLIO","AGOSTO","SETTEMBRE","OTTOBRE","NOVEMBRE","DICEMBRE"},0)</f>
        <v>12</v>
      </c>
      <c r="E313" s="57" t="str">
        <f t="shared" si="150"/>
        <v>DICEMBRE 2019</v>
      </c>
      <c r="F313" s="57" t="str">
        <f t="shared" si="151"/>
        <v>12 DICEMBRE 2019</v>
      </c>
      <c r="G313" s="59" t="s">
        <v>789</v>
      </c>
      <c r="H313" s="59" t="str">
        <f>VLOOKUP(G313,CATEGORIE!$H$3:$I$55,2,FALSE)</f>
        <v>MOVIMENTI CONTO</v>
      </c>
      <c r="I313" s="59">
        <v>72</v>
      </c>
      <c r="J313" s="59"/>
      <c r="K313" s="59"/>
      <c r="L313" s="59"/>
    </row>
    <row r="314" spans="1:12">
      <c r="A314" s="57" t="s">
        <v>1044</v>
      </c>
      <c r="B314" s="57" t="s">
        <v>173</v>
      </c>
      <c r="C314" s="57">
        <v>2019</v>
      </c>
      <c r="D314" s="58">
        <f>MATCH(B314,{"GENNAIO","FEBBRAIO","MARZO","APRILE","MAGGIO","GIUGNO","LUGLIO","AGOSTO","SETTEMBRE","OTTOBRE","NOVEMBRE","DICEMBRE"},0)</f>
        <v>12</v>
      </c>
      <c r="E314" s="57" t="str">
        <f t="shared" si="150"/>
        <v>DICEMBRE 2019</v>
      </c>
      <c r="F314" s="57" t="str">
        <f t="shared" si="151"/>
        <v>12 DICEMBRE 2019</v>
      </c>
      <c r="G314" s="59" t="s">
        <v>116</v>
      </c>
      <c r="H314" s="59" t="str">
        <f>VLOOKUP(G314,CATEGORIE!$H$3:$I$55,2,FALSE)</f>
        <v>TASSE</v>
      </c>
      <c r="I314" s="59">
        <v>0.23</v>
      </c>
      <c r="J314" s="59"/>
      <c r="K314" s="59"/>
      <c r="L314" s="59"/>
    </row>
    <row r="315" spans="1:12">
      <c r="A315" s="57" t="s">
        <v>714</v>
      </c>
      <c r="B315" s="57" t="s">
        <v>200</v>
      </c>
      <c r="C315" s="57">
        <v>2019</v>
      </c>
      <c r="D315" s="58">
        <f>MATCH(B315,{"GENNAIO","FEBBRAIO","MARZO","APRILE","MAGGIO","GIUGNO","LUGLIO","AGOSTO","SETTEMBRE","OTTOBRE","NOVEMBRE","DICEMBRE"},0)</f>
        <v>11</v>
      </c>
      <c r="E315" s="57" t="str">
        <f t="shared" si="150"/>
        <v>NOVEMBRE 2019</v>
      </c>
      <c r="F315" s="57" t="str">
        <f t="shared" si="151"/>
        <v>11 NOVEMBRE 2019</v>
      </c>
      <c r="G315" s="59" t="s">
        <v>785</v>
      </c>
      <c r="H315" s="59" t="str">
        <f>VLOOKUP(G315,CATEGORIE!$H$3:$I$55,2,FALSE)</f>
        <v>COSTO MOBILITA'</v>
      </c>
      <c r="I315" s="59">
        <v>25</v>
      </c>
      <c r="J315" s="59"/>
      <c r="K315" s="59"/>
      <c r="L315" s="59"/>
    </row>
  </sheetData>
  <autoFilter ref="A1:L315" xr:uid="{93992153-0EA4-44C2-A3AE-C71687E88B26}">
    <sortState xmlns:xlrd2="http://schemas.microsoft.com/office/spreadsheetml/2017/richdata2" ref="A2:L214">
      <sortCondition descending="1" ref="C1:C214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41BF-E5F7-4584-9E6A-7C9A5ACA9D92}">
  <sheetPr codeName="Foglio3"/>
  <dimension ref="A1:O28"/>
  <sheetViews>
    <sheetView showGridLines="0" workbookViewId="0">
      <selection activeCell="E22" sqref="E22"/>
    </sheetView>
  </sheetViews>
  <sheetFormatPr defaultColWidth="9.140625" defaultRowHeight="15"/>
  <cols>
    <col min="1" max="1" width="31.7109375" style="9" bestFit="1" customWidth="1"/>
    <col min="2" max="2" width="23" style="9" bestFit="1" customWidth="1"/>
    <col min="3" max="3" width="20.42578125" style="9" bestFit="1" customWidth="1"/>
    <col min="4" max="4" width="19.7109375" style="9" bestFit="1" customWidth="1"/>
    <col min="5" max="5" width="17.28515625" style="9" bestFit="1" customWidth="1"/>
    <col min="6" max="6" width="17.7109375" style="9" bestFit="1" customWidth="1"/>
    <col min="7" max="7" width="14.85546875" style="9" bestFit="1" customWidth="1"/>
    <col min="8" max="8" width="14.7109375" style="9" bestFit="1" customWidth="1"/>
    <col min="9" max="9" width="20.140625" style="9" bestFit="1" customWidth="1"/>
    <col min="10" max="10" width="19.7109375" style="9" bestFit="1" customWidth="1"/>
    <col min="11" max="11" width="18.42578125" style="9" bestFit="1" customWidth="1"/>
    <col min="12" max="12" width="20.42578125" style="9" bestFit="1" customWidth="1"/>
    <col min="13" max="13" width="19.7109375" style="9" bestFit="1" customWidth="1"/>
    <col min="14" max="14" width="17.28515625" style="9" bestFit="1" customWidth="1"/>
    <col min="15" max="15" width="20.140625" style="9" bestFit="1" customWidth="1"/>
    <col min="16" max="16" width="13.7109375" style="9" bestFit="1" customWidth="1"/>
    <col min="17" max="17" width="12.85546875" style="9" bestFit="1" customWidth="1"/>
    <col min="18" max="18" width="15" style="9" bestFit="1" customWidth="1"/>
    <col min="19" max="19" width="14.7109375" style="9" bestFit="1" customWidth="1"/>
    <col min="20" max="20" width="18.28515625" style="9" bestFit="1" customWidth="1"/>
    <col min="21" max="21" width="15.7109375" style="9" bestFit="1" customWidth="1"/>
    <col min="22" max="22" width="19.28515625" style="9" bestFit="1" customWidth="1"/>
    <col min="23" max="23" width="17.140625" style="9" bestFit="1" customWidth="1"/>
    <col min="24" max="24" width="21.140625" style="9" bestFit="1" customWidth="1"/>
    <col min="25" max="25" width="17.42578125" style="9" bestFit="1" customWidth="1"/>
    <col min="26" max="16384" width="9.140625" style="9"/>
  </cols>
  <sheetData>
    <row r="1" spans="1:15">
      <c r="A1" s="1510" t="s">
        <v>70</v>
      </c>
      <c r="B1" s="1511" t="s">
        <v>726</v>
      </c>
    </row>
    <row r="2" spans="1:15">
      <c r="A2" s="1510" t="s">
        <v>83</v>
      </c>
      <c r="B2" s="1512" t="s">
        <v>727</v>
      </c>
    </row>
    <row r="4" spans="1:15" ht="15" customHeight="1">
      <c r="A4" s="1510" t="s">
        <v>728</v>
      </c>
      <c r="B4" s="1513" t="s">
        <v>729</v>
      </c>
      <c r="C4" s="1512"/>
      <c r="D4" s="1512"/>
      <c r="E4" s="1512"/>
      <c r="F4" s="1512"/>
      <c r="G4" s="1512"/>
      <c r="H4" s="1512"/>
      <c r="I4" s="1512"/>
      <c r="J4"/>
      <c r="K4"/>
      <c r="L4"/>
      <c r="M4"/>
      <c r="N4"/>
      <c r="O4"/>
    </row>
    <row r="5" spans="1:15" ht="15" customHeight="1">
      <c r="A5" s="1510" t="s">
        <v>730</v>
      </c>
      <c r="B5" s="1512" t="s">
        <v>731</v>
      </c>
      <c r="C5" s="1512" t="s">
        <v>732</v>
      </c>
      <c r="D5" s="1512" t="s">
        <v>733</v>
      </c>
      <c r="E5" s="1512" t="s">
        <v>734</v>
      </c>
      <c r="F5" s="1512" t="s">
        <v>735</v>
      </c>
      <c r="G5" s="1512" t="s">
        <v>1008</v>
      </c>
      <c r="H5" s="1512" t="s">
        <v>1229</v>
      </c>
      <c r="I5" s="1512" t="s">
        <v>736</v>
      </c>
      <c r="J5"/>
      <c r="K5"/>
      <c r="L5"/>
      <c r="M5"/>
      <c r="N5"/>
      <c r="O5"/>
    </row>
    <row r="6" spans="1:15">
      <c r="A6" s="1514" t="s">
        <v>100</v>
      </c>
      <c r="B6" s="1515">
        <v>144.63999999999999</v>
      </c>
      <c r="C6" s="1515">
        <v>211.40000000000003</v>
      </c>
      <c r="D6" s="1515">
        <v>317.79000000000002</v>
      </c>
      <c r="E6" s="1515">
        <v>122.97</v>
      </c>
      <c r="F6" s="1515">
        <v>509.30800000000005</v>
      </c>
      <c r="G6" s="1515">
        <v>338.20000000000005</v>
      </c>
      <c r="H6" s="1515">
        <v>189.99799999999999</v>
      </c>
      <c r="I6" s="1515">
        <v>1834.3060000000003</v>
      </c>
      <c r="J6"/>
      <c r="K6"/>
      <c r="L6"/>
      <c r="M6"/>
      <c r="N6"/>
      <c r="O6"/>
    </row>
    <row r="7" spans="1:15">
      <c r="A7" s="1514" t="s">
        <v>96</v>
      </c>
      <c r="B7" s="1515">
        <v>95.35</v>
      </c>
      <c r="C7" s="1515">
        <v>114.74000000000001</v>
      </c>
      <c r="D7" s="1515">
        <v>51</v>
      </c>
      <c r="E7" s="1515">
        <v>154.29</v>
      </c>
      <c r="F7" s="1515">
        <v>107.48</v>
      </c>
      <c r="G7" s="1515">
        <v>126.61</v>
      </c>
      <c r="H7" s="1515">
        <v>173.42999999999998</v>
      </c>
      <c r="I7" s="1515">
        <v>822.9</v>
      </c>
      <c r="J7"/>
      <c r="K7"/>
      <c r="L7"/>
      <c r="M7"/>
      <c r="N7"/>
      <c r="O7"/>
    </row>
    <row r="8" spans="1:15">
      <c r="A8" s="1514" t="s">
        <v>94</v>
      </c>
      <c r="B8" s="1515">
        <v>438.9</v>
      </c>
      <c r="C8" s="1515">
        <v>348.4</v>
      </c>
      <c r="D8" s="1515">
        <v>406.6</v>
      </c>
      <c r="E8" s="1515">
        <v>298</v>
      </c>
      <c r="F8" s="1515">
        <v>280</v>
      </c>
      <c r="G8" s="1515">
        <v>258.89999999999998</v>
      </c>
      <c r="H8" s="1515">
        <v>315.5</v>
      </c>
      <c r="I8" s="1515">
        <v>2346.3000000000002</v>
      </c>
      <c r="J8"/>
      <c r="K8"/>
      <c r="L8"/>
      <c r="M8"/>
      <c r="N8"/>
      <c r="O8"/>
    </row>
    <row r="9" spans="1:15">
      <c r="A9" s="1514" t="s">
        <v>163</v>
      </c>
      <c r="B9" s="1515">
        <v>25.630000000000003</v>
      </c>
      <c r="C9" s="1515"/>
      <c r="D9" s="1515">
        <v>36.799999999999997</v>
      </c>
      <c r="E9" s="1515">
        <v>104</v>
      </c>
      <c r="F9" s="1515"/>
      <c r="G9" s="1515"/>
      <c r="H9" s="1515"/>
      <c r="I9" s="1515">
        <v>166.43</v>
      </c>
      <c r="J9"/>
      <c r="K9"/>
      <c r="L9"/>
      <c r="M9"/>
      <c r="N9"/>
      <c r="O9"/>
    </row>
    <row r="10" spans="1:15">
      <c r="A10" s="1514" t="s">
        <v>132</v>
      </c>
      <c r="B10" s="1515">
        <v>60.550000000000004</v>
      </c>
      <c r="C10" s="1515">
        <v>129.24</v>
      </c>
      <c r="D10" s="1515"/>
      <c r="E10" s="1515">
        <v>180.49</v>
      </c>
      <c r="F10" s="1515">
        <v>124.94000000000001</v>
      </c>
      <c r="G10" s="1515">
        <v>16.64</v>
      </c>
      <c r="H10" s="1515">
        <v>156.68</v>
      </c>
      <c r="I10" s="1515">
        <v>668.54</v>
      </c>
      <c r="J10"/>
      <c r="K10"/>
      <c r="L10"/>
      <c r="M10"/>
      <c r="N10"/>
      <c r="O10"/>
    </row>
    <row r="11" spans="1:15">
      <c r="A11" s="1514" t="s">
        <v>111</v>
      </c>
      <c r="B11" s="1515"/>
      <c r="C11" s="1515">
        <v>2</v>
      </c>
      <c r="D11" s="1515"/>
      <c r="E11" s="1515"/>
      <c r="F11" s="1515">
        <v>9.84</v>
      </c>
      <c r="G11" s="1515">
        <v>4.3099999999999996</v>
      </c>
      <c r="H11" s="1515">
        <v>14.999999999999996</v>
      </c>
      <c r="I11" s="1515">
        <v>31.149999999999995</v>
      </c>
      <c r="J11"/>
      <c r="K11"/>
      <c r="L11"/>
      <c r="M11"/>
      <c r="N11"/>
      <c r="O11"/>
    </row>
    <row r="12" spans="1:15">
      <c r="A12" s="1514" t="s">
        <v>108</v>
      </c>
      <c r="B12" s="1515"/>
      <c r="C12" s="1515"/>
      <c r="D12" s="1515">
        <v>126.1</v>
      </c>
      <c r="E12" s="1515"/>
      <c r="F12" s="1515">
        <v>65</v>
      </c>
      <c r="G12" s="1515">
        <v>220.31</v>
      </c>
      <c r="H12" s="1515"/>
      <c r="I12" s="1515">
        <v>411.40999999999997</v>
      </c>
      <c r="J12"/>
      <c r="K12"/>
      <c r="L12"/>
      <c r="M12"/>
      <c r="N12"/>
      <c r="O12"/>
    </row>
    <row r="13" spans="1:15">
      <c r="A13" s="1514" t="s">
        <v>107</v>
      </c>
      <c r="B13" s="1515">
        <v>93</v>
      </c>
      <c r="C13" s="1515">
        <v>120</v>
      </c>
      <c r="D13" s="1515"/>
      <c r="E13" s="1515"/>
      <c r="F13" s="1515">
        <v>33</v>
      </c>
      <c r="G13" s="1515">
        <v>33</v>
      </c>
      <c r="H13" s="1515">
        <v>33</v>
      </c>
      <c r="I13" s="1515">
        <v>312</v>
      </c>
      <c r="J13"/>
      <c r="K13"/>
      <c r="L13"/>
      <c r="M13"/>
      <c r="N13"/>
      <c r="O13"/>
    </row>
    <row r="14" spans="1:15">
      <c r="A14" s="1514" t="s">
        <v>121</v>
      </c>
      <c r="B14" s="1515"/>
      <c r="C14" s="1515">
        <v>15</v>
      </c>
      <c r="D14" s="1515"/>
      <c r="E14" s="1515">
        <v>25</v>
      </c>
      <c r="F14" s="1515">
        <v>10</v>
      </c>
      <c r="G14" s="1515">
        <v>12</v>
      </c>
      <c r="H14" s="1515">
        <v>16</v>
      </c>
      <c r="I14" s="1515">
        <v>78</v>
      </c>
      <c r="J14"/>
      <c r="K14"/>
      <c r="L14"/>
      <c r="M14"/>
      <c r="N14"/>
      <c r="O14"/>
    </row>
    <row r="15" spans="1:15">
      <c r="A15" s="1514" t="s">
        <v>116</v>
      </c>
      <c r="B15" s="1515"/>
      <c r="C15" s="1515"/>
      <c r="D15" s="1515"/>
      <c r="E15" s="1515"/>
      <c r="F15" s="1515">
        <v>2.2799999999999998</v>
      </c>
      <c r="G15" s="1515">
        <v>18.48</v>
      </c>
      <c r="H15" s="1515"/>
      <c r="I15" s="1515">
        <v>20.76</v>
      </c>
      <c r="J15"/>
      <c r="K15"/>
      <c r="L15"/>
      <c r="M15"/>
      <c r="N15"/>
      <c r="O15"/>
    </row>
    <row r="16" spans="1:15">
      <c r="A16" s="1514" t="s">
        <v>185</v>
      </c>
      <c r="B16" s="1515">
        <v>216.99</v>
      </c>
      <c r="C16" s="1515"/>
      <c r="D16" s="1515">
        <v>55.47</v>
      </c>
      <c r="E16" s="1515"/>
      <c r="F16" s="1515"/>
      <c r="G16" s="1515"/>
      <c r="H16" s="1515">
        <v>185.67000000000002</v>
      </c>
      <c r="I16" s="1515">
        <v>458.13000000000005</v>
      </c>
      <c r="J16"/>
      <c r="K16"/>
      <c r="L16"/>
      <c r="M16"/>
      <c r="N16"/>
      <c r="O16"/>
    </row>
    <row r="17" spans="1:15">
      <c r="A17" s="1514" t="s">
        <v>188</v>
      </c>
      <c r="B17" s="1515">
        <v>127.58</v>
      </c>
      <c r="C17" s="1515">
        <v>127.58</v>
      </c>
      <c r="D17" s="1515">
        <v>478.37</v>
      </c>
      <c r="E17" s="1515"/>
      <c r="F17" s="1515"/>
      <c r="G17" s="1515"/>
      <c r="H17" s="1515"/>
      <c r="I17" s="1515">
        <v>733.53</v>
      </c>
      <c r="J17"/>
      <c r="K17"/>
      <c r="L17"/>
      <c r="M17"/>
      <c r="N17"/>
      <c r="O17"/>
    </row>
    <row r="18" spans="1:15">
      <c r="A18" s="1514" t="s">
        <v>93</v>
      </c>
      <c r="B18" s="1515">
        <v>42</v>
      </c>
      <c r="C18" s="1515">
        <v>43.5</v>
      </c>
      <c r="D18" s="1515">
        <v>51</v>
      </c>
      <c r="E18" s="1515">
        <v>35</v>
      </c>
      <c r="F18" s="1515">
        <v>30</v>
      </c>
      <c r="G18" s="1515">
        <v>52.5</v>
      </c>
      <c r="H18" s="1515">
        <v>21</v>
      </c>
      <c r="I18" s="1515">
        <v>275</v>
      </c>
      <c r="J18"/>
      <c r="K18"/>
      <c r="L18"/>
      <c r="M18"/>
      <c r="N18"/>
      <c r="O18"/>
    </row>
    <row r="19" spans="1:15">
      <c r="A19" s="1514" t="s">
        <v>91</v>
      </c>
      <c r="B19" s="1515">
        <v>10.000000000000004</v>
      </c>
      <c r="C19" s="1515">
        <v>8.0000000000000018</v>
      </c>
      <c r="D19" s="1515">
        <v>5.2</v>
      </c>
      <c r="E19" s="1515"/>
      <c r="F19" s="1515">
        <v>12.5</v>
      </c>
      <c r="G19" s="1515">
        <v>16.900000000000006</v>
      </c>
      <c r="H19" s="1515"/>
      <c r="I19" s="1515">
        <v>52.600000000000009</v>
      </c>
      <c r="J19"/>
      <c r="K19"/>
      <c r="L19"/>
      <c r="M19"/>
      <c r="N19"/>
      <c r="O19"/>
    </row>
    <row r="20" spans="1:15">
      <c r="A20" s="1514" t="s">
        <v>1250</v>
      </c>
      <c r="B20" s="1515">
        <v>75.600000000000009</v>
      </c>
      <c r="C20" s="1515"/>
      <c r="D20" s="1515">
        <v>237.35000000000002</v>
      </c>
      <c r="E20" s="1515">
        <v>46.6</v>
      </c>
      <c r="F20" s="1515"/>
      <c r="G20" s="1515"/>
      <c r="H20" s="1515"/>
      <c r="I20" s="1515">
        <v>359.55000000000007</v>
      </c>
      <c r="J20"/>
      <c r="K20"/>
      <c r="L20"/>
      <c r="M20"/>
      <c r="N20"/>
      <c r="O20"/>
    </row>
    <row r="21" spans="1:15">
      <c r="A21" s="1514" t="s">
        <v>1253</v>
      </c>
      <c r="B21" s="1515">
        <v>150</v>
      </c>
      <c r="C21" s="1515">
        <v>250</v>
      </c>
      <c r="D21" s="1515"/>
      <c r="E21" s="1515"/>
      <c r="F21" s="1515"/>
      <c r="G21" s="1515"/>
      <c r="H21" s="1515"/>
      <c r="I21" s="1515">
        <v>400</v>
      </c>
      <c r="J21"/>
      <c r="K21"/>
      <c r="L21"/>
      <c r="M21"/>
      <c r="N21"/>
      <c r="O21"/>
    </row>
    <row r="22" spans="1:15">
      <c r="A22" s="1514" t="s">
        <v>1246</v>
      </c>
      <c r="B22" s="1515"/>
      <c r="C22" s="1515">
        <v>180</v>
      </c>
      <c r="D22" s="1515"/>
      <c r="E22" s="1515"/>
      <c r="F22" s="1515"/>
      <c r="G22" s="1515"/>
      <c r="H22" s="1515"/>
      <c r="I22" s="1515">
        <v>180</v>
      </c>
      <c r="J22"/>
      <c r="K22"/>
      <c r="L22"/>
      <c r="M22"/>
      <c r="N22"/>
      <c r="O22"/>
    </row>
    <row r="23" spans="1:15">
      <c r="A23" s="1514" t="s">
        <v>1289</v>
      </c>
      <c r="B23" s="1515">
        <v>49</v>
      </c>
      <c r="C23" s="1515"/>
      <c r="D23" s="1515"/>
      <c r="E23" s="1515"/>
      <c r="F23" s="1515"/>
      <c r="G23" s="1515"/>
      <c r="H23" s="1515"/>
      <c r="I23" s="1515">
        <v>49</v>
      </c>
      <c r="J23"/>
      <c r="K23"/>
      <c r="L23"/>
      <c r="M23"/>
      <c r="N23"/>
      <c r="O23"/>
    </row>
    <row r="24" spans="1:15">
      <c r="A24" s="1514" t="s">
        <v>789</v>
      </c>
      <c r="B24" s="1515">
        <v>90</v>
      </c>
      <c r="C24" s="1515">
        <v>125</v>
      </c>
      <c r="D24" s="1515">
        <v>50</v>
      </c>
      <c r="E24" s="1515">
        <v>100.5</v>
      </c>
      <c r="F24" s="1515">
        <v>222.06</v>
      </c>
      <c r="G24" s="1515">
        <v>210</v>
      </c>
      <c r="H24" s="1515">
        <v>420</v>
      </c>
      <c r="I24" s="1515">
        <v>1217.56</v>
      </c>
      <c r="J24"/>
      <c r="K24"/>
      <c r="L24"/>
      <c r="M24"/>
      <c r="N24"/>
      <c r="O24"/>
    </row>
    <row r="25" spans="1:15">
      <c r="A25" s="1514" t="s">
        <v>693</v>
      </c>
      <c r="B25" s="1515"/>
      <c r="C25" s="1515"/>
      <c r="D25" s="1515"/>
      <c r="E25" s="1515">
        <v>25.82</v>
      </c>
      <c r="F25" s="1515"/>
      <c r="G25" s="1515"/>
      <c r="H25" s="1515">
        <v>-25.82</v>
      </c>
      <c r="I25" s="1515">
        <v>0</v>
      </c>
      <c r="J25"/>
      <c r="K25"/>
      <c r="L25"/>
      <c r="M25"/>
      <c r="N25"/>
      <c r="O25"/>
    </row>
    <row r="26" spans="1:15">
      <c r="A26" s="1514" t="s">
        <v>736</v>
      </c>
      <c r="B26" s="1515">
        <v>1619.2399999999998</v>
      </c>
      <c r="C26" s="1515">
        <v>1674.86</v>
      </c>
      <c r="D26" s="1515">
        <v>1815.6800000000003</v>
      </c>
      <c r="E26" s="1515">
        <v>1092.6699999999998</v>
      </c>
      <c r="F26" s="1515">
        <v>1406.4079999999999</v>
      </c>
      <c r="G26" s="1515">
        <v>1307.8500000000001</v>
      </c>
      <c r="H26" s="1515">
        <v>1500.4580000000001</v>
      </c>
      <c r="I26" s="1515">
        <v>10417.165999999999</v>
      </c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CEA9AD2-4C82-4422-993E-3908AFDEDBB4}">
            <xm:f>'Analisi Spese Cointestato'!$A$2</xm:f>
            <x14:dxf>
              <fill>
                <patternFill>
                  <bgColor rgb="FFFFFF00"/>
                </patternFill>
              </fill>
            </x14:dxf>
          </x14:cfRule>
          <xm:sqref>A5:XFD5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3DCD9B5-6998-49B0-BE28-35B1983425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'Analisi Spese Generiche CC'!B46:J46</xm:f>
              <xm:sqref>A2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782E-2E54-483E-9E57-BDD81152BD76}">
  <sheetPr codeName="Foglio15"/>
  <dimension ref="A3:G27"/>
  <sheetViews>
    <sheetView showGridLines="0" workbookViewId="0">
      <selection activeCell="B16" sqref="B16"/>
    </sheetView>
  </sheetViews>
  <sheetFormatPr defaultRowHeight="15"/>
  <cols>
    <col min="1" max="1" width="28.85546875" bestFit="1" customWidth="1"/>
    <col min="2" max="2" width="21.140625" bestFit="1" customWidth="1"/>
    <col min="3" max="3" width="7.140625" bestFit="1" customWidth="1"/>
    <col min="4" max="5" width="6.140625" bestFit="1" customWidth="1"/>
    <col min="6" max="6" width="7.140625" bestFit="1" customWidth="1"/>
    <col min="7" max="7" width="18.28515625" bestFit="1" customWidth="1"/>
    <col min="8" max="8" width="7.85546875" bestFit="1" customWidth="1"/>
    <col min="9" max="9" width="8.7109375" bestFit="1" customWidth="1"/>
    <col min="10" max="10" width="11.5703125" bestFit="1" customWidth="1"/>
    <col min="11" max="11" width="19.28515625" bestFit="1" customWidth="1"/>
    <col min="12" max="12" width="17.85546875" bestFit="1" customWidth="1"/>
    <col min="13" max="13" width="23.28515625" bestFit="1" customWidth="1"/>
    <col min="14" max="14" width="7" bestFit="1" customWidth="1"/>
    <col min="15" max="15" width="23.42578125" bestFit="1" customWidth="1"/>
    <col min="16" max="16" width="7.42578125" bestFit="1" customWidth="1"/>
    <col min="17" max="17" width="27.85546875" bestFit="1" customWidth="1"/>
    <col min="18" max="18" width="15.140625" bestFit="1" customWidth="1"/>
    <col min="19" max="19" width="7.5703125" bestFit="1" customWidth="1"/>
    <col min="20" max="20" width="18.28515625" bestFit="1" customWidth="1"/>
  </cols>
  <sheetData>
    <row r="3" spans="1:7">
      <c r="A3" s="2" t="s">
        <v>728</v>
      </c>
      <c r="B3" s="2" t="s">
        <v>729</v>
      </c>
    </row>
    <row r="4" spans="1:7">
      <c r="A4" s="2" t="s">
        <v>730</v>
      </c>
      <c r="B4">
        <v>2019</v>
      </c>
      <c r="C4">
        <v>2020</v>
      </c>
      <c r="D4">
        <v>2021</v>
      </c>
      <c r="E4">
        <v>2022</v>
      </c>
      <c r="F4">
        <v>2023</v>
      </c>
      <c r="G4" t="s">
        <v>736</v>
      </c>
    </row>
    <row r="5" spans="1:7">
      <c r="A5" s="3" t="s">
        <v>100</v>
      </c>
      <c r="B5" s="8">
        <v>0.1894357599406315</v>
      </c>
      <c r="C5" s="8">
        <v>0.23489857224364658</v>
      </c>
      <c r="D5" s="8">
        <v>0.30562222737786393</v>
      </c>
      <c r="E5" s="8">
        <v>6.6256411443920887E-2</v>
      </c>
      <c r="F5" s="8">
        <v>7.2134854028466908E-2</v>
      </c>
      <c r="G5" s="8">
        <v>0.17832555538414069</v>
      </c>
    </row>
    <row r="6" spans="1:7">
      <c r="A6" s="3" t="s">
        <v>96</v>
      </c>
      <c r="B6" s="8">
        <v>8.7142412563138857E-2</v>
      </c>
      <c r="C6" s="8">
        <v>0.20023234552116198</v>
      </c>
      <c r="D6" s="8">
        <v>0.13271887457026546</v>
      </c>
      <c r="E6" s="8">
        <v>0.19211561246898001</v>
      </c>
      <c r="F6" s="8">
        <v>0.16239265202427602</v>
      </c>
      <c r="G6" s="8">
        <v>0.15930332716239837</v>
      </c>
    </row>
    <row r="7" spans="1:7">
      <c r="A7" s="3" t="s">
        <v>94</v>
      </c>
      <c r="B7" s="8">
        <v>5.4013357910612111E-2</v>
      </c>
      <c r="C7" s="8">
        <v>6.7036494744729253E-2</v>
      </c>
      <c r="D7" s="8">
        <v>0.10129711260624723</v>
      </c>
      <c r="E7" s="8">
        <v>0.22625208890535578</v>
      </c>
      <c r="F7" s="8">
        <v>0.19767905805204819</v>
      </c>
      <c r="G7" s="8">
        <v>0.13057730381569471</v>
      </c>
    </row>
    <row r="8" spans="1:7">
      <c r="A8" s="3" t="s">
        <v>108</v>
      </c>
      <c r="B8" s="8">
        <v>4.5862159768271363E-2</v>
      </c>
      <c r="C8" s="8">
        <v>0.1180576464361084</v>
      </c>
      <c r="D8" s="8">
        <v>2.8252448343984417E-2</v>
      </c>
      <c r="E8" s="8">
        <v>6.4820711134782175E-2</v>
      </c>
      <c r="F8" s="8">
        <v>5.7999120588011772E-2</v>
      </c>
      <c r="G8" s="8">
        <v>6.4746605985806838E-2</v>
      </c>
    </row>
    <row r="9" spans="1:7">
      <c r="A9" s="3" t="s">
        <v>163</v>
      </c>
      <c r="B9" s="8">
        <v>0.12907380365307738</v>
      </c>
      <c r="C9" s="8">
        <v>3.7120290363160165E-3</v>
      </c>
      <c r="D9" s="8">
        <v>3.7387776910692552E-3</v>
      </c>
      <c r="E9" s="8">
        <v>8.950163445989498E-2</v>
      </c>
      <c r="F9" s="8">
        <v>6.1623980804933372E-2</v>
      </c>
      <c r="G9" s="8">
        <v>4.8553044327882343E-2</v>
      </c>
    </row>
    <row r="10" spans="1:7">
      <c r="A10" s="3" t="s">
        <v>132</v>
      </c>
      <c r="B10" s="8">
        <v>6.3782826227467504E-2</v>
      </c>
      <c r="C10" s="8">
        <v>1.5833866078241322E-2</v>
      </c>
      <c r="D10" s="8">
        <v>0.15687399377104727</v>
      </c>
      <c r="E10" s="8">
        <v>0.10557028563489218</v>
      </c>
      <c r="F10" s="8">
        <v>8.740649462038716E-2</v>
      </c>
      <c r="G10" s="8">
        <v>8.6406908875861332E-2</v>
      </c>
    </row>
    <row r="11" spans="1:7">
      <c r="A11" s="3" t="s">
        <v>111</v>
      </c>
      <c r="B11" s="8">
        <v>2.7489047949632535E-2</v>
      </c>
      <c r="C11" s="8">
        <v>9.3900586363105162E-3</v>
      </c>
      <c r="D11" s="8">
        <v>2.5337635950758923E-3</v>
      </c>
      <c r="E11" s="8">
        <v>1.8563759373540665E-3</v>
      </c>
      <c r="F11" s="8">
        <v>4.1052797290108247E-3</v>
      </c>
      <c r="G11" s="8">
        <v>7.7464517124344323E-3</v>
      </c>
    </row>
    <row r="12" spans="1:7">
      <c r="A12" s="3" t="s">
        <v>107</v>
      </c>
      <c r="B12" s="8">
        <v>1.3166399348861704E-2</v>
      </c>
      <c r="C12" s="8">
        <v>4.8668825142809999E-2</v>
      </c>
      <c r="D12" s="8">
        <v>3.4167844262122188E-2</v>
      </c>
      <c r="E12" s="8">
        <v>4.0523799048269644E-2</v>
      </c>
      <c r="F12" s="8">
        <v>3.3656508191559818E-2</v>
      </c>
      <c r="G12" s="8">
        <v>3.5675717371181727E-2</v>
      </c>
    </row>
    <row r="13" spans="1:7">
      <c r="A13" s="3" t="s">
        <v>121</v>
      </c>
      <c r="B13" s="8">
        <v>0</v>
      </c>
      <c r="C13" s="8">
        <v>3.1484880355804851E-2</v>
      </c>
      <c r="D13" s="8">
        <v>4.499469203242428E-3</v>
      </c>
      <c r="E13" s="8">
        <v>9.2623896691328325E-2</v>
      </c>
      <c r="F13" s="8">
        <v>5.4963249264442446E-2</v>
      </c>
      <c r="G13" s="8">
        <v>3.6832767664301137E-2</v>
      </c>
    </row>
    <row r="14" spans="1:7">
      <c r="A14" s="3" t="s">
        <v>365</v>
      </c>
      <c r="B14" s="8">
        <v>1.7944605367103149E-2</v>
      </c>
      <c r="C14" s="8">
        <v>8.3795618430911566E-3</v>
      </c>
      <c r="D14" s="8">
        <v>9.3631141951222921E-3</v>
      </c>
      <c r="E14" s="8">
        <v>0</v>
      </c>
      <c r="F14" s="8">
        <v>1.3819525117526356E-2</v>
      </c>
      <c r="G14" s="8">
        <v>9.7812532140285902E-3</v>
      </c>
    </row>
    <row r="15" spans="1:7">
      <c r="A15" s="3" t="s">
        <v>402</v>
      </c>
      <c r="B15" s="8">
        <v>3.0881191200057452E-3</v>
      </c>
      <c r="C15" s="8">
        <v>0</v>
      </c>
      <c r="D15" s="8">
        <v>1.9242261264491446E-2</v>
      </c>
      <c r="E15" s="8">
        <v>1.327636845009977E-3</v>
      </c>
      <c r="F15" s="8">
        <v>9.0587577491395878E-3</v>
      </c>
      <c r="G15" s="8">
        <v>7.1794970688059227E-3</v>
      </c>
    </row>
    <row r="16" spans="1:7">
      <c r="A16" s="3" t="s">
        <v>418</v>
      </c>
      <c r="B16" s="8">
        <v>7.7562061618748944E-3</v>
      </c>
      <c r="C16" s="8">
        <v>3.8481367676476037E-3</v>
      </c>
      <c r="D16" s="8">
        <v>2.7418640457258546E-3</v>
      </c>
      <c r="E16" s="8">
        <v>1.2000833632437568E-2</v>
      </c>
      <c r="F16" s="8">
        <v>7.1384368180485748E-3</v>
      </c>
      <c r="G16" s="8">
        <v>6.2570708629023945E-3</v>
      </c>
    </row>
    <row r="17" spans="1:7">
      <c r="A17" s="3" t="s">
        <v>385</v>
      </c>
      <c r="B17" s="8">
        <v>6.0278170109879584E-3</v>
      </c>
      <c r="C17" s="8">
        <v>1.1097591993015883E-2</v>
      </c>
      <c r="D17" s="8">
        <v>1.1586133198349254E-3</v>
      </c>
      <c r="E17" s="8">
        <v>0</v>
      </c>
      <c r="F17" s="8">
        <v>5.250143854430174E-2</v>
      </c>
      <c r="G17" s="8">
        <v>1.6102283245911751E-2</v>
      </c>
    </row>
    <row r="18" spans="1:7">
      <c r="A18" s="3" t="s">
        <v>116</v>
      </c>
      <c r="B18" s="8">
        <v>0</v>
      </c>
      <c r="C18" s="8">
        <v>0</v>
      </c>
      <c r="D18" s="8">
        <v>0</v>
      </c>
      <c r="E18" s="8">
        <v>4.6004160443368965E-3</v>
      </c>
      <c r="F18" s="8">
        <v>2.9544442876220049E-3</v>
      </c>
      <c r="G18" s="8">
        <v>1.4659184408104492E-3</v>
      </c>
    </row>
    <row r="19" spans="1:7">
      <c r="A19" s="3" t="s">
        <v>242</v>
      </c>
      <c r="B19" s="8">
        <v>2.0324132813061067E-3</v>
      </c>
      <c r="C19" s="8">
        <v>5.9763667484687864E-3</v>
      </c>
      <c r="D19" s="8">
        <v>5.8310308705769847E-3</v>
      </c>
      <c r="E19" s="8">
        <v>1.1576298594789029E-2</v>
      </c>
      <c r="F19" s="8">
        <v>2.5079527071775222E-3</v>
      </c>
      <c r="G19" s="8">
        <v>5.5249151496451704E-3</v>
      </c>
    </row>
    <row r="20" spans="1:7">
      <c r="A20" s="3" t="s">
        <v>185</v>
      </c>
      <c r="B20" s="628">
        <v>0</v>
      </c>
      <c r="C20" s="628">
        <v>4.8256377472108217E-2</v>
      </c>
      <c r="D20" s="628">
        <v>3.2899556380458231E-2</v>
      </c>
      <c r="E20" s="628">
        <v>1.676141516825096E-2</v>
      </c>
      <c r="F20" s="628">
        <v>3.2610170779636731E-2</v>
      </c>
      <c r="G20" s="628">
        <v>2.9316118996194584E-2</v>
      </c>
    </row>
    <row r="21" spans="1:7">
      <c r="A21" s="3" t="s">
        <v>188</v>
      </c>
      <c r="B21" s="628">
        <v>0.26909008211045415</v>
      </c>
      <c r="C21" s="628">
        <v>0.10903191657558445</v>
      </c>
      <c r="D21" s="628">
        <v>6.2960228910495686E-2</v>
      </c>
      <c r="E21" s="628">
        <v>7.5258483946786482E-3</v>
      </c>
      <c r="F21" s="628">
        <v>0.12399709034058215</v>
      </c>
      <c r="G21" s="628">
        <v>0.10662796976241898</v>
      </c>
    </row>
    <row r="22" spans="1:7">
      <c r="A22" s="3" t="s">
        <v>93</v>
      </c>
      <c r="B22" s="628">
        <v>1.9151126325617025E-3</v>
      </c>
      <c r="C22" s="628">
        <v>6.8741278450296605E-4</v>
      </c>
      <c r="D22" s="628">
        <v>2.8121682520265176E-3</v>
      </c>
      <c r="E22" s="628">
        <v>1.6402490090966285E-2</v>
      </c>
      <c r="F22" s="628">
        <v>1.6421118916043299E-2</v>
      </c>
      <c r="G22" s="628">
        <v>7.6815283348760652E-3</v>
      </c>
    </row>
    <row r="23" spans="1:7">
      <c r="A23" s="3" t="s">
        <v>91</v>
      </c>
      <c r="B23" s="628">
        <v>0</v>
      </c>
      <c r="C23" s="628">
        <v>0</v>
      </c>
      <c r="D23" s="628">
        <v>6.4679869796609906E-4</v>
      </c>
      <c r="E23" s="628">
        <v>3.9751917161635923E-3</v>
      </c>
      <c r="F23" s="628">
        <v>7.029867436785465E-3</v>
      </c>
      <c r="G23" s="628">
        <v>2.4748020158387287E-3</v>
      </c>
    </row>
    <row r="24" spans="1:7">
      <c r="A24" s="3" t="s">
        <v>1250</v>
      </c>
      <c r="B24" s="628">
        <v>8.2179876954013353E-2</v>
      </c>
      <c r="C24" s="628">
        <v>1.011184206003863E-2</v>
      </c>
      <c r="D24" s="628">
        <v>3.8374847967153861E-2</v>
      </c>
      <c r="E24" s="628">
        <v>2.2863141482090416E-2</v>
      </c>
      <c r="F24" s="628">
        <v>0</v>
      </c>
      <c r="G24" s="628">
        <v>2.5977064691967495E-2</v>
      </c>
    </row>
    <row r="25" spans="1:7">
      <c r="A25" s="3" t="s">
        <v>1289</v>
      </c>
      <c r="B25" s="628">
        <v>0</v>
      </c>
      <c r="C25" s="628">
        <v>7.329607556041326E-2</v>
      </c>
      <c r="D25" s="628">
        <v>0</v>
      </c>
      <c r="E25" s="628">
        <v>2.3445912306498867E-2</v>
      </c>
      <c r="F25" s="628">
        <v>0</v>
      </c>
      <c r="G25" s="628">
        <v>2.1039995371798823E-2</v>
      </c>
    </row>
    <row r="26" spans="1:7">
      <c r="A26" s="3" t="s">
        <v>1235</v>
      </c>
      <c r="B26" s="628">
        <v>0</v>
      </c>
      <c r="C26" s="628">
        <v>0</v>
      </c>
      <c r="D26" s="628">
        <v>5.426500467522969E-2</v>
      </c>
      <c r="E26" s="628">
        <v>0</v>
      </c>
      <c r="F26" s="628">
        <v>0</v>
      </c>
      <c r="G26" s="628">
        <v>1.2403900545099246E-2</v>
      </c>
    </row>
    <row r="27" spans="1:7">
      <c r="A27" s="3" t="s">
        <v>736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7619-369C-45A0-8406-779A11A0C407}">
  <sheetPr codeName="Foglio14"/>
  <dimension ref="A2:T33"/>
  <sheetViews>
    <sheetView showGridLines="0" workbookViewId="0">
      <pane ySplit="4" topLeftCell="A5" activePane="bottomLeft" state="frozen"/>
      <selection pane="bottomLeft" activeCell="H12" sqref="H12"/>
    </sheetView>
  </sheetViews>
  <sheetFormatPr defaultColWidth="9.140625" defaultRowHeight="15"/>
  <cols>
    <col min="1" max="1" width="24.7109375" style="637" bestFit="1" customWidth="1"/>
    <col min="2" max="2" width="23" style="9" bestFit="1" customWidth="1"/>
    <col min="3" max="6" width="10.5703125" style="9" bestFit="1" customWidth="1"/>
    <col min="7" max="11" width="11.7109375" style="9" bestFit="1" customWidth="1"/>
    <col min="12" max="17" width="13.140625" style="14" customWidth="1"/>
    <col min="18" max="19" width="13.140625" style="9" customWidth="1"/>
    <col min="20" max="16384" width="9.140625" style="9"/>
  </cols>
  <sheetData>
    <row r="2" spans="1:19">
      <c r="A2" s="134">
        <f>YEAR(BILANCIO!B2)</f>
        <v>2026</v>
      </c>
    </row>
    <row r="3" spans="1:19">
      <c r="A3" s="1518" t="s">
        <v>728</v>
      </c>
      <c r="B3" s="1510" t="s">
        <v>729</v>
      </c>
      <c r="C3" s="1512"/>
      <c r="D3" s="1512"/>
      <c r="E3" s="1512"/>
      <c r="F3" s="1512"/>
      <c r="G3" s="1512"/>
      <c r="H3" s="1512"/>
      <c r="I3" s="1512"/>
      <c r="J3"/>
      <c r="K3"/>
      <c r="L3" s="718" t="s">
        <v>737</v>
      </c>
      <c r="M3" s="65"/>
      <c r="N3" s="65"/>
      <c r="O3" s="65"/>
      <c r="P3" s="65"/>
      <c r="Q3" s="65"/>
      <c r="R3" s="65"/>
      <c r="S3" s="65"/>
    </row>
    <row r="4" spans="1:19">
      <c r="A4" s="1510" t="s">
        <v>730</v>
      </c>
      <c r="B4" s="1512">
        <v>2019</v>
      </c>
      <c r="C4" s="1512">
        <v>2020</v>
      </c>
      <c r="D4" s="1512">
        <v>2021</v>
      </c>
      <c r="E4" s="1512">
        <v>2022</v>
      </c>
      <c r="F4" s="1512">
        <v>2023</v>
      </c>
      <c r="G4" s="1512">
        <v>2024</v>
      </c>
      <c r="H4" s="1512">
        <v>2025</v>
      </c>
      <c r="I4" s="1512">
        <v>2026</v>
      </c>
      <c r="J4"/>
      <c r="K4"/>
      <c r="L4" s="66">
        <v>2019</v>
      </c>
      <c r="M4" s="66">
        <v>2020</v>
      </c>
      <c r="N4" s="66">
        <v>2021</v>
      </c>
      <c r="O4" s="66">
        <v>2022</v>
      </c>
      <c r="P4" s="66">
        <v>2023</v>
      </c>
      <c r="Q4" s="66">
        <v>2024</v>
      </c>
      <c r="R4" s="66">
        <v>2025</v>
      </c>
      <c r="S4" s="65">
        <v>2026</v>
      </c>
    </row>
    <row r="5" spans="1:19" s="637" customFormat="1">
      <c r="A5" s="1520" t="s">
        <v>739</v>
      </c>
      <c r="B5" s="1516">
        <v>266.43999999999994</v>
      </c>
      <c r="C5" s="1516">
        <v>115.17000000000002</v>
      </c>
      <c r="D5" s="1516">
        <v>1501.61</v>
      </c>
      <c r="E5" s="1516">
        <v>547.08000000000004</v>
      </c>
      <c r="F5" s="1516">
        <v>644.06000000000017</v>
      </c>
      <c r="G5" s="1516">
        <v>574.5200000000001</v>
      </c>
      <c r="H5" s="1516">
        <v>2085.5099999999998</v>
      </c>
      <c r="I5" s="1516">
        <v>1306.8400000000006</v>
      </c>
      <c r="J5"/>
      <c r="K5"/>
      <c r="L5" s="672">
        <f t="shared" ref="L5:L13" si="0">B5/12</f>
        <v>22.20333333333333</v>
      </c>
      <c r="M5" s="672">
        <f t="shared" ref="M5:M13" si="1">C5/12</f>
        <v>9.5975000000000019</v>
      </c>
      <c r="N5" s="672">
        <f t="shared" ref="N5:N13" si="2">D5/12</f>
        <v>125.13416666666666</v>
      </c>
      <c r="O5" s="672">
        <f t="shared" ref="O5:O13" si="3">E5/12</f>
        <v>45.59</v>
      </c>
      <c r="P5" s="672">
        <f t="shared" ref="P5:P13" si="4">F5/12</f>
        <v>53.671666666666681</v>
      </c>
      <c r="Q5" s="672">
        <f>G5/12</f>
        <v>47.876666666666672</v>
      </c>
      <c r="R5" s="672">
        <f>H5/12</f>
        <v>173.79249999999999</v>
      </c>
      <c r="S5" s="672">
        <f ca="1">I5/(MONTH(TODAY()))</f>
        <v>130.68400000000005</v>
      </c>
    </row>
    <row r="6" spans="1:19" s="637" customFormat="1">
      <c r="A6" s="1520" t="s">
        <v>1236</v>
      </c>
      <c r="B6" s="1516">
        <v>114.82999999999998</v>
      </c>
      <c r="C6" s="1516">
        <v>297.31</v>
      </c>
      <c r="D6" s="1516">
        <v>50.019999999999996</v>
      </c>
      <c r="E6" s="1516">
        <v>489.61</v>
      </c>
      <c r="F6" s="1516">
        <v>435.25</v>
      </c>
      <c r="G6" s="1516">
        <v>523.5</v>
      </c>
      <c r="H6" s="1516">
        <v>224.64</v>
      </c>
      <c r="I6" s="1516">
        <v>256.44999999999993</v>
      </c>
      <c r="J6"/>
      <c r="K6"/>
      <c r="L6" s="672">
        <f t="shared" si="0"/>
        <v>9.5691666666666659</v>
      </c>
      <c r="M6" s="672">
        <f t="shared" si="1"/>
        <v>24.775833333333335</v>
      </c>
      <c r="N6" s="672">
        <f t="shared" si="2"/>
        <v>4.168333333333333</v>
      </c>
      <c r="O6" s="672">
        <f t="shared" si="3"/>
        <v>40.800833333333337</v>
      </c>
      <c r="P6" s="672">
        <f t="shared" si="4"/>
        <v>36.270833333333336</v>
      </c>
      <c r="Q6" s="672">
        <f t="shared" ref="Q6:Q13" si="5">G6/12</f>
        <v>43.625</v>
      </c>
      <c r="R6" s="672">
        <f t="shared" ref="R6:R13" si="6">H6/12</f>
        <v>18.72</v>
      </c>
      <c r="S6" s="672">
        <f t="shared" ref="S6:S13" ca="1" si="7">I6/(MONTH(TODAY()))</f>
        <v>25.644999999999992</v>
      </c>
    </row>
    <row r="7" spans="1:19" s="637" customFormat="1">
      <c r="A7" s="1520" t="s">
        <v>744</v>
      </c>
      <c r="B7" s="1516">
        <v>1020.99</v>
      </c>
      <c r="C7" s="1516">
        <v>3532.1299999999992</v>
      </c>
      <c r="D7" s="1516">
        <v>2753.5700000000006</v>
      </c>
      <c r="E7" s="1516">
        <v>894.50000000000023</v>
      </c>
      <c r="F7" s="1516">
        <v>1652.8000000000002</v>
      </c>
      <c r="G7" s="1516">
        <v>2014.4500000000005</v>
      </c>
      <c r="H7" s="1516">
        <v>2992.1279999999997</v>
      </c>
      <c r="I7" s="1516">
        <v>3419.4639999999999</v>
      </c>
      <c r="J7"/>
      <c r="K7"/>
      <c r="L7" s="672">
        <f t="shared" si="0"/>
        <v>85.082499999999996</v>
      </c>
      <c r="M7" s="672">
        <f t="shared" si="1"/>
        <v>294.34416666666658</v>
      </c>
      <c r="N7" s="672">
        <f t="shared" si="2"/>
        <v>229.46416666666673</v>
      </c>
      <c r="O7" s="672">
        <f t="shared" si="3"/>
        <v>74.541666666666686</v>
      </c>
      <c r="P7" s="672">
        <f t="shared" si="4"/>
        <v>137.73333333333335</v>
      </c>
      <c r="Q7" s="672">
        <f t="shared" si="5"/>
        <v>167.87083333333337</v>
      </c>
      <c r="R7" s="672">
        <f>H7/12</f>
        <v>249.34399999999997</v>
      </c>
      <c r="S7" s="672">
        <f t="shared" ca="1" si="7"/>
        <v>341.94639999999998</v>
      </c>
    </row>
    <row r="8" spans="1:19" s="637" customFormat="1">
      <c r="A8" s="1521" t="s">
        <v>1290</v>
      </c>
      <c r="B8" s="1516">
        <v>764.81000000000006</v>
      </c>
      <c r="C8" s="1516">
        <v>514.6</v>
      </c>
      <c r="D8" s="1516">
        <v>747.01000000000022</v>
      </c>
      <c r="E8" s="1516">
        <v>1636.2799999999997</v>
      </c>
      <c r="F8" s="1516">
        <v>1910.6900000000003</v>
      </c>
      <c r="G8" s="1516">
        <v>2847.29</v>
      </c>
      <c r="H8" s="1516">
        <v>4267.0799999999981</v>
      </c>
      <c r="I8" s="1516">
        <v>2885.4900000000002</v>
      </c>
      <c r="J8"/>
      <c r="K8"/>
      <c r="L8" s="672">
        <f t="shared" si="0"/>
        <v>63.734166666666674</v>
      </c>
      <c r="M8" s="672">
        <f t="shared" si="1"/>
        <v>42.883333333333333</v>
      </c>
      <c r="N8" s="672">
        <f t="shared" si="2"/>
        <v>62.250833333333354</v>
      </c>
      <c r="O8" s="672">
        <f t="shared" si="3"/>
        <v>136.35666666666665</v>
      </c>
      <c r="P8" s="672">
        <f t="shared" si="4"/>
        <v>159.22416666666669</v>
      </c>
      <c r="Q8" s="672">
        <f t="shared" si="5"/>
        <v>237.27416666666667</v>
      </c>
      <c r="R8" s="672">
        <f t="shared" si="6"/>
        <v>355.58999999999986</v>
      </c>
      <c r="S8" s="672">
        <f t="shared" ca="1" si="7"/>
        <v>288.54900000000004</v>
      </c>
    </row>
    <row r="9" spans="1:19" s="637" customFormat="1">
      <c r="A9" s="1520" t="s">
        <v>740</v>
      </c>
      <c r="B9" s="1516">
        <v>534.38</v>
      </c>
      <c r="C9" s="1516">
        <v>1904.3600000000004</v>
      </c>
      <c r="D9" s="1516">
        <v>1297.58</v>
      </c>
      <c r="E9" s="1516">
        <v>1373.3600000000015</v>
      </c>
      <c r="F9" s="1516">
        <v>1771.8300000000047</v>
      </c>
      <c r="G9" s="1516">
        <v>1838.6900000000062</v>
      </c>
      <c r="H9" s="1516">
        <v>2061.0400000000036</v>
      </c>
      <c r="I9" s="1516">
        <v>1436.3200000000008</v>
      </c>
      <c r="J9"/>
      <c r="K9"/>
      <c r="L9" s="672">
        <f t="shared" si="0"/>
        <v>44.531666666666666</v>
      </c>
      <c r="M9" s="672">
        <f t="shared" si="1"/>
        <v>158.69666666666669</v>
      </c>
      <c r="N9" s="672">
        <f t="shared" si="2"/>
        <v>108.13166666666666</v>
      </c>
      <c r="O9" s="672">
        <f t="shared" si="3"/>
        <v>114.44666666666679</v>
      </c>
      <c r="P9" s="672">
        <f t="shared" si="4"/>
        <v>147.6525000000004</v>
      </c>
      <c r="Q9" s="672">
        <f t="shared" si="5"/>
        <v>153.22416666666717</v>
      </c>
      <c r="R9" s="672">
        <f t="shared" si="6"/>
        <v>171.75333333333364</v>
      </c>
      <c r="S9" s="672">
        <f t="shared" ca="1" si="7"/>
        <v>143.63200000000009</v>
      </c>
    </row>
    <row r="10" spans="1:19" s="637" customFormat="1">
      <c r="A10" s="1520" t="s">
        <v>743</v>
      </c>
      <c r="B10" s="1516">
        <v>1467.3600000000001</v>
      </c>
      <c r="C10" s="1516">
        <v>866.6099999999999</v>
      </c>
      <c r="D10" s="1516">
        <v>720.69</v>
      </c>
      <c r="E10" s="1516">
        <v>157.47999999999999</v>
      </c>
      <c r="F10" s="1516">
        <v>913.68</v>
      </c>
      <c r="G10" s="1516">
        <v>2187.48</v>
      </c>
      <c r="H10" s="1516">
        <v>4250.62</v>
      </c>
      <c r="I10" s="1516">
        <v>2822.7099999999991</v>
      </c>
      <c r="J10"/>
      <c r="K10"/>
      <c r="L10" s="672">
        <f t="shared" si="0"/>
        <v>122.28000000000002</v>
      </c>
      <c r="M10" s="672">
        <f t="shared" si="1"/>
        <v>72.217499999999987</v>
      </c>
      <c r="N10" s="672">
        <f t="shared" si="2"/>
        <v>60.057500000000005</v>
      </c>
      <c r="O10" s="672">
        <f t="shared" si="3"/>
        <v>13.123333333333333</v>
      </c>
      <c r="P10" s="672">
        <f t="shared" si="4"/>
        <v>76.14</v>
      </c>
      <c r="Q10" s="672">
        <f t="shared" si="5"/>
        <v>182.29</v>
      </c>
      <c r="R10" s="672">
        <f t="shared" si="6"/>
        <v>354.21833333333331</v>
      </c>
      <c r="S10" s="672">
        <f t="shared" ca="1" si="7"/>
        <v>282.2709999999999</v>
      </c>
    </row>
    <row r="11" spans="1:19" s="637" customFormat="1">
      <c r="A11" s="1520" t="s">
        <v>1252</v>
      </c>
      <c r="B11" s="1516"/>
      <c r="C11" s="1516"/>
      <c r="D11" s="1516"/>
      <c r="E11" s="1516"/>
      <c r="F11" s="1516"/>
      <c r="G11" s="1516"/>
      <c r="H11" s="1516">
        <v>740</v>
      </c>
      <c r="I11" s="1516">
        <v>2657.56</v>
      </c>
      <c r="J11"/>
      <c r="K11"/>
      <c r="L11" s="672">
        <f t="shared" si="0"/>
        <v>0</v>
      </c>
      <c r="M11" s="672">
        <f t="shared" si="1"/>
        <v>0</v>
      </c>
      <c r="N11" s="672">
        <f t="shared" si="2"/>
        <v>0</v>
      </c>
      <c r="O11" s="672">
        <f t="shared" si="3"/>
        <v>0</v>
      </c>
      <c r="P11" s="672">
        <f t="shared" si="4"/>
        <v>0</v>
      </c>
      <c r="Q11" s="672">
        <f t="shared" si="5"/>
        <v>0</v>
      </c>
      <c r="R11" s="672">
        <f t="shared" si="6"/>
        <v>61.666666666666664</v>
      </c>
      <c r="S11" s="672">
        <f t="shared" ca="1" si="7"/>
        <v>265.75599999999997</v>
      </c>
    </row>
    <row r="12" spans="1:19" s="637" customFormat="1">
      <c r="A12" s="1520" t="s">
        <v>116</v>
      </c>
      <c r="B12" s="1516"/>
      <c r="C12" s="1516"/>
      <c r="D12" s="1516"/>
      <c r="E12" s="1516">
        <v>23.84</v>
      </c>
      <c r="F12" s="1516">
        <v>21.77</v>
      </c>
      <c r="G12" s="1516">
        <v>206.28</v>
      </c>
      <c r="H12" s="1516">
        <v>20.97</v>
      </c>
      <c r="I12" s="1516">
        <v>20.76</v>
      </c>
      <c r="J12"/>
      <c r="K12"/>
      <c r="L12" s="672">
        <f t="shared" si="0"/>
        <v>0</v>
      </c>
      <c r="M12" s="672">
        <f t="shared" si="1"/>
        <v>0</v>
      </c>
      <c r="N12" s="672">
        <f t="shared" si="2"/>
        <v>0</v>
      </c>
      <c r="O12" s="672">
        <f t="shared" si="3"/>
        <v>1.9866666666666666</v>
      </c>
      <c r="P12" s="672">
        <f t="shared" si="4"/>
        <v>1.8141666666666667</v>
      </c>
      <c r="Q12" s="672">
        <f t="shared" si="5"/>
        <v>17.190000000000001</v>
      </c>
      <c r="R12" s="672">
        <f t="shared" si="6"/>
        <v>1.7474999999999998</v>
      </c>
      <c r="S12" s="672">
        <f t="shared" ca="1" si="7"/>
        <v>2.0760000000000001</v>
      </c>
    </row>
    <row r="13" spans="1:19" s="637" customFormat="1">
      <c r="A13" s="1521" t="s">
        <v>1255</v>
      </c>
      <c r="B13" s="1516"/>
      <c r="C13" s="1516"/>
      <c r="D13" s="1516"/>
      <c r="E13" s="1516"/>
      <c r="F13" s="1516"/>
      <c r="G13" s="1516"/>
      <c r="H13" s="1516">
        <v>-24.78</v>
      </c>
      <c r="I13" s="1516">
        <v>0</v>
      </c>
      <c r="J13"/>
      <c r="K13"/>
      <c r="L13" s="672">
        <f t="shared" si="0"/>
        <v>0</v>
      </c>
      <c r="M13" s="672">
        <f t="shared" si="1"/>
        <v>0</v>
      </c>
      <c r="N13" s="672">
        <f t="shared" si="2"/>
        <v>0</v>
      </c>
      <c r="O13" s="672">
        <f t="shared" si="3"/>
        <v>0</v>
      </c>
      <c r="P13" s="672">
        <f t="shared" si="4"/>
        <v>0</v>
      </c>
      <c r="Q13" s="672">
        <f t="shared" si="5"/>
        <v>0</v>
      </c>
      <c r="R13" s="672">
        <f t="shared" si="6"/>
        <v>-2.0649999999999999</v>
      </c>
      <c r="S13" s="672">
        <f t="shared" ca="1" si="7"/>
        <v>0</v>
      </c>
    </row>
    <row r="14" spans="1:19" s="637" customFormat="1">
      <c r="A14" s="1521" t="s">
        <v>741</v>
      </c>
      <c r="B14" s="1516">
        <v>8.49</v>
      </c>
      <c r="C14" s="1516">
        <v>43.47</v>
      </c>
      <c r="D14" s="1516">
        <v>41.47</v>
      </c>
      <c r="E14" s="1516">
        <v>59.99</v>
      </c>
      <c r="F14" s="1516">
        <v>18.48</v>
      </c>
      <c r="G14" s="1516">
        <v>8.49</v>
      </c>
      <c r="H14" s="1516">
        <v>12.49</v>
      </c>
      <c r="I14" s="1516"/>
      <c r="J14"/>
      <c r="K14"/>
      <c r="L14" s="672">
        <f t="shared" ref="L14" si="8">B14/12</f>
        <v>0.70750000000000002</v>
      </c>
      <c r="M14" s="672">
        <f t="shared" ref="M14" si="9">C14/12</f>
        <v>3.6225000000000001</v>
      </c>
      <c r="N14" s="672">
        <f t="shared" ref="N14" si="10">D14/12</f>
        <v>3.4558333333333331</v>
      </c>
      <c r="O14" s="672">
        <f t="shared" ref="O14" si="11">E14/12</f>
        <v>4.9991666666666665</v>
      </c>
      <c r="P14" s="672">
        <f t="shared" ref="P14" si="12">F14/12</f>
        <v>1.54</v>
      </c>
      <c r="Q14" s="672">
        <f t="shared" ref="Q14" si="13">G14/12</f>
        <v>0.70750000000000002</v>
      </c>
      <c r="R14" s="672">
        <f t="shared" ref="R14" si="14">H14/12</f>
        <v>1.0408333333333333</v>
      </c>
      <c r="S14" s="672">
        <f t="shared" ref="S14" ca="1" si="15">I14/(MONTH(TODAY()))</f>
        <v>0</v>
      </c>
    </row>
    <row r="15" spans="1:19" s="637" customFormat="1" ht="24.75" customHeight="1">
      <c r="A15" s="1519" t="s">
        <v>738</v>
      </c>
      <c r="B15" s="1517">
        <v>4177.3</v>
      </c>
      <c r="C15" s="1517">
        <v>7273.65</v>
      </c>
      <c r="D15" s="1517">
        <v>7111.9500000000016</v>
      </c>
      <c r="E15" s="1517">
        <v>5182.1400000000012</v>
      </c>
      <c r="F15" s="1517">
        <v>7368.5600000000059</v>
      </c>
      <c r="G15" s="1517">
        <v>10200.700000000006</v>
      </c>
      <c r="H15" s="1517">
        <v>16629.698000000004</v>
      </c>
      <c r="I15" s="1517">
        <v>14805.594000000001</v>
      </c>
      <c r="J15"/>
      <c r="K15"/>
      <c r="L15" s="1297">
        <f t="shared" ref="L15" si="16">B15/12</f>
        <v>348.10833333333335</v>
      </c>
      <c r="M15" s="1297">
        <f t="shared" ref="M15" si="17">C15/12</f>
        <v>606.13749999999993</v>
      </c>
      <c r="N15" s="1297">
        <f t="shared" ref="N15" si="18">D15/12</f>
        <v>592.66250000000014</v>
      </c>
      <c r="O15" s="1297">
        <f t="shared" ref="O15" si="19">E15/12</f>
        <v>431.84500000000008</v>
      </c>
      <c r="P15" s="1297">
        <f t="shared" ref="P15" si="20">F15/12</f>
        <v>614.04666666666719</v>
      </c>
      <c r="Q15" s="1297">
        <f t="shared" ref="Q15" si="21">G15/12</f>
        <v>850.05833333333385</v>
      </c>
      <c r="R15" s="1297">
        <f t="shared" ref="R15" si="22">H15/12</f>
        <v>1385.8081666666669</v>
      </c>
      <c r="S15" s="1297">
        <f t="shared" ref="S15" ca="1" si="23">I15/(MONTH(TODAY()))</f>
        <v>1480.5594000000001</v>
      </c>
    </row>
    <row r="16" spans="1:19" ht="24.75" customHeight="1">
      <c r="A16"/>
      <c r="B16"/>
      <c r="C16"/>
      <c r="D16"/>
      <c r="E16"/>
      <c r="F16"/>
      <c r="G16"/>
      <c r="H16"/>
      <c r="I16"/>
      <c r="J16"/>
      <c r="K16" s="672"/>
      <c r="L16" s="672"/>
      <c r="M16" s="672"/>
      <c r="N16" s="672"/>
      <c r="O16" s="672"/>
      <c r="P16" s="672"/>
      <c r="Q16" s="672"/>
      <c r="R16" s="672"/>
      <c r="S16" s="672"/>
    </row>
    <row r="17" spans="1:20" ht="19.5" customHeight="1">
      <c r="A17"/>
      <c r="B17"/>
      <c r="C17"/>
      <c r="D17"/>
      <c r="E17"/>
      <c r="F17"/>
      <c r="G17"/>
      <c r="H17"/>
      <c r="I17"/>
      <c r="J17"/>
      <c r="K17" s="672"/>
      <c r="L17" s="672"/>
      <c r="M17" s="672"/>
      <c r="N17" s="672"/>
      <c r="O17" s="672"/>
      <c r="P17" s="672"/>
      <c r="Q17" s="672"/>
      <c r="R17" s="672"/>
      <c r="S17" s="672"/>
    </row>
    <row r="18" spans="1:20" ht="19.5" customHeight="1">
      <c r="A18"/>
      <c r="B18"/>
      <c r="C18"/>
      <c r="D18"/>
      <c r="E18"/>
      <c r="F18"/>
      <c r="G18"/>
      <c r="H18"/>
      <c r="I18"/>
      <c r="J18"/>
      <c r="K18" s="672"/>
      <c r="L18" s="672"/>
      <c r="M18" s="672"/>
      <c r="N18" s="672"/>
      <c r="O18" s="672"/>
      <c r="P18" s="672"/>
      <c r="Q18" s="672"/>
      <c r="R18" s="672"/>
      <c r="S18" s="672"/>
    </row>
    <row r="19" spans="1:20" s="637" customFormat="1">
      <c r="A19"/>
      <c r="B19"/>
      <c r="C19"/>
      <c r="D19"/>
      <c r="E19"/>
      <c r="F19"/>
      <c r="G19"/>
      <c r="H19"/>
      <c r="I19"/>
      <c r="J19"/>
      <c r="K19" s="672"/>
      <c r="L19" s="672"/>
      <c r="M19" s="672"/>
      <c r="N19" s="672"/>
      <c r="O19" s="672"/>
      <c r="P19" s="672"/>
      <c r="Q19" s="672"/>
      <c r="R19" s="672"/>
      <c r="S19" s="672"/>
      <c r="T19" s="9"/>
    </row>
    <row r="20" spans="1:20">
      <c r="A20"/>
      <c r="B20"/>
      <c r="C20"/>
      <c r="D20"/>
      <c r="E20"/>
      <c r="F20"/>
      <c r="G20"/>
      <c r="H20"/>
      <c r="I20"/>
      <c r="J20"/>
      <c r="K20" s="672"/>
      <c r="L20" s="672"/>
      <c r="M20" s="672"/>
      <c r="N20" s="672"/>
      <c r="O20" s="672"/>
      <c r="P20" s="672"/>
      <c r="Q20" s="672"/>
      <c r="R20" s="672"/>
      <c r="S20" s="672"/>
    </row>
    <row r="21" spans="1:20">
      <c r="A21"/>
      <c r="B21"/>
      <c r="C21"/>
      <c r="D21"/>
      <c r="E21"/>
      <c r="F21"/>
      <c r="G21"/>
      <c r="H21"/>
      <c r="I21"/>
      <c r="J21"/>
      <c r="K21" s="672"/>
      <c r="L21" s="672"/>
      <c r="M21" s="672"/>
      <c r="N21" s="672"/>
      <c r="O21" s="672"/>
      <c r="P21" s="672"/>
      <c r="Q21" s="672"/>
      <c r="R21" s="672"/>
      <c r="S21" s="672"/>
    </row>
    <row r="22" spans="1:20">
      <c r="A22"/>
      <c r="B22"/>
      <c r="C22"/>
      <c r="D22"/>
      <c r="E22"/>
      <c r="F22"/>
      <c r="G22"/>
      <c r="H22"/>
      <c r="I22"/>
      <c r="J22"/>
    </row>
    <row r="23" spans="1:20">
      <c r="A23"/>
      <c r="B23"/>
      <c r="C23"/>
      <c r="D23"/>
      <c r="E23"/>
      <c r="F23"/>
      <c r="G23"/>
      <c r="H23"/>
      <c r="I23"/>
      <c r="J23"/>
    </row>
    <row r="24" spans="1:20">
      <c r="A24"/>
      <c r="B24"/>
      <c r="C24"/>
      <c r="D24"/>
      <c r="E24"/>
      <c r="F24"/>
      <c r="G24"/>
      <c r="H24"/>
      <c r="I24"/>
      <c r="J24"/>
    </row>
    <row r="25" spans="1:20">
      <c r="A25"/>
      <c r="B25"/>
      <c r="C25"/>
      <c r="D25"/>
      <c r="E25"/>
      <c r="F25"/>
      <c r="G25"/>
      <c r="H25"/>
      <c r="I25"/>
      <c r="J25"/>
    </row>
    <row r="26" spans="1:20">
      <c r="A26"/>
      <c r="B26"/>
      <c r="C26"/>
      <c r="D26"/>
      <c r="E26"/>
      <c r="F26"/>
      <c r="G26"/>
      <c r="H26"/>
      <c r="I26"/>
      <c r="J26"/>
    </row>
    <row r="27" spans="1:20">
      <c r="A27"/>
      <c r="B27"/>
      <c r="C27"/>
      <c r="D27"/>
      <c r="E27"/>
      <c r="F27"/>
      <c r="G27"/>
      <c r="H27"/>
      <c r="I27"/>
      <c r="J27"/>
    </row>
    <row r="28" spans="1:20">
      <c r="A28"/>
      <c r="B28"/>
      <c r="C28"/>
      <c r="D28"/>
      <c r="E28"/>
      <c r="F28"/>
      <c r="G28"/>
      <c r="H28"/>
      <c r="I28"/>
      <c r="J28"/>
    </row>
    <row r="29" spans="1:20">
      <c r="A29"/>
      <c r="B29"/>
      <c r="C29"/>
      <c r="D29"/>
      <c r="E29"/>
      <c r="F29"/>
      <c r="G29"/>
      <c r="H29"/>
      <c r="I29"/>
      <c r="J29"/>
    </row>
    <row r="30" spans="1:20">
      <c r="A30"/>
      <c r="B30"/>
      <c r="C30"/>
      <c r="D30"/>
      <c r="E30"/>
      <c r="F30"/>
      <c r="G30"/>
      <c r="H30"/>
      <c r="I30"/>
      <c r="J30"/>
    </row>
    <row r="31" spans="1:20">
      <c r="A31"/>
      <c r="B31"/>
      <c r="C31"/>
      <c r="D31"/>
      <c r="E31"/>
      <c r="F31"/>
      <c r="G31"/>
      <c r="H31"/>
      <c r="I31"/>
      <c r="J31"/>
    </row>
    <row r="32" spans="1:20">
      <c r="A32"/>
      <c r="B32"/>
      <c r="C32"/>
      <c r="D32"/>
      <c r="E32"/>
      <c r="F32"/>
      <c r="G32"/>
      <c r="H32"/>
      <c r="I32"/>
      <c r="J32"/>
    </row>
    <row r="33" spans="1:10">
      <c r="A33"/>
      <c r="B33"/>
      <c r="C33"/>
      <c r="D33"/>
      <c r="E33"/>
      <c r="F33"/>
      <c r="G33"/>
      <c r="H33"/>
      <c r="I33"/>
      <c r="J33"/>
    </row>
  </sheetData>
  <autoFilter ref="L4:Q4" xr:uid="{DBF17619-369C-45A0-8406-779A11A0C407}"/>
  <conditionalFormatting sqref="A4:XFD4">
    <cfRule type="cellIs" dxfId="145" priority="12" operator="equal">
      <formula>$A$2</formula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D4E9-F62F-42F5-ADCC-CC1FE1F0B410}">
  <sheetPr codeName="Foglio16"/>
  <dimension ref="A3:S16"/>
  <sheetViews>
    <sheetView showGridLines="0" workbookViewId="0">
      <selection activeCell="F9" sqref="F9"/>
    </sheetView>
  </sheetViews>
  <sheetFormatPr defaultRowHeight="15"/>
  <cols>
    <col min="1" max="1" width="24.7109375" bestFit="1" customWidth="1"/>
    <col min="2" max="2" width="23" bestFit="1" customWidth="1"/>
    <col min="3" max="9" width="10.5703125" bestFit="1" customWidth="1"/>
    <col min="10" max="10" width="7.7109375" bestFit="1" customWidth="1"/>
    <col min="11" max="11" width="11.7109375" customWidth="1"/>
    <col min="12" max="18" width="11.42578125" customWidth="1"/>
    <col min="19" max="19" width="13.140625" customWidth="1"/>
    <col min="20" max="20" width="20.28515625" bestFit="1" customWidth="1"/>
    <col min="21" max="21" width="24.5703125" bestFit="1" customWidth="1"/>
    <col min="22" max="22" width="19.140625" bestFit="1" customWidth="1"/>
    <col min="23" max="23" width="23.42578125" bestFit="1" customWidth="1"/>
    <col min="24" max="24" width="19.140625" bestFit="1" customWidth="1"/>
    <col min="25" max="25" width="23.42578125" bestFit="1" customWidth="1"/>
    <col min="26" max="26" width="19.140625" bestFit="1" customWidth="1"/>
    <col min="27" max="27" width="23.42578125" bestFit="1" customWidth="1"/>
    <col min="28" max="28" width="17.5703125" bestFit="1" customWidth="1"/>
    <col min="29" max="29" width="22" bestFit="1" customWidth="1"/>
    <col min="30" max="30" width="15.5703125" bestFit="1" customWidth="1"/>
    <col min="31" max="31" width="19.85546875" bestFit="1" customWidth="1"/>
    <col min="32" max="32" width="15.5703125" bestFit="1" customWidth="1"/>
    <col min="33" max="33" width="19.85546875" bestFit="1" customWidth="1"/>
    <col min="34" max="34" width="14.7109375" bestFit="1" customWidth="1"/>
    <col min="35" max="35" width="19.140625" bestFit="1" customWidth="1"/>
    <col min="36" max="36" width="16.85546875" bestFit="1" customWidth="1"/>
    <col min="37" max="37" width="21.140625" bestFit="1" customWidth="1"/>
    <col min="38" max="38" width="16.85546875" bestFit="1" customWidth="1"/>
    <col min="39" max="39" width="21.140625" bestFit="1" customWidth="1"/>
    <col min="40" max="40" width="16.5703125" bestFit="1" customWidth="1"/>
    <col min="41" max="41" width="20.85546875" bestFit="1" customWidth="1"/>
    <col min="42" max="42" width="15.42578125" bestFit="1" customWidth="1"/>
    <col min="43" max="43" width="19.7109375" bestFit="1" customWidth="1"/>
    <col min="44" max="44" width="16.42578125" bestFit="1" customWidth="1"/>
    <col min="45" max="45" width="20.7109375" bestFit="1" customWidth="1"/>
    <col min="46" max="46" width="16.42578125" bestFit="1" customWidth="1"/>
    <col min="47" max="47" width="20.7109375" bestFit="1" customWidth="1"/>
    <col min="48" max="48" width="9.42578125" bestFit="1" customWidth="1"/>
    <col min="49" max="49" width="13.7109375" bestFit="1" customWidth="1"/>
    <col min="50" max="50" width="18.28515625" bestFit="1" customWidth="1"/>
  </cols>
  <sheetData>
    <row r="3" spans="1:19">
      <c r="A3" s="1510" t="s">
        <v>728</v>
      </c>
      <c r="B3" s="1510" t="s">
        <v>729</v>
      </c>
      <c r="C3" s="1512"/>
      <c r="D3" s="1512"/>
      <c r="E3" s="1512"/>
      <c r="F3" s="1512"/>
      <c r="G3" s="1512"/>
      <c r="H3" s="1512"/>
      <c r="I3" s="1512"/>
      <c r="L3" s="718" t="s">
        <v>737</v>
      </c>
      <c r="M3" s="65"/>
      <c r="N3" s="65"/>
      <c r="O3" s="65"/>
      <c r="P3" s="65"/>
      <c r="Q3" s="65"/>
      <c r="R3" s="65"/>
      <c r="S3" s="65"/>
    </row>
    <row r="4" spans="1:19">
      <c r="A4" s="1510" t="s">
        <v>730</v>
      </c>
      <c r="B4" s="1512">
        <v>2019</v>
      </c>
      <c r="C4" s="1512">
        <v>2020</v>
      </c>
      <c r="D4" s="1512">
        <v>2021</v>
      </c>
      <c r="E4" s="1512">
        <v>2022</v>
      </c>
      <c r="F4" s="1512">
        <v>2023</v>
      </c>
      <c r="G4" s="1512">
        <v>2024</v>
      </c>
      <c r="H4" s="1512">
        <v>2025</v>
      </c>
      <c r="I4" s="1512">
        <v>2026</v>
      </c>
      <c r="L4" s="66">
        <v>2019</v>
      </c>
      <c r="M4" s="66">
        <v>2020</v>
      </c>
      <c r="N4" s="66">
        <v>2021</v>
      </c>
      <c r="O4" s="66">
        <v>2022</v>
      </c>
      <c r="P4" s="66">
        <v>2023</v>
      </c>
      <c r="Q4" s="66">
        <v>2024</v>
      </c>
      <c r="R4" s="66">
        <v>2025</v>
      </c>
      <c r="S4" s="66">
        <v>2026</v>
      </c>
    </row>
    <row r="5" spans="1:19">
      <c r="A5" s="1520" t="s">
        <v>739</v>
      </c>
      <c r="B5" s="1516"/>
      <c r="C5" s="1516">
        <v>5117.2</v>
      </c>
      <c r="D5" s="1516">
        <v>5228.2700000000004</v>
      </c>
      <c r="E5" s="1516">
        <v>181.38</v>
      </c>
      <c r="F5" s="1516"/>
      <c r="G5" s="1516">
        <v>29.49</v>
      </c>
      <c r="H5" s="1516">
        <v>334.62</v>
      </c>
      <c r="I5" s="1516">
        <v>322.92999999999995</v>
      </c>
      <c r="L5" s="64">
        <f>B5/12</f>
        <v>0</v>
      </c>
      <c r="M5" s="64">
        <f>C5/12</f>
        <v>426.43333333333334</v>
      </c>
      <c r="N5" s="64">
        <f t="shared" ref="N5:R13" si="0">D5/12</f>
        <v>435.68916666666672</v>
      </c>
      <c r="O5" s="64">
        <f t="shared" si="0"/>
        <v>15.115</v>
      </c>
      <c r="P5" s="64">
        <f t="shared" si="0"/>
        <v>0</v>
      </c>
      <c r="Q5" s="64">
        <f t="shared" si="0"/>
        <v>2.4575</v>
      </c>
      <c r="R5" s="64">
        <f t="shared" si="0"/>
        <v>27.885000000000002</v>
      </c>
      <c r="S5" s="64">
        <f ca="1">I5/(MONTH(TODAY()))</f>
        <v>32.292999999999992</v>
      </c>
    </row>
    <row r="6" spans="1:19">
      <c r="A6" s="1520" t="s">
        <v>1236</v>
      </c>
      <c r="B6" s="1516">
        <v>105.52</v>
      </c>
      <c r="C6" s="1516">
        <v>461.20000000000005</v>
      </c>
      <c r="D6" s="1516">
        <v>291.33999999999997</v>
      </c>
      <c r="E6" s="1516">
        <v>630.15</v>
      </c>
      <c r="F6" s="1516">
        <v>770.02</v>
      </c>
      <c r="G6" s="1516">
        <v>638.09999999999991</v>
      </c>
      <c r="H6" s="1516"/>
      <c r="I6" s="1516">
        <v>542.42999999999995</v>
      </c>
      <c r="L6" s="64">
        <f t="shared" ref="L6:M13" si="1">B6/12</f>
        <v>8.793333333333333</v>
      </c>
      <c r="M6" s="64">
        <f t="shared" si="1"/>
        <v>38.433333333333337</v>
      </c>
      <c r="N6" s="64">
        <f t="shared" si="0"/>
        <v>24.278333333333332</v>
      </c>
      <c r="O6" s="64">
        <f t="shared" si="0"/>
        <v>52.512499999999996</v>
      </c>
      <c r="P6" s="64">
        <f t="shared" si="0"/>
        <v>64.168333333333337</v>
      </c>
      <c r="Q6" s="64">
        <f t="shared" si="0"/>
        <v>53.17499999999999</v>
      </c>
      <c r="R6" s="64">
        <f t="shared" si="0"/>
        <v>0</v>
      </c>
      <c r="S6" s="64">
        <f ca="1">I6/(MONTH(TODAY()))</f>
        <v>54.242999999999995</v>
      </c>
    </row>
    <row r="7" spans="1:19">
      <c r="A7" s="1520" t="s">
        <v>744</v>
      </c>
      <c r="B7" s="1516"/>
      <c r="C7" s="1516">
        <v>432.5</v>
      </c>
      <c r="D7" s="1516">
        <v>498.4</v>
      </c>
      <c r="E7" s="1516">
        <v>120.5</v>
      </c>
      <c r="F7" s="1516">
        <v>19</v>
      </c>
      <c r="G7" s="1516">
        <v>674.56999999999994</v>
      </c>
      <c r="H7" s="1516">
        <v>607.45000000000005</v>
      </c>
      <c r="I7" s="1516">
        <v>763.37999999999988</v>
      </c>
      <c r="L7" s="64">
        <f t="shared" si="1"/>
        <v>0</v>
      </c>
      <c r="M7" s="64">
        <f t="shared" si="1"/>
        <v>36.041666666666664</v>
      </c>
      <c r="N7" s="64">
        <f t="shared" si="0"/>
        <v>41.533333333333331</v>
      </c>
      <c r="O7" s="64">
        <f t="shared" si="0"/>
        <v>10.041666666666666</v>
      </c>
      <c r="P7" s="64">
        <f t="shared" si="0"/>
        <v>1.5833333333333333</v>
      </c>
      <c r="Q7" s="64">
        <f t="shared" si="0"/>
        <v>56.214166666666664</v>
      </c>
      <c r="R7" s="64">
        <f t="shared" si="0"/>
        <v>50.620833333333337</v>
      </c>
      <c r="S7" s="64">
        <f t="shared" ref="S7:S15" ca="1" si="2">I7/(MONTH(TODAY()))</f>
        <v>76.337999999999994</v>
      </c>
    </row>
    <row r="8" spans="1:19">
      <c r="A8" s="1521" t="s">
        <v>1290</v>
      </c>
      <c r="B8" s="1516">
        <v>25</v>
      </c>
      <c r="C8" s="1516">
        <v>193</v>
      </c>
      <c r="D8" s="1516">
        <v>198.5</v>
      </c>
      <c r="E8" s="1516"/>
      <c r="F8" s="1516"/>
      <c r="G8" s="1516">
        <v>101.58</v>
      </c>
      <c r="H8" s="1516">
        <v>463.79</v>
      </c>
      <c r="I8" s="1516">
        <v>1476.2500000000002</v>
      </c>
      <c r="L8" s="64">
        <f t="shared" si="1"/>
        <v>2.0833333333333335</v>
      </c>
      <c r="M8" s="64">
        <f t="shared" si="1"/>
        <v>16.083333333333332</v>
      </c>
      <c r="N8" s="64">
        <f t="shared" si="0"/>
        <v>16.541666666666668</v>
      </c>
      <c r="O8" s="64">
        <f t="shared" si="0"/>
        <v>0</v>
      </c>
      <c r="P8" s="64">
        <f t="shared" si="0"/>
        <v>0</v>
      </c>
      <c r="Q8" s="64">
        <f t="shared" si="0"/>
        <v>8.4649999999999999</v>
      </c>
      <c r="R8" s="64">
        <f t="shared" si="0"/>
        <v>38.649166666666666</v>
      </c>
      <c r="S8" s="64">
        <f t="shared" ca="1" si="2"/>
        <v>147.62500000000003</v>
      </c>
    </row>
    <row r="9" spans="1:19">
      <c r="A9" s="1520" t="s">
        <v>740</v>
      </c>
      <c r="B9" s="1516">
        <v>100</v>
      </c>
      <c r="C9" s="1516">
        <v>1763.3100000000002</v>
      </c>
      <c r="D9" s="1516">
        <v>507.12</v>
      </c>
      <c r="E9" s="1516">
        <v>84.63</v>
      </c>
      <c r="F9" s="1516">
        <v>17.13</v>
      </c>
      <c r="G9" s="1516">
        <v>13.7</v>
      </c>
      <c r="H9" s="1516">
        <v>136.91999999999999</v>
      </c>
      <c r="I9" s="1516">
        <v>351.90000000000003</v>
      </c>
      <c r="L9" s="64">
        <f t="shared" si="1"/>
        <v>8.3333333333333339</v>
      </c>
      <c r="M9" s="64">
        <f t="shared" si="1"/>
        <v>146.94250000000002</v>
      </c>
      <c r="N9" s="64">
        <f t="shared" si="0"/>
        <v>42.26</v>
      </c>
      <c r="O9" s="64">
        <f t="shared" si="0"/>
        <v>7.0524999999999993</v>
      </c>
      <c r="P9" s="64">
        <f t="shared" si="0"/>
        <v>1.4275</v>
      </c>
      <c r="Q9" s="64">
        <f t="shared" si="0"/>
        <v>1.1416666666666666</v>
      </c>
      <c r="R9" s="64">
        <f t="shared" si="0"/>
        <v>11.409999999999998</v>
      </c>
      <c r="S9" s="64">
        <f t="shared" ca="1" si="2"/>
        <v>35.190000000000005</v>
      </c>
    </row>
    <row r="10" spans="1:19">
      <c r="A10" s="1520" t="s">
        <v>743</v>
      </c>
      <c r="B10" s="1516"/>
      <c r="C10" s="1516"/>
      <c r="D10" s="1516"/>
      <c r="E10" s="1516">
        <v>80.5</v>
      </c>
      <c r="F10" s="1516"/>
      <c r="G10" s="1516">
        <v>203.7</v>
      </c>
      <c r="H10" s="1516">
        <v>350.23</v>
      </c>
      <c r="I10" s="1516">
        <v>1852</v>
      </c>
      <c r="L10" s="64">
        <f t="shared" si="1"/>
        <v>0</v>
      </c>
      <c r="M10" s="64">
        <f t="shared" si="1"/>
        <v>0</v>
      </c>
      <c r="N10" s="64">
        <f t="shared" si="0"/>
        <v>0</v>
      </c>
      <c r="O10" s="64">
        <f t="shared" si="0"/>
        <v>6.708333333333333</v>
      </c>
      <c r="P10" s="64">
        <f t="shared" si="0"/>
        <v>0</v>
      </c>
      <c r="Q10" s="64">
        <f t="shared" si="0"/>
        <v>16.974999999999998</v>
      </c>
      <c r="R10" s="64">
        <f t="shared" si="0"/>
        <v>29.185833333333335</v>
      </c>
      <c r="S10" s="64">
        <f t="shared" ca="1" si="2"/>
        <v>185.2</v>
      </c>
    </row>
    <row r="11" spans="1:19">
      <c r="A11" s="1521" t="s">
        <v>1252</v>
      </c>
      <c r="B11" s="1516">
        <v>482</v>
      </c>
      <c r="C11" s="1516">
        <v>1128</v>
      </c>
      <c r="D11" s="1516">
        <v>250</v>
      </c>
      <c r="E11" s="1516"/>
      <c r="F11" s="1516"/>
      <c r="G11" s="1516">
        <v>-30</v>
      </c>
      <c r="H11" s="1516"/>
      <c r="I11" s="1516">
        <v>582.55999999999995</v>
      </c>
      <c r="L11" s="64">
        <f t="shared" si="1"/>
        <v>40.166666666666664</v>
      </c>
      <c r="M11" s="64">
        <f t="shared" si="1"/>
        <v>94</v>
      </c>
      <c r="N11" s="64">
        <f t="shared" si="0"/>
        <v>20.833333333333332</v>
      </c>
      <c r="O11" s="64">
        <f t="shared" si="0"/>
        <v>0</v>
      </c>
      <c r="P11" s="64">
        <f t="shared" si="0"/>
        <v>0</v>
      </c>
      <c r="Q11" s="64">
        <f t="shared" si="0"/>
        <v>-2.5</v>
      </c>
      <c r="R11" s="64">
        <f t="shared" si="0"/>
        <v>0</v>
      </c>
      <c r="S11" s="64">
        <f t="shared" ca="1" si="2"/>
        <v>58.255999999999993</v>
      </c>
    </row>
    <row r="12" spans="1:19">
      <c r="A12" s="1520" t="s">
        <v>116</v>
      </c>
      <c r="B12" s="1516">
        <v>0.23</v>
      </c>
      <c r="C12" s="1516">
        <v>38.1</v>
      </c>
      <c r="D12" s="1516">
        <v>204.01</v>
      </c>
      <c r="E12" s="1516">
        <v>539.13</v>
      </c>
      <c r="F12" s="1516">
        <v>695.13000000000011</v>
      </c>
      <c r="G12" s="1516">
        <v>965.72</v>
      </c>
      <c r="H12" s="1516">
        <v>216.94</v>
      </c>
      <c r="I12" s="1516">
        <v>229.04000000000002</v>
      </c>
      <c r="L12" s="64">
        <f t="shared" si="1"/>
        <v>1.9166666666666669E-2</v>
      </c>
      <c r="M12" s="64">
        <f t="shared" si="1"/>
        <v>3.1750000000000003</v>
      </c>
      <c r="N12" s="64">
        <f t="shared" si="0"/>
        <v>17.000833333333333</v>
      </c>
      <c r="O12" s="64">
        <f t="shared" si="0"/>
        <v>44.927500000000002</v>
      </c>
      <c r="P12" s="64">
        <f t="shared" si="0"/>
        <v>57.927500000000009</v>
      </c>
      <c r="Q12" s="64">
        <f t="shared" si="0"/>
        <v>80.476666666666674</v>
      </c>
      <c r="R12" s="64">
        <f t="shared" si="0"/>
        <v>18.078333333333333</v>
      </c>
      <c r="S12" s="64">
        <f t="shared" ca="1" si="2"/>
        <v>22.904000000000003</v>
      </c>
    </row>
    <row r="13" spans="1:19">
      <c r="A13" s="1521" t="s">
        <v>1255</v>
      </c>
      <c r="B13" s="1516"/>
      <c r="C13" s="1516">
        <v>48.5</v>
      </c>
      <c r="D13" s="1516">
        <v>512.67999999999995</v>
      </c>
      <c r="E13" s="1516"/>
      <c r="F13" s="1516">
        <v>171.8</v>
      </c>
      <c r="G13" s="1516"/>
      <c r="H13" s="1516">
        <v>26.34</v>
      </c>
      <c r="I13" s="1516"/>
      <c r="L13" s="64">
        <f t="shared" si="1"/>
        <v>0</v>
      </c>
      <c r="M13" s="64">
        <f t="shared" si="1"/>
        <v>4.041666666666667</v>
      </c>
      <c r="N13" s="64">
        <f t="shared" si="0"/>
        <v>42.723333333333329</v>
      </c>
      <c r="O13" s="64">
        <f t="shared" si="0"/>
        <v>0</v>
      </c>
      <c r="P13" s="64">
        <f t="shared" si="0"/>
        <v>14.316666666666668</v>
      </c>
      <c r="Q13" s="64">
        <f t="shared" si="0"/>
        <v>0</v>
      </c>
      <c r="R13" s="64">
        <f t="shared" si="0"/>
        <v>2.1949999999999998</v>
      </c>
      <c r="S13" s="64">
        <f t="shared" ca="1" si="2"/>
        <v>0</v>
      </c>
    </row>
    <row r="14" spans="1:19">
      <c r="A14" s="1520" t="s">
        <v>747</v>
      </c>
      <c r="B14" s="1516"/>
      <c r="C14" s="1516"/>
      <c r="D14" s="1516"/>
      <c r="E14" s="1516">
        <v>1352.48</v>
      </c>
      <c r="F14" s="1516"/>
      <c r="G14" s="1516"/>
      <c r="H14" s="1516"/>
      <c r="I14" s="1516"/>
      <c r="L14" s="64">
        <f t="shared" ref="L14" si="3">B14/12</f>
        <v>0</v>
      </c>
      <c r="M14" s="64">
        <f t="shared" ref="M14" si="4">C14/12</f>
        <v>0</v>
      </c>
      <c r="N14" s="64">
        <f t="shared" ref="N14" si="5">D14/12</f>
        <v>0</v>
      </c>
      <c r="O14" s="64">
        <f t="shared" ref="O14" si="6">E14/12</f>
        <v>112.70666666666666</v>
      </c>
      <c r="P14" s="64">
        <f t="shared" ref="P14" si="7">F14/12</f>
        <v>0</v>
      </c>
      <c r="Q14" s="64">
        <f t="shared" ref="Q14" si="8">G14/12</f>
        <v>0</v>
      </c>
      <c r="R14" s="64">
        <f t="shared" ref="R14" si="9">H14/12</f>
        <v>0</v>
      </c>
      <c r="S14" s="64">
        <f t="shared" ca="1" si="2"/>
        <v>0</v>
      </c>
    </row>
    <row r="15" spans="1:19" ht="21" customHeight="1">
      <c r="A15" s="1514" t="s">
        <v>738</v>
      </c>
      <c r="B15" s="1516">
        <v>712.75</v>
      </c>
      <c r="C15" s="1516">
        <v>9181.81</v>
      </c>
      <c r="D15" s="1516">
        <v>7690.3200000000006</v>
      </c>
      <c r="E15" s="1516">
        <v>2988.77</v>
      </c>
      <c r="F15" s="1516">
        <v>1673.0800000000002</v>
      </c>
      <c r="G15" s="1516">
        <v>2596.8599999999997</v>
      </c>
      <c r="H15" s="1516">
        <v>2136.2900000000004</v>
      </c>
      <c r="I15" s="1516">
        <v>6120.4899999999989</v>
      </c>
      <c r="L15" s="636">
        <f t="shared" ref="L15" si="10">B15/12</f>
        <v>59.395833333333336</v>
      </c>
      <c r="M15" s="636">
        <f t="shared" ref="M15" si="11">C15/12</f>
        <v>765.15083333333325</v>
      </c>
      <c r="N15" s="636">
        <f t="shared" ref="N15" si="12">D15/12</f>
        <v>640.86</v>
      </c>
      <c r="O15" s="636">
        <f t="shared" ref="O15" si="13">E15/12</f>
        <v>249.06416666666667</v>
      </c>
      <c r="P15" s="636">
        <f t="shared" ref="P15" si="14">F15/12</f>
        <v>139.42333333333335</v>
      </c>
      <c r="Q15" s="636">
        <f t="shared" ref="Q15" si="15">G15/12</f>
        <v>216.40499999999997</v>
      </c>
      <c r="R15" s="636">
        <f t="shared" ref="R15" si="16">H15/12</f>
        <v>178.0241666666667</v>
      </c>
      <c r="S15" s="636">
        <f t="shared" ca="1" si="2"/>
        <v>612.04899999999986</v>
      </c>
    </row>
    <row r="16" spans="1:19">
      <c r="K16" s="64"/>
      <c r="L16" s="9"/>
      <c r="M16" s="9"/>
      <c r="N16" s="9"/>
      <c r="O16" s="9"/>
      <c r="P16" s="9"/>
      <c r="Q16" s="9"/>
      <c r="R16" s="9"/>
    </row>
  </sheetData>
  <conditionalFormatting sqref="L4:S4">
    <cfRule type="cellIs" dxfId="144" priority="2" operator="equal">
      <formula>#REF!</formula>
    </cfRule>
  </conditionalFormatting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9CF3-CA3A-4ADD-9093-AE243B2D0964}">
  <sheetPr codeName="Foglio17"/>
  <dimension ref="A1:H20"/>
  <sheetViews>
    <sheetView workbookViewId="0">
      <selection activeCell="F26" sqref="F26"/>
    </sheetView>
  </sheetViews>
  <sheetFormatPr defaultRowHeight="15"/>
  <cols>
    <col min="1" max="1" width="39.42578125" bestFit="1" customWidth="1"/>
    <col min="2" max="8" width="18" customWidth="1"/>
  </cols>
  <sheetData>
    <row r="1" spans="1:8">
      <c r="A1" s="1352" t="s">
        <v>746</v>
      </c>
      <c r="B1" s="1369">
        <v>2020</v>
      </c>
      <c r="C1" s="1369">
        <v>2021</v>
      </c>
      <c r="D1" s="1369">
        <v>2022</v>
      </c>
      <c r="E1" s="1369">
        <v>2023</v>
      </c>
      <c r="F1" s="1369">
        <v>2024</v>
      </c>
      <c r="G1" s="1369">
        <v>2025</v>
      </c>
      <c r="H1" s="1369">
        <v>2026</v>
      </c>
    </row>
    <row r="2" spans="1:8">
      <c r="A2" s="685" t="s">
        <v>1236</v>
      </c>
      <c r="B2" s="1345">
        <f>('Analisi Spese Generiche Conto'!M6+'Analisi Spese Generiche Carta'!M6)+(BILANCIO!K18+BILANCIO!K19+BILANCIO!K21+BILANCIO!K60+BILANCIO!K61)</f>
        <v>553.2983333333334</v>
      </c>
      <c r="C2" s="1345">
        <f>('Analisi Spese Generiche Conto'!N6+'Analisi Spese Generiche Carta'!N6)+(BILANCIO!L18+BILANCIO!L19+BILANCIO!L21+BILANCIO!L60+BILANCIO!L61)</f>
        <v>506.09416666666664</v>
      </c>
      <c r="D2" s="1345">
        <f>('Analisi Spese Generiche Conto'!O6+'Analisi Spese Generiche Carta'!O6)+(BILANCIO!M18+BILANCIO!M19+BILANCIO!M21+BILANCIO!M60+BILANCIO!M61)</f>
        <v>1766.0258333333334</v>
      </c>
      <c r="E2" s="1345">
        <f>('Analisi Spese Generiche Conto'!P6+'Analisi Spese Generiche Carta'!P6)+(BILANCIO!N18+BILANCIO!N19+BILANCIO!N21+BILANCIO!N60+BILANCIO!N61)</f>
        <v>618.48249999999996</v>
      </c>
      <c r="F2" s="1345">
        <f>('Analisi Spese Generiche Conto'!Q6+'Analisi Spese Generiche Carta'!Q6)+(BILANCIO!O18+BILANCIO!O19+BILANCIO!O21+BILANCIO!O60+BILANCIO!O61)</f>
        <v>485.93499999999995</v>
      </c>
      <c r="G2" s="1345">
        <f>('Analisi Spese Generiche Conto'!R6+'Analisi Spese Generiche Carta'!R6)+(BILANCIO!P18+BILANCIO!P19+BILANCIO!P21+BILANCIO!P60+BILANCIO!P61)</f>
        <v>296.89583333333326</v>
      </c>
      <c r="H2" s="1356">
        <f ca="1">('Analisi Spese Generiche Conto'!S6+'Analisi Spese Generiche Carta'!S6)+(BILANCIO!Q18+BILANCIO!Q19+BILANCIO!Q21+BILANCIO!Q60+BILANCIO!Q61)</f>
        <v>519.76133333333337</v>
      </c>
    </row>
    <row r="3" spans="1:8">
      <c r="A3" s="686" t="s">
        <v>739</v>
      </c>
      <c r="B3" s="1345">
        <f>('Analisi Spese Generiche Conto'!M5+'Analisi Spese Generiche Carta'!M5)+(BILANCIO!K16+BILANCIO!K17+BILANCIO!K15+BILANCIO!K22+BILANCIO!K23)</f>
        <v>1857.6558333333332</v>
      </c>
      <c r="C3" s="1345">
        <f>('Analisi Spese Generiche Conto'!N5+'Analisi Spese Generiche Carta'!N5)+(BILANCIO!L16+BILANCIO!L17+BILANCIO!L15+BILANCIO!L22+BILANCIO!L23)</f>
        <v>1363.8625000000002</v>
      </c>
      <c r="D3" s="1345">
        <f>('Analisi Spese Generiche Conto'!O5+'Analisi Spese Generiche Carta'!O5)+(BILANCIO!M16+BILANCIO!M17+BILANCIO!M15+BILANCIO!M22+BILANCIO!M23)</f>
        <v>2599.2075</v>
      </c>
      <c r="E3" s="1345">
        <f>('Analisi Spese Generiche Conto'!P5+'Analisi Spese Generiche Carta'!P5)+(BILANCIO!N16+BILANCIO!N17+BILANCIO!N15+BILANCIO!N22+BILANCIO!N23)</f>
        <v>1013.0908333333334</v>
      </c>
      <c r="F3" s="1345">
        <f>('Analisi Spese Generiche Conto'!Q5+'Analisi Spese Generiche Carta'!Q5)+(BILANCIO!O16+BILANCIO!O17+BILANCIO!O15+BILANCIO!O22+BILANCIO!O23)</f>
        <v>1025.6566666666668</v>
      </c>
      <c r="G3" s="1345">
        <f>('Analisi Spese Generiche Conto'!R5+'Analisi Spese Generiche Carta'!R5)+(BILANCIO!P16+BILANCIO!P17+BILANCIO!P15+BILANCIO!P22+BILANCIO!P23)</f>
        <v>1060.8866666666665</v>
      </c>
      <c r="H3" s="1356">
        <f ca="1">('Analisi Spese Generiche Conto'!S5+'Analisi Spese Generiche Carta'!S5)+(BILANCIO!Q16+BILANCIO!Q17+BILANCIO!Q15+BILANCIO!Q22+BILANCIO!Q23)</f>
        <v>1137.2950091033392</v>
      </c>
    </row>
    <row r="4" spans="1:8">
      <c r="A4" s="691" t="s">
        <v>744</v>
      </c>
      <c r="B4" s="1345">
        <f>('Analisi Spese Generiche Carta'!M7+'Analisi Spese Generiche Conto'!M7)</f>
        <v>330.38583333333327</v>
      </c>
      <c r="C4" s="1345">
        <f>('Analisi Spese Generiche Carta'!N7+'Analisi Spese Generiche Conto'!N7)</f>
        <v>270.99750000000006</v>
      </c>
      <c r="D4" s="1345">
        <f>('Analisi Spese Generiche Carta'!O7+'Analisi Spese Generiche Conto'!O7)</f>
        <v>84.583333333333357</v>
      </c>
      <c r="E4" s="1345">
        <f>('Analisi Spese Generiche Carta'!P7+'Analisi Spese Generiche Conto'!P7)</f>
        <v>139.31666666666669</v>
      </c>
      <c r="F4" s="1345">
        <f>('Analisi Spese Generiche Carta'!Q7+'Analisi Spese Generiche Conto'!Q7)</f>
        <v>224.08500000000004</v>
      </c>
      <c r="G4" s="1345">
        <f>('Analisi Spese Generiche Carta'!R7+'Analisi Spese Generiche Conto'!R7)</f>
        <v>299.96483333333333</v>
      </c>
      <c r="H4" s="1356">
        <f ca="1">('Analisi Spese Generiche Carta'!S7+'Analisi Spese Generiche Conto'!S7)</f>
        <v>418.28440000000001</v>
      </c>
    </row>
    <row r="5" spans="1:8">
      <c r="A5" s="687" t="s">
        <v>740</v>
      </c>
      <c r="B5" s="1345">
        <f>('Analisi Spese Generiche Carta'!M9+'Analisi Spese Generiche Conto'!M9)+(BILANCIO!K57+BILANCIO!K48+BILANCIO!K49)</f>
        <v>372.10416666666674</v>
      </c>
      <c r="C5" s="1345">
        <f>('Analisi Spese Generiche Carta'!N9+'Analisi Spese Generiche Conto'!N9)+(BILANCIO!L57+BILANCIO!L48+BILANCIO!L49)</f>
        <v>190.19</v>
      </c>
      <c r="D5" s="1345">
        <f>('Analisi Spese Generiche Carta'!O9+'Analisi Spese Generiche Conto'!O9)+(BILANCIO!M57+BILANCIO!M48+BILANCIO!M49)</f>
        <v>148.31000000000012</v>
      </c>
      <c r="E5" s="1345">
        <f>('Analisi Spese Generiche Carta'!P9+'Analisi Spese Generiche Conto'!P9)+(BILANCIO!N57+BILANCIO!N48+BILANCIO!N49)</f>
        <v>173.14416666666708</v>
      </c>
      <c r="F5" s="1345">
        <f>('Analisi Spese Generiche Carta'!Q9+'Analisi Spese Generiche Conto'!Q9)+(BILANCIO!O57+BILANCIO!O48+BILANCIO!O49)</f>
        <v>179.67916666666719</v>
      </c>
      <c r="G5" s="1345">
        <f>('Analisi Spese Generiche Carta'!R9+'Analisi Spese Generiche Conto'!R9)+(BILANCIO!P57+BILANCIO!P48+BILANCIO!P49)</f>
        <v>208.97666666666697</v>
      </c>
      <c r="H5" s="1356">
        <f ca="1">('Analisi Spese Generiche Carta'!S9+'Analisi Spese Generiche Conto'!S9)+(BILANCIO!Q57+BILANCIO!Q48+BILANCIO!Q49)</f>
        <v>202.96783333333343</v>
      </c>
    </row>
    <row r="6" spans="1:8">
      <c r="A6" s="690" t="s">
        <v>743</v>
      </c>
      <c r="B6" s="1345">
        <f>('Analisi Spese Generiche Carta'!M10+'Analisi Spese Generiche Conto'!M10)</f>
        <v>72.217499999999987</v>
      </c>
      <c r="C6" s="1345">
        <f>('Analisi Spese Generiche Carta'!N10+'Analisi Spese Generiche Conto'!N10)</f>
        <v>60.057500000000005</v>
      </c>
      <c r="D6" s="1345">
        <f>('Analisi Spese Generiche Carta'!O10+'Analisi Spese Generiche Conto'!O10)</f>
        <v>19.831666666666667</v>
      </c>
      <c r="E6" s="1345">
        <f>('Analisi Spese Generiche Carta'!P10+'Analisi Spese Generiche Conto'!P10)</f>
        <v>76.14</v>
      </c>
      <c r="F6" s="1345">
        <f>('Analisi Spese Generiche Carta'!Q10+'Analisi Spese Generiche Conto'!Q10)</f>
        <v>199.26499999999999</v>
      </c>
      <c r="G6" s="1345">
        <f>('Analisi Spese Generiche Carta'!R10+'Analisi Spese Generiche Conto'!R10)</f>
        <v>383.40416666666664</v>
      </c>
      <c r="H6" s="1356">
        <f ca="1">('Analisi Spese Generiche Carta'!S10+'Analisi Spese Generiche Conto'!S10)</f>
        <v>467.47099999999989</v>
      </c>
    </row>
    <row r="7" spans="1:8">
      <c r="A7" s="692" t="s">
        <v>1252</v>
      </c>
      <c r="B7" s="1345">
        <f>(BILANCIO!K24+BILANCIO!K58+BILANCIO!K59)+('Analisi Spese Generiche Carta'!M11+'Analisi Spese Generiche Conto'!M11)-(BILANCIO!K63)</f>
        <v>302.96083333333337</v>
      </c>
      <c r="C7" s="1345">
        <f>(BILANCIO!L24+BILANCIO!L58+BILANCIO!L59)+('Analisi Spese Generiche Carta'!N11+'Analisi Spese Generiche Conto'!N11)-(BILANCIO!L63)</f>
        <v>583.65666666666675</v>
      </c>
      <c r="D7" s="1345">
        <f>(BILANCIO!M24+BILANCIO!M58+BILANCIO!M59)+('Analisi Spese Generiche Carta'!O11+'Analisi Spese Generiche Conto'!O11)-(BILANCIO!M63)</f>
        <v>547.86249999999995</v>
      </c>
      <c r="E7" s="1345">
        <f>(BILANCIO!N24+BILANCIO!N58+BILANCIO!N59)+('Analisi Spese Generiche Carta'!P11+'Analisi Spese Generiche Conto'!P11)-(BILANCIO!N63)</f>
        <v>413.22666666666669</v>
      </c>
      <c r="F7" s="1345">
        <f>(BILANCIO!O24+BILANCIO!O58+BILANCIO!O59)+('Analisi Spese Generiche Carta'!Q11+'Analisi Spese Generiche Conto'!Q11)-(BILANCIO!O63)</f>
        <v>286.81583333333333</v>
      </c>
      <c r="G7" s="1345">
        <f>(BILANCIO!P24+BILANCIO!P58+BILANCIO!P59)+('Analisi Spese Generiche Carta'!R11+'Analisi Spese Generiche Conto'!R11)-(BILANCIO!P63)</f>
        <v>232.32916666666668</v>
      </c>
      <c r="H7" s="1356">
        <f ca="1">(BILANCIO!Q24+BILANCIO!Q58+BILANCIO!Q59)+('Analisi Spese Generiche Carta'!S11+'Analisi Spese Generiche Conto'!S11)-(BILANCIO!Q63)</f>
        <v>610.65390476190464</v>
      </c>
    </row>
    <row r="8" spans="1:8">
      <c r="A8" s="689" t="s">
        <v>742</v>
      </c>
      <c r="B8" s="1345">
        <f>('Analisi Spese Generiche Carta'!M8+'Analisi Spese Generiche Conto'!M8)</f>
        <v>58.966666666666669</v>
      </c>
      <c r="C8" s="1345">
        <f>('Analisi Spese Generiche Carta'!N8+'Analisi Spese Generiche Conto'!N8)</f>
        <v>78.792500000000018</v>
      </c>
      <c r="D8" s="1345">
        <f>('Analisi Spese Generiche Carta'!O8+'Analisi Spese Generiche Conto'!O8)</f>
        <v>136.35666666666665</v>
      </c>
      <c r="E8" s="1345">
        <f>('Analisi Spese Generiche Carta'!P8+'Analisi Spese Generiche Conto'!P8)</f>
        <v>159.22416666666669</v>
      </c>
      <c r="F8" s="1345">
        <f>('Analisi Spese Generiche Carta'!Q8+'Analisi Spese Generiche Conto'!Q8)</f>
        <v>245.73916666666668</v>
      </c>
      <c r="G8" s="1345">
        <f>('Analisi Spese Generiche Carta'!R8+'Analisi Spese Generiche Conto'!R8)</f>
        <v>394.23916666666651</v>
      </c>
      <c r="H8" s="1356">
        <f ca="1">('Analisi Spese Generiche Carta'!S8+'Analisi Spese Generiche Conto'!S8)</f>
        <v>436.17400000000009</v>
      </c>
    </row>
    <row r="9" spans="1:8">
      <c r="A9" s="688" t="s">
        <v>741</v>
      </c>
      <c r="B9" s="1345">
        <f>('Abbonamenti Mensili'!B15+'Abbonamenti Mensili'!B7)+BILANCIO!K51+'Analisi Spese Generiche Carta'!M14</f>
        <v>55.089166666666671</v>
      </c>
      <c r="C9" s="1345">
        <f>('Abbonamenti Mensili'!C15+'Abbonamenti Mensili'!C7)+BILANCIO!L51+'Analisi Spese Generiche Carta'!N14</f>
        <v>81.325833333333321</v>
      </c>
      <c r="D9" s="1345">
        <f>('Abbonamenti Mensili'!D15+'Abbonamenti Mensili'!D7)+BILANCIO!M51+'Analisi Spese Generiche Carta'!O14</f>
        <v>67.038333333333327</v>
      </c>
      <c r="E9" s="1345">
        <f>('Abbonamenti Mensili'!E15+'Abbonamenti Mensili'!E7)+BILANCIO!N51+'Analisi Spese Generiche Carta'!P14</f>
        <v>47.584166666666668</v>
      </c>
      <c r="F9" s="1345">
        <f>('Abbonamenti Mensili'!F15+'Abbonamenti Mensili'!F7)+BILANCIO!O51+'Analisi Spese Generiche Carta'!Q14</f>
        <v>64.327500000000001</v>
      </c>
      <c r="G9" s="1345">
        <f>('Abbonamenti Mensili'!G15+'Abbonamenti Mensili'!G7)+BILANCIO!P51+'Analisi Spese Generiche Carta'!R14</f>
        <v>79.243333333333339</v>
      </c>
      <c r="H9" s="1356">
        <f ca="1">('Abbonamenti Mensili'!H15+'Abbonamenti Mensili'!H7)+BILANCIO!Q51+'Analisi Spese Generiche Carta'!S14</f>
        <v>66.550000000000011</v>
      </c>
    </row>
    <row r="10" spans="1:8">
      <c r="A10" s="1392" t="s">
        <v>1255</v>
      </c>
      <c r="B10" s="1345">
        <f>(BILANCIO!K20+BILANCIO!K52)+('Analisi Spese Generiche Conto'!M13+'Analisi Spese Generiche Carta'!M13)</f>
        <v>11.541666666666668</v>
      </c>
      <c r="C10" s="1345">
        <f>(BILANCIO!L20+BILANCIO!L52)+('Analisi Spese Generiche Conto'!N13+'Analisi Spese Generiche Carta'!N13)</f>
        <v>54.085833333333326</v>
      </c>
      <c r="D10" s="1345">
        <f>(BILANCIO!M20+BILANCIO!M52)+('Analisi Spese Generiche Conto'!O13+'Analisi Spese Generiche Carta'!O13)</f>
        <v>8.8499999999999979</v>
      </c>
      <c r="E10" s="1345">
        <f>(BILANCIO!N20+BILANCIO!N52)+('Analisi Spese Generiche Conto'!P13+'Analisi Spese Generiche Carta'!P13)</f>
        <v>23.166666666666664</v>
      </c>
      <c r="F10" s="1345">
        <f>(BILANCIO!O20+BILANCIO!O52)+('Analisi Spese Generiche Conto'!Q13+'Analisi Spese Generiche Carta'!Q13)</f>
        <v>8.8499999999999979</v>
      </c>
      <c r="G10" s="1345">
        <f>(BILANCIO!P20+BILANCIO!P52)+('Analisi Spese Generiche Conto'!R13+'Analisi Spese Generiche Carta'!R13)</f>
        <v>9.1466666666666647</v>
      </c>
      <c r="H10" s="1356">
        <f ca="1">(BILANCIO!Q20+BILANCIO!Q52)+('Analisi Spese Generiche Conto'!S13+'Analisi Spese Generiche Carta'!S13)</f>
        <v>8.8499999999999979</v>
      </c>
    </row>
    <row r="11" spans="1:8">
      <c r="A11" s="791" t="s">
        <v>116</v>
      </c>
      <c r="B11" s="1345">
        <f>('Analisi Spese Generiche Carta'!M12+'Analisi Spese Generiche Conto'!M12)</f>
        <v>3.1750000000000003</v>
      </c>
      <c r="C11" s="1345">
        <f>('Analisi Spese Generiche Carta'!N12+'Analisi Spese Generiche Conto'!N12)</f>
        <v>17.000833333333333</v>
      </c>
      <c r="D11" s="1345">
        <f>('Analisi Spese Generiche Carta'!O12+'Analisi Spese Generiche Conto'!O12)</f>
        <v>46.914166666666667</v>
      </c>
      <c r="E11" s="1345">
        <f>('Analisi Spese Generiche Carta'!P12+'Analisi Spese Generiche Conto'!P12)</f>
        <v>59.741666666666674</v>
      </c>
      <c r="F11" s="1345">
        <f>('Analisi Spese Generiche Carta'!Q12+'Analisi Spese Generiche Conto'!Q12)</f>
        <v>97.666666666666671</v>
      </c>
      <c r="G11" s="1345">
        <f>('Analisi Spese Generiche Carta'!R12+'Analisi Spese Generiche Conto'!R12)</f>
        <v>19.825833333333332</v>
      </c>
      <c r="H11" s="1356">
        <f ca="1">('Analisi Spese Generiche Carta'!S12+'Analisi Spese Generiche Conto'!S12)</f>
        <v>24.980000000000004</v>
      </c>
    </row>
    <row r="12" spans="1:8">
      <c r="A12" s="1390" t="s">
        <v>747</v>
      </c>
      <c r="B12" s="1345">
        <f>BILANCIO!K25+'Analisi Spese Generiche Conto'!M14</f>
        <v>0</v>
      </c>
      <c r="C12" s="1345">
        <f>BILANCIO!L25+'Analisi Spese Generiche Conto'!N14</f>
        <v>53.20000000000001</v>
      </c>
      <c r="D12" s="1345">
        <f>BILANCIO!M25+'Analisi Spese Generiche Conto'!O14</f>
        <v>120.30666666666666</v>
      </c>
      <c r="E12" s="1345">
        <f>BILANCIO!N25+'Analisi Spese Generiche Conto'!P14</f>
        <v>0</v>
      </c>
      <c r="F12" s="1345">
        <f>BILANCIO!O25+'Analisi Spese Generiche Conto'!Q14</f>
        <v>49.072499999999998</v>
      </c>
      <c r="G12" s="1345">
        <f>BILANCIO!P25+'Analisi Spese Generiche Conto'!R14</f>
        <v>44.044166666666662</v>
      </c>
      <c r="H12" s="1356">
        <f ca="1">BILANCIO!Q25+'Analisi Spese Generiche Conto'!S14</f>
        <v>168.43666666666664</v>
      </c>
    </row>
    <row r="13" spans="1:8">
      <c r="A13" s="1353" t="s">
        <v>79</v>
      </c>
      <c r="B13" s="1354">
        <f t="shared" ref="B13:H13" si="0">SUM(B2:B12)</f>
        <v>3617.395</v>
      </c>
      <c r="C13" s="1354">
        <f t="shared" si="0"/>
        <v>3259.2633333333338</v>
      </c>
      <c r="D13" s="1354">
        <f t="shared" si="0"/>
        <v>5545.2866666666669</v>
      </c>
      <c r="E13" s="1354">
        <f t="shared" si="0"/>
        <v>2723.1175000000007</v>
      </c>
      <c r="F13" s="1354">
        <f t="shared" si="0"/>
        <v>2867.0925000000007</v>
      </c>
      <c r="G13" s="1354">
        <f t="shared" si="0"/>
        <v>3028.9564999999998</v>
      </c>
      <c r="H13" s="1357">
        <f t="shared" ca="1" si="0"/>
        <v>4061.424147198577</v>
      </c>
    </row>
    <row r="14" spans="1:8">
      <c r="A14" s="3" t="s">
        <v>748</v>
      </c>
      <c r="B14" s="1393">
        <f>(BILANCIO!K27+BILANCIO!K31)-B13</f>
        <v>16.445833333333667</v>
      </c>
      <c r="C14" s="1393">
        <f>(BILANCIO!L27+BILANCIO!L31)-C13</f>
        <v>41.505833333333157</v>
      </c>
      <c r="D14" s="1393">
        <f>(BILANCIO!M27+BILANCIO!M31)-D13</f>
        <v>-31.99750000000131</v>
      </c>
      <c r="E14" s="1394">
        <f>(BILANCIO!N27+BILANCIO!N31)-E13</f>
        <v>-23.890000000000327</v>
      </c>
      <c r="F14" s="1394">
        <f>(BILANCIO!O27+BILANCIO!O31)-F13</f>
        <v>16.555833333332885</v>
      </c>
      <c r="G14" s="1394">
        <f>(BILANCIO!P27+BILANCIO!P31)-G13</f>
        <v>-69.893333333332976</v>
      </c>
      <c r="H14" s="1395">
        <f ca="1">(BILANCIO!Q27+BILANCIO!Q31)-H13</f>
        <v>-442.35463809523753</v>
      </c>
    </row>
    <row r="15" spans="1:8">
      <c r="A15" s="3"/>
      <c r="B15" s="1345"/>
      <c r="C15" s="1345"/>
      <c r="D15" s="1345"/>
      <c r="E15" s="1345"/>
      <c r="F15" s="1345"/>
      <c r="G15" s="1345"/>
      <c r="H15" s="1356"/>
    </row>
    <row r="16" spans="1:8">
      <c r="A16" s="3" t="s">
        <v>749</v>
      </c>
      <c r="B16" s="1345">
        <f>BILANCIO!K11</f>
        <v>2223.8333333333335</v>
      </c>
      <c r="C16" s="1345">
        <f>BILANCIO!L11</f>
        <v>2219</v>
      </c>
      <c r="D16" s="1345">
        <f>BILANCIO!M11</f>
        <v>2290.3333333333335</v>
      </c>
      <c r="E16" s="1345">
        <f>BILANCIO!N11</f>
        <v>2289.5</v>
      </c>
      <c r="F16" s="1345">
        <f>BILANCIO!O11</f>
        <v>2508.5833333333335</v>
      </c>
      <c r="G16" s="1345">
        <f>BILANCIO!P11</f>
        <v>2519.5833333333335</v>
      </c>
      <c r="H16" s="1356">
        <f>BILANCIO!Q11</f>
        <v>2739.3333333333335</v>
      </c>
    </row>
    <row r="17" spans="1:8">
      <c r="A17" s="3" t="s">
        <v>750</v>
      </c>
      <c r="B17" s="1345">
        <f>BILANCIO!K28+BILANCIO!K29+BILANCIO!K12</f>
        <v>632.67666666666662</v>
      </c>
      <c r="C17" s="1345">
        <f>BILANCIO!L28+BILANCIO!L29+BILANCIO!L12</f>
        <v>1207.6666666666667</v>
      </c>
      <c r="D17" s="1345">
        <f>BILANCIO!M28+BILANCIO!M29+BILANCIO!M12</f>
        <v>3143.3575000000001</v>
      </c>
      <c r="E17" s="1345">
        <f>BILANCIO!N28+BILANCIO!N29+BILANCIO!N12</f>
        <v>353.97916666666669</v>
      </c>
      <c r="F17" s="1345">
        <f>BILANCIO!O28+BILANCIO!O29+BILANCIO!O12</f>
        <v>814.45749999999998</v>
      </c>
      <c r="G17" s="1345">
        <f>BILANCIO!P28+BILANCIO!P29+BILANCIO!P12</f>
        <v>700.11166666666668</v>
      </c>
      <c r="H17" s="1356">
        <f>BILANCIO!Q28+BILANCIO!Q29+BILANCIO!Q12</f>
        <v>4527.1566666666668</v>
      </c>
    </row>
    <row r="18" spans="1:8">
      <c r="A18" s="3" t="s">
        <v>751</v>
      </c>
      <c r="B18" s="1355">
        <f>(B16+B17)-(B13+B14)</f>
        <v>-777.33083333333343</v>
      </c>
      <c r="C18" s="1345">
        <f t="shared" ref="C18:H18" si="1">(C16+C17)-(C13+C14)</f>
        <v>125.89750000000004</v>
      </c>
      <c r="D18" s="1355">
        <f t="shared" si="1"/>
        <v>-79.598333333331539</v>
      </c>
      <c r="E18" s="1355">
        <f t="shared" si="1"/>
        <v>-55.748333333333903</v>
      </c>
      <c r="F18" s="1345">
        <f t="shared" si="1"/>
        <v>439.39249999999993</v>
      </c>
      <c r="G18" s="1345">
        <f t="shared" si="1"/>
        <v>260.63183333333336</v>
      </c>
      <c r="H18" s="1358">
        <f t="shared" ca="1" si="1"/>
        <v>3647.4204908966603</v>
      </c>
    </row>
    <row r="19" spans="1:8">
      <c r="A19" s="3" t="s">
        <v>752</v>
      </c>
      <c r="B19" s="1376">
        <f t="shared" ref="B19:H19" si="2">B16-(B2+B3+B5+B10+B11)</f>
        <v>-573.94166666666661</v>
      </c>
      <c r="C19" s="1376">
        <f t="shared" si="2"/>
        <v>87.766666666665969</v>
      </c>
      <c r="D19" s="1376">
        <f t="shared" si="2"/>
        <v>-2278.9741666666673</v>
      </c>
      <c r="E19" s="1376">
        <f t="shared" si="2"/>
        <v>401.87416666666604</v>
      </c>
      <c r="F19" s="1376">
        <f t="shared" si="2"/>
        <v>710.79583333333289</v>
      </c>
      <c r="G19" s="1376">
        <f t="shared" si="2"/>
        <v>923.85166666666669</v>
      </c>
      <c r="H19" s="1376">
        <f t="shared" ca="1" si="2"/>
        <v>845.47915756332759</v>
      </c>
    </row>
    <row r="20" spans="1:8">
      <c r="A20" s="3" t="s">
        <v>753</v>
      </c>
      <c r="B20" s="1377">
        <f>IFERROR(B18/B16,0)</f>
        <v>-0.34954545454545455</v>
      </c>
      <c r="C20" s="1377">
        <f t="shared" ref="C20:H20" si="3">IFERROR(C18/C16,0)</f>
        <v>5.6736142406489429E-2</v>
      </c>
      <c r="D20" s="1377">
        <f t="shared" si="3"/>
        <v>-3.4754038713432488E-2</v>
      </c>
      <c r="E20" s="1377">
        <f t="shared" si="3"/>
        <v>-2.434956686321638E-2</v>
      </c>
      <c r="F20" s="1377">
        <f t="shared" si="3"/>
        <v>0.17515563232900372</v>
      </c>
      <c r="G20" s="1377">
        <f t="shared" si="3"/>
        <v>0.10344243426492476</v>
      </c>
      <c r="H20" s="1377">
        <f t="shared" ca="1" si="3"/>
        <v>1.3314993274142104</v>
      </c>
    </row>
  </sheetData>
  <conditionalFormatting sqref="B20:H20">
    <cfRule type="cellIs" dxfId="143" priority="1" operator="lessThan">
      <formula>0</formula>
    </cfRule>
  </conditionalFormatting>
  <pageMargins left="0.7" right="0.7" top="0.75" bottom="0.75" header="0.3" footer="0.3"/>
  <pageSetup paperSize="8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9629-298A-4613-BD8B-FEEACDF41935}">
  <sheetPr codeName="Foglio18"/>
  <dimension ref="A1:H23"/>
  <sheetViews>
    <sheetView workbookViewId="0">
      <selection activeCell="D31" sqref="D31"/>
    </sheetView>
  </sheetViews>
  <sheetFormatPr defaultRowHeight="15"/>
  <cols>
    <col min="1" max="1" width="34.28515625" customWidth="1"/>
    <col min="2" max="8" width="15.28515625" customWidth="1"/>
  </cols>
  <sheetData>
    <row r="1" spans="1:8" ht="18.75">
      <c r="A1" s="1318" t="s">
        <v>1221</v>
      </c>
    </row>
    <row r="3" spans="1:8">
      <c r="A3" s="1325" t="s">
        <v>1222</v>
      </c>
      <c r="B3" s="1327">
        <v>2020</v>
      </c>
      <c r="C3" s="1327">
        <v>2021</v>
      </c>
      <c r="D3" s="1327">
        <v>2022</v>
      </c>
      <c r="E3" s="1327">
        <v>2023</v>
      </c>
      <c r="F3" s="1327">
        <v>2024</v>
      </c>
      <c r="G3" s="1327">
        <v>2025</v>
      </c>
      <c r="H3" s="1329">
        <v>2026</v>
      </c>
    </row>
    <row r="4" spans="1:8">
      <c r="A4" s="1338" t="s">
        <v>1223</v>
      </c>
      <c r="B4" s="1315">
        <f>BILANCIO!K41</f>
        <v>6.916666666666667</v>
      </c>
      <c r="C4" s="1315">
        <f>BILANCIO!L41</f>
        <v>5.75</v>
      </c>
      <c r="D4" s="1315">
        <f>BILANCIO!M41</f>
        <v>4.916666666666667</v>
      </c>
      <c r="E4" s="1315">
        <f>BILANCIO!N41</f>
        <v>3.6658333333333335</v>
      </c>
      <c r="F4" s="1315">
        <f>BILANCIO!O41</f>
        <v>3.999166666666667</v>
      </c>
      <c r="G4" s="1315">
        <f>BILANCIO!P41</f>
        <v>3.9158333333333335</v>
      </c>
      <c r="H4" s="1330">
        <f>BILANCIO!Q41</f>
        <v>6.0916666666666659</v>
      </c>
    </row>
    <row r="5" spans="1:8">
      <c r="A5" s="1338" t="s">
        <v>1224</v>
      </c>
      <c r="B5" s="1315">
        <f>BILANCIO!K46</f>
        <v>6.4974999999999996</v>
      </c>
      <c r="C5" s="1315">
        <f>BILANCIO!L46</f>
        <v>4.9991666666666665</v>
      </c>
      <c r="D5" s="1315">
        <f>BILANCIO!M46</f>
        <v>0</v>
      </c>
      <c r="E5" s="1315">
        <f>BILANCIO!N46</f>
        <v>0</v>
      </c>
      <c r="F5" s="1315">
        <f>BILANCIO!O46</f>
        <v>13.241666666666667</v>
      </c>
      <c r="G5" s="1315">
        <f>BILANCIO!P46</f>
        <v>14.991666666666667</v>
      </c>
      <c r="H5" s="1330">
        <f>BILANCIO!Q46</f>
        <v>0</v>
      </c>
    </row>
    <row r="6" spans="1:8">
      <c r="A6" s="1338" t="s">
        <v>39</v>
      </c>
      <c r="B6" s="1315">
        <f>BILANCIO!K50</f>
        <v>3</v>
      </c>
      <c r="C6" s="1315">
        <f>BILANCIO!L50</f>
        <v>4.2474999999999996</v>
      </c>
      <c r="D6" s="1315">
        <f>BILANCIO!M50</f>
        <v>4.5741666666666667</v>
      </c>
      <c r="E6" s="1315">
        <f>BILANCIO!N50</f>
        <v>4.1583333333333332</v>
      </c>
      <c r="F6" s="1315">
        <f>BILANCIO!O50</f>
        <v>4.1583333333333332</v>
      </c>
      <c r="G6" s="1315">
        <f>BILANCIO!P50</f>
        <v>4.1583333333333332</v>
      </c>
      <c r="H6" s="1330">
        <f>BILANCIO!Q50</f>
        <v>6.8216666666666663</v>
      </c>
    </row>
    <row r="7" spans="1:8">
      <c r="A7" s="1328" t="s">
        <v>79</v>
      </c>
      <c r="B7" s="1326">
        <f t="shared" ref="B7:H7" si="0">SUM(B4:B6)</f>
        <v>16.414166666666667</v>
      </c>
      <c r="C7" s="1326">
        <f t="shared" si="0"/>
        <v>14.996666666666666</v>
      </c>
      <c r="D7" s="1326">
        <f t="shared" si="0"/>
        <v>9.4908333333333346</v>
      </c>
      <c r="E7" s="1326">
        <f t="shared" si="0"/>
        <v>7.8241666666666667</v>
      </c>
      <c r="F7" s="1326">
        <f t="shared" si="0"/>
        <v>21.399166666666666</v>
      </c>
      <c r="G7" s="1326">
        <f t="shared" si="0"/>
        <v>23.06583333333333</v>
      </c>
      <c r="H7" s="1331">
        <f t="shared" si="0"/>
        <v>12.913333333333332</v>
      </c>
    </row>
    <row r="9" spans="1:8">
      <c r="A9" s="1325" t="s">
        <v>1225</v>
      </c>
      <c r="B9" s="1327">
        <v>2020</v>
      </c>
      <c r="C9" s="1327">
        <v>2021</v>
      </c>
      <c r="D9" s="1327">
        <v>2022</v>
      </c>
      <c r="E9" s="1327">
        <v>2023</v>
      </c>
      <c r="F9" s="1327">
        <v>2024</v>
      </c>
      <c r="G9" s="1327">
        <v>2025</v>
      </c>
      <c r="H9" s="1329">
        <v>2026</v>
      </c>
    </row>
    <row r="10" spans="1:8">
      <c r="A10" s="1338" t="s">
        <v>31</v>
      </c>
      <c r="B10" s="1315">
        <f>BILANCIO!K42</f>
        <v>4.0775000000000006</v>
      </c>
      <c r="C10" s="1315">
        <f>BILANCIO!L42</f>
        <v>2.33</v>
      </c>
      <c r="D10" s="1315">
        <f>BILANCIO!M42</f>
        <v>0</v>
      </c>
      <c r="E10" s="1315">
        <f>BILANCIO!N42</f>
        <v>0</v>
      </c>
      <c r="F10" s="1315">
        <f>BILANCIO!O42</f>
        <v>0</v>
      </c>
      <c r="G10" s="1315">
        <f>BILANCIO!P42</f>
        <v>0.66666666666666663</v>
      </c>
      <c r="H10" s="1330">
        <f>BILANCIO!Q42</f>
        <v>4.666666666666667</v>
      </c>
    </row>
    <row r="11" spans="1:8">
      <c r="A11" s="1338" t="s">
        <v>32</v>
      </c>
      <c r="B11" s="1315">
        <f>BILANCIO!K43</f>
        <v>15.990000000000002</v>
      </c>
      <c r="C11" s="1315">
        <f>BILANCIO!L43</f>
        <v>14.656666666666668</v>
      </c>
      <c r="D11" s="1315">
        <f>BILANCIO!M43</f>
        <v>7.3241666666666667</v>
      </c>
      <c r="E11" s="1315">
        <f>BILANCIO!N43</f>
        <v>7.9899999999999993</v>
      </c>
      <c r="F11" s="1315">
        <f>BILANCIO!O43</f>
        <v>7.9899999999999993</v>
      </c>
      <c r="G11" s="1315">
        <f>BILANCIO!P43</f>
        <v>7.2399999999999993</v>
      </c>
      <c r="H11" s="1330">
        <f>BILANCIO!Q43</f>
        <v>6.9899999999999993</v>
      </c>
    </row>
    <row r="12" spans="1:8">
      <c r="A12" s="1338" t="s">
        <v>33</v>
      </c>
      <c r="B12" s="1315">
        <f>BILANCIO!K44</f>
        <v>4.9950000000000001</v>
      </c>
      <c r="C12" s="1315">
        <f>BILANCIO!L44</f>
        <v>9.9916666666666654</v>
      </c>
      <c r="D12" s="1315">
        <f>BILANCIO!M44</f>
        <v>9.9949999999999992</v>
      </c>
      <c r="E12" s="1315">
        <f>BILANCIO!N44</f>
        <v>0</v>
      </c>
      <c r="F12" s="1315">
        <f>BILANCIO!O44</f>
        <v>0</v>
      </c>
      <c r="G12" s="1315">
        <f>BILANCIO!P44</f>
        <v>5.91</v>
      </c>
      <c r="H12" s="1330">
        <f>BILANCIO!Q44</f>
        <v>0</v>
      </c>
    </row>
    <row r="13" spans="1:8">
      <c r="A13" s="1338" t="s">
        <v>34</v>
      </c>
      <c r="B13" s="1315">
        <f>BILANCIO!K45</f>
        <v>0</v>
      </c>
      <c r="C13" s="1315">
        <f>BILANCIO!L45</f>
        <v>25.821666666666669</v>
      </c>
      <c r="D13" s="1315">
        <f>BILANCIO!M45</f>
        <v>19.990000000000002</v>
      </c>
      <c r="E13" s="1315">
        <f>BILANCIO!N45</f>
        <v>19.990000000000002</v>
      </c>
      <c r="F13" s="1315">
        <f>BILANCIO!O45</f>
        <v>24.156666666666666</v>
      </c>
      <c r="G13" s="1315">
        <f>BILANCIO!P45</f>
        <v>29.830000000000002</v>
      </c>
      <c r="H13" s="1330">
        <f>BILANCIO!Q45</f>
        <v>29.990000000000006</v>
      </c>
    </row>
    <row r="14" spans="1:8">
      <c r="A14" s="1338" t="s">
        <v>36</v>
      </c>
      <c r="B14" s="1315">
        <f>BILANCIO!K47</f>
        <v>9.9899999999999984</v>
      </c>
      <c r="C14" s="1315">
        <f>BILANCIO!L47</f>
        <v>9.9899999999999984</v>
      </c>
      <c r="D14" s="1315">
        <f>BILANCIO!M47</f>
        <v>9.9899999999999984</v>
      </c>
      <c r="E14" s="1315">
        <f>BILANCIO!N47</f>
        <v>10.239999999999998</v>
      </c>
      <c r="F14" s="1315">
        <f>BILANCIO!O47</f>
        <v>10.074166666666665</v>
      </c>
      <c r="G14" s="1315">
        <f>BILANCIO!P47</f>
        <v>11.156666666666665</v>
      </c>
      <c r="H14" s="1330">
        <f>BILANCIO!Q47</f>
        <v>11.99</v>
      </c>
    </row>
    <row r="15" spans="1:8">
      <c r="A15" s="1328" t="s">
        <v>79</v>
      </c>
      <c r="B15" s="1326">
        <f t="shared" ref="B15:H15" si="1">SUM(B10:B14)</f>
        <v>35.052500000000002</v>
      </c>
      <c r="C15" s="1326">
        <f t="shared" si="1"/>
        <v>62.789999999999992</v>
      </c>
      <c r="D15" s="1326">
        <f t="shared" si="1"/>
        <v>47.299166666666665</v>
      </c>
      <c r="E15" s="1326">
        <f t="shared" si="1"/>
        <v>38.22</v>
      </c>
      <c r="F15" s="1326">
        <f t="shared" si="1"/>
        <v>42.220833333333331</v>
      </c>
      <c r="G15" s="1326">
        <f t="shared" si="1"/>
        <v>54.803333333333335</v>
      </c>
      <c r="H15" s="1331">
        <f t="shared" si="1"/>
        <v>53.636666666666677</v>
      </c>
    </row>
    <row r="17" spans="1:8">
      <c r="A17" s="1325" t="s">
        <v>1226</v>
      </c>
      <c r="B17" s="1327">
        <v>2020</v>
      </c>
      <c r="C17" s="1327">
        <v>2021</v>
      </c>
      <c r="D17" s="1327">
        <v>2022</v>
      </c>
      <c r="E17" s="1327">
        <v>2023</v>
      </c>
      <c r="F17" s="1327">
        <v>2024</v>
      </c>
      <c r="G17" s="1327">
        <v>2025</v>
      </c>
      <c r="H17" s="1329">
        <v>2026</v>
      </c>
    </row>
    <row r="18" spans="1:8">
      <c r="A18" s="1338" t="s">
        <v>37</v>
      </c>
      <c r="B18" s="1315">
        <f>BILANCIO!C48/12</f>
        <v>38.131666666666668</v>
      </c>
      <c r="C18" s="1315">
        <f>BILANCIO!D48/12</f>
        <v>23.140833333333333</v>
      </c>
      <c r="D18" s="1315">
        <f>BILANCIO!E48/12</f>
        <v>15.987500000000002</v>
      </c>
      <c r="E18" s="1315">
        <f>BILANCIO!F48/12</f>
        <v>14.074166666666665</v>
      </c>
      <c r="F18" s="1315">
        <f>BILANCIO!G48/12</f>
        <v>14.490000000000002</v>
      </c>
      <c r="G18" s="1315">
        <f>BILANCIO!H48/12</f>
        <v>14.990000000000002</v>
      </c>
      <c r="H18" s="1330">
        <f>BILANCIO!I48/12</f>
        <v>14.155833333333334</v>
      </c>
    </row>
    <row r="19" spans="1:8">
      <c r="A19" s="1338" t="s">
        <v>1227</v>
      </c>
      <c r="B19" s="1315">
        <f>BILANCIO!K49</f>
        <v>0</v>
      </c>
      <c r="C19" s="1315">
        <f>BILANCIO!L49</f>
        <v>7.4924999999999997</v>
      </c>
      <c r="D19" s="1315">
        <f>BILANCIO!M49</f>
        <v>9.9899999999999984</v>
      </c>
      <c r="E19" s="1315">
        <f>BILANCIO!N49</f>
        <v>9.9899999999999984</v>
      </c>
      <c r="F19" s="1315">
        <f>BILANCIO!O49</f>
        <v>9.9899999999999984</v>
      </c>
      <c r="G19" s="1315">
        <f>BILANCIO!P49</f>
        <v>9.9899999999999984</v>
      </c>
      <c r="H19" s="1330">
        <f>BILANCIO!Q49</f>
        <v>9.9899999999999984</v>
      </c>
    </row>
    <row r="20" spans="1:8">
      <c r="A20" s="1328" t="s">
        <v>79</v>
      </c>
      <c r="B20" s="1326">
        <f t="shared" ref="B20:H20" si="2">SUM(B18:B19)</f>
        <v>38.131666666666668</v>
      </c>
      <c r="C20" s="1326">
        <f t="shared" si="2"/>
        <v>30.633333333333333</v>
      </c>
      <c r="D20" s="1326">
        <f t="shared" si="2"/>
        <v>25.977499999999999</v>
      </c>
      <c r="E20" s="1326">
        <f t="shared" si="2"/>
        <v>24.064166666666665</v>
      </c>
      <c r="F20" s="1326">
        <f t="shared" si="2"/>
        <v>24.48</v>
      </c>
      <c r="G20" s="1326">
        <f t="shared" si="2"/>
        <v>24.98</v>
      </c>
      <c r="H20" s="1331">
        <f t="shared" si="2"/>
        <v>24.145833333333332</v>
      </c>
    </row>
    <row r="22" spans="1:8">
      <c r="A22" s="1334" t="s">
        <v>1228</v>
      </c>
      <c r="B22" s="1333">
        <v>2020</v>
      </c>
      <c r="C22" s="1333">
        <v>2021</v>
      </c>
      <c r="D22" s="1333">
        <v>2022</v>
      </c>
      <c r="E22" s="1333">
        <v>2023</v>
      </c>
      <c r="F22" s="1333">
        <v>2024</v>
      </c>
      <c r="G22" s="1333">
        <v>2025</v>
      </c>
      <c r="H22" s="1336">
        <v>2026</v>
      </c>
    </row>
    <row r="23" spans="1:8">
      <c r="A23" s="1335" t="s">
        <v>79</v>
      </c>
      <c r="B23" s="1332">
        <f t="shared" ref="B23:H23" si="3">B7+B15+B20</f>
        <v>89.598333333333329</v>
      </c>
      <c r="C23" s="1332">
        <f t="shared" si="3"/>
        <v>108.41999999999999</v>
      </c>
      <c r="D23" s="1332">
        <f t="shared" si="3"/>
        <v>82.767499999999998</v>
      </c>
      <c r="E23" s="1332">
        <f t="shared" si="3"/>
        <v>70.108333333333334</v>
      </c>
      <c r="F23" s="1332">
        <f t="shared" si="3"/>
        <v>88.1</v>
      </c>
      <c r="G23" s="1332">
        <f t="shared" si="3"/>
        <v>102.84916666666668</v>
      </c>
      <c r="H23" s="1337">
        <f t="shared" si="3"/>
        <v>90.69583333333334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4928-DF8F-489F-B7BE-4BF04CC5CD50}">
  <sheetPr codeName="Foglio19"/>
  <dimension ref="A1:AV501"/>
  <sheetViews>
    <sheetView workbookViewId="0">
      <pane ySplit="3" topLeftCell="A19" activePane="bottomLeft" state="frozen"/>
      <selection pane="bottomLeft" activeCell="B23" sqref="B23"/>
    </sheetView>
  </sheetViews>
  <sheetFormatPr defaultColWidth="9.140625" defaultRowHeight="15"/>
  <cols>
    <col min="1" max="1" width="45.5703125" style="9" bestFit="1" customWidth="1"/>
    <col min="2" max="2" width="23" style="9" bestFit="1" customWidth="1"/>
    <col min="3" max="6" width="10.5703125" style="9" bestFit="1" customWidth="1"/>
    <col min="7" max="10" width="11.7109375" style="9" bestFit="1" customWidth="1"/>
    <col min="11" max="12" width="8.85546875" style="9" bestFit="1" customWidth="1"/>
    <col min="13" max="13" width="10.5703125" style="9" bestFit="1" customWidth="1"/>
    <col min="14" max="15" width="8.85546875" style="9" bestFit="1" customWidth="1"/>
    <col min="16" max="17" width="10.5703125" style="9" bestFit="1" customWidth="1"/>
    <col min="18" max="20" width="8.85546875" style="9" bestFit="1" customWidth="1"/>
    <col min="21" max="21" width="10.5703125" style="9" bestFit="1" customWidth="1"/>
    <col min="22" max="23" width="8.85546875" style="9" bestFit="1" customWidth="1"/>
    <col min="24" max="25" width="10.5703125" style="9" bestFit="1" customWidth="1"/>
    <col min="26" max="27" width="8.85546875" style="9" bestFit="1" customWidth="1"/>
    <col min="28" max="33" width="10.5703125" style="9" bestFit="1" customWidth="1"/>
    <col min="34" max="35" width="8.85546875" style="9" bestFit="1" customWidth="1"/>
    <col min="36" max="37" width="10.5703125" style="9" bestFit="1" customWidth="1"/>
    <col min="38" max="40" width="8.85546875" style="9" bestFit="1" customWidth="1"/>
    <col min="41" max="41" width="10.5703125" style="9" bestFit="1" customWidth="1"/>
    <col min="42" max="42" width="8.85546875" style="9" bestFit="1" customWidth="1"/>
    <col min="43" max="45" width="10.5703125" style="9" bestFit="1" customWidth="1"/>
    <col min="46" max="46" width="8.85546875" style="9" bestFit="1" customWidth="1"/>
    <col min="47" max="47" width="10.5703125" style="9" bestFit="1" customWidth="1"/>
    <col min="48" max="48" width="20.140625" style="9" bestFit="1" customWidth="1"/>
    <col min="49" max="16384" width="9.140625" style="9"/>
  </cols>
  <sheetData>
    <row r="1" spans="1:48">
      <c r="A1"/>
      <c r="B1"/>
    </row>
    <row r="2" spans="1:48">
      <c r="A2"/>
      <c r="B2"/>
      <c r="C2"/>
      <c r="D2"/>
      <c r="E2"/>
      <c r="F2"/>
      <c r="G2"/>
      <c r="H2"/>
      <c r="I2"/>
    </row>
    <row r="3" spans="1:48">
      <c r="A3" s="1510" t="s">
        <v>728</v>
      </c>
      <c r="B3" s="1510" t="s">
        <v>729</v>
      </c>
      <c r="C3" s="1512"/>
      <c r="D3" s="1512"/>
      <c r="E3" s="1512"/>
      <c r="F3" s="1512"/>
      <c r="G3" s="1512"/>
      <c r="H3" s="1512"/>
      <c r="I3" s="1512"/>
      <c r="J3" s="1512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1:48">
      <c r="A4" s="1510" t="s">
        <v>730</v>
      </c>
      <c r="B4" s="1512">
        <v>2019</v>
      </c>
      <c r="C4" s="1512">
        <v>2020</v>
      </c>
      <c r="D4" s="1512">
        <v>2021</v>
      </c>
      <c r="E4" s="1512">
        <v>2022</v>
      </c>
      <c r="F4" s="1512">
        <v>2023</v>
      </c>
      <c r="G4" s="1512">
        <v>2024</v>
      </c>
      <c r="H4" s="1512">
        <v>2025</v>
      </c>
      <c r="I4" s="1512">
        <v>2026</v>
      </c>
      <c r="J4" s="1512" t="s">
        <v>738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>
      <c r="A5" s="1514" t="s">
        <v>99</v>
      </c>
      <c r="B5" s="1516">
        <v>629.2399999999999</v>
      </c>
      <c r="C5" s="1516">
        <v>1786.8600000000001</v>
      </c>
      <c r="D5" s="1516">
        <v>2016.7900000000002</v>
      </c>
      <c r="E5" s="1516">
        <v>643.92000000000019</v>
      </c>
      <c r="F5" s="1516">
        <v>857.57000000000016</v>
      </c>
      <c r="G5" s="1516">
        <v>1108.7199999999998</v>
      </c>
      <c r="H5" s="1516">
        <v>2288.8980000000001</v>
      </c>
      <c r="I5" s="1516">
        <v>2729.7840000000006</v>
      </c>
      <c r="J5" s="1516">
        <v>12061.781999999999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>
      <c r="A6" s="1514" t="s">
        <v>187</v>
      </c>
      <c r="B6" s="1516">
        <v>334.04</v>
      </c>
      <c r="C6" s="1516">
        <v>689</v>
      </c>
      <c r="D6" s="1516">
        <v>341.27</v>
      </c>
      <c r="E6" s="1516"/>
      <c r="F6" s="1516">
        <v>350.78</v>
      </c>
      <c r="G6" s="1516">
        <v>1453.52</v>
      </c>
      <c r="H6" s="1516">
        <v>1951.1100000000001</v>
      </c>
      <c r="I6" s="1516">
        <v>2827.1099999999997</v>
      </c>
      <c r="J6" s="1516">
        <v>7946.829999999999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>
      <c r="A7" s="1514" t="s">
        <v>97</v>
      </c>
      <c r="B7" s="1516"/>
      <c r="C7" s="1516"/>
      <c r="D7" s="1516"/>
      <c r="E7" s="1516"/>
      <c r="F7" s="1516"/>
      <c r="G7" s="1516">
        <v>6.99</v>
      </c>
      <c r="H7" s="1516">
        <v>1155</v>
      </c>
      <c r="I7" s="1516">
        <v>2659.84</v>
      </c>
      <c r="J7" s="1516">
        <v>3821.83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>
      <c r="A8" s="1514" t="s">
        <v>156</v>
      </c>
      <c r="B8" s="1516">
        <v>364.02</v>
      </c>
      <c r="C8" s="1516">
        <v>1456.42</v>
      </c>
      <c r="D8" s="1516">
        <v>696.93999999999994</v>
      </c>
      <c r="E8" s="1516">
        <v>367.65999999999997</v>
      </c>
      <c r="F8" s="1516"/>
      <c r="G8" s="1516">
        <v>64.56</v>
      </c>
      <c r="H8" s="1516">
        <v>155.93</v>
      </c>
      <c r="I8" s="1516">
        <v>27.919999999999998</v>
      </c>
      <c r="J8" s="1516">
        <v>3133.45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>
      <c r="A9" s="1514" t="s">
        <v>131</v>
      </c>
      <c r="B9" s="1516">
        <v>175.3</v>
      </c>
      <c r="C9" s="1516">
        <v>68.3</v>
      </c>
      <c r="D9" s="1516">
        <v>227.5</v>
      </c>
      <c r="E9" s="1516">
        <v>123.5</v>
      </c>
      <c r="F9" s="1516">
        <v>204.7</v>
      </c>
      <c r="G9" s="1516">
        <v>180.10999999999999</v>
      </c>
      <c r="H9" s="1516">
        <v>802.15</v>
      </c>
      <c r="I9" s="1516">
        <v>358.15</v>
      </c>
      <c r="J9" s="1516">
        <v>2139.71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>
      <c r="A10" s="1514" t="s">
        <v>92</v>
      </c>
      <c r="B10" s="1516">
        <v>32</v>
      </c>
      <c r="C10" s="1516">
        <v>96.600000000000009</v>
      </c>
      <c r="D10" s="1516">
        <v>144.99999999999994</v>
      </c>
      <c r="E10" s="1516">
        <v>151.4</v>
      </c>
      <c r="F10" s="1516">
        <v>211.8</v>
      </c>
      <c r="G10" s="1516">
        <v>334.9</v>
      </c>
      <c r="H10" s="1516">
        <v>681.5</v>
      </c>
      <c r="I10" s="1516">
        <v>277</v>
      </c>
      <c r="J10" s="1516">
        <v>1930.1999999999998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>
      <c r="A11" s="1514" t="s">
        <v>105</v>
      </c>
      <c r="B11" s="1516"/>
      <c r="C11" s="1516"/>
      <c r="D11" s="1516"/>
      <c r="E11" s="1516">
        <v>334.79999999999995</v>
      </c>
      <c r="F11" s="1516">
        <v>758.95999999999992</v>
      </c>
      <c r="G11" s="1516">
        <v>293.07</v>
      </c>
      <c r="H11" s="1516">
        <v>368.05</v>
      </c>
      <c r="I11" s="1516">
        <v>94.570000000000007</v>
      </c>
      <c r="J11" s="1516">
        <v>1849.4499999999996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>
      <c r="A12" s="1514" t="s">
        <v>95</v>
      </c>
      <c r="B12" s="1516"/>
      <c r="C12" s="1516"/>
      <c r="D12" s="1516">
        <v>125.28</v>
      </c>
      <c r="E12" s="1516">
        <v>117.22999999999998</v>
      </c>
      <c r="F12" s="1516">
        <v>222.88000000000002</v>
      </c>
      <c r="G12" s="1516">
        <v>386.78</v>
      </c>
      <c r="H12" s="1516">
        <v>422.29999999999995</v>
      </c>
      <c r="I12" s="1516">
        <v>551.56999999999994</v>
      </c>
      <c r="J12" s="1516">
        <v>1826.0399999999997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>
      <c r="A13" s="1514" t="s">
        <v>229</v>
      </c>
      <c r="B13" s="1516"/>
      <c r="C13" s="1516"/>
      <c r="D13" s="1516">
        <v>26.59</v>
      </c>
      <c r="E13" s="1516">
        <v>350.10999999999996</v>
      </c>
      <c r="F13" s="1516">
        <v>426.07999999999993</v>
      </c>
      <c r="G13" s="1516">
        <v>682.85000000000014</v>
      </c>
      <c r="H13" s="1516">
        <v>76.38</v>
      </c>
      <c r="I13" s="1516">
        <v>25.91</v>
      </c>
      <c r="J13" s="1516">
        <v>1587.9200000000003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>
      <c r="A14" s="1514" t="s">
        <v>135</v>
      </c>
      <c r="B14" s="1516"/>
      <c r="C14" s="1516">
        <v>36.89</v>
      </c>
      <c r="D14" s="1516">
        <v>163.22999999999999</v>
      </c>
      <c r="E14" s="1516">
        <v>184.98999999999998</v>
      </c>
      <c r="F14" s="1516">
        <v>266.13</v>
      </c>
      <c r="G14" s="1516">
        <v>304.64000000000004</v>
      </c>
      <c r="H14" s="1516">
        <v>345.96999999999997</v>
      </c>
      <c r="I14" s="1516">
        <v>234.07000000000002</v>
      </c>
      <c r="J14" s="1516">
        <v>1535.92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>
      <c r="A15" s="1514" t="s">
        <v>291</v>
      </c>
      <c r="B15" s="1516">
        <v>20.149999999999999</v>
      </c>
      <c r="C15" s="1516"/>
      <c r="D15" s="1516"/>
      <c r="E15" s="1516"/>
      <c r="F15" s="1516"/>
      <c r="G15" s="1516">
        <v>470.43</v>
      </c>
      <c r="H15" s="1516">
        <v>586.55999999999995</v>
      </c>
      <c r="I15" s="1516"/>
      <c r="J15" s="1516">
        <v>1077.1399999999999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>
      <c r="A16" s="1514" t="s">
        <v>102</v>
      </c>
      <c r="B16" s="1516"/>
      <c r="C16" s="1516"/>
      <c r="D16" s="1516"/>
      <c r="E16" s="1516">
        <v>51.32</v>
      </c>
      <c r="F16" s="1516"/>
      <c r="G16" s="1516">
        <v>161.51</v>
      </c>
      <c r="H16" s="1516">
        <v>267.8</v>
      </c>
      <c r="I16" s="1516">
        <v>313.71999999999997</v>
      </c>
      <c r="J16" s="1516">
        <v>794.34999999999991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>
      <c r="A17" s="1514" t="s">
        <v>663</v>
      </c>
      <c r="B17" s="1516">
        <v>790.03</v>
      </c>
      <c r="C17" s="1516"/>
      <c r="D17" s="1516"/>
      <c r="E17" s="1516"/>
      <c r="F17" s="1516"/>
      <c r="G17" s="1516"/>
      <c r="H17" s="1516"/>
      <c r="I17" s="1516"/>
      <c r="J17" s="1516">
        <v>790.03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>
      <c r="A18" s="1514" t="s">
        <v>589</v>
      </c>
      <c r="B18" s="1516"/>
      <c r="C18" s="1516">
        <v>354</v>
      </c>
      <c r="D18" s="1516">
        <v>243</v>
      </c>
      <c r="E18" s="1516">
        <v>132</v>
      </c>
      <c r="F18" s="1516"/>
      <c r="G18" s="1516"/>
      <c r="H18" s="1516"/>
      <c r="I18" s="1516"/>
      <c r="J18" s="1516">
        <v>729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>
      <c r="A19" s="1514" t="s">
        <v>130</v>
      </c>
      <c r="B19" s="1516"/>
      <c r="C19" s="1516"/>
      <c r="D19" s="1516"/>
      <c r="E19" s="1516"/>
      <c r="F19" s="1516">
        <v>22</v>
      </c>
      <c r="G19" s="1516">
        <v>136.5</v>
      </c>
      <c r="H19" s="1516">
        <v>361</v>
      </c>
      <c r="I19" s="1516">
        <v>201</v>
      </c>
      <c r="J19" s="1516">
        <v>720.5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>
      <c r="A20" s="1514" t="s">
        <v>119</v>
      </c>
      <c r="B20" s="1516">
        <v>44.95</v>
      </c>
      <c r="C20" s="1516">
        <v>243.56</v>
      </c>
      <c r="D20" s="1516">
        <v>89.9</v>
      </c>
      <c r="E20" s="1516"/>
      <c r="F20" s="1516"/>
      <c r="G20" s="1516">
        <v>149.75</v>
      </c>
      <c r="H20" s="1516">
        <v>102.77</v>
      </c>
      <c r="I20" s="1516">
        <v>59.8</v>
      </c>
      <c r="J20" s="1516">
        <v>690.7299999999999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>
      <c r="A21" s="1514" t="s">
        <v>106</v>
      </c>
      <c r="B21" s="1516"/>
      <c r="C21" s="1516"/>
      <c r="D21" s="1516"/>
      <c r="E21" s="1516">
        <v>33</v>
      </c>
      <c r="F21" s="1516">
        <v>198</v>
      </c>
      <c r="G21" s="1516">
        <v>198</v>
      </c>
      <c r="H21" s="1516">
        <v>99</v>
      </c>
      <c r="I21" s="1516">
        <v>132</v>
      </c>
      <c r="J21" s="1516">
        <v>660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>
      <c r="A22" s="1514" t="s">
        <v>286</v>
      </c>
      <c r="B22" s="1516"/>
      <c r="C22" s="1516"/>
      <c r="D22" s="1516"/>
      <c r="E22" s="1516"/>
      <c r="F22" s="1516"/>
      <c r="G22" s="1516"/>
      <c r="H22" s="1516">
        <v>646.91</v>
      </c>
      <c r="I22" s="1516"/>
      <c r="J22" s="1516">
        <v>646.91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>
      <c r="A23" s="1514" t="s">
        <v>591</v>
      </c>
      <c r="B23" s="1516"/>
      <c r="C23" s="1516">
        <v>503.33</v>
      </c>
      <c r="D23" s="1516"/>
      <c r="E23" s="1516">
        <v>121.5</v>
      </c>
      <c r="F23" s="1516"/>
      <c r="G23" s="1516"/>
      <c r="H23" s="1516"/>
      <c r="I23" s="1516"/>
      <c r="J23" s="1516">
        <v>624.82999999999993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>
      <c r="A24" s="1514" t="s">
        <v>221</v>
      </c>
      <c r="B24" s="1516"/>
      <c r="C24" s="1516">
        <v>119.4</v>
      </c>
      <c r="D24" s="1516"/>
      <c r="E24" s="1516">
        <v>88.2</v>
      </c>
      <c r="F24" s="1516">
        <v>126.99000000000001</v>
      </c>
      <c r="G24" s="1516">
        <v>196.78</v>
      </c>
      <c r="H24" s="1516">
        <v>78.400000000000006</v>
      </c>
      <c r="I24" s="1516"/>
      <c r="J24" s="1516">
        <v>609.77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>
      <c r="A25" s="1514" t="s">
        <v>341</v>
      </c>
      <c r="B25" s="1516"/>
      <c r="C25" s="1516"/>
      <c r="D25" s="1516">
        <v>199.24</v>
      </c>
      <c r="E25" s="1516">
        <v>90.47999999999999</v>
      </c>
      <c r="F25" s="1516"/>
      <c r="G25" s="1516"/>
      <c r="H25" s="1516">
        <v>293.74</v>
      </c>
      <c r="I25" s="1516"/>
      <c r="J25" s="1516">
        <v>583.46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>
      <c r="A26" s="1514" t="s">
        <v>436</v>
      </c>
      <c r="B26" s="1516"/>
      <c r="C26" s="1516"/>
      <c r="D26" s="1516"/>
      <c r="E26" s="1516">
        <v>310</v>
      </c>
      <c r="F26" s="1516"/>
      <c r="G26" s="1516">
        <v>260</v>
      </c>
      <c r="H26" s="1516"/>
      <c r="I26" s="1516"/>
      <c r="J26" s="1516">
        <v>570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>
      <c r="A27" s="1514" t="s">
        <v>347</v>
      </c>
      <c r="B27" s="1516"/>
      <c r="C27" s="1516">
        <v>119.99000000000001</v>
      </c>
      <c r="D27" s="1516">
        <v>54.99</v>
      </c>
      <c r="E27" s="1516"/>
      <c r="F27" s="1516">
        <v>142.43</v>
      </c>
      <c r="G27" s="1516">
        <v>103.99</v>
      </c>
      <c r="H27" s="1516">
        <v>53.33</v>
      </c>
      <c r="I27" s="1516"/>
      <c r="J27" s="1516">
        <v>474.73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>
      <c r="A28" s="1514" t="s">
        <v>170</v>
      </c>
      <c r="B28" s="1516"/>
      <c r="C28" s="1516"/>
      <c r="D28" s="1516">
        <v>121.66</v>
      </c>
      <c r="E28" s="1516">
        <v>102.80000000000001</v>
      </c>
      <c r="F28" s="1516">
        <v>30.299999999999997</v>
      </c>
      <c r="G28" s="1516">
        <v>46.5</v>
      </c>
      <c r="H28" s="1516">
        <v>60.499999999999993</v>
      </c>
      <c r="I28" s="1516">
        <v>24.4</v>
      </c>
      <c r="J28" s="1516">
        <v>386.15999999999997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>
      <c r="A29" s="1514" t="s">
        <v>541</v>
      </c>
      <c r="B29" s="1516"/>
      <c r="C29" s="1516"/>
      <c r="D29" s="1516"/>
      <c r="E29" s="1516"/>
      <c r="F29" s="1516">
        <v>380</v>
      </c>
      <c r="G29" s="1516"/>
      <c r="H29" s="1516"/>
      <c r="I29" s="1516"/>
      <c r="J29" s="1516">
        <v>380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>
      <c r="A30" s="1514" t="s">
        <v>307</v>
      </c>
      <c r="B30" s="1516"/>
      <c r="C30" s="1516"/>
      <c r="D30" s="1516"/>
      <c r="E30" s="1516"/>
      <c r="F30" s="1516"/>
      <c r="G30" s="1516"/>
      <c r="H30" s="1516">
        <v>370</v>
      </c>
      <c r="I30" s="1516"/>
      <c r="J30" s="1516">
        <v>370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>
      <c r="A31" s="1514" t="s">
        <v>120</v>
      </c>
      <c r="B31" s="1516"/>
      <c r="C31" s="1516"/>
      <c r="D31" s="1516">
        <v>32</v>
      </c>
      <c r="E31" s="1516">
        <v>75</v>
      </c>
      <c r="F31" s="1516"/>
      <c r="G31" s="1516">
        <v>92</v>
      </c>
      <c r="H31" s="1516">
        <v>46</v>
      </c>
      <c r="I31" s="1516">
        <v>123</v>
      </c>
      <c r="J31" s="1516">
        <v>368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pans="1:48">
      <c r="A32" s="1514" t="s">
        <v>300</v>
      </c>
      <c r="B32" s="1516"/>
      <c r="C32" s="1516">
        <v>126</v>
      </c>
      <c r="D32" s="1516"/>
      <c r="E32" s="1516">
        <v>64.7</v>
      </c>
      <c r="F32" s="1516">
        <v>66.8</v>
      </c>
      <c r="G32" s="1516">
        <v>71</v>
      </c>
      <c r="H32" s="1516">
        <v>33.9</v>
      </c>
      <c r="I32" s="1516"/>
      <c r="J32" s="1516">
        <v>362.4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1:48">
      <c r="A33" s="1514" t="s">
        <v>660</v>
      </c>
      <c r="B33" s="1516">
        <v>343.29</v>
      </c>
      <c r="C33" s="1516"/>
      <c r="D33" s="1516"/>
      <c r="E33" s="1516"/>
      <c r="F33" s="1516"/>
      <c r="G33" s="1516"/>
      <c r="H33" s="1516"/>
      <c r="I33" s="1516"/>
      <c r="J33" s="1516">
        <v>343.29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</row>
    <row r="34" spans="1:48">
      <c r="A34" s="1514" t="s">
        <v>536</v>
      </c>
      <c r="B34" s="1516"/>
      <c r="C34" s="1516"/>
      <c r="D34" s="1516"/>
      <c r="E34" s="1516"/>
      <c r="F34" s="1516">
        <v>322</v>
      </c>
      <c r="G34" s="1516"/>
      <c r="H34" s="1516"/>
      <c r="I34" s="1516"/>
      <c r="J34" s="1516">
        <v>322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</row>
    <row r="35" spans="1:48">
      <c r="A35" s="1514" t="s">
        <v>1350</v>
      </c>
      <c r="B35" s="1516"/>
      <c r="C35" s="1516"/>
      <c r="D35" s="1516"/>
      <c r="E35" s="1516"/>
      <c r="F35" s="1516"/>
      <c r="G35" s="1516"/>
      <c r="H35" s="1516"/>
      <c r="I35" s="1516">
        <v>303.33999999999997</v>
      </c>
      <c r="J35" s="1516">
        <v>303.33999999999997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pans="1:48">
      <c r="A36" s="1514" t="s">
        <v>298</v>
      </c>
      <c r="B36" s="1516">
        <v>40.24</v>
      </c>
      <c r="C36" s="1516">
        <v>148.19</v>
      </c>
      <c r="D36" s="1516"/>
      <c r="E36" s="1516"/>
      <c r="F36" s="1516">
        <v>30.88</v>
      </c>
      <c r="G36" s="1516"/>
      <c r="H36" s="1516">
        <v>48.99</v>
      </c>
      <c r="I36" s="1516">
        <v>23.99</v>
      </c>
      <c r="J36" s="1516">
        <v>292.29000000000002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</row>
    <row r="37" spans="1:48">
      <c r="A37" s="1514" t="s">
        <v>123</v>
      </c>
      <c r="B37" s="1516"/>
      <c r="C37" s="1516"/>
      <c r="D37" s="1516"/>
      <c r="E37" s="1516"/>
      <c r="F37" s="1516"/>
      <c r="G37" s="1516"/>
      <c r="H37" s="1516"/>
      <c r="I37" s="1516">
        <v>272.35000000000002</v>
      </c>
      <c r="J37" s="1516">
        <v>272.35000000000002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pans="1:48">
      <c r="A38" s="1514" t="s">
        <v>289</v>
      </c>
      <c r="B38" s="1516"/>
      <c r="C38" s="1516">
        <v>88.4</v>
      </c>
      <c r="D38" s="1516">
        <v>25.9</v>
      </c>
      <c r="E38" s="1516">
        <v>34.9</v>
      </c>
      <c r="F38" s="1516">
        <v>21.63</v>
      </c>
      <c r="G38" s="1516"/>
      <c r="H38" s="1516">
        <v>26.5</v>
      </c>
      <c r="I38" s="1516">
        <v>67</v>
      </c>
      <c r="J38" s="1516">
        <v>264.33000000000004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>
      <c r="A39" s="1514" t="s">
        <v>214</v>
      </c>
      <c r="B39" s="1516">
        <v>170.58</v>
      </c>
      <c r="C39" s="1516">
        <v>8.49</v>
      </c>
      <c r="D39" s="1516">
        <v>15.07</v>
      </c>
      <c r="E39" s="1516">
        <v>64.88</v>
      </c>
      <c r="F39" s="1516"/>
      <c r="G39" s="1516"/>
      <c r="H39" s="1516">
        <v>1.89</v>
      </c>
      <c r="I39" s="1516"/>
      <c r="J39" s="1516">
        <v>260.90999999999997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>
      <c r="A40" s="1514" t="s">
        <v>357</v>
      </c>
      <c r="B40" s="1516"/>
      <c r="C40" s="1516"/>
      <c r="D40" s="1516"/>
      <c r="E40" s="1516">
        <v>12.49</v>
      </c>
      <c r="F40" s="1516"/>
      <c r="G40" s="1516">
        <v>216.98</v>
      </c>
      <c r="H40" s="1516">
        <v>26.05</v>
      </c>
      <c r="I40" s="1516"/>
      <c r="J40" s="1516">
        <v>255.52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</row>
    <row r="41" spans="1:48">
      <c r="A41" s="1514" t="s">
        <v>329</v>
      </c>
      <c r="B41" s="1516"/>
      <c r="C41" s="1516"/>
      <c r="D41" s="1516">
        <v>20</v>
      </c>
      <c r="E41" s="1516">
        <v>8</v>
      </c>
      <c r="F41" s="1516">
        <v>110</v>
      </c>
      <c r="G41" s="1516">
        <v>48</v>
      </c>
      <c r="H41" s="1516">
        <v>45</v>
      </c>
      <c r="I41" s="1516">
        <v>8</v>
      </c>
      <c r="J41" s="1516">
        <v>239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</row>
    <row r="42" spans="1:48">
      <c r="A42" s="1514" t="s">
        <v>534</v>
      </c>
      <c r="B42" s="1516"/>
      <c r="C42" s="1516"/>
      <c r="D42" s="1516"/>
      <c r="E42" s="1516"/>
      <c r="F42" s="1516">
        <v>238.9</v>
      </c>
      <c r="G42" s="1516"/>
      <c r="H42" s="1516"/>
      <c r="I42" s="1516"/>
      <c r="J42" s="1516">
        <v>238.9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pans="1:48">
      <c r="A43" s="1514" t="s">
        <v>133</v>
      </c>
      <c r="B43" s="1516">
        <v>14.5</v>
      </c>
      <c r="C43" s="1516"/>
      <c r="D43" s="1516"/>
      <c r="E43" s="1516"/>
      <c r="F43" s="1516">
        <v>70</v>
      </c>
      <c r="G43" s="1516">
        <v>89</v>
      </c>
      <c r="H43" s="1516"/>
      <c r="I43" s="1516">
        <v>65</v>
      </c>
      <c r="J43" s="1516">
        <v>238.5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</row>
    <row r="44" spans="1:48">
      <c r="A44" s="1514" t="s">
        <v>211</v>
      </c>
      <c r="B44" s="1516"/>
      <c r="C44" s="1516"/>
      <c r="D44" s="1516"/>
      <c r="E44" s="1516"/>
      <c r="F44" s="1516">
        <v>54.5</v>
      </c>
      <c r="G44" s="1516">
        <v>25.2</v>
      </c>
      <c r="H44" s="1516">
        <v>124.60000000000001</v>
      </c>
      <c r="I44" s="1516">
        <v>33.700000000000003</v>
      </c>
      <c r="J44" s="1516">
        <v>238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5" spans="1:48">
      <c r="A45" s="1514" t="s">
        <v>465</v>
      </c>
      <c r="B45" s="1516"/>
      <c r="C45" s="1516"/>
      <c r="D45" s="1516"/>
      <c r="E45" s="1516">
        <v>36.79</v>
      </c>
      <c r="F45" s="1516">
        <v>114.4</v>
      </c>
      <c r="G45" s="1516">
        <v>80.990000000000009</v>
      </c>
      <c r="H45" s="1516"/>
      <c r="I45" s="1516"/>
      <c r="J45" s="1516">
        <v>232.18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1:48">
      <c r="A46" s="1514" t="s">
        <v>370</v>
      </c>
      <c r="B46" s="1516"/>
      <c r="C46" s="1516"/>
      <c r="D46" s="1516">
        <v>91.73</v>
      </c>
      <c r="E46" s="1516">
        <v>127.4</v>
      </c>
      <c r="F46" s="1516"/>
      <c r="G46" s="1516"/>
      <c r="H46" s="1516">
        <v>9.99</v>
      </c>
      <c r="I46" s="1516"/>
      <c r="J46" s="1516">
        <v>229.12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pans="1:48">
      <c r="A47" s="1514" t="s">
        <v>651</v>
      </c>
      <c r="B47" s="1516"/>
      <c r="C47" s="1516">
        <v>229.01</v>
      </c>
      <c r="D47" s="1516"/>
      <c r="E47" s="1516"/>
      <c r="F47" s="1516"/>
      <c r="G47" s="1516"/>
      <c r="H47" s="1516"/>
      <c r="I47" s="1516"/>
      <c r="J47" s="1516">
        <v>229.01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1:48">
      <c r="A48" s="1514" t="s">
        <v>631</v>
      </c>
      <c r="B48" s="1516"/>
      <c r="C48" s="1516"/>
      <c r="D48" s="1516">
        <v>207.33</v>
      </c>
      <c r="E48" s="1516"/>
      <c r="F48" s="1516"/>
      <c r="G48" s="1516"/>
      <c r="H48" s="1516"/>
      <c r="I48" s="1516"/>
      <c r="J48" s="1516">
        <v>207.33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>
      <c r="A49" s="1514" t="s">
        <v>467</v>
      </c>
      <c r="B49" s="1516"/>
      <c r="C49" s="1516"/>
      <c r="D49" s="1516"/>
      <c r="E49" s="1516">
        <v>164</v>
      </c>
      <c r="F49" s="1516"/>
      <c r="G49" s="1516">
        <v>42</v>
      </c>
      <c r="H49" s="1516"/>
      <c r="I49" s="1516"/>
      <c r="J49" s="1516">
        <v>206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>
      <c r="A50" s="1514" t="s">
        <v>226</v>
      </c>
      <c r="B50" s="1516">
        <v>69.989999999999995</v>
      </c>
      <c r="C50" s="1516">
        <v>9.98</v>
      </c>
      <c r="D50" s="1516">
        <v>19.989999999999998</v>
      </c>
      <c r="E50" s="1516"/>
      <c r="F50" s="1516">
        <v>44.99</v>
      </c>
      <c r="G50" s="1516"/>
      <c r="H50" s="1516">
        <v>57.99</v>
      </c>
      <c r="I50" s="1516"/>
      <c r="J50" s="1516">
        <v>202.94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>
      <c r="A51" s="1514" t="s">
        <v>101</v>
      </c>
      <c r="B51" s="1516"/>
      <c r="C51" s="1516"/>
      <c r="D51" s="1516">
        <v>4.5999999999999996</v>
      </c>
      <c r="E51" s="1516">
        <v>20.599999999999991</v>
      </c>
      <c r="F51" s="1516">
        <v>51.799999999999891</v>
      </c>
      <c r="G51" s="1516">
        <v>54.749999999999886</v>
      </c>
      <c r="H51" s="1516">
        <v>56.049999999999898</v>
      </c>
      <c r="I51" s="1516">
        <v>13.900000000000004</v>
      </c>
      <c r="J51" s="1516">
        <v>201.69999999999968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>
      <c r="A52" s="1514" t="s">
        <v>654</v>
      </c>
      <c r="B52" s="1516"/>
      <c r="C52" s="1516">
        <v>201.68</v>
      </c>
      <c r="D52" s="1516"/>
      <c r="E52" s="1516"/>
      <c r="F52" s="1516"/>
      <c r="G52" s="1516"/>
      <c r="H52" s="1516"/>
      <c r="I52" s="1516"/>
      <c r="J52" s="1516">
        <v>201.68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>
      <c r="A53" s="1514" t="s">
        <v>628</v>
      </c>
      <c r="B53" s="1516"/>
      <c r="C53" s="1516"/>
      <c r="D53" s="1516">
        <v>200</v>
      </c>
      <c r="E53" s="1516"/>
      <c r="F53" s="1516"/>
      <c r="G53" s="1516"/>
      <c r="H53" s="1516"/>
      <c r="I53" s="1516"/>
      <c r="J53" s="1516">
        <v>200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>
      <c r="A54" s="1514" t="s">
        <v>224</v>
      </c>
      <c r="B54" s="1516">
        <v>12.9</v>
      </c>
      <c r="C54" s="1516"/>
      <c r="D54" s="1516">
        <v>136.85</v>
      </c>
      <c r="E54" s="1516"/>
      <c r="F54" s="1516">
        <v>15.9</v>
      </c>
      <c r="G54" s="1516">
        <v>25.9</v>
      </c>
      <c r="H54" s="1516">
        <v>8</v>
      </c>
      <c r="I54" s="1516"/>
      <c r="J54" s="1516">
        <v>199.55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>
      <c r="A55" s="1514" t="s">
        <v>350</v>
      </c>
      <c r="B55" s="1516"/>
      <c r="C55" s="1516"/>
      <c r="D55" s="1516"/>
      <c r="E55" s="1516">
        <v>121.5</v>
      </c>
      <c r="F55" s="1516">
        <v>10</v>
      </c>
      <c r="G55" s="1516">
        <v>49</v>
      </c>
      <c r="H55" s="1516">
        <v>19</v>
      </c>
      <c r="I55" s="1516"/>
      <c r="J55" s="1516">
        <v>199.5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>
      <c r="A56" s="1514" t="s">
        <v>1335</v>
      </c>
      <c r="B56" s="1516"/>
      <c r="C56" s="1516"/>
      <c r="D56" s="1516"/>
      <c r="E56" s="1516"/>
      <c r="F56" s="1516"/>
      <c r="G56" s="1516"/>
      <c r="H56" s="1516"/>
      <c r="I56" s="1516">
        <v>199</v>
      </c>
      <c r="J56" s="1516">
        <v>199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>
      <c r="A57" s="1514" t="s">
        <v>621</v>
      </c>
      <c r="B57" s="1516"/>
      <c r="C57" s="1516">
        <v>84.5</v>
      </c>
      <c r="D57" s="1516">
        <v>106.5</v>
      </c>
      <c r="E57" s="1516"/>
      <c r="F57" s="1516"/>
      <c r="G57" s="1516"/>
      <c r="H57" s="1516"/>
      <c r="I57" s="1516"/>
      <c r="J57" s="1516">
        <v>191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>
      <c r="A58" s="1514" t="s">
        <v>665</v>
      </c>
      <c r="B58" s="1516">
        <v>190.17000000000002</v>
      </c>
      <c r="C58" s="1516"/>
      <c r="D58" s="1516"/>
      <c r="E58" s="1516"/>
      <c r="F58" s="1516"/>
      <c r="G58" s="1516"/>
      <c r="H58" s="1516"/>
      <c r="I58" s="1516"/>
      <c r="J58" s="1516">
        <v>190.17000000000002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>
      <c r="A59" s="1514" t="s">
        <v>210</v>
      </c>
      <c r="B59" s="1516"/>
      <c r="C59" s="1516"/>
      <c r="D59" s="1516"/>
      <c r="E59" s="1516"/>
      <c r="F59" s="1516">
        <v>50</v>
      </c>
      <c r="G59" s="1516">
        <v>50</v>
      </c>
      <c r="H59" s="1516">
        <v>87</v>
      </c>
      <c r="I59" s="1516"/>
      <c r="J59" s="1516">
        <v>187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>
      <c r="A60" s="1514" t="s">
        <v>171</v>
      </c>
      <c r="B60" s="1516">
        <v>21.15</v>
      </c>
      <c r="C60" s="1516"/>
      <c r="D60" s="1516">
        <v>145.4</v>
      </c>
      <c r="E60" s="1516"/>
      <c r="F60" s="1516"/>
      <c r="G60" s="1516"/>
      <c r="H60" s="1516"/>
      <c r="I60" s="1516">
        <v>19.8</v>
      </c>
      <c r="J60" s="1516">
        <v>186.35000000000002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>
      <c r="A61" s="1514" t="s">
        <v>103</v>
      </c>
      <c r="B61" s="1516"/>
      <c r="C61" s="1516"/>
      <c r="D61" s="1516"/>
      <c r="E61" s="1516"/>
      <c r="F61" s="1516"/>
      <c r="G61" s="1516"/>
      <c r="H61" s="1516"/>
      <c r="I61" s="1516">
        <v>185</v>
      </c>
      <c r="J61" s="1516">
        <v>185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>
      <c r="A62" s="1514" t="s">
        <v>666</v>
      </c>
      <c r="B62" s="1516">
        <v>181.8</v>
      </c>
      <c r="C62" s="1516"/>
      <c r="D62" s="1516"/>
      <c r="E62" s="1516"/>
      <c r="F62" s="1516"/>
      <c r="G62" s="1516"/>
      <c r="H62" s="1516"/>
      <c r="I62" s="1516"/>
      <c r="J62" s="1516">
        <v>181.8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  <row r="63" spans="1:48">
      <c r="A63" s="1514" t="s">
        <v>394</v>
      </c>
      <c r="B63" s="1516"/>
      <c r="C63" s="1516"/>
      <c r="D63" s="1516">
        <v>40</v>
      </c>
      <c r="E63" s="1516">
        <v>64</v>
      </c>
      <c r="F63" s="1516">
        <v>23</v>
      </c>
      <c r="G63" s="1516">
        <v>31</v>
      </c>
      <c r="H63" s="1516">
        <v>21</v>
      </c>
      <c r="I63" s="1516"/>
      <c r="J63" s="1516">
        <v>179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</row>
    <row r="64" spans="1:48">
      <c r="A64" s="1514" t="s">
        <v>636</v>
      </c>
      <c r="B64" s="1516"/>
      <c r="C64" s="1516"/>
      <c r="D64" s="1516">
        <v>178.6</v>
      </c>
      <c r="E64" s="1516"/>
      <c r="F64" s="1516"/>
      <c r="G64" s="1516"/>
      <c r="H64" s="1516"/>
      <c r="I64" s="1516"/>
      <c r="J64" s="1516">
        <v>178.6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</row>
    <row r="65" spans="1:48">
      <c r="A65" s="1514" t="s">
        <v>412</v>
      </c>
      <c r="B65" s="1516"/>
      <c r="C65" s="1516"/>
      <c r="D65" s="1516"/>
      <c r="E65" s="1516">
        <v>31</v>
      </c>
      <c r="F65" s="1516"/>
      <c r="G65" s="1516">
        <v>144</v>
      </c>
      <c r="H65" s="1516"/>
      <c r="I65" s="1516"/>
      <c r="J65" s="1516">
        <v>175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pans="1:48">
      <c r="A66" s="1514" t="s">
        <v>251</v>
      </c>
      <c r="B66" s="1516">
        <v>36.39</v>
      </c>
      <c r="C66" s="1516">
        <v>37.840000000000003</v>
      </c>
      <c r="D66" s="1516">
        <v>30.14</v>
      </c>
      <c r="E66" s="1516"/>
      <c r="F66" s="1516"/>
      <c r="G66" s="1516">
        <v>30.18</v>
      </c>
      <c r="H66" s="1516">
        <v>39.93</v>
      </c>
      <c r="I66" s="1516"/>
      <c r="J66" s="1516">
        <v>174.48000000000002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</row>
    <row r="67" spans="1:48">
      <c r="A67" s="1514" t="s">
        <v>626</v>
      </c>
      <c r="B67" s="1516"/>
      <c r="C67" s="1516"/>
      <c r="D67" s="1516">
        <v>171.2</v>
      </c>
      <c r="E67" s="1516"/>
      <c r="F67" s="1516"/>
      <c r="G67" s="1516"/>
      <c r="H67" s="1516"/>
      <c r="I67" s="1516"/>
      <c r="J67" s="1516">
        <v>171.2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</row>
    <row r="68" spans="1:48">
      <c r="A68" s="1514" t="s">
        <v>259</v>
      </c>
      <c r="B68" s="1516"/>
      <c r="C68" s="1516"/>
      <c r="D68" s="1516"/>
      <c r="E68" s="1516"/>
      <c r="F68" s="1516"/>
      <c r="G68" s="1516"/>
      <c r="H68" s="1516">
        <v>170.44</v>
      </c>
      <c r="I68" s="1516"/>
      <c r="J68" s="1516">
        <v>170.44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</row>
    <row r="69" spans="1:48">
      <c r="A69" s="1514" t="s">
        <v>531</v>
      </c>
      <c r="B69" s="1516"/>
      <c r="C69" s="1516">
        <v>71.92</v>
      </c>
      <c r="D69" s="1516"/>
      <c r="E69" s="1516">
        <v>47.09</v>
      </c>
      <c r="F69" s="1516">
        <v>48.3</v>
      </c>
      <c r="G69" s="1516"/>
      <c r="H69" s="1516"/>
      <c r="I69" s="1516"/>
      <c r="J69" s="1516">
        <v>167.31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1:48">
      <c r="A70" s="1514" t="s">
        <v>104</v>
      </c>
      <c r="B70" s="1516"/>
      <c r="C70" s="1516"/>
      <c r="D70" s="1516"/>
      <c r="E70" s="1516"/>
      <c r="F70" s="1516"/>
      <c r="G70" s="1516"/>
      <c r="H70" s="1516">
        <v>87.4</v>
      </c>
      <c r="I70" s="1516">
        <v>78</v>
      </c>
      <c r="J70" s="1516">
        <v>165.4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1:48">
      <c r="A71" s="1514" t="s">
        <v>434</v>
      </c>
      <c r="B71" s="1516"/>
      <c r="C71" s="1516"/>
      <c r="D71" s="1516"/>
      <c r="E71" s="1516"/>
      <c r="F71" s="1516"/>
      <c r="G71" s="1516">
        <v>165</v>
      </c>
      <c r="H71" s="1516"/>
      <c r="I71" s="1516"/>
      <c r="J71" s="1516">
        <v>165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1:48">
      <c r="A72" s="1514" t="s">
        <v>238</v>
      </c>
      <c r="B72" s="1516"/>
      <c r="C72" s="1516"/>
      <c r="D72" s="1516"/>
      <c r="E72" s="1516"/>
      <c r="F72" s="1516"/>
      <c r="G72" s="1516"/>
      <c r="H72" s="1516">
        <v>161.19999999999999</v>
      </c>
      <c r="I72" s="1516"/>
      <c r="J72" s="1516">
        <v>161.19999999999999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1:48">
      <c r="A73" s="1514" t="s">
        <v>160</v>
      </c>
      <c r="B73" s="1516"/>
      <c r="C73" s="1516">
        <v>13.099999999999998</v>
      </c>
      <c r="D73" s="1516">
        <v>5.0999999999999996</v>
      </c>
      <c r="E73" s="1516">
        <v>8.5</v>
      </c>
      <c r="F73" s="1516">
        <v>22.299999999999997</v>
      </c>
      <c r="G73" s="1516">
        <v>19.899999999999999</v>
      </c>
      <c r="H73" s="1516">
        <v>1.7</v>
      </c>
      <c r="I73" s="1516">
        <v>87.100000000000009</v>
      </c>
      <c r="J73" s="1516">
        <v>157.69999999999999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1:48">
      <c r="A74" s="1514" t="s">
        <v>375</v>
      </c>
      <c r="B74" s="1516"/>
      <c r="C74" s="1516"/>
      <c r="D74" s="1516"/>
      <c r="E74" s="1516"/>
      <c r="F74" s="1516"/>
      <c r="G74" s="1516">
        <v>75</v>
      </c>
      <c r="H74" s="1516">
        <v>75</v>
      </c>
      <c r="I74" s="1516"/>
      <c r="J74" s="1516">
        <v>150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1:48">
      <c r="A75" s="1514" t="s">
        <v>629</v>
      </c>
      <c r="B75" s="1516"/>
      <c r="C75" s="1516"/>
      <c r="D75" s="1516">
        <v>150</v>
      </c>
      <c r="E75" s="1516"/>
      <c r="F75" s="1516"/>
      <c r="G75" s="1516"/>
      <c r="H75" s="1516"/>
      <c r="I75" s="1516"/>
      <c r="J75" s="1516">
        <v>150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1:48">
      <c r="A76" s="1514" t="s">
        <v>340</v>
      </c>
      <c r="B76" s="1516"/>
      <c r="C76" s="1516"/>
      <c r="D76" s="1516"/>
      <c r="E76" s="1516"/>
      <c r="F76" s="1516"/>
      <c r="G76" s="1516">
        <v>108.96000000000001</v>
      </c>
      <c r="H76" s="1516">
        <v>40.98</v>
      </c>
      <c r="I76" s="1516"/>
      <c r="J76" s="1516">
        <v>149.94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1:48">
      <c r="A77" s="1514" t="s">
        <v>668</v>
      </c>
      <c r="B77" s="1516">
        <v>148.91</v>
      </c>
      <c r="C77" s="1516"/>
      <c r="D77" s="1516"/>
      <c r="E77" s="1516"/>
      <c r="F77" s="1516"/>
      <c r="G77" s="1516"/>
      <c r="H77" s="1516"/>
      <c r="I77" s="1516"/>
      <c r="J77" s="1516">
        <v>148.91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1:48">
      <c r="A78" s="1514" t="s">
        <v>166</v>
      </c>
      <c r="B78" s="1516">
        <v>13</v>
      </c>
      <c r="C78" s="1516"/>
      <c r="D78" s="1516"/>
      <c r="E78" s="1516"/>
      <c r="F78" s="1516">
        <v>10.100000000000001</v>
      </c>
      <c r="G78" s="1516">
        <v>59.589999999999996</v>
      </c>
      <c r="H78" s="1516">
        <v>23.6</v>
      </c>
      <c r="I78" s="1516">
        <v>41.2</v>
      </c>
      <c r="J78" s="1516">
        <v>147.49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1:48">
      <c r="A79" s="1514" t="s">
        <v>358</v>
      </c>
      <c r="B79" s="1516"/>
      <c r="C79" s="1516">
        <v>78.55</v>
      </c>
      <c r="D79" s="1516"/>
      <c r="E79" s="1516"/>
      <c r="F79" s="1516"/>
      <c r="G79" s="1516"/>
      <c r="H79" s="1516">
        <v>67.5</v>
      </c>
      <c r="I79" s="1516"/>
      <c r="J79" s="1516">
        <v>146.05000000000001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1:48">
      <c r="A80" s="1514" t="s">
        <v>227</v>
      </c>
      <c r="B80" s="1516"/>
      <c r="C80" s="1516"/>
      <c r="D80" s="1516"/>
      <c r="E80" s="1516"/>
      <c r="F80" s="1516"/>
      <c r="G80" s="1516"/>
      <c r="H80" s="1516">
        <v>141</v>
      </c>
      <c r="I80" s="1516"/>
      <c r="J80" s="1516">
        <v>141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pans="1:48">
      <c r="A81" s="1514" t="s">
        <v>310</v>
      </c>
      <c r="B81" s="1516"/>
      <c r="C81" s="1516"/>
      <c r="D81" s="1516"/>
      <c r="E81" s="1516"/>
      <c r="F81" s="1516"/>
      <c r="G81" s="1516"/>
      <c r="H81" s="1516">
        <v>75</v>
      </c>
      <c r="I81" s="1516">
        <v>65</v>
      </c>
      <c r="J81" s="1516">
        <v>140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pans="1:48">
      <c r="A82" s="1514" t="s">
        <v>1353</v>
      </c>
      <c r="B82" s="1516"/>
      <c r="C82" s="1516"/>
      <c r="D82" s="1516"/>
      <c r="E82" s="1516"/>
      <c r="F82" s="1516"/>
      <c r="G82" s="1516"/>
      <c r="H82" s="1516"/>
      <c r="I82" s="1516">
        <v>140</v>
      </c>
      <c r="J82" s="1516">
        <v>140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</row>
    <row r="83" spans="1:48">
      <c r="A83" s="1514" t="s">
        <v>630</v>
      </c>
      <c r="B83" s="1516"/>
      <c r="C83" s="1516"/>
      <c r="D83" s="1516">
        <v>132</v>
      </c>
      <c r="E83" s="1516"/>
      <c r="F83" s="1516"/>
      <c r="G83" s="1516"/>
      <c r="H83" s="1516"/>
      <c r="I83" s="1516"/>
      <c r="J83" s="1516">
        <v>132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</row>
    <row r="84" spans="1:48">
      <c r="A84" s="1514" t="s">
        <v>509</v>
      </c>
      <c r="B84" s="1516"/>
      <c r="C84" s="1516"/>
      <c r="D84" s="1516"/>
      <c r="E84" s="1516"/>
      <c r="F84" s="1516">
        <v>86.54</v>
      </c>
      <c r="G84" s="1516">
        <v>43.27</v>
      </c>
      <c r="H84" s="1516"/>
      <c r="I84" s="1516"/>
      <c r="J84" s="1516">
        <v>129.81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</row>
    <row r="85" spans="1:48">
      <c r="A85" s="1514" t="s">
        <v>622</v>
      </c>
      <c r="B85" s="1516"/>
      <c r="C85" s="1516">
        <v>60.95</v>
      </c>
      <c r="D85" s="1516">
        <v>66.59</v>
      </c>
      <c r="E85" s="1516"/>
      <c r="F85" s="1516"/>
      <c r="G85" s="1516"/>
      <c r="H85" s="1516"/>
      <c r="I85" s="1516"/>
      <c r="J85" s="1516">
        <v>127.54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</row>
    <row r="86" spans="1:48">
      <c r="A86" s="1514" t="s">
        <v>606</v>
      </c>
      <c r="B86" s="1516">
        <v>102.3</v>
      </c>
      <c r="C86" s="1516"/>
      <c r="D86" s="1516"/>
      <c r="E86" s="1516">
        <v>24.5</v>
      </c>
      <c r="F86" s="1516"/>
      <c r="G86" s="1516"/>
      <c r="H86" s="1516"/>
      <c r="I86" s="1516"/>
      <c r="J86" s="1516">
        <v>126.8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</row>
    <row r="87" spans="1:48">
      <c r="A87" s="1514" t="s">
        <v>176</v>
      </c>
      <c r="B87" s="1516"/>
      <c r="C87" s="1516"/>
      <c r="D87" s="1516"/>
      <c r="E87" s="1516">
        <v>56.1</v>
      </c>
      <c r="F87" s="1516">
        <v>22.36</v>
      </c>
      <c r="G87" s="1516"/>
      <c r="H87" s="1516">
        <v>24.14</v>
      </c>
      <c r="I87" s="1516">
        <v>22.83</v>
      </c>
      <c r="J87" s="1516">
        <v>125.43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</row>
    <row r="88" spans="1:48">
      <c r="A88" s="1514" t="s">
        <v>159</v>
      </c>
      <c r="B88" s="1516"/>
      <c r="C88" s="1516"/>
      <c r="D88" s="1516"/>
      <c r="E88" s="1516"/>
      <c r="F88" s="1516">
        <v>22</v>
      </c>
      <c r="G88" s="1516"/>
      <c r="H88" s="1516">
        <v>60.5</v>
      </c>
      <c r="I88" s="1516">
        <v>42</v>
      </c>
      <c r="J88" s="1516">
        <v>124.5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</row>
    <row r="89" spans="1:48">
      <c r="A89" s="1514" t="s">
        <v>338</v>
      </c>
      <c r="B89" s="1516"/>
      <c r="C89" s="1516"/>
      <c r="D89" s="1516"/>
      <c r="E89" s="1516"/>
      <c r="F89" s="1516">
        <v>11.5</v>
      </c>
      <c r="G89" s="1516">
        <v>22</v>
      </c>
      <c r="H89" s="1516">
        <v>46</v>
      </c>
      <c r="I89" s="1516">
        <v>42.5</v>
      </c>
      <c r="J89" s="1516">
        <v>122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</row>
    <row r="90" spans="1:48">
      <c r="A90" s="1514" t="s">
        <v>1318</v>
      </c>
      <c r="B90" s="1516"/>
      <c r="C90" s="1516"/>
      <c r="D90" s="1516"/>
      <c r="E90" s="1516"/>
      <c r="F90" s="1516"/>
      <c r="G90" s="1516"/>
      <c r="H90" s="1516"/>
      <c r="I90" s="1516">
        <v>120</v>
      </c>
      <c r="J90" s="1516">
        <v>120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pans="1:48">
      <c r="A91" s="1514" t="s">
        <v>327</v>
      </c>
      <c r="B91" s="1516"/>
      <c r="C91" s="1516"/>
      <c r="D91" s="1516"/>
      <c r="E91" s="1516"/>
      <c r="F91" s="1516"/>
      <c r="G91" s="1516"/>
      <c r="H91" s="1516">
        <v>61</v>
      </c>
      <c r="I91" s="1516">
        <v>56</v>
      </c>
      <c r="J91" s="1516">
        <v>117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</row>
    <row r="92" spans="1:48">
      <c r="A92" s="1514" t="s">
        <v>627</v>
      </c>
      <c r="B92" s="1516"/>
      <c r="C92" s="1516"/>
      <c r="D92" s="1516">
        <v>115.19999999999999</v>
      </c>
      <c r="E92" s="1516"/>
      <c r="F92" s="1516"/>
      <c r="G92" s="1516"/>
      <c r="H92" s="1516"/>
      <c r="I92" s="1516"/>
      <c r="J92" s="1516">
        <v>115.19999999999999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</row>
    <row r="93" spans="1:48">
      <c r="A93" s="1514" t="s">
        <v>611</v>
      </c>
      <c r="B93" s="1516"/>
      <c r="C93" s="1516"/>
      <c r="D93" s="1516">
        <v>114.18</v>
      </c>
      <c r="E93" s="1516"/>
      <c r="F93" s="1516"/>
      <c r="G93" s="1516"/>
      <c r="H93" s="1516"/>
      <c r="I93" s="1516"/>
      <c r="J93" s="1516">
        <v>114.18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</row>
    <row r="94" spans="1:48">
      <c r="A94" s="1514" t="s">
        <v>345</v>
      </c>
      <c r="B94" s="1516"/>
      <c r="C94" s="1516">
        <v>24.9</v>
      </c>
      <c r="D94" s="1516"/>
      <c r="E94" s="1516"/>
      <c r="F94" s="1516">
        <v>37.9</v>
      </c>
      <c r="G94" s="1516"/>
      <c r="H94" s="1516">
        <v>50.3</v>
      </c>
      <c r="I94" s="1516"/>
      <c r="J94" s="1516">
        <v>113.1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</row>
    <row r="95" spans="1:48">
      <c r="A95" s="1514" t="s">
        <v>528</v>
      </c>
      <c r="B95" s="1516"/>
      <c r="C95" s="1516"/>
      <c r="D95" s="1516"/>
      <c r="E95" s="1516"/>
      <c r="F95" s="1516">
        <v>29</v>
      </c>
      <c r="G95" s="1516"/>
      <c r="H95" s="1516"/>
      <c r="I95" s="1516">
        <v>84</v>
      </c>
      <c r="J95" s="1516">
        <v>113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</row>
    <row r="96" spans="1:48">
      <c r="A96" s="1514" t="s">
        <v>1362</v>
      </c>
      <c r="B96" s="1516"/>
      <c r="C96" s="1516"/>
      <c r="D96" s="1516"/>
      <c r="E96" s="1516"/>
      <c r="F96" s="1516"/>
      <c r="G96" s="1516"/>
      <c r="H96" s="1516"/>
      <c r="I96" s="1516">
        <v>112</v>
      </c>
      <c r="J96" s="1516">
        <v>112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1:48">
      <c r="A97" s="1514" t="s">
        <v>290</v>
      </c>
      <c r="B97" s="1516"/>
      <c r="C97" s="1516"/>
      <c r="D97" s="1516"/>
      <c r="E97" s="1516"/>
      <c r="F97" s="1516"/>
      <c r="G97" s="1516"/>
      <c r="H97" s="1516">
        <v>109.5</v>
      </c>
      <c r="I97" s="1516"/>
      <c r="J97" s="1516">
        <v>109.5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</row>
    <row r="98" spans="1:48">
      <c r="A98" s="1514" t="s">
        <v>562</v>
      </c>
      <c r="B98" s="1516"/>
      <c r="C98" s="1516"/>
      <c r="D98" s="1516">
        <v>21.5</v>
      </c>
      <c r="E98" s="1516">
        <v>66.5</v>
      </c>
      <c r="F98" s="1516">
        <v>21</v>
      </c>
      <c r="G98" s="1516"/>
      <c r="H98" s="1516"/>
      <c r="I98" s="1516"/>
      <c r="J98" s="1516">
        <v>109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</row>
    <row r="99" spans="1:48">
      <c r="A99" s="1514" t="s">
        <v>633</v>
      </c>
      <c r="B99" s="1516"/>
      <c r="C99" s="1516">
        <v>23.5</v>
      </c>
      <c r="D99" s="1516">
        <v>85.4</v>
      </c>
      <c r="E99" s="1516"/>
      <c r="F99" s="1516"/>
      <c r="G99" s="1516"/>
      <c r="H99" s="1516"/>
      <c r="I99" s="1516"/>
      <c r="J99" s="1516">
        <v>108.9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</row>
    <row r="100" spans="1:48">
      <c r="A100" s="1514" t="s">
        <v>512</v>
      </c>
      <c r="B100" s="1516"/>
      <c r="C100" s="1516"/>
      <c r="D100" s="1516"/>
      <c r="E100" s="1516"/>
      <c r="F100" s="1516">
        <v>107</v>
      </c>
      <c r="G100" s="1516"/>
      <c r="H100" s="1516"/>
      <c r="I100" s="1516"/>
      <c r="J100" s="1516">
        <v>107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</row>
    <row r="101" spans="1:48">
      <c r="A101" s="1514" t="s">
        <v>433</v>
      </c>
      <c r="B101" s="1516">
        <v>25.18</v>
      </c>
      <c r="C101" s="1516"/>
      <c r="D101" s="1516"/>
      <c r="E101" s="1516"/>
      <c r="F101" s="1516">
        <v>46.65</v>
      </c>
      <c r="G101" s="1516">
        <v>34.299999999999997</v>
      </c>
      <c r="H101" s="1516"/>
      <c r="I101" s="1516"/>
      <c r="J101" s="1516">
        <v>106.13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1:48">
      <c r="A102" s="1514" t="s">
        <v>364</v>
      </c>
      <c r="B102" s="1516"/>
      <c r="C102" s="1516"/>
      <c r="D102" s="1516"/>
      <c r="E102" s="1516"/>
      <c r="F102" s="1516">
        <v>50.699999999999996</v>
      </c>
      <c r="G102" s="1516"/>
      <c r="H102" s="1516">
        <v>53.38</v>
      </c>
      <c r="I102" s="1516"/>
      <c r="J102" s="1516">
        <v>104.08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</row>
    <row r="103" spans="1:48">
      <c r="A103" s="1514" t="s">
        <v>162</v>
      </c>
      <c r="B103" s="1516"/>
      <c r="C103" s="1516"/>
      <c r="D103" s="1516"/>
      <c r="E103" s="1516"/>
      <c r="F103" s="1516"/>
      <c r="G103" s="1516"/>
      <c r="H103" s="1516"/>
      <c r="I103" s="1516">
        <v>104</v>
      </c>
      <c r="J103" s="1516">
        <v>104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</row>
    <row r="104" spans="1:48">
      <c r="A104" s="1514" t="s">
        <v>194</v>
      </c>
      <c r="B104" s="1516"/>
      <c r="C104" s="1516"/>
      <c r="D104" s="1516"/>
      <c r="E104" s="1516"/>
      <c r="F104" s="1516"/>
      <c r="G104" s="1516"/>
      <c r="H104" s="1516">
        <v>98.82</v>
      </c>
      <c r="I104" s="1516"/>
      <c r="J104" s="1516">
        <v>98.82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1:48">
      <c r="A105" s="1514" t="s">
        <v>464</v>
      </c>
      <c r="B105" s="1516"/>
      <c r="C105" s="1516"/>
      <c r="D105" s="1516"/>
      <c r="E105" s="1516"/>
      <c r="F105" s="1516"/>
      <c r="G105" s="1516">
        <v>44</v>
      </c>
      <c r="H105" s="1516"/>
      <c r="I105" s="1516">
        <v>54.3</v>
      </c>
      <c r="J105" s="1516">
        <v>98.3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1:48">
      <c r="A106" s="1514" t="s">
        <v>655</v>
      </c>
      <c r="B106" s="1516">
        <v>55.5</v>
      </c>
      <c r="C106" s="1516">
        <v>42</v>
      </c>
      <c r="D106" s="1516"/>
      <c r="E106" s="1516"/>
      <c r="F106" s="1516"/>
      <c r="G106" s="1516"/>
      <c r="H106" s="1516"/>
      <c r="I106" s="1516"/>
      <c r="J106" s="1516">
        <v>97.5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</row>
    <row r="107" spans="1:48">
      <c r="A107" s="1514" t="s">
        <v>322</v>
      </c>
      <c r="B107" s="1516"/>
      <c r="C107" s="1516"/>
      <c r="D107" s="1516"/>
      <c r="E107" s="1516"/>
      <c r="F107" s="1516"/>
      <c r="G107" s="1516">
        <v>67.48</v>
      </c>
      <c r="H107" s="1516">
        <v>29.49</v>
      </c>
      <c r="I107" s="1516"/>
      <c r="J107" s="1516">
        <v>96.97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1:48">
      <c r="A108" s="1514" t="s">
        <v>306</v>
      </c>
      <c r="B108" s="1516"/>
      <c r="C108" s="1516"/>
      <c r="D108" s="1516"/>
      <c r="E108" s="1516">
        <v>15.32</v>
      </c>
      <c r="F108" s="1516">
        <v>35.739999999999995</v>
      </c>
      <c r="G108" s="1516">
        <v>18.23</v>
      </c>
      <c r="H108" s="1516">
        <v>26.69</v>
      </c>
      <c r="I108" s="1516"/>
      <c r="J108" s="1516">
        <v>95.97999999999999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1:48">
      <c r="A109" s="1514" t="s">
        <v>507</v>
      </c>
      <c r="B109" s="1516"/>
      <c r="C109" s="1516"/>
      <c r="D109" s="1516"/>
      <c r="E109" s="1516"/>
      <c r="F109" s="1516"/>
      <c r="G109" s="1516">
        <v>56</v>
      </c>
      <c r="H109" s="1516"/>
      <c r="I109" s="1516">
        <v>39</v>
      </c>
      <c r="J109" s="1516">
        <v>95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1:48">
      <c r="A110" s="1514" t="s">
        <v>586</v>
      </c>
      <c r="B110" s="1516"/>
      <c r="C110" s="1516"/>
      <c r="D110" s="1516"/>
      <c r="E110" s="1516">
        <v>92</v>
      </c>
      <c r="F110" s="1516"/>
      <c r="G110" s="1516"/>
      <c r="H110" s="1516"/>
      <c r="I110" s="1516"/>
      <c r="J110" s="1516">
        <v>92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1:48">
      <c r="A111" s="1514" t="s">
        <v>432</v>
      </c>
      <c r="B111" s="1516"/>
      <c r="C111" s="1516"/>
      <c r="D111" s="1516"/>
      <c r="E111" s="1516"/>
      <c r="F111" s="1516"/>
      <c r="G111" s="1516">
        <v>92</v>
      </c>
      <c r="H111" s="1516"/>
      <c r="I111" s="1516"/>
      <c r="J111" s="1516">
        <v>92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1:48">
      <c r="A112" s="1514" t="s">
        <v>616</v>
      </c>
      <c r="B112" s="1516"/>
      <c r="C112" s="1516"/>
      <c r="D112" s="1516">
        <v>91.7</v>
      </c>
      <c r="E112" s="1516"/>
      <c r="F112" s="1516"/>
      <c r="G112" s="1516"/>
      <c r="H112" s="1516"/>
      <c r="I112" s="1516"/>
      <c r="J112" s="1516">
        <v>91.7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1:48">
      <c r="A113" s="1514" t="s">
        <v>378</v>
      </c>
      <c r="B113" s="1516"/>
      <c r="C113" s="1516"/>
      <c r="D113" s="1516"/>
      <c r="E113" s="1516">
        <v>10</v>
      </c>
      <c r="F113" s="1516"/>
      <c r="G113" s="1516"/>
      <c r="H113" s="1516">
        <v>79</v>
      </c>
      <c r="I113" s="1516"/>
      <c r="J113" s="1516">
        <v>89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1:48">
      <c r="A114" s="1514" t="s">
        <v>501</v>
      </c>
      <c r="B114" s="1516">
        <v>18.299999999999997</v>
      </c>
      <c r="C114" s="1516"/>
      <c r="D114" s="1516"/>
      <c r="E114" s="1516">
        <v>32.700000000000003</v>
      </c>
      <c r="F114" s="1516">
        <v>9</v>
      </c>
      <c r="G114" s="1516">
        <v>26.700000000000003</v>
      </c>
      <c r="H114" s="1516"/>
      <c r="I114" s="1516"/>
      <c r="J114" s="1516">
        <v>86.7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  <row r="115" spans="1:48">
      <c r="A115" s="1514" t="s">
        <v>388</v>
      </c>
      <c r="B115" s="1516"/>
      <c r="C115" s="1516"/>
      <c r="D115" s="1516"/>
      <c r="E115" s="1516"/>
      <c r="F115" s="1516"/>
      <c r="G115" s="1516"/>
      <c r="H115" s="1516">
        <v>85.2</v>
      </c>
      <c r="I115" s="1516"/>
      <c r="J115" s="1516">
        <v>85.2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1:48">
      <c r="A116" s="1514" t="s">
        <v>1338</v>
      </c>
      <c r="B116" s="1516"/>
      <c r="C116" s="1516"/>
      <c r="D116" s="1516"/>
      <c r="E116" s="1516"/>
      <c r="F116" s="1516"/>
      <c r="G116" s="1516"/>
      <c r="H116" s="1516"/>
      <c r="I116" s="1516">
        <v>85</v>
      </c>
      <c r="J116" s="1516">
        <v>85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</row>
    <row r="117" spans="1:48">
      <c r="A117" s="1514" t="s">
        <v>256</v>
      </c>
      <c r="B117" s="1516"/>
      <c r="C117" s="1516"/>
      <c r="D117" s="1516"/>
      <c r="E117" s="1516"/>
      <c r="F117" s="1516"/>
      <c r="G117" s="1516"/>
      <c r="H117" s="1516">
        <v>85</v>
      </c>
      <c r="I117" s="1516"/>
      <c r="J117" s="1516">
        <v>85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1:48">
      <c r="A118" s="1514" t="s">
        <v>181</v>
      </c>
      <c r="B118" s="1516"/>
      <c r="C118" s="1516"/>
      <c r="D118" s="1516"/>
      <c r="E118" s="1516"/>
      <c r="F118" s="1516"/>
      <c r="G118" s="1516"/>
      <c r="H118" s="1516">
        <v>84.9</v>
      </c>
      <c r="I118" s="1516"/>
      <c r="J118" s="1516">
        <v>84.9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</row>
    <row r="119" spans="1:48">
      <c r="A119" s="1514" t="s">
        <v>143</v>
      </c>
      <c r="B119" s="1516"/>
      <c r="C119" s="1516"/>
      <c r="D119" s="1516"/>
      <c r="E119" s="1516"/>
      <c r="F119" s="1516"/>
      <c r="G119" s="1516">
        <v>20</v>
      </c>
      <c r="H119" s="1516">
        <v>20</v>
      </c>
      <c r="I119" s="1516">
        <v>44</v>
      </c>
      <c r="J119" s="1516">
        <v>84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0" spans="1:48">
      <c r="A120" s="1514" t="s">
        <v>334</v>
      </c>
      <c r="B120" s="1516"/>
      <c r="C120" s="1516"/>
      <c r="D120" s="1516"/>
      <c r="E120" s="1516"/>
      <c r="F120" s="1516"/>
      <c r="G120" s="1516"/>
      <c r="H120" s="1516">
        <v>83</v>
      </c>
      <c r="I120" s="1516"/>
      <c r="J120" s="1516">
        <v>83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</row>
    <row r="121" spans="1:48">
      <c r="A121" s="1514" t="s">
        <v>502</v>
      </c>
      <c r="B121" s="1516"/>
      <c r="C121" s="1516"/>
      <c r="D121" s="1516"/>
      <c r="E121" s="1516"/>
      <c r="F121" s="1516"/>
      <c r="G121" s="1516">
        <v>82.6</v>
      </c>
      <c r="H121" s="1516"/>
      <c r="I121" s="1516"/>
      <c r="J121" s="1516">
        <v>82.6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1:48">
      <c r="A122" s="1514" t="s">
        <v>648</v>
      </c>
      <c r="B122" s="1516"/>
      <c r="C122" s="1516">
        <v>81.91</v>
      </c>
      <c r="D122" s="1516"/>
      <c r="E122" s="1516"/>
      <c r="F122" s="1516"/>
      <c r="G122" s="1516"/>
      <c r="H122" s="1516"/>
      <c r="I122" s="1516"/>
      <c r="J122" s="1516">
        <v>81.91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:48">
      <c r="A123" s="1514" t="s">
        <v>267</v>
      </c>
      <c r="B123" s="1516"/>
      <c r="C123" s="1516"/>
      <c r="D123" s="1516"/>
      <c r="E123" s="1516"/>
      <c r="F123" s="1516"/>
      <c r="G123" s="1516"/>
      <c r="H123" s="1516">
        <v>80.069999999999993</v>
      </c>
      <c r="I123" s="1516"/>
      <c r="J123" s="1516">
        <v>80.069999999999993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:48">
      <c r="A124" s="1514" t="s">
        <v>212</v>
      </c>
      <c r="B124" s="1516"/>
      <c r="C124" s="1516"/>
      <c r="D124" s="1516"/>
      <c r="E124" s="1516"/>
      <c r="F124" s="1516"/>
      <c r="G124" s="1516"/>
      <c r="H124" s="1516">
        <v>80</v>
      </c>
      <c r="I124" s="1516"/>
      <c r="J124" s="1516">
        <v>80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:48">
      <c r="A125" s="1514" t="s">
        <v>381</v>
      </c>
      <c r="B125" s="1516"/>
      <c r="C125" s="1516"/>
      <c r="D125" s="1516"/>
      <c r="E125" s="1516"/>
      <c r="F125" s="1516"/>
      <c r="G125" s="1516">
        <v>20</v>
      </c>
      <c r="H125" s="1516">
        <v>60</v>
      </c>
      <c r="I125" s="1516"/>
      <c r="J125" s="1516">
        <v>80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:48">
      <c r="A126" s="1514" t="s">
        <v>540</v>
      </c>
      <c r="B126" s="1516"/>
      <c r="C126" s="1516"/>
      <c r="D126" s="1516"/>
      <c r="E126" s="1516"/>
      <c r="F126" s="1516">
        <v>79.7</v>
      </c>
      <c r="G126" s="1516"/>
      <c r="H126" s="1516"/>
      <c r="I126" s="1516"/>
      <c r="J126" s="1516">
        <v>79.7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:48">
      <c r="A127" s="1514" t="s">
        <v>199</v>
      </c>
      <c r="B127" s="1516"/>
      <c r="C127" s="1516"/>
      <c r="D127" s="1516"/>
      <c r="E127" s="1516"/>
      <c r="F127" s="1516"/>
      <c r="G127" s="1516"/>
      <c r="H127" s="1516">
        <v>79.2</v>
      </c>
      <c r="I127" s="1516"/>
      <c r="J127" s="1516">
        <v>79.2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:48">
      <c r="A128" s="1514" t="s">
        <v>296</v>
      </c>
      <c r="B128" s="1516"/>
      <c r="C128" s="1516"/>
      <c r="D128" s="1516"/>
      <c r="E128" s="1516"/>
      <c r="F128" s="1516"/>
      <c r="G128" s="1516"/>
      <c r="H128" s="1516">
        <v>78</v>
      </c>
      <c r="I128" s="1516"/>
      <c r="J128" s="1516">
        <v>78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pans="1:48">
      <c r="A129" s="1514" t="s">
        <v>397</v>
      </c>
      <c r="B129" s="1516">
        <v>74.5</v>
      </c>
      <c r="C129" s="1516"/>
      <c r="D129" s="1516"/>
      <c r="E129" s="1516"/>
      <c r="F129" s="1516">
        <v>2.1</v>
      </c>
      <c r="G129" s="1516">
        <v>1.3</v>
      </c>
      <c r="H129" s="1516"/>
      <c r="I129" s="1516"/>
      <c r="J129" s="1516">
        <v>77.899999999999991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</row>
    <row r="130" spans="1:48">
      <c r="A130" s="1514" t="s">
        <v>649</v>
      </c>
      <c r="B130" s="1516"/>
      <c r="C130" s="1516">
        <v>75.8</v>
      </c>
      <c r="D130" s="1516"/>
      <c r="E130" s="1516"/>
      <c r="F130" s="1516"/>
      <c r="G130" s="1516"/>
      <c r="H130" s="1516"/>
      <c r="I130" s="1516"/>
      <c r="J130" s="1516">
        <v>75.8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1:48">
      <c r="A131" s="1514" t="s">
        <v>1321</v>
      </c>
      <c r="B131" s="1516"/>
      <c r="C131" s="1516"/>
      <c r="D131" s="1516"/>
      <c r="E131" s="1516"/>
      <c r="F131" s="1516"/>
      <c r="G131" s="1516"/>
      <c r="H131" s="1516"/>
      <c r="I131" s="1516">
        <v>75.2</v>
      </c>
      <c r="J131" s="1516">
        <v>75.2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</row>
    <row r="132" spans="1:48">
      <c r="A132" s="1514" t="s">
        <v>409</v>
      </c>
      <c r="B132" s="1516"/>
      <c r="C132" s="1516"/>
      <c r="D132" s="1516"/>
      <c r="E132" s="1516"/>
      <c r="F132" s="1516"/>
      <c r="G132" s="1516">
        <v>75</v>
      </c>
      <c r="H132" s="1516"/>
      <c r="I132" s="1516"/>
      <c r="J132" s="1516">
        <v>75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</row>
    <row r="133" spans="1:48">
      <c r="A133" s="1514" t="s">
        <v>658</v>
      </c>
      <c r="B133" s="1516">
        <v>74.959999999999994</v>
      </c>
      <c r="C133" s="1516"/>
      <c r="D133" s="1516"/>
      <c r="E133" s="1516"/>
      <c r="F133" s="1516"/>
      <c r="G133" s="1516"/>
      <c r="H133" s="1516"/>
      <c r="I133" s="1516"/>
      <c r="J133" s="1516">
        <v>74.959999999999994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1:48">
      <c r="A134" s="1514" t="s">
        <v>383</v>
      </c>
      <c r="B134" s="1516"/>
      <c r="C134" s="1516"/>
      <c r="D134" s="1516"/>
      <c r="E134" s="1516"/>
      <c r="F134" s="1516"/>
      <c r="G134" s="1516"/>
      <c r="H134" s="1516">
        <v>74</v>
      </c>
      <c r="I134" s="1516"/>
      <c r="J134" s="1516">
        <v>74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1:48">
      <c r="A135" s="1514" t="s">
        <v>401</v>
      </c>
      <c r="B135" s="1516"/>
      <c r="C135" s="1516"/>
      <c r="D135" s="1516"/>
      <c r="E135" s="1516"/>
      <c r="F135" s="1516">
        <v>34</v>
      </c>
      <c r="G135" s="1516">
        <v>39.5</v>
      </c>
      <c r="H135" s="1516"/>
      <c r="I135" s="1516"/>
      <c r="J135" s="1516">
        <v>73.5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</row>
    <row r="136" spans="1:48">
      <c r="A136" s="1514" t="s">
        <v>466</v>
      </c>
      <c r="B136" s="1516"/>
      <c r="C136" s="1516"/>
      <c r="D136" s="1516"/>
      <c r="E136" s="1516"/>
      <c r="F136" s="1516">
        <v>17</v>
      </c>
      <c r="G136" s="1516">
        <v>53.4</v>
      </c>
      <c r="H136" s="1516"/>
      <c r="I136" s="1516"/>
      <c r="J136" s="1516">
        <v>70.400000000000006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</row>
    <row r="137" spans="1:48">
      <c r="A137" s="1514" t="s">
        <v>475</v>
      </c>
      <c r="B137" s="1516"/>
      <c r="C137" s="1516"/>
      <c r="D137" s="1516"/>
      <c r="E137" s="1516"/>
      <c r="F137" s="1516"/>
      <c r="G137" s="1516">
        <v>70</v>
      </c>
      <c r="H137" s="1516"/>
      <c r="I137" s="1516"/>
      <c r="J137" s="1516">
        <v>70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</row>
    <row r="138" spans="1:48">
      <c r="A138" s="1514" t="s">
        <v>609</v>
      </c>
      <c r="B138" s="1516"/>
      <c r="C138" s="1516"/>
      <c r="D138" s="1516">
        <v>69.98</v>
      </c>
      <c r="E138" s="1516"/>
      <c r="F138" s="1516"/>
      <c r="G138" s="1516"/>
      <c r="H138" s="1516"/>
      <c r="I138" s="1516"/>
      <c r="J138" s="1516">
        <v>69.98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</row>
    <row r="139" spans="1:48">
      <c r="A139" s="1514" t="s">
        <v>237</v>
      </c>
      <c r="B139" s="1516"/>
      <c r="C139" s="1516"/>
      <c r="D139" s="1516"/>
      <c r="E139" s="1516"/>
      <c r="F139" s="1516"/>
      <c r="G139" s="1516"/>
      <c r="H139" s="1516">
        <v>69.7</v>
      </c>
      <c r="I139" s="1516"/>
      <c r="J139" s="1516">
        <v>69.7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</row>
    <row r="140" spans="1:48">
      <c r="A140" s="1514" t="s">
        <v>529</v>
      </c>
      <c r="B140" s="1516"/>
      <c r="C140" s="1516"/>
      <c r="D140" s="1516"/>
      <c r="E140" s="1516"/>
      <c r="F140" s="1516">
        <v>34</v>
      </c>
      <c r="G140" s="1516"/>
      <c r="H140" s="1516"/>
      <c r="I140" s="1516">
        <v>35</v>
      </c>
      <c r="J140" s="1516">
        <v>69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</row>
    <row r="141" spans="1:48">
      <c r="A141" s="1514" t="s">
        <v>516</v>
      </c>
      <c r="B141" s="1516"/>
      <c r="C141" s="1516"/>
      <c r="D141" s="1516"/>
      <c r="E141" s="1516"/>
      <c r="F141" s="1516">
        <v>69</v>
      </c>
      <c r="G141" s="1516"/>
      <c r="H141" s="1516"/>
      <c r="I141" s="1516"/>
      <c r="J141" s="1516">
        <v>69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</row>
    <row r="142" spans="1:48">
      <c r="A142" s="1514" t="s">
        <v>165</v>
      </c>
      <c r="B142" s="1516"/>
      <c r="C142" s="1516"/>
      <c r="D142" s="1516"/>
      <c r="E142" s="1516"/>
      <c r="F142" s="1516"/>
      <c r="G142" s="1516"/>
      <c r="H142" s="1516"/>
      <c r="I142" s="1516">
        <v>69</v>
      </c>
      <c r="J142" s="1516">
        <v>69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</row>
    <row r="143" spans="1:48">
      <c r="A143" s="1514" t="s">
        <v>1386</v>
      </c>
      <c r="B143" s="1516"/>
      <c r="C143" s="1516"/>
      <c r="D143" s="1516"/>
      <c r="E143" s="1516"/>
      <c r="F143" s="1516"/>
      <c r="G143" s="1516"/>
      <c r="H143" s="1516"/>
      <c r="I143" s="1516">
        <v>68.5</v>
      </c>
      <c r="J143" s="1516">
        <v>68.5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</row>
    <row r="144" spans="1:48">
      <c r="A144" s="1514" t="s">
        <v>276</v>
      </c>
      <c r="B144" s="1516"/>
      <c r="C144" s="1516"/>
      <c r="D144" s="1516"/>
      <c r="E144" s="1516">
        <v>7.9</v>
      </c>
      <c r="F144" s="1516">
        <v>39.950000000000003</v>
      </c>
      <c r="G144" s="1516"/>
      <c r="H144" s="1516">
        <v>19.95</v>
      </c>
      <c r="I144" s="1516"/>
      <c r="J144" s="1516">
        <v>67.8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</row>
    <row r="145" spans="1:48">
      <c r="A145" s="1514" t="s">
        <v>362</v>
      </c>
      <c r="B145" s="1516"/>
      <c r="C145" s="1516"/>
      <c r="D145" s="1516"/>
      <c r="E145" s="1516"/>
      <c r="F145" s="1516"/>
      <c r="G145" s="1516"/>
      <c r="H145" s="1516">
        <v>65</v>
      </c>
      <c r="I145" s="1516"/>
      <c r="J145" s="1516">
        <v>65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1:48">
      <c r="A146" s="1514" t="s">
        <v>479</v>
      </c>
      <c r="B146" s="1516"/>
      <c r="C146" s="1516"/>
      <c r="D146" s="1516"/>
      <c r="E146" s="1516"/>
      <c r="F146" s="1516"/>
      <c r="G146" s="1516">
        <v>64.8</v>
      </c>
      <c r="H146" s="1516"/>
      <c r="I146" s="1516"/>
      <c r="J146" s="1516">
        <v>64.8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</row>
    <row r="147" spans="1:48">
      <c r="A147" s="1514" t="s">
        <v>390</v>
      </c>
      <c r="B147" s="1516"/>
      <c r="C147" s="1516"/>
      <c r="D147" s="1516"/>
      <c r="E147" s="1516"/>
      <c r="F147" s="1516"/>
      <c r="G147" s="1516"/>
      <c r="H147" s="1516">
        <v>64.400000000000006</v>
      </c>
      <c r="I147" s="1516"/>
      <c r="J147" s="1516">
        <v>64.400000000000006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</row>
    <row r="148" spans="1:48">
      <c r="A148" s="1514" t="s">
        <v>164</v>
      </c>
      <c r="B148" s="1516"/>
      <c r="C148" s="1516"/>
      <c r="D148" s="1516"/>
      <c r="E148" s="1516"/>
      <c r="F148" s="1516"/>
      <c r="G148" s="1516"/>
      <c r="H148" s="1516"/>
      <c r="I148" s="1516">
        <v>64</v>
      </c>
      <c r="J148" s="1516">
        <v>64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</row>
    <row r="149" spans="1:48">
      <c r="A149" s="1514" t="s">
        <v>366</v>
      </c>
      <c r="B149" s="1516"/>
      <c r="C149" s="1516"/>
      <c r="D149" s="1516"/>
      <c r="E149" s="1516"/>
      <c r="F149" s="1516"/>
      <c r="G149" s="1516"/>
      <c r="H149" s="1516">
        <v>63.4</v>
      </c>
      <c r="I149" s="1516"/>
      <c r="J149" s="1516">
        <v>63.4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</row>
    <row r="150" spans="1:48">
      <c r="A150" s="1514" t="s">
        <v>537</v>
      </c>
      <c r="B150" s="1516"/>
      <c r="C150" s="1516"/>
      <c r="D150" s="1516"/>
      <c r="E150" s="1516"/>
      <c r="F150" s="1516">
        <v>63.4</v>
      </c>
      <c r="G150" s="1516"/>
      <c r="H150" s="1516"/>
      <c r="I150" s="1516"/>
      <c r="J150" s="1516">
        <v>63.4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</row>
    <row r="151" spans="1:48">
      <c r="A151" s="1514" t="s">
        <v>355</v>
      </c>
      <c r="B151" s="1516"/>
      <c r="C151" s="1516"/>
      <c r="D151" s="1516"/>
      <c r="E151" s="1516"/>
      <c r="F151" s="1516"/>
      <c r="G151" s="1516"/>
      <c r="H151" s="1516">
        <v>63.2</v>
      </c>
      <c r="I151" s="1516"/>
      <c r="J151" s="1516">
        <v>63.2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</row>
    <row r="152" spans="1:48">
      <c r="A152" s="1514" t="s">
        <v>449</v>
      </c>
      <c r="B152" s="1516"/>
      <c r="C152" s="1516"/>
      <c r="D152" s="1516"/>
      <c r="E152" s="1516"/>
      <c r="F152" s="1516"/>
      <c r="G152" s="1516">
        <v>63.04</v>
      </c>
      <c r="H152" s="1516"/>
      <c r="I152" s="1516"/>
      <c r="J152" s="1516">
        <v>63.04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</row>
    <row r="153" spans="1:48">
      <c r="A153" s="1514" t="s">
        <v>146</v>
      </c>
      <c r="B153" s="1516"/>
      <c r="C153" s="1516"/>
      <c r="D153" s="1516"/>
      <c r="E153" s="1516"/>
      <c r="F153" s="1516"/>
      <c r="G153" s="1516"/>
      <c r="H153" s="1516"/>
      <c r="I153" s="1516">
        <v>63</v>
      </c>
      <c r="J153" s="1516">
        <v>63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</row>
    <row r="154" spans="1:48">
      <c r="A154" s="1514" t="s">
        <v>115</v>
      </c>
      <c r="B154" s="1516"/>
      <c r="C154" s="1516"/>
      <c r="D154" s="1516"/>
      <c r="E154" s="1516">
        <v>23.84</v>
      </c>
      <c r="F154" s="1516"/>
      <c r="G154" s="1516"/>
      <c r="H154" s="1516">
        <v>20.45</v>
      </c>
      <c r="I154" s="1516">
        <v>18.48</v>
      </c>
      <c r="J154" s="1516">
        <v>62.769999999999996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</row>
    <row r="155" spans="1:48">
      <c r="A155" s="1514" t="s">
        <v>140</v>
      </c>
      <c r="B155" s="1516"/>
      <c r="C155" s="1516"/>
      <c r="D155" s="1516"/>
      <c r="E155" s="1516"/>
      <c r="F155" s="1516"/>
      <c r="G155" s="1516"/>
      <c r="H155" s="1516"/>
      <c r="I155" s="1516">
        <v>62.5</v>
      </c>
      <c r="J155" s="1516">
        <v>62.5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</row>
    <row r="156" spans="1:48">
      <c r="A156" s="1514" t="s">
        <v>610</v>
      </c>
      <c r="B156" s="1516"/>
      <c r="C156" s="1516"/>
      <c r="D156" s="1516">
        <v>62.400000000000006</v>
      </c>
      <c r="E156" s="1516"/>
      <c r="F156" s="1516"/>
      <c r="G156" s="1516"/>
      <c r="H156" s="1516"/>
      <c r="I156" s="1516"/>
      <c r="J156" s="1516">
        <v>62.400000000000006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</row>
    <row r="157" spans="1:48">
      <c r="A157" s="1514" t="s">
        <v>650</v>
      </c>
      <c r="B157" s="1516"/>
      <c r="C157" s="1516">
        <v>62.04</v>
      </c>
      <c r="D157" s="1516"/>
      <c r="E157" s="1516"/>
      <c r="F157" s="1516"/>
      <c r="G157" s="1516"/>
      <c r="H157" s="1516"/>
      <c r="I157" s="1516"/>
      <c r="J157" s="1516">
        <v>62.04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1:48">
      <c r="A158" s="1514" t="s">
        <v>601</v>
      </c>
      <c r="B158" s="1516"/>
      <c r="C158" s="1516"/>
      <c r="D158" s="1516"/>
      <c r="E158" s="1516">
        <v>62</v>
      </c>
      <c r="F158" s="1516"/>
      <c r="G158" s="1516"/>
      <c r="H158" s="1516"/>
      <c r="I158" s="1516"/>
      <c r="J158" s="1516">
        <v>62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</row>
    <row r="159" spans="1:48">
      <c r="A159" s="1514" t="s">
        <v>359</v>
      </c>
      <c r="B159" s="1516"/>
      <c r="C159" s="1516"/>
      <c r="D159" s="1516"/>
      <c r="E159" s="1516"/>
      <c r="F159" s="1516"/>
      <c r="G159" s="1516"/>
      <c r="H159" s="1516">
        <v>61.68</v>
      </c>
      <c r="I159" s="1516"/>
      <c r="J159" s="1516">
        <v>61.68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1:48">
      <c r="A160" s="1514" t="s">
        <v>110</v>
      </c>
      <c r="B160" s="1516"/>
      <c r="C160" s="1516">
        <v>9.1999999999999993</v>
      </c>
      <c r="D160" s="1516"/>
      <c r="E160" s="1516">
        <v>1.1200000000000001</v>
      </c>
      <c r="F160" s="1516"/>
      <c r="G160" s="1516">
        <v>6.3</v>
      </c>
      <c r="H160" s="1516">
        <v>21.16</v>
      </c>
      <c r="I160" s="1516">
        <v>22.35</v>
      </c>
      <c r="J160" s="1516">
        <v>60.13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</row>
    <row r="161" spans="1:48">
      <c r="A161" s="1514" t="s">
        <v>410</v>
      </c>
      <c r="B161" s="1516"/>
      <c r="C161" s="1516"/>
      <c r="D161" s="1516"/>
      <c r="E161" s="1516"/>
      <c r="F161" s="1516"/>
      <c r="G161" s="1516">
        <v>60</v>
      </c>
      <c r="H161" s="1516"/>
      <c r="I161" s="1516"/>
      <c r="J161" s="1516">
        <v>60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1:48">
      <c r="A162" s="1514" t="s">
        <v>544</v>
      </c>
      <c r="B162" s="1516"/>
      <c r="C162" s="1516"/>
      <c r="D162" s="1516"/>
      <c r="E162" s="1516"/>
      <c r="F162" s="1516">
        <v>59</v>
      </c>
      <c r="G162" s="1516"/>
      <c r="H162" s="1516"/>
      <c r="I162" s="1516"/>
      <c r="J162" s="1516">
        <v>59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1:48">
      <c r="A163" s="1514" t="s">
        <v>525</v>
      </c>
      <c r="B163" s="1516"/>
      <c r="C163" s="1516"/>
      <c r="D163" s="1516"/>
      <c r="E163" s="1516"/>
      <c r="F163" s="1516">
        <v>58</v>
      </c>
      <c r="G163" s="1516"/>
      <c r="H163" s="1516"/>
      <c r="I163" s="1516"/>
      <c r="J163" s="1516">
        <v>58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1:48">
      <c r="A164" s="1514" t="s">
        <v>109</v>
      </c>
      <c r="B164" s="1516"/>
      <c r="C164" s="1516"/>
      <c r="D164" s="1516"/>
      <c r="E164" s="1516"/>
      <c r="F164" s="1516">
        <v>29</v>
      </c>
      <c r="G164" s="1516"/>
      <c r="H164" s="1516"/>
      <c r="I164" s="1516">
        <v>28.8</v>
      </c>
      <c r="J164" s="1516">
        <v>57.8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1:48">
      <c r="A165" s="1514" t="s">
        <v>354</v>
      </c>
      <c r="B165" s="1516"/>
      <c r="C165" s="1516"/>
      <c r="D165" s="1516"/>
      <c r="E165" s="1516"/>
      <c r="F165" s="1516"/>
      <c r="G165" s="1516"/>
      <c r="H165" s="1516">
        <v>56</v>
      </c>
      <c r="I165" s="1516"/>
      <c r="J165" s="1516">
        <v>56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1:48">
      <c r="A166" s="1514" t="s">
        <v>524</v>
      </c>
      <c r="B166" s="1516"/>
      <c r="C166" s="1516"/>
      <c r="D166" s="1516"/>
      <c r="E166" s="1516"/>
      <c r="F166" s="1516">
        <v>18.5</v>
      </c>
      <c r="G166" s="1516"/>
      <c r="H166" s="1516"/>
      <c r="I166" s="1516">
        <v>37</v>
      </c>
      <c r="J166" s="1516">
        <v>55.5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1:48">
      <c r="A167" s="1514" t="s">
        <v>184</v>
      </c>
      <c r="B167" s="1516"/>
      <c r="C167" s="1516"/>
      <c r="D167" s="1516"/>
      <c r="E167" s="1516"/>
      <c r="F167" s="1516"/>
      <c r="G167" s="1516"/>
      <c r="H167" s="1516">
        <v>55.47</v>
      </c>
      <c r="I167" s="1516"/>
      <c r="J167" s="1516">
        <v>55.47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1:48">
      <c r="A168" s="1514" t="s">
        <v>419</v>
      </c>
      <c r="B168" s="1516"/>
      <c r="C168" s="1516"/>
      <c r="D168" s="1516"/>
      <c r="E168" s="1516"/>
      <c r="F168" s="1516"/>
      <c r="G168" s="1516">
        <v>55</v>
      </c>
      <c r="H168" s="1516"/>
      <c r="I168" s="1516"/>
      <c r="J168" s="1516">
        <v>55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1:48">
      <c r="A169" s="1514" t="s">
        <v>661</v>
      </c>
      <c r="B169" s="1516">
        <v>55</v>
      </c>
      <c r="C169" s="1516"/>
      <c r="D169" s="1516"/>
      <c r="E169" s="1516"/>
      <c r="F169" s="1516"/>
      <c r="G169" s="1516"/>
      <c r="H169" s="1516"/>
      <c r="I169" s="1516"/>
      <c r="J169" s="1516">
        <v>55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</row>
    <row r="170" spans="1:48">
      <c r="A170" s="1514" t="s">
        <v>405</v>
      </c>
      <c r="B170" s="1516"/>
      <c r="C170" s="1516"/>
      <c r="D170" s="1516"/>
      <c r="E170" s="1516"/>
      <c r="F170" s="1516"/>
      <c r="G170" s="1516">
        <v>54</v>
      </c>
      <c r="H170" s="1516"/>
      <c r="I170" s="1516"/>
      <c r="J170" s="1516">
        <v>54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1:48">
      <c r="A171" s="1514" t="s">
        <v>1322</v>
      </c>
      <c r="B171" s="1516"/>
      <c r="C171" s="1516"/>
      <c r="D171" s="1516"/>
      <c r="E171" s="1516"/>
      <c r="F171" s="1516"/>
      <c r="G171" s="1516"/>
      <c r="H171" s="1516"/>
      <c r="I171" s="1516">
        <v>52.6</v>
      </c>
      <c r="J171" s="1516">
        <v>52.6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</row>
    <row r="172" spans="1:48">
      <c r="A172" s="1514" t="s">
        <v>363</v>
      </c>
      <c r="B172" s="1516"/>
      <c r="C172" s="1516"/>
      <c r="D172" s="1516"/>
      <c r="E172" s="1516">
        <v>26.5</v>
      </c>
      <c r="F172" s="1516"/>
      <c r="G172" s="1516"/>
      <c r="H172" s="1516">
        <v>26</v>
      </c>
      <c r="I172" s="1516"/>
      <c r="J172" s="1516">
        <v>52.5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1:48">
      <c r="A173" s="1514" t="s">
        <v>556</v>
      </c>
      <c r="B173" s="1516"/>
      <c r="C173" s="1516"/>
      <c r="D173" s="1516"/>
      <c r="E173" s="1516"/>
      <c r="F173" s="1516">
        <v>52.5</v>
      </c>
      <c r="G173" s="1516"/>
      <c r="H173" s="1516"/>
      <c r="I173" s="1516"/>
      <c r="J173" s="1516">
        <v>52.5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</row>
    <row r="174" spans="1:48">
      <c r="A174" s="1514" t="s">
        <v>315</v>
      </c>
      <c r="B174" s="1516"/>
      <c r="C174" s="1516"/>
      <c r="D174" s="1516"/>
      <c r="E174" s="1516"/>
      <c r="F174" s="1516"/>
      <c r="G174" s="1516"/>
      <c r="H174" s="1516">
        <v>52</v>
      </c>
      <c r="I174" s="1516"/>
      <c r="J174" s="1516">
        <v>52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</row>
    <row r="175" spans="1:48">
      <c r="A175" s="1514" t="s">
        <v>615</v>
      </c>
      <c r="B175" s="1516"/>
      <c r="C175" s="1516"/>
      <c r="D175" s="1516">
        <v>51.7</v>
      </c>
      <c r="E175" s="1516"/>
      <c r="F175" s="1516"/>
      <c r="G175" s="1516"/>
      <c r="H175" s="1516"/>
      <c r="I175" s="1516"/>
      <c r="J175" s="1516">
        <v>51.7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</row>
    <row r="176" spans="1:48">
      <c r="A176" s="1514" t="s">
        <v>645</v>
      </c>
      <c r="B176" s="1516"/>
      <c r="C176" s="1516">
        <v>51.3</v>
      </c>
      <c r="D176" s="1516"/>
      <c r="E176" s="1516"/>
      <c r="F176" s="1516"/>
      <c r="G176" s="1516"/>
      <c r="H176" s="1516"/>
      <c r="I176" s="1516"/>
      <c r="J176" s="1516">
        <v>51.3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</row>
    <row r="177" spans="1:48">
      <c r="A177" s="1514" t="s">
        <v>1319</v>
      </c>
      <c r="B177" s="1516"/>
      <c r="C177" s="1516"/>
      <c r="D177" s="1516"/>
      <c r="E177" s="1516"/>
      <c r="F177" s="1516"/>
      <c r="G177" s="1516"/>
      <c r="H177" s="1516"/>
      <c r="I177" s="1516">
        <v>50.31</v>
      </c>
      <c r="J177" s="1516">
        <v>50.31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</row>
    <row r="178" spans="1:48">
      <c r="A178" s="1514" t="s">
        <v>598</v>
      </c>
      <c r="B178" s="1516"/>
      <c r="C178" s="1516"/>
      <c r="D178" s="1516"/>
      <c r="E178" s="1516">
        <v>50</v>
      </c>
      <c r="F178" s="1516"/>
      <c r="G178" s="1516"/>
      <c r="H178" s="1516"/>
      <c r="I178" s="1516"/>
      <c r="J178" s="1516">
        <v>50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</row>
    <row r="179" spans="1:48">
      <c r="A179" s="1514" t="s">
        <v>319</v>
      </c>
      <c r="B179" s="1516"/>
      <c r="C179" s="1516"/>
      <c r="D179" s="1516"/>
      <c r="E179" s="1516"/>
      <c r="F179" s="1516"/>
      <c r="G179" s="1516"/>
      <c r="H179" s="1516">
        <v>50</v>
      </c>
      <c r="I179" s="1516"/>
      <c r="J179" s="1516">
        <v>50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</row>
    <row r="180" spans="1:48">
      <c r="A180" s="1514" t="s">
        <v>608</v>
      </c>
      <c r="B180" s="1516"/>
      <c r="C180" s="1516">
        <v>24.99</v>
      </c>
      <c r="D180" s="1516">
        <v>24.99</v>
      </c>
      <c r="E180" s="1516"/>
      <c r="F180" s="1516"/>
      <c r="G180" s="1516"/>
      <c r="H180" s="1516"/>
      <c r="I180" s="1516"/>
      <c r="J180" s="1516">
        <v>49.98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</row>
    <row r="181" spans="1:48">
      <c r="A181" s="1514" t="s">
        <v>391</v>
      </c>
      <c r="B181" s="1516"/>
      <c r="C181" s="1516">
        <v>19.559999999999999</v>
      </c>
      <c r="D181" s="1516"/>
      <c r="E181" s="1516"/>
      <c r="F181" s="1516"/>
      <c r="G181" s="1516"/>
      <c r="H181" s="1516">
        <v>29.95</v>
      </c>
      <c r="I181" s="1516"/>
      <c r="J181" s="1516">
        <v>49.51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>
      <c r="A182" s="1514" t="s">
        <v>538</v>
      </c>
      <c r="B182" s="1516"/>
      <c r="C182" s="1516"/>
      <c r="D182" s="1516"/>
      <c r="E182" s="1516"/>
      <c r="F182" s="1516">
        <v>49.5</v>
      </c>
      <c r="G182" s="1516"/>
      <c r="H182" s="1516"/>
      <c r="I182" s="1516"/>
      <c r="J182" s="1516">
        <v>49.5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</row>
    <row r="183" spans="1:48">
      <c r="A183" s="1514" t="s">
        <v>640</v>
      </c>
      <c r="B183" s="1516"/>
      <c r="C183" s="1516">
        <v>49.49</v>
      </c>
      <c r="D183" s="1516"/>
      <c r="E183" s="1516"/>
      <c r="F183" s="1516"/>
      <c r="G183" s="1516"/>
      <c r="H183" s="1516"/>
      <c r="I183" s="1516"/>
      <c r="J183" s="1516">
        <v>49.49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</row>
    <row r="184" spans="1:48">
      <c r="A184" s="1514" t="s">
        <v>1352</v>
      </c>
      <c r="B184" s="1516"/>
      <c r="C184" s="1516"/>
      <c r="D184" s="1516"/>
      <c r="E184" s="1516"/>
      <c r="F184" s="1516"/>
      <c r="G184" s="1516"/>
      <c r="H184" s="1516"/>
      <c r="I184" s="1516">
        <v>48.5</v>
      </c>
      <c r="J184" s="1516">
        <v>48.5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</row>
    <row r="185" spans="1:48">
      <c r="A185" s="1514" t="s">
        <v>330</v>
      </c>
      <c r="B185" s="1516"/>
      <c r="C185" s="1516"/>
      <c r="D185" s="1516"/>
      <c r="E185" s="1516"/>
      <c r="F185" s="1516"/>
      <c r="G185" s="1516"/>
      <c r="H185" s="1516">
        <v>48.5</v>
      </c>
      <c r="I185" s="1516"/>
      <c r="J185" s="1516">
        <v>48.5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</row>
    <row r="186" spans="1:48">
      <c r="A186" s="1514" t="s">
        <v>1384</v>
      </c>
      <c r="B186" s="1516"/>
      <c r="C186" s="1516"/>
      <c r="D186" s="1516"/>
      <c r="E186" s="1516"/>
      <c r="F186" s="1516"/>
      <c r="G186" s="1516"/>
      <c r="H186" s="1516"/>
      <c r="I186" s="1516">
        <v>48.5</v>
      </c>
      <c r="J186" s="1516">
        <v>48.5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</row>
    <row r="187" spans="1:48">
      <c r="A187" s="1514" t="s">
        <v>198</v>
      </c>
      <c r="B187" s="1516"/>
      <c r="C187" s="1516"/>
      <c r="D187" s="1516"/>
      <c r="E187" s="1516"/>
      <c r="F187" s="1516"/>
      <c r="G187" s="1516"/>
      <c r="H187" s="1516">
        <v>48.1</v>
      </c>
      <c r="I187" s="1516"/>
      <c r="J187" s="1516">
        <v>48.1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</row>
    <row r="188" spans="1:48">
      <c r="A188" s="1514" t="s">
        <v>369</v>
      </c>
      <c r="B188" s="1516"/>
      <c r="C188" s="1516"/>
      <c r="D188" s="1516"/>
      <c r="E188" s="1516"/>
      <c r="F188" s="1516"/>
      <c r="G188" s="1516"/>
      <c r="H188" s="1516">
        <v>48</v>
      </c>
      <c r="I188" s="1516"/>
      <c r="J188" s="1516">
        <v>48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</row>
    <row r="189" spans="1:48">
      <c r="A189" s="1514" t="s">
        <v>662</v>
      </c>
      <c r="B189" s="1516">
        <v>47.47</v>
      </c>
      <c r="C189" s="1516"/>
      <c r="D189" s="1516"/>
      <c r="E189" s="1516"/>
      <c r="F189" s="1516"/>
      <c r="G189" s="1516"/>
      <c r="H189" s="1516"/>
      <c r="I189" s="1516"/>
      <c r="J189" s="1516">
        <v>47.47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</row>
    <row r="190" spans="1:48">
      <c r="A190" s="1514" t="s">
        <v>426</v>
      </c>
      <c r="B190" s="1516"/>
      <c r="C190" s="1516"/>
      <c r="D190" s="1516"/>
      <c r="E190" s="1516"/>
      <c r="F190" s="1516"/>
      <c r="G190" s="1516">
        <v>47.3</v>
      </c>
      <c r="H190" s="1516"/>
      <c r="I190" s="1516"/>
      <c r="J190" s="1516">
        <v>47.3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</row>
    <row r="191" spans="1:48">
      <c r="A191" s="1514" t="s">
        <v>301</v>
      </c>
      <c r="B191" s="1516"/>
      <c r="C191" s="1516"/>
      <c r="D191" s="1516"/>
      <c r="E191" s="1516"/>
      <c r="F191" s="1516"/>
      <c r="G191" s="1516"/>
      <c r="H191" s="1516">
        <v>46</v>
      </c>
      <c r="I191" s="1516"/>
      <c r="J191" s="1516">
        <v>46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</row>
    <row r="192" spans="1:48">
      <c r="A192" s="1514" t="s">
        <v>491</v>
      </c>
      <c r="B192" s="1516"/>
      <c r="C192" s="1516"/>
      <c r="D192" s="1516"/>
      <c r="E192" s="1516"/>
      <c r="F192" s="1516"/>
      <c r="G192" s="1516">
        <v>46</v>
      </c>
      <c r="H192" s="1516"/>
      <c r="I192" s="1516"/>
      <c r="J192" s="1516">
        <v>46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</row>
    <row r="193" spans="1:48">
      <c r="A193" s="1514" t="s">
        <v>500</v>
      </c>
      <c r="B193" s="1516"/>
      <c r="C193" s="1516"/>
      <c r="D193" s="1516"/>
      <c r="E193" s="1516"/>
      <c r="F193" s="1516"/>
      <c r="G193" s="1516">
        <v>46</v>
      </c>
      <c r="H193" s="1516"/>
      <c r="I193" s="1516"/>
      <c r="J193" s="1516">
        <v>46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</row>
    <row r="194" spans="1:48">
      <c r="A194" s="1514" t="s">
        <v>439</v>
      </c>
      <c r="B194" s="1516"/>
      <c r="C194" s="1516"/>
      <c r="D194" s="1516"/>
      <c r="E194" s="1516"/>
      <c r="F194" s="1516">
        <v>31.6</v>
      </c>
      <c r="G194" s="1516">
        <v>14</v>
      </c>
      <c r="H194" s="1516"/>
      <c r="I194" s="1516"/>
      <c r="J194" s="1516">
        <v>45.6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</row>
    <row r="195" spans="1:48">
      <c r="A195" s="1514" t="s">
        <v>542</v>
      </c>
      <c r="B195" s="1516"/>
      <c r="C195" s="1516"/>
      <c r="D195" s="1516"/>
      <c r="E195" s="1516"/>
      <c r="F195" s="1516">
        <v>45.349999999999994</v>
      </c>
      <c r="G195" s="1516"/>
      <c r="H195" s="1516"/>
      <c r="I195" s="1516"/>
      <c r="J195" s="1516">
        <v>45.349999999999994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</row>
    <row r="196" spans="1:48">
      <c r="A196" s="1514" t="s">
        <v>594</v>
      </c>
      <c r="B196" s="1516"/>
      <c r="C196" s="1516"/>
      <c r="D196" s="1516"/>
      <c r="E196" s="1516">
        <v>45</v>
      </c>
      <c r="F196" s="1516"/>
      <c r="G196" s="1516"/>
      <c r="H196" s="1516"/>
      <c r="I196" s="1516"/>
      <c r="J196" s="1516">
        <v>45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</row>
    <row r="197" spans="1:48">
      <c r="A197" s="1514" t="s">
        <v>1320</v>
      </c>
      <c r="B197" s="1516"/>
      <c r="C197" s="1516"/>
      <c r="D197" s="1516"/>
      <c r="E197" s="1516"/>
      <c r="F197" s="1516"/>
      <c r="G197" s="1516"/>
      <c r="H197" s="1516"/>
      <c r="I197" s="1516">
        <v>45</v>
      </c>
      <c r="J197" s="1516">
        <v>45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</row>
    <row r="198" spans="1:48">
      <c r="A198" s="1514" t="s">
        <v>552</v>
      </c>
      <c r="B198" s="1516">
        <v>32.4</v>
      </c>
      <c r="C198" s="1516"/>
      <c r="D198" s="1516"/>
      <c r="E198" s="1516"/>
      <c r="F198" s="1516">
        <v>12.6</v>
      </c>
      <c r="G198" s="1516"/>
      <c r="H198" s="1516"/>
      <c r="I198" s="1516"/>
      <c r="J198" s="1516">
        <v>45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</row>
    <row r="199" spans="1:48">
      <c r="A199" s="1514" t="s">
        <v>578</v>
      </c>
      <c r="B199" s="1516"/>
      <c r="C199" s="1516"/>
      <c r="D199" s="1516"/>
      <c r="E199" s="1516">
        <v>45</v>
      </c>
      <c r="F199" s="1516"/>
      <c r="G199" s="1516"/>
      <c r="H199" s="1516"/>
      <c r="I199" s="1516"/>
      <c r="J199" s="1516">
        <v>45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</row>
    <row r="200" spans="1:48">
      <c r="A200" s="1514" t="s">
        <v>1294</v>
      </c>
      <c r="B200" s="1516"/>
      <c r="C200" s="1516"/>
      <c r="D200" s="1516"/>
      <c r="E200" s="1516"/>
      <c r="F200" s="1516"/>
      <c r="G200" s="1516"/>
      <c r="H200" s="1516"/>
      <c r="I200" s="1516">
        <v>44</v>
      </c>
      <c r="J200" s="1516">
        <v>44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</row>
    <row r="201" spans="1:48">
      <c r="A201" s="1514" t="s">
        <v>117</v>
      </c>
      <c r="B201" s="1516"/>
      <c r="C201" s="1516"/>
      <c r="D201" s="1516"/>
      <c r="E201" s="1516"/>
      <c r="F201" s="1516"/>
      <c r="G201" s="1516"/>
      <c r="H201" s="1516">
        <v>18</v>
      </c>
      <c r="I201" s="1516">
        <v>26</v>
      </c>
      <c r="J201" s="1516">
        <v>44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>
      <c r="A202" s="1514" t="s">
        <v>1365</v>
      </c>
      <c r="B202" s="1516"/>
      <c r="C202" s="1516"/>
      <c r="D202" s="1516"/>
      <c r="E202" s="1516"/>
      <c r="F202" s="1516"/>
      <c r="G202" s="1516"/>
      <c r="H202" s="1516"/>
      <c r="I202" s="1516">
        <v>44</v>
      </c>
      <c r="J202" s="1516">
        <v>44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</row>
    <row r="203" spans="1:48">
      <c r="A203" s="1514" t="s">
        <v>424</v>
      </c>
      <c r="B203" s="1516"/>
      <c r="C203" s="1516"/>
      <c r="D203" s="1516"/>
      <c r="E203" s="1516"/>
      <c r="F203" s="1516"/>
      <c r="G203" s="1516">
        <v>43.6</v>
      </c>
      <c r="H203" s="1516"/>
      <c r="I203" s="1516"/>
      <c r="J203" s="1516">
        <v>43.6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</row>
    <row r="204" spans="1:48">
      <c r="A204" s="1514" t="s">
        <v>590</v>
      </c>
      <c r="B204" s="1516"/>
      <c r="C204" s="1516"/>
      <c r="D204" s="1516">
        <v>19.5</v>
      </c>
      <c r="E204" s="1516">
        <v>23.3</v>
      </c>
      <c r="F204" s="1516"/>
      <c r="G204" s="1516"/>
      <c r="H204" s="1516"/>
      <c r="I204" s="1516"/>
      <c r="J204" s="1516">
        <v>42.8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</row>
    <row r="205" spans="1:48">
      <c r="A205" s="1514" t="s">
        <v>270</v>
      </c>
      <c r="B205" s="1516"/>
      <c r="C205" s="1516"/>
      <c r="D205" s="1516"/>
      <c r="E205" s="1516"/>
      <c r="F205" s="1516"/>
      <c r="G205" s="1516"/>
      <c r="H205" s="1516">
        <v>42.46</v>
      </c>
      <c r="I205" s="1516"/>
      <c r="J205" s="1516">
        <v>42.46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</row>
    <row r="206" spans="1:48">
      <c r="A206" s="1514" t="s">
        <v>1332</v>
      </c>
      <c r="B206" s="1516"/>
      <c r="C206" s="1516"/>
      <c r="D206" s="1516"/>
      <c r="E206" s="1516"/>
      <c r="F206" s="1516"/>
      <c r="G206" s="1516"/>
      <c r="H206" s="1516"/>
      <c r="I206" s="1516">
        <v>42</v>
      </c>
      <c r="J206" s="1516">
        <v>42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</row>
    <row r="207" spans="1:48">
      <c r="A207" s="1514" t="s">
        <v>497</v>
      </c>
      <c r="B207" s="1516"/>
      <c r="C207" s="1516"/>
      <c r="D207" s="1516"/>
      <c r="E207" s="1516"/>
      <c r="F207" s="1516">
        <v>21.77</v>
      </c>
      <c r="G207" s="1516">
        <v>20.190000000000001</v>
      </c>
      <c r="H207" s="1516"/>
      <c r="I207" s="1516"/>
      <c r="J207" s="1516">
        <v>41.96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</row>
    <row r="208" spans="1:48">
      <c r="A208" s="1514" t="s">
        <v>1327</v>
      </c>
      <c r="B208" s="1516"/>
      <c r="C208" s="1516"/>
      <c r="D208" s="1516"/>
      <c r="E208" s="1516"/>
      <c r="F208" s="1516"/>
      <c r="G208" s="1516"/>
      <c r="H208" s="1516"/>
      <c r="I208" s="1516">
        <v>41.95</v>
      </c>
      <c r="J208" s="1516">
        <v>41.95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</row>
    <row r="209" spans="1:48">
      <c r="A209" s="1514" t="s">
        <v>134</v>
      </c>
      <c r="B209" s="1516"/>
      <c r="C209" s="1516"/>
      <c r="D209" s="1516"/>
      <c r="E209" s="1516"/>
      <c r="F209" s="1516">
        <v>20</v>
      </c>
      <c r="G209" s="1516"/>
      <c r="H209" s="1516"/>
      <c r="I209" s="1516">
        <v>21</v>
      </c>
      <c r="J209" s="1516">
        <v>41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</row>
    <row r="210" spans="1:48">
      <c r="A210" s="1514" t="s">
        <v>337</v>
      </c>
      <c r="B210" s="1516"/>
      <c r="C210" s="1516"/>
      <c r="D210" s="1516"/>
      <c r="E210" s="1516"/>
      <c r="F210" s="1516"/>
      <c r="G210" s="1516"/>
      <c r="H210" s="1516">
        <v>40</v>
      </c>
      <c r="I210" s="1516"/>
      <c r="J210" s="1516">
        <v>40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</row>
    <row r="211" spans="1:48">
      <c r="A211" s="1514" t="s">
        <v>141</v>
      </c>
      <c r="B211" s="1516"/>
      <c r="C211" s="1516"/>
      <c r="D211" s="1516"/>
      <c r="E211" s="1516"/>
      <c r="F211" s="1516"/>
      <c r="G211" s="1516"/>
      <c r="H211" s="1516"/>
      <c r="I211" s="1516">
        <v>40</v>
      </c>
      <c r="J211" s="1516">
        <v>40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</row>
    <row r="212" spans="1:48">
      <c r="A212" s="1514" t="s">
        <v>201</v>
      </c>
      <c r="B212" s="1516"/>
      <c r="C212" s="1516"/>
      <c r="D212" s="1516"/>
      <c r="E212" s="1516"/>
      <c r="F212" s="1516"/>
      <c r="G212" s="1516"/>
      <c r="H212" s="1516">
        <v>40</v>
      </c>
      <c r="I212" s="1516"/>
      <c r="J212" s="1516">
        <v>40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</row>
    <row r="213" spans="1:48">
      <c r="A213" s="1514" t="s">
        <v>279</v>
      </c>
      <c r="B213" s="1516"/>
      <c r="C213" s="1516"/>
      <c r="D213" s="1516"/>
      <c r="E213" s="1516"/>
      <c r="F213" s="1516"/>
      <c r="G213" s="1516"/>
      <c r="H213" s="1516">
        <v>40</v>
      </c>
      <c r="I213" s="1516"/>
      <c r="J213" s="1516">
        <v>40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</row>
    <row r="214" spans="1:48">
      <c r="A214" s="1514" t="s">
        <v>257</v>
      </c>
      <c r="B214" s="1516"/>
      <c r="C214" s="1516"/>
      <c r="D214" s="1516"/>
      <c r="E214" s="1516"/>
      <c r="F214" s="1516"/>
      <c r="G214" s="1516"/>
      <c r="H214" s="1516">
        <v>40</v>
      </c>
      <c r="I214" s="1516"/>
      <c r="J214" s="1516">
        <v>40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</row>
    <row r="215" spans="1:48">
      <c r="A215" s="1514" t="s">
        <v>406</v>
      </c>
      <c r="B215" s="1516"/>
      <c r="C215" s="1516"/>
      <c r="D215" s="1516"/>
      <c r="E215" s="1516"/>
      <c r="F215" s="1516"/>
      <c r="G215" s="1516">
        <v>40</v>
      </c>
      <c r="H215" s="1516"/>
      <c r="I215" s="1516"/>
      <c r="J215" s="1516">
        <v>40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</row>
    <row r="216" spans="1:48">
      <c r="A216" s="1514" t="s">
        <v>304</v>
      </c>
      <c r="B216" s="1516"/>
      <c r="C216" s="1516"/>
      <c r="D216" s="1516"/>
      <c r="E216" s="1516"/>
      <c r="F216" s="1516"/>
      <c r="G216" s="1516"/>
      <c r="H216" s="1516">
        <v>40</v>
      </c>
      <c r="I216" s="1516"/>
      <c r="J216" s="1516">
        <v>40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</row>
    <row r="217" spans="1:48">
      <c r="A217" s="1514" t="s">
        <v>179</v>
      </c>
      <c r="B217" s="1516"/>
      <c r="C217" s="1516"/>
      <c r="D217" s="1516"/>
      <c r="E217" s="1516"/>
      <c r="F217" s="1516"/>
      <c r="G217" s="1516"/>
      <c r="H217" s="1516">
        <v>40</v>
      </c>
      <c r="I217" s="1516"/>
      <c r="J217" s="1516">
        <v>40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</row>
    <row r="218" spans="1:48">
      <c r="A218" s="1514" t="s">
        <v>573</v>
      </c>
      <c r="B218" s="1516"/>
      <c r="C218" s="1516"/>
      <c r="D218" s="1516"/>
      <c r="E218" s="1516">
        <v>39.879999999999995</v>
      </c>
      <c r="F218" s="1516"/>
      <c r="G218" s="1516"/>
      <c r="H218" s="1516"/>
      <c r="I218" s="1516"/>
      <c r="J218" s="1516">
        <v>39.879999999999995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</row>
    <row r="219" spans="1:48">
      <c r="A219" s="1514" t="s">
        <v>638</v>
      </c>
      <c r="B219" s="1516"/>
      <c r="C219" s="1516">
        <v>31.230000000000004</v>
      </c>
      <c r="D219" s="1516">
        <v>8.24</v>
      </c>
      <c r="E219" s="1516"/>
      <c r="F219" s="1516"/>
      <c r="G219" s="1516"/>
      <c r="H219" s="1516"/>
      <c r="I219" s="1516"/>
      <c r="J219" s="1516">
        <v>39.470000000000006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</row>
    <row r="220" spans="1:48">
      <c r="A220" s="1514" t="s">
        <v>268</v>
      </c>
      <c r="B220" s="1516"/>
      <c r="C220" s="1516"/>
      <c r="D220" s="1516"/>
      <c r="E220" s="1516"/>
      <c r="F220" s="1516"/>
      <c r="G220" s="1516"/>
      <c r="H220" s="1516">
        <v>39.200000000000003</v>
      </c>
      <c r="I220" s="1516"/>
      <c r="J220" s="1516">
        <v>39.200000000000003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</row>
    <row r="221" spans="1:48">
      <c r="A221" s="1514" t="s">
        <v>492</v>
      </c>
      <c r="B221" s="1516"/>
      <c r="C221" s="1516"/>
      <c r="D221" s="1516"/>
      <c r="E221" s="1516"/>
      <c r="F221" s="1516"/>
      <c r="G221" s="1516">
        <v>38.9</v>
      </c>
      <c r="H221" s="1516"/>
      <c r="I221" s="1516"/>
      <c r="J221" s="1516">
        <v>38.9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:48">
      <c r="A222" s="1514" t="s">
        <v>664</v>
      </c>
      <c r="B222" s="1516">
        <v>38.86</v>
      </c>
      <c r="C222" s="1516"/>
      <c r="D222" s="1516"/>
      <c r="E222" s="1516"/>
      <c r="F222" s="1516"/>
      <c r="G222" s="1516"/>
      <c r="H222" s="1516"/>
      <c r="I222" s="1516"/>
      <c r="J222" s="1516">
        <v>38.86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</row>
    <row r="223" spans="1:48">
      <c r="A223" s="1514" t="s">
        <v>331</v>
      </c>
      <c r="B223" s="1516"/>
      <c r="C223" s="1516"/>
      <c r="D223" s="1516"/>
      <c r="E223" s="1516"/>
      <c r="F223" s="1516"/>
      <c r="G223" s="1516"/>
      <c r="H223" s="1516">
        <v>38.5</v>
      </c>
      <c r="I223" s="1516"/>
      <c r="J223" s="1516">
        <v>38.5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</row>
    <row r="224" spans="1:48">
      <c r="A224" s="1514" t="s">
        <v>398</v>
      </c>
      <c r="B224" s="1516"/>
      <c r="C224" s="1516"/>
      <c r="D224" s="1516">
        <v>12.85</v>
      </c>
      <c r="E224" s="1516"/>
      <c r="F224" s="1516"/>
      <c r="G224" s="1516">
        <v>25.5</v>
      </c>
      <c r="H224" s="1516"/>
      <c r="I224" s="1516"/>
      <c r="J224" s="1516">
        <v>38.35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</row>
    <row r="225" spans="1:48">
      <c r="A225" s="1514" t="s">
        <v>471</v>
      </c>
      <c r="B225" s="1516"/>
      <c r="C225" s="1516"/>
      <c r="D225" s="1516"/>
      <c r="E225" s="1516"/>
      <c r="F225" s="1516"/>
      <c r="G225" s="1516">
        <v>38</v>
      </c>
      <c r="H225" s="1516"/>
      <c r="I225" s="1516"/>
      <c r="J225" s="1516">
        <v>38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</row>
    <row r="226" spans="1:48">
      <c r="A226" s="1514" t="s">
        <v>473</v>
      </c>
      <c r="B226" s="1516"/>
      <c r="C226" s="1516"/>
      <c r="D226" s="1516"/>
      <c r="E226" s="1516"/>
      <c r="F226" s="1516"/>
      <c r="G226" s="1516">
        <v>37.5</v>
      </c>
      <c r="H226" s="1516"/>
      <c r="I226" s="1516"/>
      <c r="J226" s="1516">
        <v>37.5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</row>
    <row r="227" spans="1:48">
      <c r="A227" s="1514" t="s">
        <v>417</v>
      </c>
      <c r="B227" s="1516"/>
      <c r="C227" s="1516"/>
      <c r="D227" s="1516"/>
      <c r="E227" s="1516"/>
      <c r="F227" s="1516"/>
      <c r="G227" s="1516">
        <v>37.200000000000003</v>
      </c>
      <c r="H227" s="1516"/>
      <c r="I227" s="1516"/>
      <c r="J227" s="1516">
        <v>37.200000000000003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</row>
    <row r="228" spans="1:48">
      <c r="A228" s="1514" t="s">
        <v>249</v>
      </c>
      <c r="B228" s="1516"/>
      <c r="C228" s="1516"/>
      <c r="D228" s="1516"/>
      <c r="E228" s="1516"/>
      <c r="F228" s="1516"/>
      <c r="G228" s="1516"/>
      <c r="H228" s="1516">
        <v>37</v>
      </c>
      <c r="I228" s="1516"/>
      <c r="J228" s="1516">
        <v>37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</row>
    <row r="229" spans="1:48">
      <c r="A229" s="1514" t="s">
        <v>180</v>
      </c>
      <c r="B229" s="1516"/>
      <c r="C229" s="1516"/>
      <c r="D229" s="1516"/>
      <c r="E229" s="1516"/>
      <c r="F229" s="1516"/>
      <c r="G229" s="1516"/>
      <c r="H229" s="1516">
        <v>37</v>
      </c>
      <c r="I229" s="1516"/>
      <c r="J229" s="1516">
        <v>37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</row>
    <row r="230" spans="1:48">
      <c r="A230" s="1514" t="s">
        <v>191</v>
      </c>
      <c r="B230" s="1516"/>
      <c r="C230" s="1516"/>
      <c r="D230" s="1516"/>
      <c r="E230" s="1516"/>
      <c r="F230" s="1516"/>
      <c r="G230" s="1516"/>
      <c r="H230" s="1516">
        <v>36.799999999999997</v>
      </c>
      <c r="I230" s="1516"/>
      <c r="J230" s="1516">
        <v>36.799999999999997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</row>
    <row r="231" spans="1:48">
      <c r="A231" s="1514" t="s">
        <v>326</v>
      </c>
      <c r="B231" s="1516"/>
      <c r="C231" s="1516"/>
      <c r="D231" s="1516"/>
      <c r="E231" s="1516"/>
      <c r="F231" s="1516"/>
      <c r="G231" s="1516"/>
      <c r="H231" s="1516">
        <v>36.56</v>
      </c>
      <c r="I231" s="1516"/>
      <c r="J231" s="1516">
        <v>36.56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</row>
    <row r="232" spans="1:48">
      <c r="A232" s="1514" t="s">
        <v>523</v>
      </c>
      <c r="B232" s="1516"/>
      <c r="C232" s="1516"/>
      <c r="D232" s="1516"/>
      <c r="E232" s="1516"/>
      <c r="F232" s="1516">
        <v>36.1</v>
      </c>
      <c r="G232" s="1516"/>
      <c r="H232" s="1516"/>
      <c r="I232" s="1516"/>
      <c r="J232" s="1516">
        <v>36.1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</row>
    <row r="233" spans="1:48">
      <c r="A233" s="1514" t="s">
        <v>599</v>
      </c>
      <c r="B233" s="1516"/>
      <c r="C233" s="1516"/>
      <c r="D233" s="1516"/>
      <c r="E233" s="1516">
        <v>36</v>
      </c>
      <c r="F233" s="1516"/>
      <c r="G233" s="1516"/>
      <c r="H233" s="1516"/>
      <c r="I233" s="1516"/>
      <c r="J233" s="1516">
        <v>36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</row>
    <row r="234" spans="1:48">
      <c r="A234" s="1514" t="s">
        <v>204</v>
      </c>
      <c r="B234" s="1516"/>
      <c r="C234" s="1516"/>
      <c r="D234" s="1516"/>
      <c r="E234" s="1516"/>
      <c r="F234" s="1516"/>
      <c r="G234" s="1516"/>
      <c r="H234" s="1516">
        <v>36</v>
      </c>
      <c r="I234" s="1516"/>
      <c r="J234" s="1516">
        <v>36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</row>
    <row r="235" spans="1:48">
      <c r="A235" s="1514" t="s">
        <v>563</v>
      </c>
      <c r="B235" s="1516"/>
      <c r="C235" s="1516"/>
      <c r="D235" s="1516"/>
      <c r="E235" s="1516"/>
      <c r="F235" s="1516">
        <v>36</v>
      </c>
      <c r="G235" s="1516"/>
      <c r="H235" s="1516"/>
      <c r="I235" s="1516"/>
      <c r="J235" s="1516">
        <v>36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</row>
    <row r="236" spans="1:48">
      <c r="A236" s="1514" t="s">
        <v>441</v>
      </c>
      <c r="B236" s="1516"/>
      <c r="C236" s="1516"/>
      <c r="D236" s="1516"/>
      <c r="E236" s="1516"/>
      <c r="F236" s="1516"/>
      <c r="G236" s="1516">
        <v>36</v>
      </c>
      <c r="H236" s="1516"/>
      <c r="I236" s="1516"/>
      <c r="J236" s="1516">
        <v>36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</row>
    <row r="237" spans="1:48">
      <c r="A237" s="1514" t="s">
        <v>504</v>
      </c>
      <c r="B237" s="1516"/>
      <c r="C237" s="1516"/>
      <c r="D237" s="1516"/>
      <c r="E237" s="1516"/>
      <c r="F237" s="1516"/>
      <c r="G237" s="1516">
        <v>35</v>
      </c>
      <c r="H237" s="1516"/>
      <c r="I237" s="1516"/>
      <c r="J237" s="1516">
        <v>35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</row>
    <row r="238" spans="1:48">
      <c r="A238" s="1514" t="s">
        <v>317</v>
      </c>
      <c r="B238" s="1516"/>
      <c r="C238" s="1516"/>
      <c r="D238" s="1516"/>
      <c r="E238" s="1516"/>
      <c r="F238" s="1516"/>
      <c r="G238" s="1516"/>
      <c r="H238" s="1516">
        <v>35</v>
      </c>
      <c r="I238" s="1516"/>
      <c r="J238" s="1516">
        <v>35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</row>
    <row r="239" spans="1:48">
      <c r="A239" s="1514" t="s">
        <v>1348</v>
      </c>
      <c r="B239" s="1516"/>
      <c r="C239" s="1516"/>
      <c r="D239" s="1516"/>
      <c r="E239" s="1516"/>
      <c r="F239" s="1516"/>
      <c r="G239" s="1516"/>
      <c r="H239" s="1516"/>
      <c r="I239" s="1516">
        <v>34.9</v>
      </c>
      <c r="J239" s="1516">
        <v>34.9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</row>
    <row r="240" spans="1:48">
      <c r="A240" s="1514" t="s">
        <v>155</v>
      </c>
      <c r="B240" s="1516"/>
      <c r="C240" s="1516"/>
      <c r="D240" s="1516"/>
      <c r="E240" s="1516"/>
      <c r="F240" s="1516"/>
      <c r="G240" s="1516"/>
      <c r="H240" s="1516"/>
      <c r="I240" s="1516">
        <v>34.4</v>
      </c>
      <c r="J240" s="1516">
        <v>34.4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</row>
    <row r="241" spans="1:48">
      <c r="A241" s="1514" t="s">
        <v>1325</v>
      </c>
      <c r="B241" s="1516"/>
      <c r="C241" s="1516"/>
      <c r="D241" s="1516"/>
      <c r="E241" s="1516"/>
      <c r="F241" s="1516"/>
      <c r="G241" s="1516"/>
      <c r="H241" s="1516"/>
      <c r="I241" s="1516">
        <v>34.200000000000003</v>
      </c>
      <c r="J241" s="1516">
        <v>34.200000000000003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>
      <c r="A242" s="1514" t="s">
        <v>209</v>
      </c>
      <c r="B242" s="1516"/>
      <c r="C242" s="1516"/>
      <c r="D242" s="1516"/>
      <c r="E242" s="1516"/>
      <c r="F242" s="1516"/>
      <c r="G242" s="1516"/>
      <c r="H242" s="1516">
        <v>11</v>
      </c>
      <c r="I242" s="1516">
        <v>23.1</v>
      </c>
      <c r="J242" s="1516">
        <v>34.1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</row>
    <row r="243" spans="1:48">
      <c r="A243" s="1514" t="s">
        <v>1354</v>
      </c>
      <c r="B243" s="1516"/>
      <c r="C243" s="1516"/>
      <c r="D243" s="1516"/>
      <c r="E243" s="1516"/>
      <c r="F243" s="1516"/>
      <c r="G243" s="1516"/>
      <c r="H243" s="1516"/>
      <c r="I243" s="1516">
        <v>34</v>
      </c>
      <c r="J243" s="1516">
        <v>34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</row>
    <row r="244" spans="1:48">
      <c r="A244" s="1514" t="s">
        <v>530</v>
      </c>
      <c r="B244" s="1516"/>
      <c r="C244" s="1516"/>
      <c r="D244" s="1516"/>
      <c r="E244" s="1516"/>
      <c r="F244" s="1516">
        <v>34</v>
      </c>
      <c r="G244" s="1516"/>
      <c r="H244" s="1516"/>
      <c r="I244" s="1516"/>
      <c r="J244" s="1516">
        <v>34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</row>
    <row r="245" spans="1:48">
      <c r="A245" s="1514" t="s">
        <v>243</v>
      </c>
      <c r="B245" s="1516"/>
      <c r="C245" s="1516"/>
      <c r="D245" s="1516"/>
      <c r="E245" s="1516"/>
      <c r="F245" s="1516"/>
      <c r="G245" s="1516"/>
      <c r="H245" s="1516">
        <v>34</v>
      </c>
      <c r="I245" s="1516"/>
      <c r="J245" s="1516">
        <v>34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</row>
    <row r="246" spans="1:48">
      <c r="A246" s="1514" t="s">
        <v>183</v>
      </c>
      <c r="B246" s="1516"/>
      <c r="C246" s="1516"/>
      <c r="D246" s="1516"/>
      <c r="E246" s="1516"/>
      <c r="F246" s="1516"/>
      <c r="G246" s="1516"/>
      <c r="H246" s="1516">
        <v>33.9</v>
      </c>
      <c r="I246" s="1516"/>
      <c r="J246" s="1516">
        <v>33.9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</row>
    <row r="247" spans="1:48">
      <c r="A247" s="1514" t="s">
        <v>172</v>
      </c>
      <c r="B247" s="1516"/>
      <c r="C247" s="1516"/>
      <c r="D247" s="1516"/>
      <c r="E247" s="1516"/>
      <c r="F247" s="1516"/>
      <c r="G247" s="1516"/>
      <c r="H247" s="1516"/>
      <c r="I247" s="1516">
        <v>33.5</v>
      </c>
      <c r="J247" s="1516">
        <v>33.5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</row>
    <row r="248" spans="1:48">
      <c r="A248" s="1514" t="s">
        <v>284</v>
      </c>
      <c r="B248" s="1516"/>
      <c r="C248" s="1516"/>
      <c r="D248" s="1516"/>
      <c r="E248" s="1516"/>
      <c r="F248" s="1516"/>
      <c r="G248" s="1516"/>
      <c r="H248" s="1516">
        <v>33.33</v>
      </c>
      <c r="I248" s="1516"/>
      <c r="J248" s="1516">
        <v>33.33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</row>
    <row r="249" spans="1:48">
      <c r="A249" s="1514" t="s">
        <v>190</v>
      </c>
      <c r="B249" s="1516"/>
      <c r="C249" s="1516"/>
      <c r="D249" s="1516"/>
      <c r="E249" s="1516"/>
      <c r="F249" s="1516"/>
      <c r="G249" s="1516"/>
      <c r="H249" s="1516">
        <v>33</v>
      </c>
      <c r="I249" s="1516"/>
      <c r="J249" s="1516">
        <v>33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</row>
    <row r="250" spans="1:48">
      <c r="A250" s="1514" t="s">
        <v>623</v>
      </c>
      <c r="B250" s="1516"/>
      <c r="C250" s="1516"/>
      <c r="D250" s="1516">
        <v>33</v>
      </c>
      <c r="E250" s="1516"/>
      <c r="F250" s="1516"/>
      <c r="G250" s="1516"/>
      <c r="H250" s="1516"/>
      <c r="I250" s="1516"/>
      <c r="J250" s="1516">
        <v>33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</row>
    <row r="251" spans="1:48">
      <c r="A251" s="1514" t="s">
        <v>196</v>
      </c>
      <c r="B251" s="1516"/>
      <c r="C251" s="1516"/>
      <c r="D251" s="1516"/>
      <c r="E251" s="1516"/>
      <c r="F251" s="1516"/>
      <c r="G251" s="1516"/>
      <c r="H251" s="1516">
        <v>32.799999999999997</v>
      </c>
      <c r="I251" s="1516"/>
      <c r="J251" s="1516">
        <v>32.799999999999997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</row>
    <row r="252" spans="1:48">
      <c r="A252" s="1514" t="s">
        <v>203</v>
      </c>
      <c r="B252" s="1516"/>
      <c r="C252" s="1516"/>
      <c r="D252" s="1516"/>
      <c r="E252" s="1516"/>
      <c r="F252" s="1516"/>
      <c r="G252" s="1516"/>
      <c r="H252" s="1516">
        <v>32.5</v>
      </c>
      <c r="I252" s="1516"/>
      <c r="J252" s="1516">
        <v>32.5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</row>
    <row r="253" spans="1:48">
      <c r="A253" s="1514" t="s">
        <v>620</v>
      </c>
      <c r="B253" s="1516"/>
      <c r="C253" s="1516"/>
      <c r="D253" s="1516">
        <v>32.08</v>
      </c>
      <c r="E253" s="1516"/>
      <c r="F253" s="1516"/>
      <c r="G253" s="1516"/>
      <c r="H253" s="1516"/>
      <c r="I253" s="1516"/>
      <c r="J253" s="1516">
        <v>32.08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</row>
    <row r="254" spans="1:48">
      <c r="A254" s="1514" t="s">
        <v>1391</v>
      </c>
      <c r="B254" s="1516"/>
      <c r="C254" s="1516"/>
      <c r="D254" s="1516"/>
      <c r="E254" s="1516"/>
      <c r="F254" s="1516"/>
      <c r="G254" s="1516"/>
      <c r="H254" s="1516"/>
      <c r="I254" s="1516">
        <v>32</v>
      </c>
      <c r="J254" s="1516">
        <v>32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</row>
    <row r="255" spans="1:48">
      <c r="A255" s="1514" t="s">
        <v>637</v>
      </c>
      <c r="B255" s="1516"/>
      <c r="C255" s="1516"/>
      <c r="D255" s="1516">
        <v>32</v>
      </c>
      <c r="E255" s="1516"/>
      <c r="F255" s="1516"/>
      <c r="G255" s="1516"/>
      <c r="H255" s="1516"/>
      <c r="I255" s="1516"/>
      <c r="J255" s="1516">
        <v>32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</row>
    <row r="256" spans="1:48">
      <c r="A256" s="1514" t="s">
        <v>1311</v>
      </c>
      <c r="B256" s="1516"/>
      <c r="C256" s="1516"/>
      <c r="D256" s="1516"/>
      <c r="E256" s="1516"/>
      <c r="F256" s="1516"/>
      <c r="G256" s="1516"/>
      <c r="H256" s="1516"/>
      <c r="I256" s="1516">
        <v>32</v>
      </c>
      <c r="J256" s="1516">
        <v>32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</row>
    <row r="257" spans="1:48">
      <c r="A257" s="1514" t="s">
        <v>444</v>
      </c>
      <c r="B257" s="1516"/>
      <c r="C257" s="1516"/>
      <c r="D257" s="1516"/>
      <c r="E257" s="1516"/>
      <c r="F257" s="1516"/>
      <c r="G257" s="1516">
        <v>31.51</v>
      </c>
      <c r="H257" s="1516"/>
      <c r="I257" s="1516"/>
      <c r="J257" s="1516">
        <v>31.51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</row>
    <row r="258" spans="1:48">
      <c r="A258" s="1514" t="s">
        <v>625</v>
      </c>
      <c r="B258" s="1516"/>
      <c r="C258" s="1516"/>
      <c r="D258" s="1516">
        <v>31.5</v>
      </c>
      <c r="E258" s="1516"/>
      <c r="F258" s="1516"/>
      <c r="G258" s="1516"/>
      <c r="H258" s="1516"/>
      <c r="I258" s="1516"/>
      <c r="J258" s="1516">
        <v>31.5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</row>
    <row r="259" spans="1:48">
      <c r="A259" s="1514" t="s">
        <v>595</v>
      </c>
      <c r="B259" s="1516"/>
      <c r="C259" s="1516"/>
      <c r="D259" s="1516"/>
      <c r="E259" s="1516">
        <v>31.5</v>
      </c>
      <c r="F259" s="1516"/>
      <c r="G259" s="1516"/>
      <c r="H259" s="1516"/>
      <c r="I259" s="1516"/>
      <c r="J259" s="1516">
        <v>31.5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</row>
    <row r="260" spans="1:48">
      <c r="A260" s="1514" t="s">
        <v>447</v>
      </c>
      <c r="B260" s="1516"/>
      <c r="C260" s="1516"/>
      <c r="D260" s="1516"/>
      <c r="E260" s="1516"/>
      <c r="F260" s="1516"/>
      <c r="G260" s="1516">
        <v>31.2</v>
      </c>
      <c r="H260" s="1516"/>
      <c r="I260" s="1516"/>
      <c r="J260" s="1516">
        <v>31.2</v>
      </c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</row>
    <row r="261" spans="1:48">
      <c r="A261" s="1514" t="s">
        <v>565</v>
      </c>
      <c r="B261" s="1516"/>
      <c r="C261" s="1516"/>
      <c r="D261" s="1516"/>
      <c r="E261" s="1516">
        <v>8</v>
      </c>
      <c r="F261" s="1516">
        <v>23</v>
      </c>
      <c r="G261" s="1516"/>
      <c r="H261" s="1516"/>
      <c r="I261" s="1516"/>
      <c r="J261" s="1516">
        <v>31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>
      <c r="A262" s="1514" t="s">
        <v>548</v>
      </c>
      <c r="B262" s="1516"/>
      <c r="C262" s="1516"/>
      <c r="D262" s="1516"/>
      <c r="E262" s="1516">
        <v>23.5</v>
      </c>
      <c r="F262" s="1516">
        <v>7.5</v>
      </c>
      <c r="G262" s="1516"/>
      <c r="H262" s="1516"/>
      <c r="I262" s="1516"/>
      <c r="J262" s="1516">
        <v>31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</row>
    <row r="263" spans="1:48">
      <c r="A263" s="1514" t="s">
        <v>404</v>
      </c>
      <c r="B263" s="1516"/>
      <c r="C263" s="1516"/>
      <c r="D263" s="1516"/>
      <c r="E263" s="1516"/>
      <c r="F263" s="1516"/>
      <c r="G263" s="1516">
        <v>30.8</v>
      </c>
      <c r="H263" s="1516"/>
      <c r="I263" s="1516"/>
      <c r="J263" s="1516">
        <v>30.8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</row>
    <row r="264" spans="1:48">
      <c r="A264" s="1514" t="s">
        <v>521</v>
      </c>
      <c r="B264" s="1516"/>
      <c r="C264" s="1516"/>
      <c r="D264" s="1516"/>
      <c r="E264" s="1516"/>
      <c r="F264" s="1516">
        <v>30.45</v>
      </c>
      <c r="G264" s="1516"/>
      <c r="H264" s="1516"/>
      <c r="I264" s="1516"/>
      <c r="J264" s="1516">
        <v>30.45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</row>
    <row r="265" spans="1:48">
      <c r="A265" s="1514" t="s">
        <v>527</v>
      </c>
      <c r="B265" s="1516"/>
      <c r="C265" s="1516"/>
      <c r="D265" s="1516"/>
      <c r="E265" s="1516"/>
      <c r="F265" s="1516">
        <v>30.19</v>
      </c>
      <c r="G265" s="1516"/>
      <c r="H265" s="1516"/>
      <c r="I265" s="1516"/>
      <c r="J265" s="1516">
        <v>30.19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</row>
    <row r="266" spans="1:48">
      <c r="A266" s="1514" t="s">
        <v>1387</v>
      </c>
      <c r="B266" s="1516"/>
      <c r="C266" s="1516"/>
      <c r="D266" s="1516"/>
      <c r="E266" s="1516"/>
      <c r="F266" s="1516"/>
      <c r="G266" s="1516"/>
      <c r="H266" s="1516"/>
      <c r="I266" s="1516">
        <v>30</v>
      </c>
      <c r="J266" s="1516">
        <v>30</v>
      </c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</row>
    <row r="267" spans="1:48">
      <c r="A267" s="1514" t="s">
        <v>373</v>
      </c>
      <c r="B267" s="1516"/>
      <c r="C267" s="1516"/>
      <c r="D267" s="1516"/>
      <c r="E267" s="1516"/>
      <c r="F267" s="1516"/>
      <c r="G267" s="1516"/>
      <c r="H267" s="1516">
        <v>30</v>
      </c>
      <c r="I267" s="1516"/>
      <c r="J267" s="1516">
        <v>30</v>
      </c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</row>
    <row r="268" spans="1:48">
      <c r="A268" s="1514" t="s">
        <v>207</v>
      </c>
      <c r="B268" s="1516"/>
      <c r="C268" s="1516"/>
      <c r="D268" s="1516"/>
      <c r="E268" s="1516"/>
      <c r="F268" s="1516"/>
      <c r="G268" s="1516"/>
      <c r="H268" s="1516">
        <v>30</v>
      </c>
      <c r="I268" s="1516"/>
      <c r="J268" s="1516">
        <v>30</v>
      </c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</row>
    <row r="269" spans="1:48">
      <c r="A269" s="1514" t="s">
        <v>503</v>
      </c>
      <c r="B269" s="1516"/>
      <c r="C269" s="1516">
        <v>7.99</v>
      </c>
      <c r="D269" s="1516"/>
      <c r="E269" s="1516"/>
      <c r="F269" s="1516">
        <v>20.98</v>
      </c>
      <c r="G269" s="1516">
        <v>1</v>
      </c>
      <c r="H269" s="1516"/>
      <c r="I269" s="1516"/>
      <c r="J269" s="1516">
        <v>29.97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</row>
    <row r="270" spans="1:48">
      <c r="A270" s="1514" t="s">
        <v>494</v>
      </c>
      <c r="B270" s="1516"/>
      <c r="C270" s="1516"/>
      <c r="D270" s="1516"/>
      <c r="E270" s="1516"/>
      <c r="F270" s="1516"/>
      <c r="G270" s="1516">
        <v>29.95</v>
      </c>
      <c r="H270" s="1516"/>
      <c r="I270" s="1516"/>
      <c r="J270" s="1516">
        <v>29.95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</row>
    <row r="271" spans="1:48">
      <c r="A271" s="1514" t="s">
        <v>647</v>
      </c>
      <c r="B271" s="1516"/>
      <c r="C271" s="1516">
        <v>29.8</v>
      </c>
      <c r="D271" s="1516"/>
      <c r="E271" s="1516"/>
      <c r="F271" s="1516"/>
      <c r="G271" s="1516"/>
      <c r="H271" s="1516"/>
      <c r="I271" s="1516"/>
      <c r="J271" s="1516">
        <v>29.8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</row>
    <row r="272" spans="1:48">
      <c r="A272" s="1514" t="s">
        <v>549</v>
      </c>
      <c r="B272" s="1516"/>
      <c r="C272" s="1516"/>
      <c r="D272" s="1516"/>
      <c r="E272" s="1516"/>
      <c r="F272" s="1516">
        <v>29.6</v>
      </c>
      <c r="G272" s="1516"/>
      <c r="H272" s="1516"/>
      <c r="I272" s="1516"/>
      <c r="J272" s="1516">
        <v>29.6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</row>
    <row r="273" spans="1:48">
      <c r="A273" s="1514" t="s">
        <v>241</v>
      </c>
      <c r="B273" s="1516"/>
      <c r="C273" s="1516"/>
      <c r="D273" s="1516"/>
      <c r="E273" s="1516"/>
      <c r="F273" s="1516">
        <v>8.49</v>
      </c>
      <c r="G273" s="1516">
        <v>8.49</v>
      </c>
      <c r="H273" s="1516">
        <v>12.49</v>
      </c>
      <c r="I273" s="1516"/>
      <c r="J273" s="1516">
        <v>29.47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</row>
    <row r="274" spans="1:48">
      <c r="A274" s="1514" t="s">
        <v>450</v>
      </c>
      <c r="B274" s="1516"/>
      <c r="C274" s="1516"/>
      <c r="D274" s="1516"/>
      <c r="E274" s="1516"/>
      <c r="F274" s="1516"/>
      <c r="G274" s="1516">
        <v>29</v>
      </c>
      <c r="H274" s="1516"/>
      <c r="I274" s="1516"/>
      <c r="J274" s="1516">
        <v>29</v>
      </c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</row>
    <row r="275" spans="1:48">
      <c r="A275" s="1514" t="s">
        <v>1343</v>
      </c>
      <c r="B275" s="1516"/>
      <c r="C275" s="1516"/>
      <c r="D275" s="1516"/>
      <c r="E275" s="1516"/>
      <c r="F275" s="1516"/>
      <c r="G275" s="1516"/>
      <c r="H275" s="1516"/>
      <c r="I275" s="1516">
        <v>28.98</v>
      </c>
      <c r="J275" s="1516">
        <v>28.98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</row>
    <row r="276" spans="1:48">
      <c r="A276" s="1514" t="s">
        <v>414</v>
      </c>
      <c r="B276" s="1516"/>
      <c r="C276" s="1516"/>
      <c r="D276" s="1516"/>
      <c r="E276" s="1516"/>
      <c r="F276" s="1516"/>
      <c r="G276" s="1516">
        <v>28.6</v>
      </c>
      <c r="H276" s="1516"/>
      <c r="I276" s="1516"/>
      <c r="J276" s="1516">
        <v>28.6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</row>
    <row r="277" spans="1:48">
      <c r="A277" s="1514" t="s">
        <v>384</v>
      </c>
      <c r="B277" s="1516"/>
      <c r="C277" s="1516"/>
      <c r="D277" s="1516"/>
      <c r="E277" s="1516"/>
      <c r="F277" s="1516"/>
      <c r="G277" s="1516"/>
      <c r="H277" s="1516">
        <v>28</v>
      </c>
      <c r="I277" s="1516"/>
      <c r="J277" s="1516">
        <v>28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</row>
    <row r="278" spans="1:48">
      <c r="A278" s="1514" t="s">
        <v>643</v>
      </c>
      <c r="B278" s="1516"/>
      <c r="C278" s="1516">
        <v>27.99</v>
      </c>
      <c r="D278" s="1516"/>
      <c r="E278" s="1516"/>
      <c r="F278" s="1516"/>
      <c r="G278" s="1516"/>
      <c r="H278" s="1516"/>
      <c r="I278" s="1516"/>
      <c r="J278" s="1516">
        <v>27.99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</row>
    <row r="279" spans="1:48">
      <c r="A279" s="1514" t="s">
        <v>582</v>
      </c>
      <c r="B279" s="1516"/>
      <c r="C279" s="1516"/>
      <c r="D279" s="1516"/>
      <c r="E279" s="1516">
        <v>27.99</v>
      </c>
      <c r="F279" s="1516"/>
      <c r="G279" s="1516"/>
      <c r="H279" s="1516"/>
      <c r="I279" s="1516"/>
      <c r="J279" s="1516">
        <v>27.99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</row>
    <row r="280" spans="1:48">
      <c r="A280" s="1514" t="s">
        <v>192</v>
      </c>
      <c r="B280" s="1516"/>
      <c r="C280" s="1516"/>
      <c r="D280" s="1516"/>
      <c r="E280" s="1516"/>
      <c r="F280" s="1516"/>
      <c r="G280" s="1516"/>
      <c r="H280" s="1516">
        <v>27.5</v>
      </c>
      <c r="I280" s="1516"/>
      <c r="J280" s="1516">
        <v>27.5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</row>
    <row r="281" spans="1:48">
      <c r="A281" s="1514" t="s">
        <v>518</v>
      </c>
      <c r="B281" s="1516"/>
      <c r="C281" s="1516"/>
      <c r="D281" s="1516"/>
      <c r="E281" s="1516"/>
      <c r="F281" s="1516">
        <v>27.19</v>
      </c>
      <c r="G281" s="1516"/>
      <c r="H281" s="1516"/>
      <c r="I281" s="1516"/>
      <c r="J281" s="1516">
        <v>27.19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>
      <c r="A282" s="1514" t="s">
        <v>581</v>
      </c>
      <c r="B282" s="1516"/>
      <c r="C282" s="1516"/>
      <c r="D282" s="1516"/>
      <c r="E282" s="1516">
        <v>27.12</v>
      </c>
      <c r="F282" s="1516"/>
      <c r="G282" s="1516"/>
      <c r="H282" s="1516"/>
      <c r="I282" s="1516"/>
      <c r="J282" s="1516">
        <v>27.12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</row>
    <row r="283" spans="1:48">
      <c r="A283" s="1514" t="s">
        <v>572</v>
      </c>
      <c r="B283" s="1516"/>
      <c r="C283" s="1516"/>
      <c r="D283" s="1516"/>
      <c r="E283" s="1516">
        <v>27</v>
      </c>
      <c r="F283" s="1516"/>
      <c r="G283" s="1516"/>
      <c r="H283" s="1516"/>
      <c r="I283" s="1516"/>
      <c r="J283" s="1516">
        <v>27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</row>
    <row r="284" spans="1:48">
      <c r="A284" s="1514" t="s">
        <v>646</v>
      </c>
      <c r="B284" s="1516"/>
      <c r="C284" s="1516">
        <v>27</v>
      </c>
      <c r="D284" s="1516"/>
      <c r="E284" s="1516"/>
      <c r="F284" s="1516"/>
      <c r="G284" s="1516"/>
      <c r="H284" s="1516"/>
      <c r="I284" s="1516"/>
      <c r="J284" s="1516">
        <v>27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</row>
    <row r="285" spans="1:48">
      <c r="A285" s="1514" t="s">
        <v>510</v>
      </c>
      <c r="B285" s="1516"/>
      <c r="C285" s="1516"/>
      <c r="D285" s="1516"/>
      <c r="E285" s="1516"/>
      <c r="F285" s="1516">
        <v>27</v>
      </c>
      <c r="G285" s="1516"/>
      <c r="H285" s="1516"/>
      <c r="I285" s="1516"/>
      <c r="J285" s="1516">
        <v>27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</row>
    <row r="286" spans="1:48">
      <c r="A286" s="1514" t="s">
        <v>596</v>
      </c>
      <c r="B286" s="1516"/>
      <c r="C286" s="1516"/>
      <c r="D286" s="1516"/>
      <c r="E286" s="1516">
        <v>27</v>
      </c>
      <c r="F286" s="1516"/>
      <c r="G286" s="1516"/>
      <c r="H286" s="1516"/>
      <c r="I286" s="1516"/>
      <c r="J286" s="1516">
        <v>27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</row>
    <row r="287" spans="1:48">
      <c r="A287" s="1514" t="s">
        <v>427</v>
      </c>
      <c r="B287" s="1516"/>
      <c r="C287" s="1516"/>
      <c r="D287" s="1516"/>
      <c r="E287" s="1516"/>
      <c r="F287" s="1516"/>
      <c r="G287" s="1516">
        <v>26.8</v>
      </c>
      <c r="H287" s="1516"/>
      <c r="I287" s="1516"/>
      <c r="J287" s="1516">
        <v>26.8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</row>
    <row r="288" spans="1:48">
      <c r="A288" s="1514" t="s">
        <v>266</v>
      </c>
      <c r="B288" s="1516"/>
      <c r="C288" s="1516"/>
      <c r="D288" s="1516"/>
      <c r="E288" s="1516"/>
      <c r="F288" s="1516"/>
      <c r="G288" s="1516"/>
      <c r="H288" s="1516">
        <v>26.25</v>
      </c>
      <c r="I288" s="1516"/>
      <c r="J288" s="1516">
        <v>26.25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</row>
    <row r="289" spans="1:48">
      <c r="A289" s="1514" t="s">
        <v>302</v>
      </c>
      <c r="B289" s="1516"/>
      <c r="C289" s="1516"/>
      <c r="D289" s="1516"/>
      <c r="E289" s="1516"/>
      <c r="F289" s="1516"/>
      <c r="G289" s="1516"/>
      <c r="H289" s="1516">
        <v>26</v>
      </c>
      <c r="I289" s="1516"/>
      <c r="J289" s="1516">
        <v>26</v>
      </c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</row>
    <row r="290" spans="1:48">
      <c r="A290" s="1514" t="s">
        <v>617</v>
      </c>
      <c r="B290" s="1516"/>
      <c r="C290" s="1516"/>
      <c r="D290" s="1516">
        <v>26</v>
      </c>
      <c r="E290" s="1516"/>
      <c r="F290" s="1516"/>
      <c r="G290" s="1516"/>
      <c r="H290" s="1516"/>
      <c r="I290" s="1516"/>
      <c r="J290" s="1516">
        <v>26</v>
      </c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</row>
    <row r="291" spans="1:48">
      <c r="A291" s="1514" t="s">
        <v>153</v>
      </c>
      <c r="B291" s="1516"/>
      <c r="C291" s="1516"/>
      <c r="D291" s="1516"/>
      <c r="E291" s="1516"/>
      <c r="F291" s="1516"/>
      <c r="G291" s="1516"/>
      <c r="H291" s="1516"/>
      <c r="I291" s="1516">
        <v>25.82</v>
      </c>
      <c r="J291" s="1516">
        <v>25.82</v>
      </c>
      <c r="K291"/>
      <c r="L291"/>
      <c r="M291"/>
      <c r="N291"/>
    </row>
    <row r="292" spans="1:48">
      <c r="A292" s="1514" t="s">
        <v>474</v>
      </c>
      <c r="B292" s="1516"/>
      <c r="C292" s="1516"/>
      <c r="D292" s="1516"/>
      <c r="E292" s="1516"/>
      <c r="F292" s="1516"/>
      <c r="G292" s="1516">
        <v>25.5</v>
      </c>
      <c r="H292" s="1516"/>
      <c r="I292" s="1516"/>
      <c r="J292" s="1516">
        <v>25.5</v>
      </c>
      <c r="K292"/>
      <c r="L292"/>
      <c r="M292"/>
      <c r="N292"/>
    </row>
    <row r="293" spans="1:48">
      <c r="A293" s="1514" t="s">
        <v>554</v>
      </c>
      <c r="B293" s="1516"/>
      <c r="C293" s="1516"/>
      <c r="D293" s="1516"/>
      <c r="E293" s="1516"/>
      <c r="F293" s="1516">
        <v>25</v>
      </c>
      <c r="G293" s="1516"/>
      <c r="H293" s="1516"/>
      <c r="I293" s="1516"/>
      <c r="J293" s="1516">
        <v>25</v>
      </c>
      <c r="K293"/>
      <c r="L293"/>
      <c r="M293"/>
      <c r="N293"/>
    </row>
    <row r="294" spans="1:48">
      <c r="A294" s="1514" t="s">
        <v>526</v>
      </c>
      <c r="B294" s="1516"/>
      <c r="C294" s="1516"/>
      <c r="D294" s="1516"/>
      <c r="E294" s="1516"/>
      <c r="F294" s="1516">
        <v>25</v>
      </c>
      <c r="G294" s="1516"/>
      <c r="H294" s="1516"/>
      <c r="I294" s="1516"/>
      <c r="J294" s="1516">
        <v>25</v>
      </c>
      <c r="K294"/>
      <c r="L294"/>
      <c r="M294"/>
      <c r="N294"/>
    </row>
    <row r="295" spans="1:48">
      <c r="A295" s="1514" t="s">
        <v>379</v>
      </c>
      <c r="B295" s="1516"/>
      <c r="C295" s="1516"/>
      <c r="D295" s="1516"/>
      <c r="E295" s="1516"/>
      <c r="F295" s="1516"/>
      <c r="G295" s="1516"/>
      <c r="H295" s="1516">
        <v>25</v>
      </c>
      <c r="I295" s="1516"/>
      <c r="J295" s="1516">
        <v>25</v>
      </c>
      <c r="K295"/>
      <c r="L295"/>
      <c r="M295"/>
      <c r="N295"/>
    </row>
    <row r="296" spans="1:48">
      <c r="A296" s="1514" t="s">
        <v>387</v>
      </c>
      <c r="B296" s="1516"/>
      <c r="C296" s="1516"/>
      <c r="D296" s="1516"/>
      <c r="E296" s="1516"/>
      <c r="F296" s="1516"/>
      <c r="G296" s="1516"/>
      <c r="H296" s="1516">
        <v>25</v>
      </c>
      <c r="I296" s="1516"/>
      <c r="J296" s="1516">
        <v>25</v>
      </c>
      <c r="K296"/>
      <c r="L296"/>
      <c r="M296"/>
      <c r="N296"/>
    </row>
    <row r="297" spans="1:48">
      <c r="A297" s="1514" t="s">
        <v>508</v>
      </c>
      <c r="B297" s="1516"/>
      <c r="C297" s="1516"/>
      <c r="D297" s="1516"/>
      <c r="E297" s="1516"/>
      <c r="F297" s="1516"/>
      <c r="G297" s="1516">
        <v>24.2</v>
      </c>
      <c r="H297" s="1516"/>
      <c r="I297" s="1516"/>
      <c r="J297" s="1516">
        <v>24.2</v>
      </c>
      <c r="K297"/>
      <c r="L297"/>
      <c r="M297"/>
      <c r="N297"/>
    </row>
    <row r="298" spans="1:48">
      <c r="A298" s="1514" t="s">
        <v>244</v>
      </c>
      <c r="B298" s="1516"/>
      <c r="C298" s="1516"/>
      <c r="D298" s="1516"/>
      <c r="E298" s="1516"/>
      <c r="F298" s="1516"/>
      <c r="G298" s="1516"/>
      <c r="H298" s="1516">
        <v>24</v>
      </c>
      <c r="I298" s="1516"/>
      <c r="J298" s="1516">
        <v>24</v>
      </c>
      <c r="K298"/>
      <c r="L298"/>
      <c r="M298"/>
      <c r="N298"/>
    </row>
    <row r="299" spans="1:48">
      <c r="A299" s="1514" t="s">
        <v>570</v>
      </c>
      <c r="B299" s="1516"/>
      <c r="C299" s="1516"/>
      <c r="D299" s="1516"/>
      <c r="E299" s="1516">
        <v>24</v>
      </c>
      <c r="F299" s="1516"/>
      <c r="G299" s="1516"/>
      <c r="H299" s="1516"/>
      <c r="I299" s="1516"/>
      <c r="J299" s="1516">
        <v>24</v>
      </c>
      <c r="K299"/>
      <c r="L299"/>
      <c r="M299"/>
      <c r="N299"/>
    </row>
    <row r="300" spans="1:48">
      <c r="A300" s="1514" t="s">
        <v>1361</v>
      </c>
      <c r="B300" s="1516"/>
      <c r="C300" s="1516"/>
      <c r="D300" s="1516"/>
      <c r="E300" s="1516"/>
      <c r="F300" s="1516"/>
      <c r="G300" s="1516"/>
      <c r="H300" s="1516"/>
      <c r="I300" s="1516">
        <v>24</v>
      </c>
      <c r="J300" s="1516">
        <v>24</v>
      </c>
      <c r="K300"/>
      <c r="L300"/>
      <c r="M300"/>
      <c r="N300"/>
    </row>
    <row r="301" spans="1:48">
      <c r="A301" s="1514" t="s">
        <v>113</v>
      </c>
      <c r="B301" s="1516"/>
      <c r="C301" s="1516"/>
      <c r="D301" s="1516"/>
      <c r="E301" s="1516"/>
      <c r="F301" s="1516"/>
      <c r="G301" s="1516"/>
      <c r="H301" s="1516"/>
      <c r="I301" s="1516">
        <v>23.18</v>
      </c>
      <c r="J301" s="1516">
        <v>23.18</v>
      </c>
      <c r="K301"/>
      <c r="L301"/>
      <c r="M301"/>
      <c r="N301"/>
    </row>
    <row r="302" spans="1:48">
      <c r="A302" s="1514" t="s">
        <v>178</v>
      </c>
      <c r="B302" s="1516"/>
      <c r="C302" s="1516"/>
      <c r="D302" s="1516"/>
      <c r="E302" s="1516"/>
      <c r="F302" s="1516"/>
      <c r="G302" s="1516"/>
      <c r="H302" s="1516">
        <v>22.6</v>
      </c>
      <c r="I302" s="1516"/>
      <c r="J302" s="1516">
        <v>22.6</v>
      </c>
      <c r="K302"/>
      <c r="L302"/>
      <c r="M302"/>
      <c r="N302"/>
    </row>
    <row r="303" spans="1:48">
      <c r="A303" s="1514" t="s">
        <v>309</v>
      </c>
      <c r="B303" s="1516"/>
      <c r="C303" s="1516"/>
      <c r="D303" s="1516"/>
      <c r="E303" s="1516"/>
      <c r="F303" s="1516"/>
      <c r="G303" s="1516"/>
      <c r="H303" s="1516">
        <v>22.2</v>
      </c>
      <c r="I303" s="1516"/>
      <c r="J303" s="1516">
        <v>22.2</v>
      </c>
      <c r="K303"/>
      <c r="L303"/>
      <c r="M303"/>
      <c r="N303"/>
    </row>
    <row r="304" spans="1:48">
      <c r="A304" s="1514" t="s">
        <v>222</v>
      </c>
      <c r="B304" s="1516"/>
      <c r="C304" s="1516"/>
      <c r="D304" s="1516"/>
      <c r="E304" s="1516"/>
      <c r="F304" s="1516"/>
      <c r="G304" s="1516"/>
      <c r="H304" s="1516">
        <v>22</v>
      </c>
      <c r="I304" s="1516"/>
      <c r="J304" s="1516">
        <v>22</v>
      </c>
      <c r="K304"/>
      <c r="L304"/>
      <c r="M304"/>
      <c r="N304"/>
    </row>
    <row r="305" spans="1:14">
      <c r="A305" s="1514" t="s">
        <v>571</v>
      </c>
      <c r="B305" s="1516"/>
      <c r="C305" s="1516"/>
      <c r="D305" s="1516"/>
      <c r="E305" s="1516">
        <v>22</v>
      </c>
      <c r="F305" s="1516"/>
      <c r="G305" s="1516"/>
      <c r="H305" s="1516"/>
      <c r="I305" s="1516"/>
      <c r="J305" s="1516">
        <v>22</v>
      </c>
      <c r="K305"/>
      <c r="L305"/>
      <c r="M305"/>
      <c r="N305"/>
    </row>
    <row r="306" spans="1:14">
      <c r="A306" s="1514" t="s">
        <v>278</v>
      </c>
      <c r="B306" s="1516"/>
      <c r="C306" s="1516"/>
      <c r="D306" s="1516"/>
      <c r="E306" s="1516"/>
      <c r="F306" s="1516"/>
      <c r="G306" s="1516"/>
      <c r="H306" s="1516">
        <v>21.7</v>
      </c>
      <c r="I306" s="1516"/>
      <c r="J306" s="1516">
        <v>21.7</v>
      </c>
      <c r="K306"/>
      <c r="L306"/>
      <c r="M306"/>
      <c r="N306"/>
    </row>
    <row r="307" spans="1:14">
      <c r="A307" s="1514" t="s">
        <v>147</v>
      </c>
      <c r="B307" s="1516"/>
      <c r="C307" s="1516"/>
      <c r="D307" s="1516"/>
      <c r="E307" s="1516"/>
      <c r="F307" s="1516"/>
      <c r="G307" s="1516"/>
      <c r="H307" s="1516"/>
      <c r="I307" s="1516">
        <v>21</v>
      </c>
      <c r="J307" s="1516">
        <v>21</v>
      </c>
      <c r="K307"/>
      <c r="L307"/>
      <c r="M307"/>
      <c r="N307"/>
    </row>
    <row r="308" spans="1:14">
      <c r="A308" s="1514" t="s">
        <v>118</v>
      </c>
      <c r="B308" s="1516"/>
      <c r="C308" s="1516"/>
      <c r="D308" s="1516"/>
      <c r="E308" s="1516"/>
      <c r="F308" s="1516"/>
      <c r="G308" s="1516"/>
      <c r="H308" s="1516"/>
      <c r="I308" s="1516">
        <v>20.95</v>
      </c>
      <c r="J308" s="1516">
        <v>20.95</v>
      </c>
      <c r="K308"/>
      <c r="L308"/>
      <c r="M308"/>
      <c r="N308"/>
    </row>
    <row r="309" spans="1:14">
      <c r="A309" s="1514" t="s">
        <v>543</v>
      </c>
      <c r="B309" s="1516"/>
      <c r="C309" s="1516"/>
      <c r="D309" s="1516"/>
      <c r="E309" s="1516"/>
      <c r="F309" s="1516">
        <v>20.9</v>
      </c>
      <c r="G309" s="1516"/>
      <c r="H309" s="1516"/>
      <c r="I309" s="1516"/>
      <c r="J309" s="1516">
        <v>20.9</v>
      </c>
      <c r="K309"/>
      <c r="L309"/>
      <c r="M309"/>
      <c r="N309"/>
    </row>
    <row r="310" spans="1:14">
      <c r="A310" s="1514" t="s">
        <v>588</v>
      </c>
      <c r="B310" s="1516"/>
      <c r="C310" s="1516"/>
      <c r="D310" s="1516"/>
      <c r="E310" s="1516">
        <v>20.89</v>
      </c>
      <c r="F310" s="1516"/>
      <c r="G310" s="1516"/>
      <c r="H310" s="1516"/>
      <c r="I310" s="1516"/>
      <c r="J310" s="1516">
        <v>20.89</v>
      </c>
      <c r="K310"/>
      <c r="L310"/>
      <c r="M310"/>
      <c r="N310"/>
    </row>
    <row r="311" spans="1:14">
      <c r="A311" s="1514" t="s">
        <v>522</v>
      </c>
      <c r="B311" s="1516"/>
      <c r="C311" s="1516"/>
      <c r="D311" s="1516"/>
      <c r="E311" s="1516"/>
      <c r="F311" s="1516">
        <v>20.399999999999999</v>
      </c>
      <c r="G311" s="1516"/>
      <c r="H311" s="1516"/>
      <c r="I311" s="1516"/>
      <c r="J311" s="1516">
        <v>20.399999999999999</v>
      </c>
      <c r="K311"/>
      <c r="L311"/>
      <c r="M311"/>
      <c r="N311"/>
    </row>
    <row r="312" spans="1:14">
      <c r="A312" s="1514" t="s">
        <v>282</v>
      </c>
      <c r="B312" s="1516"/>
      <c r="C312" s="1516"/>
      <c r="D312" s="1516"/>
      <c r="E312" s="1516"/>
      <c r="F312" s="1516"/>
      <c r="G312" s="1516"/>
      <c r="H312" s="1516">
        <v>20.18</v>
      </c>
      <c r="I312" s="1516"/>
      <c r="J312" s="1516">
        <v>20.18</v>
      </c>
      <c r="K312"/>
      <c r="L312"/>
      <c r="M312"/>
      <c r="N312"/>
    </row>
    <row r="313" spans="1:14">
      <c r="A313" s="1514" t="s">
        <v>220</v>
      </c>
      <c r="B313" s="1516"/>
      <c r="C313" s="1516"/>
      <c r="D313" s="1516"/>
      <c r="E313" s="1516"/>
      <c r="F313" s="1516"/>
      <c r="G313" s="1516"/>
      <c r="H313" s="1516">
        <v>20</v>
      </c>
      <c r="I313" s="1516"/>
      <c r="J313" s="1516">
        <v>20</v>
      </c>
      <c r="K313"/>
      <c r="L313"/>
      <c r="M313"/>
      <c r="N313"/>
    </row>
    <row r="314" spans="1:14">
      <c r="A314" s="1514" t="s">
        <v>469</v>
      </c>
      <c r="B314" s="1516"/>
      <c r="C314" s="1516"/>
      <c r="D314" s="1516"/>
      <c r="E314" s="1516"/>
      <c r="F314" s="1516"/>
      <c r="G314" s="1516">
        <v>20</v>
      </c>
      <c r="H314" s="1516"/>
      <c r="I314" s="1516"/>
      <c r="J314" s="1516">
        <v>20</v>
      </c>
      <c r="K314"/>
      <c r="L314"/>
      <c r="M314"/>
      <c r="N314"/>
    </row>
    <row r="315" spans="1:14">
      <c r="A315" s="1514" t="s">
        <v>506</v>
      </c>
      <c r="B315" s="1516"/>
      <c r="C315" s="1516"/>
      <c r="D315" s="1516"/>
      <c r="E315" s="1516"/>
      <c r="F315" s="1516"/>
      <c r="G315" s="1516">
        <v>20</v>
      </c>
      <c r="H315" s="1516"/>
      <c r="I315" s="1516"/>
      <c r="J315" s="1516">
        <v>20</v>
      </c>
      <c r="K315"/>
      <c r="L315"/>
      <c r="M315"/>
      <c r="N315"/>
    </row>
    <row r="316" spans="1:14">
      <c r="A316" s="1514" t="s">
        <v>468</v>
      </c>
      <c r="B316" s="1516"/>
      <c r="C316" s="1516"/>
      <c r="D316" s="1516"/>
      <c r="E316" s="1516"/>
      <c r="F316" s="1516"/>
      <c r="G316" s="1516">
        <v>20</v>
      </c>
      <c r="H316" s="1516"/>
      <c r="I316" s="1516"/>
      <c r="J316" s="1516">
        <v>20</v>
      </c>
      <c r="K316"/>
      <c r="L316"/>
      <c r="M316"/>
      <c r="N316"/>
    </row>
    <row r="317" spans="1:14">
      <c r="A317" s="1514" t="s">
        <v>1366</v>
      </c>
      <c r="B317" s="1516"/>
      <c r="C317" s="1516"/>
      <c r="D317" s="1516"/>
      <c r="E317" s="1516"/>
      <c r="F317" s="1516"/>
      <c r="G317" s="1516"/>
      <c r="H317" s="1516"/>
      <c r="I317" s="1516">
        <v>20</v>
      </c>
      <c r="J317" s="1516">
        <v>20</v>
      </c>
      <c r="K317"/>
      <c r="L317"/>
      <c r="M317"/>
      <c r="N317"/>
    </row>
    <row r="318" spans="1:14">
      <c r="A318" s="1514" t="s">
        <v>553</v>
      </c>
      <c r="B318" s="1516"/>
      <c r="C318" s="1516"/>
      <c r="D318" s="1516"/>
      <c r="E318" s="1516"/>
      <c r="F318" s="1516">
        <v>20</v>
      </c>
      <c r="G318" s="1516"/>
      <c r="H318" s="1516"/>
      <c r="I318" s="1516"/>
      <c r="J318" s="1516">
        <v>20</v>
      </c>
      <c r="K318"/>
      <c r="L318"/>
      <c r="M318"/>
      <c r="N318"/>
    </row>
    <row r="319" spans="1:14">
      <c r="A319" s="1514" t="s">
        <v>248</v>
      </c>
      <c r="B319" s="1516"/>
      <c r="C319" s="1516"/>
      <c r="D319" s="1516"/>
      <c r="E319" s="1516"/>
      <c r="F319" s="1516"/>
      <c r="G319" s="1516"/>
      <c r="H319" s="1516">
        <v>20</v>
      </c>
      <c r="I319" s="1516"/>
      <c r="J319" s="1516">
        <v>20</v>
      </c>
      <c r="K319"/>
      <c r="L319"/>
      <c r="M319"/>
      <c r="N319"/>
    </row>
    <row r="320" spans="1:14">
      <c r="A320" s="1514" t="s">
        <v>602</v>
      </c>
      <c r="B320" s="1516"/>
      <c r="C320" s="1516"/>
      <c r="D320" s="1516"/>
      <c r="E320" s="1516">
        <v>20</v>
      </c>
      <c r="F320" s="1516"/>
      <c r="G320" s="1516"/>
      <c r="H320" s="1516"/>
      <c r="I320" s="1516"/>
      <c r="J320" s="1516">
        <v>20</v>
      </c>
      <c r="K320"/>
      <c r="L320"/>
      <c r="M320"/>
      <c r="N320"/>
    </row>
    <row r="321" spans="1:14">
      <c r="A321" s="1514" t="s">
        <v>1336</v>
      </c>
      <c r="B321" s="1516"/>
      <c r="C321" s="1516"/>
      <c r="D321" s="1516"/>
      <c r="E321" s="1516"/>
      <c r="F321" s="1516"/>
      <c r="G321" s="1516"/>
      <c r="H321" s="1516"/>
      <c r="I321" s="1516">
        <v>20</v>
      </c>
      <c r="J321" s="1516">
        <v>20</v>
      </c>
      <c r="K321"/>
      <c r="L321"/>
      <c r="M321"/>
      <c r="N321"/>
    </row>
    <row r="322" spans="1:14">
      <c r="A322" s="1514" t="s">
        <v>431</v>
      </c>
      <c r="B322" s="1516"/>
      <c r="C322" s="1516"/>
      <c r="D322" s="1516"/>
      <c r="E322" s="1516"/>
      <c r="F322" s="1516"/>
      <c r="G322" s="1516">
        <v>19.850000000000001</v>
      </c>
      <c r="H322" s="1516"/>
      <c r="I322" s="1516"/>
      <c r="J322" s="1516">
        <v>19.850000000000001</v>
      </c>
      <c r="K322"/>
      <c r="L322"/>
      <c r="M322"/>
      <c r="N322"/>
    </row>
    <row r="323" spans="1:14">
      <c r="A323" s="1514" t="s">
        <v>579</v>
      </c>
      <c r="B323" s="1516"/>
      <c r="C323" s="1516"/>
      <c r="D323" s="1516"/>
      <c r="E323" s="1516">
        <v>19.18</v>
      </c>
      <c r="F323" s="1516"/>
      <c r="G323" s="1516"/>
      <c r="H323" s="1516"/>
      <c r="I323" s="1516"/>
      <c r="J323" s="1516">
        <v>19.18</v>
      </c>
      <c r="K323"/>
      <c r="L323"/>
      <c r="M323"/>
      <c r="N323"/>
    </row>
    <row r="324" spans="1:14">
      <c r="A324" s="1514" t="s">
        <v>555</v>
      </c>
      <c r="B324" s="1516"/>
      <c r="C324" s="1516"/>
      <c r="D324" s="1516"/>
      <c r="E324" s="1516"/>
      <c r="F324" s="1516">
        <v>19.18</v>
      </c>
      <c r="G324" s="1516"/>
      <c r="H324" s="1516"/>
      <c r="I324" s="1516"/>
      <c r="J324" s="1516">
        <v>19.18</v>
      </c>
      <c r="K324"/>
      <c r="L324"/>
      <c r="M324"/>
      <c r="N324"/>
    </row>
    <row r="325" spans="1:14">
      <c r="A325" s="1514" t="s">
        <v>567</v>
      </c>
      <c r="B325" s="1516"/>
      <c r="C325" s="1516"/>
      <c r="D325" s="1516"/>
      <c r="E325" s="1516"/>
      <c r="F325" s="1516">
        <v>19</v>
      </c>
      <c r="G325" s="1516"/>
      <c r="H325" s="1516"/>
      <c r="I325" s="1516"/>
      <c r="J325" s="1516">
        <v>19</v>
      </c>
      <c r="K325"/>
      <c r="L325"/>
      <c r="M325"/>
      <c r="N325"/>
    </row>
    <row r="326" spans="1:14">
      <c r="A326" s="1514" t="s">
        <v>233</v>
      </c>
      <c r="B326" s="1516"/>
      <c r="C326" s="1516"/>
      <c r="D326" s="1516"/>
      <c r="E326" s="1516"/>
      <c r="F326" s="1516"/>
      <c r="G326" s="1516"/>
      <c r="H326" s="1516">
        <v>19</v>
      </c>
      <c r="I326" s="1516"/>
      <c r="J326" s="1516">
        <v>19</v>
      </c>
      <c r="K326"/>
      <c r="L326"/>
      <c r="M326"/>
      <c r="N326"/>
    </row>
    <row r="327" spans="1:14">
      <c r="A327" s="1514" t="s">
        <v>607</v>
      </c>
      <c r="B327" s="1516"/>
      <c r="C327" s="1516"/>
      <c r="D327" s="1516"/>
      <c r="E327" s="1516">
        <v>18</v>
      </c>
      <c r="F327" s="1516"/>
      <c r="G327" s="1516"/>
      <c r="H327" s="1516"/>
      <c r="I327" s="1516"/>
      <c r="J327" s="1516">
        <v>18</v>
      </c>
      <c r="K327"/>
      <c r="L327"/>
      <c r="M327"/>
      <c r="N327"/>
    </row>
    <row r="328" spans="1:14">
      <c r="A328" s="1514" t="s">
        <v>551</v>
      </c>
      <c r="B328" s="1516"/>
      <c r="C328" s="1516"/>
      <c r="D328" s="1516"/>
      <c r="E328" s="1516"/>
      <c r="F328" s="1516">
        <v>18</v>
      </c>
      <c r="G328" s="1516"/>
      <c r="H328" s="1516"/>
      <c r="I328" s="1516"/>
      <c r="J328" s="1516">
        <v>18</v>
      </c>
      <c r="K328"/>
      <c r="L328"/>
      <c r="M328"/>
      <c r="N328"/>
    </row>
    <row r="329" spans="1:14">
      <c r="A329" s="1514" t="s">
        <v>1315</v>
      </c>
      <c r="B329" s="1516"/>
      <c r="C329" s="1516"/>
      <c r="D329" s="1516"/>
      <c r="E329" s="1516"/>
      <c r="F329" s="1516"/>
      <c r="G329" s="1516"/>
      <c r="H329" s="1516"/>
      <c r="I329" s="1516">
        <v>18</v>
      </c>
      <c r="J329" s="1516">
        <v>18</v>
      </c>
      <c r="K329"/>
      <c r="L329"/>
      <c r="M329"/>
      <c r="N329"/>
    </row>
    <row r="330" spans="1:14">
      <c r="A330" s="1514" t="s">
        <v>585</v>
      </c>
      <c r="B330" s="1516"/>
      <c r="C330" s="1516"/>
      <c r="D330" s="1516"/>
      <c r="E330" s="1516">
        <v>18</v>
      </c>
      <c r="F330" s="1516"/>
      <c r="G330" s="1516"/>
      <c r="H330" s="1516"/>
      <c r="I330" s="1516"/>
      <c r="J330" s="1516">
        <v>18</v>
      </c>
      <c r="K330"/>
      <c r="L330"/>
      <c r="M330"/>
      <c r="N330"/>
    </row>
    <row r="331" spans="1:14">
      <c r="A331" s="1514" t="s">
        <v>208</v>
      </c>
      <c r="B331" s="1516"/>
      <c r="C331" s="1516"/>
      <c r="D331" s="1516"/>
      <c r="E331" s="1516"/>
      <c r="F331" s="1516"/>
      <c r="G331" s="1516"/>
      <c r="H331" s="1516">
        <v>18</v>
      </c>
      <c r="I331" s="1516"/>
      <c r="J331" s="1516">
        <v>18</v>
      </c>
      <c r="K331"/>
      <c r="L331"/>
      <c r="M331"/>
      <c r="N331"/>
    </row>
    <row r="332" spans="1:14">
      <c r="A332" s="1514" t="s">
        <v>269</v>
      </c>
      <c r="B332" s="1516"/>
      <c r="C332" s="1516"/>
      <c r="D332" s="1516"/>
      <c r="E332" s="1516"/>
      <c r="F332" s="1516"/>
      <c r="G332" s="1516"/>
      <c r="H332" s="1516">
        <v>17.600000000000001</v>
      </c>
      <c r="I332" s="1516"/>
      <c r="J332" s="1516">
        <v>17.600000000000001</v>
      </c>
      <c r="K332"/>
      <c r="L332"/>
      <c r="M332"/>
      <c r="N332"/>
    </row>
    <row r="333" spans="1:14">
      <c r="A333" s="1514" t="s">
        <v>320</v>
      </c>
      <c r="B333" s="1516"/>
      <c r="C333" s="1516"/>
      <c r="D333" s="1516"/>
      <c r="E333" s="1516"/>
      <c r="F333" s="1516"/>
      <c r="G333" s="1516"/>
      <c r="H333" s="1516">
        <v>17.600000000000001</v>
      </c>
      <c r="I333" s="1516"/>
      <c r="J333" s="1516">
        <v>17.600000000000001</v>
      </c>
      <c r="K333"/>
      <c r="L333"/>
      <c r="M333"/>
      <c r="N333"/>
    </row>
    <row r="334" spans="1:14">
      <c r="A334" s="1514" t="s">
        <v>1351</v>
      </c>
      <c r="B334" s="1516"/>
      <c r="C334" s="1516"/>
      <c r="D334" s="1516"/>
      <c r="E334" s="1516"/>
      <c r="F334" s="1516"/>
      <c r="G334" s="1516"/>
      <c r="H334" s="1516"/>
      <c r="I334" s="1516">
        <v>17.399999999999999</v>
      </c>
      <c r="J334" s="1516">
        <v>17.399999999999999</v>
      </c>
      <c r="K334"/>
      <c r="L334"/>
      <c r="M334"/>
      <c r="N334"/>
    </row>
    <row r="335" spans="1:14">
      <c r="A335" s="1514" t="s">
        <v>485</v>
      </c>
      <c r="B335" s="1516"/>
      <c r="C335" s="1516"/>
      <c r="D335" s="1516"/>
      <c r="E335" s="1516"/>
      <c r="F335" s="1516"/>
      <c r="G335" s="1516">
        <v>16.7</v>
      </c>
      <c r="H335" s="1516"/>
      <c r="I335" s="1516"/>
      <c r="J335" s="1516">
        <v>16.7</v>
      </c>
      <c r="K335"/>
      <c r="L335"/>
      <c r="M335"/>
      <c r="N335"/>
    </row>
    <row r="336" spans="1:14">
      <c r="A336" s="1514" t="s">
        <v>311</v>
      </c>
      <c r="B336" s="1516"/>
      <c r="C336" s="1516"/>
      <c r="D336" s="1516"/>
      <c r="E336" s="1516"/>
      <c r="F336" s="1516"/>
      <c r="G336" s="1516"/>
      <c r="H336" s="1516">
        <v>16.579999999999998</v>
      </c>
      <c r="I336" s="1516"/>
      <c r="J336" s="1516">
        <v>16.579999999999998</v>
      </c>
      <c r="K336"/>
      <c r="L336"/>
      <c r="M336"/>
      <c r="N336"/>
    </row>
    <row r="337" spans="1:14">
      <c r="A337" s="1514" t="s">
        <v>560</v>
      </c>
      <c r="B337" s="1516"/>
      <c r="C337" s="1516"/>
      <c r="D337" s="1516"/>
      <c r="E337" s="1516"/>
      <c r="F337" s="1516">
        <v>16.43</v>
      </c>
      <c r="G337" s="1516"/>
      <c r="H337" s="1516"/>
      <c r="I337" s="1516"/>
      <c r="J337" s="1516">
        <v>16.43</v>
      </c>
      <c r="K337"/>
      <c r="L337"/>
      <c r="M337"/>
      <c r="N337"/>
    </row>
    <row r="338" spans="1:14">
      <c r="A338" s="1514" t="s">
        <v>428</v>
      </c>
      <c r="B338" s="1516"/>
      <c r="C338" s="1516"/>
      <c r="D338" s="1516"/>
      <c r="E338" s="1516"/>
      <c r="F338" s="1516"/>
      <c r="G338" s="1516">
        <v>16.16</v>
      </c>
      <c r="H338" s="1516"/>
      <c r="I338" s="1516"/>
      <c r="J338" s="1516">
        <v>16.16</v>
      </c>
      <c r="K338"/>
      <c r="L338"/>
      <c r="M338"/>
      <c r="N338"/>
    </row>
    <row r="339" spans="1:14">
      <c r="A339" s="1514" t="s">
        <v>505</v>
      </c>
      <c r="B339" s="1516"/>
      <c r="C339" s="1516"/>
      <c r="D339" s="1516"/>
      <c r="E339" s="1516"/>
      <c r="F339" s="1516"/>
      <c r="G339" s="1516">
        <v>16</v>
      </c>
      <c r="H339" s="1516"/>
      <c r="I339" s="1516"/>
      <c r="J339" s="1516">
        <v>16</v>
      </c>
      <c r="K339"/>
      <c r="L339"/>
      <c r="M339"/>
      <c r="N339"/>
    </row>
    <row r="340" spans="1:14">
      <c r="A340" s="1514" t="s">
        <v>1308</v>
      </c>
      <c r="B340" s="1516"/>
      <c r="C340" s="1516"/>
      <c r="D340" s="1516"/>
      <c r="E340" s="1516"/>
      <c r="F340" s="1516"/>
      <c r="G340" s="1516"/>
      <c r="H340" s="1516"/>
      <c r="I340" s="1516">
        <v>16</v>
      </c>
      <c r="J340" s="1516">
        <v>16</v>
      </c>
      <c r="K340"/>
      <c r="L340"/>
      <c r="M340"/>
      <c r="N340"/>
    </row>
    <row r="341" spans="1:14">
      <c r="A341" s="1514" t="s">
        <v>367</v>
      </c>
      <c r="B341" s="1516"/>
      <c r="C341" s="1516"/>
      <c r="D341" s="1516"/>
      <c r="E341" s="1516"/>
      <c r="F341" s="1516"/>
      <c r="G341" s="1516"/>
      <c r="H341" s="1516">
        <v>16</v>
      </c>
      <c r="I341" s="1516"/>
      <c r="J341" s="1516">
        <v>16</v>
      </c>
      <c r="K341"/>
      <c r="L341"/>
      <c r="M341"/>
      <c r="N341"/>
    </row>
    <row r="342" spans="1:14">
      <c r="A342" s="1514" t="s">
        <v>262</v>
      </c>
      <c r="B342" s="1516"/>
      <c r="C342" s="1516"/>
      <c r="D342" s="1516"/>
      <c r="E342" s="1516"/>
      <c r="F342" s="1516"/>
      <c r="G342" s="1516"/>
      <c r="H342" s="1516">
        <v>16</v>
      </c>
      <c r="I342" s="1516"/>
      <c r="J342" s="1516">
        <v>16</v>
      </c>
      <c r="K342"/>
      <c r="L342"/>
      <c r="M342"/>
      <c r="N342"/>
    </row>
    <row r="343" spans="1:14">
      <c r="A343" s="1514" t="s">
        <v>462</v>
      </c>
      <c r="B343" s="1516"/>
      <c r="C343" s="1516"/>
      <c r="D343" s="1516"/>
      <c r="E343" s="1516"/>
      <c r="F343" s="1516">
        <v>10.32</v>
      </c>
      <c r="G343" s="1516">
        <v>5.33</v>
      </c>
      <c r="H343" s="1516"/>
      <c r="I343" s="1516"/>
      <c r="J343" s="1516">
        <v>15.65</v>
      </c>
      <c r="K343"/>
      <c r="L343"/>
      <c r="M343"/>
      <c r="N343"/>
    </row>
    <row r="344" spans="1:14">
      <c r="A344" s="1514" t="s">
        <v>545</v>
      </c>
      <c r="B344" s="1516"/>
      <c r="C344" s="1516"/>
      <c r="D344" s="1516"/>
      <c r="E344" s="1516"/>
      <c r="F344" s="1516">
        <v>15.54</v>
      </c>
      <c r="G344" s="1516"/>
      <c r="H344" s="1516"/>
      <c r="I344" s="1516"/>
      <c r="J344" s="1516">
        <v>15.54</v>
      </c>
      <c r="K344"/>
      <c r="L344"/>
      <c r="M344"/>
      <c r="N344"/>
    </row>
    <row r="345" spans="1:14">
      <c r="A345" s="1514" t="s">
        <v>297</v>
      </c>
      <c r="B345" s="1516"/>
      <c r="C345" s="1516"/>
      <c r="D345" s="1516"/>
      <c r="E345" s="1516"/>
      <c r="F345" s="1516"/>
      <c r="G345" s="1516"/>
      <c r="H345" s="1516">
        <v>15.5</v>
      </c>
      <c r="I345" s="1516"/>
      <c r="J345" s="1516">
        <v>15.5</v>
      </c>
      <c r="K345"/>
      <c r="L345"/>
      <c r="M345"/>
      <c r="N345"/>
    </row>
    <row r="346" spans="1:14">
      <c r="A346" s="1514" t="s">
        <v>1355</v>
      </c>
      <c r="B346" s="1516"/>
      <c r="C346" s="1516"/>
      <c r="D346" s="1516"/>
      <c r="E346" s="1516"/>
      <c r="F346" s="1516"/>
      <c r="G346" s="1516"/>
      <c r="H346" s="1516"/>
      <c r="I346" s="1516">
        <v>15</v>
      </c>
      <c r="J346" s="1516">
        <v>15</v>
      </c>
      <c r="K346"/>
      <c r="L346"/>
      <c r="M346"/>
      <c r="N346"/>
    </row>
    <row r="347" spans="1:14">
      <c r="A347" s="1514" t="s">
        <v>271</v>
      </c>
      <c r="B347" s="1516"/>
      <c r="C347" s="1516"/>
      <c r="D347" s="1516"/>
      <c r="E347" s="1516"/>
      <c r="F347" s="1516"/>
      <c r="G347" s="1516"/>
      <c r="H347" s="1516">
        <v>15</v>
      </c>
      <c r="I347" s="1516"/>
      <c r="J347" s="1516">
        <v>15</v>
      </c>
      <c r="K347"/>
      <c r="L347"/>
      <c r="M347"/>
      <c r="N347"/>
    </row>
    <row r="348" spans="1:14">
      <c r="A348" s="1514" t="s">
        <v>592</v>
      </c>
      <c r="B348" s="1516"/>
      <c r="C348" s="1516"/>
      <c r="D348" s="1516"/>
      <c r="E348" s="1516">
        <v>15</v>
      </c>
      <c r="F348" s="1516"/>
      <c r="G348" s="1516"/>
      <c r="H348" s="1516"/>
      <c r="I348" s="1516"/>
      <c r="J348" s="1516">
        <v>15</v>
      </c>
      <c r="K348"/>
      <c r="L348"/>
      <c r="M348"/>
      <c r="N348"/>
    </row>
    <row r="349" spans="1:14">
      <c r="A349" s="1514" t="s">
        <v>564</v>
      </c>
      <c r="B349" s="1516"/>
      <c r="C349" s="1516"/>
      <c r="D349" s="1516"/>
      <c r="E349" s="1516"/>
      <c r="F349" s="1516">
        <v>15</v>
      </c>
      <c r="G349" s="1516"/>
      <c r="H349" s="1516"/>
      <c r="I349" s="1516"/>
      <c r="J349" s="1516">
        <v>15</v>
      </c>
      <c r="K349"/>
      <c r="L349"/>
      <c r="M349"/>
      <c r="N349"/>
    </row>
    <row r="350" spans="1:14">
      <c r="A350" s="1514" t="s">
        <v>657</v>
      </c>
      <c r="B350" s="1516"/>
      <c r="C350" s="1516">
        <v>15</v>
      </c>
      <c r="D350" s="1516"/>
      <c r="E350" s="1516"/>
      <c r="F350" s="1516"/>
      <c r="G350" s="1516"/>
      <c r="H350" s="1516"/>
      <c r="I350" s="1516"/>
      <c r="J350" s="1516">
        <v>15</v>
      </c>
      <c r="K350"/>
      <c r="L350"/>
      <c r="M350"/>
      <c r="N350"/>
    </row>
    <row r="351" spans="1:14">
      <c r="A351" s="1514" t="s">
        <v>659</v>
      </c>
      <c r="B351" s="1516">
        <v>14.98</v>
      </c>
      <c r="C351" s="1516"/>
      <c r="D351" s="1516"/>
      <c r="E351" s="1516"/>
      <c r="F351" s="1516"/>
      <c r="G351" s="1516"/>
      <c r="H351" s="1516"/>
      <c r="I351" s="1516"/>
      <c r="J351" s="1516">
        <v>14.98</v>
      </c>
      <c r="K351"/>
      <c r="L351"/>
      <c r="M351"/>
      <c r="N351"/>
    </row>
    <row r="352" spans="1:14">
      <c r="A352" s="1514" t="s">
        <v>239</v>
      </c>
      <c r="B352" s="1516"/>
      <c r="C352" s="1516"/>
      <c r="D352" s="1516"/>
      <c r="E352" s="1516"/>
      <c r="F352" s="1516"/>
      <c r="G352" s="1516"/>
      <c r="H352" s="1516">
        <v>14.9</v>
      </c>
      <c r="I352" s="1516"/>
      <c r="J352" s="1516">
        <v>14.9</v>
      </c>
      <c r="K352"/>
      <c r="L352"/>
      <c r="M352"/>
      <c r="N352"/>
    </row>
    <row r="353" spans="1:14">
      <c r="A353" s="1514" t="s">
        <v>263</v>
      </c>
      <c r="B353" s="1516"/>
      <c r="C353" s="1516"/>
      <c r="D353" s="1516"/>
      <c r="E353" s="1516"/>
      <c r="F353" s="1516"/>
      <c r="G353" s="1516"/>
      <c r="H353" s="1516">
        <v>14.8</v>
      </c>
      <c r="I353" s="1516"/>
      <c r="J353" s="1516">
        <v>14.8</v>
      </c>
      <c r="K353"/>
      <c r="L353"/>
      <c r="M353"/>
      <c r="N353"/>
    </row>
    <row r="354" spans="1:14">
      <c r="A354" s="1514" t="s">
        <v>274</v>
      </c>
      <c r="B354" s="1516"/>
      <c r="C354" s="1516"/>
      <c r="D354" s="1516"/>
      <c r="E354" s="1516"/>
      <c r="F354" s="1516"/>
      <c r="G354" s="1516"/>
      <c r="H354" s="1516">
        <v>14.73</v>
      </c>
      <c r="I354" s="1516"/>
      <c r="J354" s="1516">
        <v>14.73</v>
      </c>
      <c r="K354"/>
      <c r="L354"/>
      <c r="M354"/>
      <c r="N354"/>
    </row>
    <row r="355" spans="1:14">
      <c r="A355" s="1514" t="s">
        <v>361</v>
      </c>
      <c r="B355" s="1516"/>
      <c r="C355" s="1516"/>
      <c r="D355" s="1516"/>
      <c r="E355" s="1516"/>
      <c r="F355" s="1516"/>
      <c r="G355" s="1516">
        <v>7.5</v>
      </c>
      <c r="H355" s="1516">
        <v>7</v>
      </c>
      <c r="I355" s="1516"/>
      <c r="J355" s="1516">
        <v>14.5</v>
      </c>
      <c r="K355"/>
      <c r="L355"/>
      <c r="M355"/>
      <c r="N355"/>
    </row>
    <row r="356" spans="1:14">
      <c r="A356" s="1514" t="s">
        <v>372</v>
      </c>
      <c r="B356" s="1516"/>
      <c r="C356" s="1516"/>
      <c r="D356" s="1516"/>
      <c r="E356" s="1516"/>
      <c r="F356" s="1516"/>
      <c r="G356" s="1516"/>
      <c r="H356" s="1516">
        <v>14.5</v>
      </c>
      <c r="I356" s="1516"/>
      <c r="J356" s="1516">
        <v>14.5</v>
      </c>
      <c r="K356"/>
      <c r="L356"/>
      <c r="M356"/>
      <c r="N356"/>
    </row>
    <row r="357" spans="1:14">
      <c r="A357" s="1514" t="s">
        <v>396</v>
      </c>
      <c r="B357" s="1516"/>
      <c r="C357" s="1516"/>
      <c r="D357" s="1516"/>
      <c r="E357" s="1516"/>
      <c r="F357" s="1516"/>
      <c r="G357" s="1516">
        <v>14.4</v>
      </c>
      <c r="H357" s="1516"/>
      <c r="I357" s="1516"/>
      <c r="J357" s="1516">
        <v>14.4</v>
      </c>
      <c r="K357"/>
      <c r="L357"/>
      <c r="M357"/>
      <c r="N357"/>
    </row>
    <row r="358" spans="1:14">
      <c r="A358" s="1514" t="s">
        <v>533</v>
      </c>
      <c r="B358" s="1516"/>
      <c r="C358" s="1516"/>
      <c r="D358" s="1516"/>
      <c r="E358" s="1516"/>
      <c r="F358" s="1516">
        <v>5</v>
      </c>
      <c r="G358" s="1516"/>
      <c r="H358" s="1516"/>
      <c r="I358" s="1516">
        <v>9.3000000000000007</v>
      </c>
      <c r="J358" s="1516">
        <v>14.3</v>
      </c>
      <c r="K358"/>
      <c r="L358"/>
      <c r="M358"/>
      <c r="N358"/>
    </row>
    <row r="359" spans="1:14">
      <c r="A359" s="1514" t="s">
        <v>604</v>
      </c>
      <c r="B359" s="1516"/>
      <c r="C359" s="1516"/>
      <c r="D359" s="1516"/>
      <c r="E359" s="1516">
        <v>13.74</v>
      </c>
      <c r="F359" s="1516"/>
      <c r="G359" s="1516"/>
      <c r="H359" s="1516"/>
      <c r="I359" s="1516"/>
      <c r="J359" s="1516">
        <v>13.74</v>
      </c>
      <c r="K359"/>
      <c r="L359"/>
      <c r="M359"/>
      <c r="N359"/>
    </row>
    <row r="360" spans="1:14">
      <c r="A360" s="1514" t="s">
        <v>458</v>
      </c>
      <c r="B360" s="1516"/>
      <c r="C360" s="1516"/>
      <c r="D360" s="1516"/>
      <c r="E360" s="1516"/>
      <c r="F360" s="1516"/>
      <c r="G360" s="1516">
        <v>13.7</v>
      </c>
      <c r="H360" s="1516"/>
      <c r="I360" s="1516"/>
      <c r="J360" s="1516">
        <v>13.7</v>
      </c>
      <c r="K360"/>
      <c r="L360"/>
      <c r="M360"/>
      <c r="N360"/>
    </row>
    <row r="361" spans="1:14">
      <c r="A361" s="1514" t="s">
        <v>395</v>
      </c>
      <c r="B361" s="1516"/>
      <c r="C361" s="1516"/>
      <c r="D361" s="1516"/>
      <c r="E361" s="1516"/>
      <c r="F361" s="1516"/>
      <c r="G361" s="1516"/>
      <c r="H361" s="1516">
        <v>13.4</v>
      </c>
      <c r="I361" s="1516"/>
      <c r="J361" s="1516">
        <v>13.4</v>
      </c>
      <c r="K361"/>
      <c r="L361"/>
      <c r="M361"/>
      <c r="N361"/>
    </row>
    <row r="362" spans="1:14">
      <c r="A362" s="1514" t="s">
        <v>234</v>
      </c>
      <c r="B362" s="1516"/>
      <c r="C362" s="1516"/>
      <c r="D362" s="1516"/>
      <c r="E362" s="1516"/>
      <c r="F362" s="1516"/>
      <c r="G362" s="1516"/>
      <c r="H362" s="1516">
        <v>13.1</v>
      </c>
      <c r="I362" s="1516"/>
      <c r="J362" s="1516">
        <v>13.1</v>
      </c>
      <c r="K362"/>
      <c r="L362"/>
      <c r="M362"/>
      <c r="N362"/>
    </row>
    <row r="363" spans="1:14">
      <c r="A363" s="1514" t="s">
        <v>245</v>
      </c>
      <c r="B363" s="1516"/>
      <c r="C363" s="1516"/>
      <c r="D363" s="1516"/>
      <c r="E363" s="1516"/>
      <c r="F363" s="1516"/>
      <c r="G363" s="1516"/>
      <c r="H363" s="1516">
        <v>13.1</v>
      </c>
      <c r="I363" s="1516"/>
      <c r="J363" s="1516">
        <v>13.1</v>
      </c>
      <c r="K363"/>
      <c r="L363"/>
      <c r="M363"/>
      <c r="N363"/>
    </row>
    <row r="364" spans="1:14">
      <c r="A364" s="1514" t="s">
        <v>264</v>
      </c>
      <c r="B364" s="1516"/>
      <c r="C364" s="1516"/>
      <c r="D364" s="1516"/>
      <c r="E364" s="1516"/>
      <c r="F364" s="1516"/>
      <c r="G364" s="1516"/>
      <c r="H364" s="1516">
        <v>13</v>
      </c>
      <c r="I364" s="1516"/>
      <c r="J364" s="1516">
        <v>13</v>
      </c>
      <c r="K364"/>
      <c r="L364"/>
      <c r="M364"/>
      <c r="N364"/>
    </row>
    <row r="365" spans="1:14">
      <c r="A365" s="1514" t="s">
        <v>577</v>
      </c>
      <c r="B365" s="1516"/>
      <c r="C365" s="1516"/>
      <c r="D365" s="1516"/>
      <c r="E365" s="1516">
        <v>12.89</v>
      </c>
      <c r="F365" s="1516"/>
      <c r="G365" s="1516"/>
      <c r="H365" s="1516"/>
      <c r="I365" s="1516"/>
      <c r="J365" s="1516">
        <v>12.89</v>
      </c>
      <c r="K365"/>
      <c r="L365"/>
      <c r="M365"/>
      <c r="N365"/>
    </row>
    <row r="366" spans="1:14">
      <c r="A366" s="1514" t="s">
        <v>463</v>
      </c>
      <c r="B366" s="1516"/>
      <c r="C366" s="1516"/>
      <c r="D366" s="1516"/>
      <c r="E366" s="1516"/>
      <c r="F366" s="1516"/>
      <c r="G366" s="1516">
        <v>12.85</v>
      </c>
      <c r="H366" s="1516"/>
      <c r="I366" s="1516"/>
      <c r="J366" s="1516">
        <v>12.85</v>
      </c>
      <c r="K366"/>
      <c r="L366"/>
      <c r="M366"/>
      <c r="N366"/>
    </row>
    <row r="367" spans="1:14">
      <c r="A367" s="1514" t="s">
        <v>1370</v>
      </c>
      <c r="B367" s="1516"/>
      <c r="C367" s="1516"/>
      <c r="D367" s="1516"/>
      <c r="E367" s="1516"/>
      <c r="F367" s="1516"/>
      <c r="G367" s="1516"/>
      <c r="H367" s="1516"/>
      <c r="I367" s="1516">
        <v>12.5</v>
      </c>
      <c r="J367" s="1516">
        <v>12.5</v>
      </c>
      <c r="K367"/>
      <c r="L367"/>
      <c r="M367"/>
      <c r="N367"/>
    </row>
    <row r="368" spans="1:14">
      <c r="A368" s="1514" t="s">
        <v>425</v>
      </c>
      <c r="B368" s="1516"/>
      <c r="C368" s="1516"/>
      <c r="D368" s="1516"/>
      <c r="E368" s="1516"/>
      <c r="F368" s="1516"/>
      <c r="G368" s="1516">
        <v>12.5</v>
      </c>
      <c r="H368" s="1516"/>
      <c r="I368" s="1516"/>
      <c r="J368" s="1516">
        <v>12.5</v>
      </c>
      <c r="K368"/>
      <c r="L368"/>
      <c r="M368"/>
      <c r="N368"/>
    </row>
    <row r="369" spans="1:14">
      <c r="A369" s="1514" t="s">
        <v>205</v>
      </c>
      <c r="B369" s="1516"/>
      <c r="C369" s="1516"/>
      <c r="D369" s="1516"/>
      <c r="E369" s="1516"/>
      <c r="F369" s="1516"/>
      <c r="G369" s="1516"/>
      <c r="H369" s="1516">
        <v>12.5</v>
      </c>
      <c r="I369" s="1516"/>
      <c r="J369" s="1516">
        <v>12.5</v>
      </c>
      <c r="K369"/>
      <c r="L369"/>
      <c r="M369"/>
      <c r="N369"/>
    </row>
    <row r="370" spans="1:14">
      <c r="A370" s="1514" t="s">
        <v>280</v>
      </c>
      <c r="B370" s="1516"/>
      <c r="C370" s="1516"/>
      <c r="D370" s="1516"/>
      <c r="E370" s="1516"/>
      <c r="F370" s="1516"/>
      <c r="G370" s="1516"/>
      <c r="H370" s="1516">
        <v>12.3</v>
      </c>
      <c r="I370" s="1516"/>
      <c r="J370" s="1516">
        <v>12.3</v>
      </c>
      <c r="K370"/>
      <c r="L370"/>
      <c r="M370"/>
      <c r="N370"/>
    </row>
    <row r="371" spans="1:14">
      <c r="A371" s="1514" t="s">
        <v>614</v>
      </c>
      <c r="B371" s="1516"/>
      <c r="C371" s="1516"/>
      <c r="D371" s="1516">
        <v>12.3</v>
      </c>
      <c r="E371" s="1516"/>
      <c r="F371" s="1516"/>
      <c r="G371" s="1516"/>
      <c r="H371" s="1516"/>
      <c r="I371" s="1516"/>
      <c r="J371" s="1516">
        <v>12.3</v>
      </c>
      <c r="K371"/>
      <c r="L371"/>
      <c r="M371"/>
      <c r="N371"/>
    </row>
    <row r="372" spans="1:14">
      <c r="A372" s="1514" t="s">
        <v>448</v>
      </c>
      <c r="B372" s="1516"/>
      <c r="C372" s="1516"/>
      <c r="D372" s="1516"/>
      <c r="E372" s="1516"/>
      <c r="F372" s="1516"/>
      <c r="G372" s="1516">
        <v>12.1</v>
      </c>
      <c r="H372" s="1516"/>
      <c r="I372" s="1516"/>
      <c r="J372" s="1516">
        <v>12.1</v>
      </c>
      <c r="K372"/>
      <c r="L372"/>
      <c r="M372"/>
      <c r="N372"/>
    </row>
    <row r="373" spans="1:14">
      <c r="A373" s="1514" t="s">
        <v>587</v>
      </c>
      <c r="B373" s="1516"/>
      <c r="C373" s="1516"/>
      <c r="D373" s="1516"/>
      <c r="E373" s="1516">
        <v>12</v>
      </c>
      <c r="F373" s="1516"/>
      <c r="G373" s="1516"/>
      <c r="H373" s="1516"/>
      <c r="I373" s="1516"/>
      <c r="J373" s="1516">
        <v>12</v>
      </c>
      <c r="K373"/>
      <c r="L373"/>
      <c r="M373"/>
      <c r="N373"/>
    </row>
    <row r="374" spans="1:14">
      <c r="A374" s="1514" t="s">
        <v>446</v>
      </c>
      <c r="B374" s="1516"/>
      <c r="C374" s="1516"/>
      <c r="D374" s="1516"/>
      <c r="E374" s="1516"/>
      <c r="F374" s="1516"/>
      <c r="G374" s="1516">
        <v>12</v>
      </c>
      <c r="H374" s="1516"/>
      <c r="I374" s="1516"/>
      <c r="J374" s="1516">
        <v>12</v>
      </c>
      <c r="K374"/>
      <c r="L374"/>
      <c r="M374"/>
      <c r="N374"/>
    </row>
    <row r="375" spans="1:14">
      <c r="A375" s="1514" t="s">
        <v>597</v>
      </c>
      <c r="B375" s="1516"/>
      <c r="C375" s="1516"/>
      <c r="D375" s="1516"/>
      <c r="E375" s="1516">
        <v>12</v>
      </c>
      <c r="F375" s="1516"/>
      <c r="G375" s="1516"/>
      <c r="H375" s="1516"/>
      <c r="I375" s="1516"/>
      <c r="J375" s="1516">
        <v>12</v>
      </c>
      <c r="K375"/>
      <c r="L375"/>
      <c r="M375"/>
      <c r="N375"/>
    </row>
    <row r="376" spans="1:14">
      <c r="A376" s="1514" t="s">
        <v>644</v>
      </c>
      <c r="B376" s="1516"/>
      <c r="C376" s="1516">
        <v>12</v>
      </c>
      <c r="D376" s="1516"/>
      <c r="E376" s="1516"/>
      <c r="F376" s="1516"/>
      <c r="G376" s="1516"/>
      <c r="H376" s="1516"/>
      <c r="I376" s="1516"/>
      <c r="J376" s="1516">
        <v>12</v>
      </c>
      <c r="K376"/>
      <c r="L376"/>
      <c r="M376"/>
      <c r="N376"/>
    </row>
    <row r="377" spans="1:14">
      <c r="A377" s="1514" t="s">
        <v>445</v>
      </c>
      <c r="B377" s="1516"/>
      <c r="C377" s="1516"/>
      <c r="D377" s="1516"/>
      <c r="E377" s="1516"/>
      <c r="F377" s="1516"/>
      <c r="G377" s="1516">
        <v>12</v>
      </c>
      <c r="H377" s="1516"/>
      <c r="I377" s="1516"/>
      <c r="J377" s="1516">
        <v>12</v>
      </c>
      <c r="K377"/>
      <c r="L377"/>
      <c r="M377"/>
      <c r="N377"/>
    </row>
    <row r="378" spans="1:14">
      <c r="A378" s="1514" t="s">
        <v>558</v>
      </c>
      <c r="B378" s="1516"/>
      <c r="C378" s="1516"/>
      <c r="D378" s="1516"/>
      <c r="E378" s="1516"/>
      <c r="F378" s="1516">
        <v>12</v>
      </c>
      <c r="G378" s="1516"/>
      <c r="H378" s="1516"/>
      <c r="I378" s="1516"/>
      <c r="J378" s="1516">
        <v>12</v>
      </c>
      <c r="K378"/>
      <c r="L378"/>
      <c r="M378"/>
      <c r="N378"/>
    </row>
    <row r="379" spans="1:14">
      <c r="A379" s="1514" t="s">
        <v>517</v>
      </c>
      <c r="B379" s="1516"/>
      <c r="C379" s="1516"/>
      <c r="D379" s="1516"/>
      <c r="E379" s="1516"/>
      <c r="F379" s="1516">
        <v>12</v>
      </c>
      <c r="G379" s="1516"/>
      <c r="H379" s="1516"/>
      <c r="I379" s="1516"/>
      <c r="J379" s="1516">
        <v>12</v>
      </c>
      <c r="K379"/>
      <c r="L379"/>
      <c r="M379"/>
      <c r="N379"/>
    </row>
    <row r="380" spans="1:14">
      <c r="A380" s="1514" t="s">
        <v>1360</v>
      </c>
      <c r="B380" s="1516"/>
      <c r="C380" s="1516"/>
      <c r="D380" s="1516"/>
      <c r="E380" s="1516"/>
      <c r="F380" s="1516"/>
      <c r="G380" s="1516"/>
      <c r="H380" s="1516"/>
      <c r="I380" s="1516">
        <v>11.95</v>
      </c>
      <c r="J380" s="1516">
        <v>11.95</v>
      </c>
      <c r="K380"/>
      <c r="L380"/>
      <c r="M380"/>
      <c r="N380"/>
    </row>
    <row r="381" spans="1:14">
      <c r="A381" s="1514" t="s">
        <v>293</v>
      </c>
      <c r="B381" s="1516"/>
      <c r="C381" s="1516"/>
      <c r="D381" s="1516"/>
      <c r="E381" s="1516"/>
      <c r="F381" s="1516"/>
      <c r="G381" s="1516"/>
      <c r="H381" s="1516">
        <v>11.77</v>
      </c>
      <c r="I381" s="1516"/>
      <c r="J381" s="1516">
        <v>11.77</v>
      </c>
      <c r="K381"/>
      <c r="L381"/>
      <c r="M381"/>
      <c r="N381"/>
    </row>
    <row r="382" spans="1:14">
      <c r="A382" s="1514" t="s">
        <v>1323</v>
      </c>
      <c r="B382" s="1516"/>
      <c r="C382" s="1516"/>
      <c r="D382" s="1516"/>
      <c r="E382" s="1516"/>
      <c r="F382" s="1516"/>
      <c r="G382" s="1516"/>
      <c r="H382" s="1516"/>
      <c r="I382" s="1516">
        <v>11.399999999999999</v>
      </c>
      <c r="J382" s="1516">
        <v>11.399999999999999</v>
      </c>
      <c r="K382"/>
      <c r="L382"/>
      <c r="M382"/>
      <c r="N382"/>
    </row>
    <row r="383" spans="1:14">
      <c r="A383" s="1514" t="s">
        <v>1359</v>
      </c>
      <c r="B383" s="1516"/>
      <c r="C383" s="1516"/>
      <c r="D383" s="1516"/>
      <c r="E383" s="1516"/>
      <c r="F383" s="1516"/>
      <c r="G383" s="1516"/>
      <c r="H383" s="1516"/>
      <c r="I383" s="1516">
        <v>11.2</v>
      </c>
      <c r="J383" s="1516">
        <v>11.2</v>
      </c>
      <c r="K383"/>
      <c r="L383"/>
      <c r="M383"/>
      <c r="N383"/>
    </row>
    <row r="384" spans="1:14">
      <c r="A384" s="1514" t="s">
        <v>416</v>
      </c>
      <c r="B384" s="1516"/>
      <c r="C384" s="1516"/>
      <c r="D384" s="1516"/>
      <c r="E384" s="1516"/>
      <c r="F384" s="1516"/>
      <c r="G384" s="1516">
        <v>11.2</v>
      </c>
      <c r="H384" s="1516"/>
      <c r="I384" s="1516"/>
      <c r="J384" s="1516">
        <v>11.2</v>
      </c>
      <c r="K384"/>
      <c r="L384"/>
      <c r="M384"/>
      <c r="N384"/>
    </row>
    <row r="385" spans="1:14">
      <c r="A385" s="1514" t="s">
        <v>189</v>
      </c>
      <c r="B385" s="1516"/>
      <c r="C385" s="1516"/>
      <c r="D385" s="1516"/>
      <c r="E385" s="1516">
        <v>7.1</v>
      </c>
      <c r="F385" s="1516"/>
      <c r="G385" s="1516"/>
      <c r="H385" s="1516">
        <v>4</v>
      </c>
      <c r="I385" s="1516"/>
      <c r="J385" s="1516">
        <v>11.1</v>
      </c>
      <c r="K385"/>
      <c r="L385"/>
      <c r="M385"/>
      <c r="N385"/>
    </row>
    <row r="386" spans="1:14">
      <c r="A386" s="1514" t="s">
        <v>1310</v>
      </c>
      <c r="B386" s="1516"/>
      <c r="C386" s="1516"/>
      <c r="D386" s="1516"/>
      <c r="E386" s="1516"/>
      <c r="F386" s="1516"/>
      <c r="G386" s="1516"/>
      <c r="H386" s="1516"/>
      <c r="I386" s="1516">
        <v>11</v>
      </c>
      <c r="J386" s="1516">
        <v>11</v>
      </c>
    </row>
    <row r="387" spans="1:14">
      <c r="A387" s="1514" t="s">
        <v>639</v>
      </c>
      <c r="B387" s="1516"/>
      <c r="C387" s="1516"/>
      <c r="D387" s="1516">
        <v>10.97</v>
      </c>
      <c r="E387" s="1516"/>
      <c r="F387" s="1516"/>
      <c r="G387" s="1516"/>
      <c r="H387" s="1516"/>
      <c r="I387" s="1516"/>
      <c r="J387" s="1516">
        <v>10.97</v>
      </c>
    </row>
    <row r="388" spans="1:14">
      <c r="A388" s="1514" t="s">
        <v>1296</v>
      </c>
      <c r="B388" s="1516"/>
      <c r="C388" s="1516"/>
      <c r="D388" s="1516"/>
      <c r="E388" s="1516"/>
      <c r="F388" s="1516"/>
      <c r="G388" s="1516"/>
      <c r="H388" s="1516"/>
      <c r="I388" s="1516">
        <v>10.8</v>
      </c>
      <c r="J388" s="1516">
        <v>10.8</v>
      </c>
    </row>
    <row r="389" spans="1:14">
      <c r="A389" s="1514" t="s">
        <v>566</v>
      </c>
      <c r="B389" s="1516"/>
      <c r="C389" s="1516"/>
      <c r="D389" s="1516"/>
      <c r="E389" s="1516"/>
      <c r="F389" s="1516">
        <v>10.5</v>
      </c>
      <c r="G389" s="1516"/>
      <c r="H389" s="1516"/>
      <c r="I389" s="1516"/>
      <c r="J389" s="1516">
        <v>10.5</v>
      </c>
    </row>
    <row r="390" spans="1:14">
      <c r="A390" s="1514" t="s">
        <v>1367</v>
      </c>
      <c r="B390" s="1516"/>
      <c r="C390" s="1516"/>
      <c r="D390" s="1516"/>
      <c r="E390" s="1516"/>
      <c r="F390" s="1516"/>
      <c r="G390" s="1516"/>
      <c r="H390" s="1516"/>
      <c r="I390" s="1516">
        <v>10.5</v>
      </c>
      <c r="J390" s="1516">
        <v>10.5</v>
      </c>
    </row>
    <row r="391" spans="1:14">
      <c r="A391" s="1514" t="s">
        <v>148</v>
      </c>
      <c r="B391" s="1516"/>
      <c r="C391" s="1516"/>
      <c r="D391" s="1516"/>
      <c r="E391" s="1516"/>
      <c r="F391" s="1516"/>
      <c r="G391" s="1516"/>
      <c r="H391" s="1516"/>
      <c r="I391" s="1516">
        <v>10.5</v>
      </c>
      <c r="J391" s="1516">
        <v>10.5</v>
      </c>
    </row>
    <row r="392" spans="1:14">
      <c r="A392" s="1514" t="s">
        <v>451</v>
      </c>
      <c r="B392" s="1516"/>
      <c r="C392" s="1516"/>
      <c r="D392" s="1516"/>
      <c r="E392" s="1516"/>
      <c r="F392" s="1516"/>
      <c r="G392" s="1516">
        <v>10.5</v>
      </c>
      <c r="H392" s="1516"/>
      <c r="I392" s="1516"/>
      <c r="J392" s="1516">
        <v>10.5</v>
      </c>
    </row>
    <row r="393" spans="1:14">
      <c r="A393" s="1514" t="s">
        <v>1347</v>
      </c>
      <c r="B393" s="1516"/>
      <c r="C393" s="1516"/>
      <c r="D393" s="1516"/>
      <c r="E393" s="1516"/>
      <c r="F393" s="1516"/>
      <c r="G393" s="1516"/>
      <c r="H393" s="1516"/>
      <c r="I393" s="1516">
        <v>10.3</v>
      </c>
      <c r="J393" s="1516">
        <v>10.3</v>
      </c>
    </row>
    <row r="394" spans="1:14">
      <c r="A394" s="1514" t="s">
        <v>273</v>
      </c>
      <c r="B394" s="1516"/>
      <c r="C394" s="1516"/>
      <c r="D394" s="1516"/>
      <c r="E394" s="1516"/>
      <c r="F394" s="1516"/>
      <c r="G394" s="1516"/>
      <c r="H394" s="1516">
        <v>10</v>
      </c>
      <c r="I394" s="1516"/>
      <c r="J394" s="1516">
        <v>10</v>
      </c>
    </row>
    <row r="395" spans="1:14">
      <c r="A395" s="1514" t="s">
        <v>150</v>
      </c>
      <c r="B395" s="1516"/>
      <c r="C395" s="1516"/>
      <c r="D395" s="1516"/>
      <c r="E395" s="1516"/>
      <c r="F395" s="1516"/>
      <c r="G395" s="1516"/>
      <c r="H395" s="1516"/>
      <c r="I395" s="1516">
        <v>10</v>
      </c>
      <c r="J395" s="1516">
        <v>10</v>
      </c>
    </row>
    <row r="396" spans="1:14">
      <c r="A396" s="1514" t="s">
        <v>335</v>
      </c>
      <c r="B396" s="1516"/>
      <c r="C396" s="1516"/>
      <c r="D396" s="1516"/>
      <c r="E396" s="1516"/>
      <c r="F396" s="1516"/>
      <c r="G396" s="1516"/>
      <c r="H396" s="1516">
        <v>10</v>
      </c>
      <c r="I396" s="1516"/>
      <c r="J396" s="1516">
        <v>10</v>
      </c>
    </row>
    <row r="397" spans="1:14">
      <c r="A397" s="1514" t="s">
        <v>477</v>
      </c>
      <c r="B397" s="1516"/>
      <c r="C397" s="1516"/>
      <c r="D397" s="1516"/>
      <c r="E397" s="1516"/>
      <c r="F397" s="1516"/>
      <c r="G397" s="1516">
        <v>10</v>
      </c>
      <c r="H397" s="1516"/>
      <c r="I397" s="1516"/>
      <c r="J397" s="1516">
        <v>10</v>
      </c>
    </row>
    <row r="398" spans="1:14">
      <c r="A398" s="1514" t="s">
        <v>1363</v>
      </c>
      <c r="B398" s="1516"/>
      <c r="C398" s="1516"/>
      <c r="D398" s="1516"/>
      <c r="E398" s="1516"/>
      <c r="F398" s="1516"/>
      <c r="G398" s="1516"/>
      <c r="H398" s="1516"/>
      <c r="I398" s="1516">
        <v>10</v>
      </c>
      <c r="J398" s="1516">
        <v>10</v>
      </c>
    </row>
    <row r="399" spans="1:14">
      <c r="A399" s="1514" t="s">
        <v>557</v>
      </c>
      <c r="B399" s="1516"/>
      <c r="C399" s="1516"/>
      <c r="D399" s="1516"/>
      <c r="E399" s="1516"/>
      <c r="F399" s="1516">
        <v>10</v>
      </c>
      <c r="G399" s="1516"/>
      <c r="H399" s="1516"/>
      <c r="I399" s="1516"/>
      <c r="J399" s="1516">
        <v>10</v>
      </c>
    </row>
    <row r="400" spans="1:14">
      <c r="A400" s="1514" t="s">
        <v>547</v>
      </c>
      <c r="B400" s="1516"/>
      <c r="C400" s="1516"/>
      <c r="D400" s="1516"/>
      <c r="E400" s="1516"/>
      <c r="F400" s="1516">
        <v>9.99</v>
      </c>
      <c r="G400" s="1516"/>
      <c r="H400" s="1516"/>
      <c r="I400" s="1516"/>
      <c r="J400" s="1516">
        <v>9.99</v>
      </c>
    </row>
    <row r="401" spans="1:10">
      <c r="A401" s="1514" t="s">
        <v>486</v>
      </c>
      <c r="B401" s="1516"/>
      <c r="C401" s="1516"/>
      <c r="D401" s="1516"/>
      <c r="E401" s="1516"/>
      <c r="F401" s="1516"/>
      <c r="G401" s="1516">
        <v>9.99</v>
      </c>
      <c r="H401" s="1516"/>
      <c r="I401" s="1516"/>
      <c r="J401" s="1516">
        <v>9.99</v>
      </c>
    </row>
    <row r="402" spans="1:10">
      <c r="A402" s="1514" t="s">
        <v>653</v>
      </c>
      <c r="B402" s="1516"/>
      <c r="C402" s="1516">
        <v>9.99</v>
      </c>
      <c r="D402" s="1516"/>
      <c r="E402" s="1516"/>
      <c r="F402" s="1516"/>
      <c r="G402" s="1516"/>
      <c r="H402" s="1516"/>
      <c r="I402" s="1516"/>
      <c r="J402" s="1516">
        <v>9.99</v>
      </c>
    </row>
    <row r="403" spans="1:10">
      <c r="A403" s="1514" t="s">
        <v>612</v>
      </c>
      <c r="B403" s="1516"/>
      <c r="C403" s="1516"/>
      <c r="D403" s="1516">
        <v>9.9700000000000006</v>
      </c>
      <c r="E403" s="1516"/>
      <c r="F403" s="1516"/>
      <c r="G403" s="1516"/>
      <c r="H403" s="1516"/>
      <c r="I403" s="1516"/>
      <c r="J403" s="1516">
        <v>9.9700000000000006</v>
      </c>
    </row>
    <row r="404" spans="1:10">
      <c r="A404" s="1514" t="s">
        <v>532</v>
      </c>
      <c r="B404" s="1516"/>
      <c r="C404" s="1516"/>
      <c r="D404" s="1516"/>
      <c r="E404" s="1516"/>
      <c r="F404" s="1516">
        <v>9.81</v>
      </c>
      <c r="G404" s="1516"/>
      <c r="H404" s="1516"/>
      <c r="I404" s="1516"/>
      <c r="J404" s="1516">
        <v>9.81</v>
      </c>
    </row>
    <row r="405" spans="1:10">
      <c r="A405" s="1514" t="s">
        <v>583</v>
      </c>
      <c r="B405" s="1516"/>
      <c r="C405" s="1516"/>
      <c r="D405" s="1516"/>
      <c r="E405" s="1516">
        <v>9.73</v>
      </c>
      <c r="F405" s="1516"/>
      <c r="G405" s="1516"/>
      <c r="H405" s="1516"/>
      <c r="I405" s="1516"/>
      <c r="J405" s="1516">
        <v>9.73</v>
      </c>
    </row>
    <row r="406" spans="1:10">
      <c r="A406" s="1514" t="s">
        <v>1369</v>
      </c>
      <c r="B406" s="1516"/>
      <c r="C406" s="1516"/>
      <c r="D406" s="1516"/>
      <c r="E406" s="1516"/>
      <c r="F406" s="1516"/>
      <c r="G406" s="1516"/>
      <c r="H406" s="1516"/>
      <c r="I406" s="1516">
        <v>9.6</v>
      </c>
      <c r="J406" s="1516">
        <v>9.6</v>
      </c>
    </row>
    <row r="407" spans="1:10">
      <c r="A407" s="1514" t="s">
        <v>600</v>
      </c>
      <c r="B407" s="1516"/>
      <c r="C407" s="1516"/>
      <c r="D407" s="1516"/>
      <c r="E407" s="1516">
        <v>9.5</v>
      </c>
      <c r="F407" s="1516"/>
      <c r="G407" s="1516"/>
      <c r="H407" s="1516"/>
      <c r="I407" s="1516"/>
      <c r="J407" s="1516">
        <v>9.5</v>
      </c>
    </row>
    <row r="408" spans="1:10">
      <c r="A408" s="1514" t="s">
        <v>281</v>
      </c>
      <c r="B408" s="1516"/>
      <c r="C408" s="1516"/>
      <c r="D408" s="1516"/>
      <c r="E408" s="1516"/>
      <c r="F408" s="1516"/>
      <c r="G408" s="1516"/>
      <c r="H408" s="1516">
        <v>9.5</v>
      </c>
      <c r="I408" s="1516"/>
      <c r="J408" s="1516">
        <v>9.5</v>
      </c>
    </row>
    <row r="409" spans="1:10">
      <c r="A409" s="1514" t="s">
        <v>656</v>
      </c>
      <c r="B409" s="1516"/>
      <c r="C409" s="1516">
        <v>9</v>
      </c>
      <c r="D409" s="1516"/>
      <c r="E409" s="1516"/>
      <c r="F409" s="1516"/>
      <c r="G409" s="1516"/>
      <c r="H409" s="1516"/>
      <c r="I409" s="1516"/>
      <c r="J409" s="1516">
        <v>9</v>
      </c>
    </row>
    <row r="410" spans="1:10">
      <c r="A410" s="1514" t="s">
        <v>480</v>
      </c>
      <c r="B410" s="1516"/>
      <c r="C410" s="1516"/>
      <c r="D410" s="1516"/>
      <c r="E410" s="1516"/>
      <c r="F410" s="1516"/>
      <c r="G410" s="1516">
        <v>8.6300000000000008</v>
      </c>
      <c r="H410" s="1516"/>
      <c r="I410" s="1516"/>
      <c r="J410" s="1516">
        <v>8.6300000000000008</v>
      </c>
    </row>
    <row r="411" spans="1:10">
      <c r="A411" s="1514" t="s">
        <v>254</v>
      </c>
      <c r="B411" s="1516"/>
      <c r="C411" s="1516"/>
      <c r="D411" s="1516"/>
      <c r="E411" s="1516"/>
      <c r="F411" s="1516"/>
      <c r="G411" s="1516"/>
      <c r="H411" s="1516">
        <v>8.6</v>
      </c>
      <c r="I411" s="1516"/>
      <c r="J411" s="1516">
        <v>8.6</v>
      </c>
    </row>
    <row r="412" spans="1:10">
      <c r="A412" s="1514" t="s">
        <v>1324</v>
      </c>
      <c r="B412" s="1516"/>
      <c r="C412" s="1516"/>
      <c r="D412" s="1516"/>
      <c r="E412" s="1516"/>
      <c r="F412" s="1516"/>
      <c r="G412" s="1516"/>
      <c r="H412" s="1516"/>
      <c r="I412" s="1516">
        <v>8.5</v>
      </c>
      <c r="J412" s="1516">
        <v>8.5</v>
      </c>
    </row>
    <row r="413" spans="1:10">
      <c r="A413" s="1514" t="s">
        <v>1368</v>
      </c>
      <c r="B413" s="1516"/>
      <c r="C413" s="1516"/>
      <c r="D413" s="1516"/>
      <c r="E413" s="1516"/>
      <c r="F413" s="1516"/>
      <c r="G413" s="1516"/>
      <c r="H413" s="1516"/>
      <c r="I413" s="1516">
        <v>8.5</v>
      </c>
      <c r="J413" s="1516">
        <v>8.5</v>
      </c>
    </row>
    <row r="414" spans="1:10">
      <c r="A414" s="1514" t="s">
        <v>574</v>
      </c>
      <c r="B414" s="1516"/>
      <c r="C414" s="1516"/>
      <c r="D414" s="1516"/>
      <c r="E414" s="1516">
        <v>8.39</v>
      </c>
      <c r="F414" s="1516"/>
      <c r="G414" s="1516"/>
      <c r="H414" s="1516"/>
      <c r="I414" s="1516"/>
      <c r="J414" s="1516">
        <v>8.39</v>
      </c>
    </row>
    <row r="415" spans="1:10">
      <c r="A415" s="1514" t="s">
        <v>593</v>
      </c>
      <c r="B415" s="1516"/>
      <c r="C415" s="1516"/>
      <c r="D415" s="1516"/>
      <c r="E415" s="1516">
        <v>8</v>
      </c>
      <c r="F415" s="1516"/>
      <c r="G415" s="1516"/>
      <c r="H415" s="1516"/>
      <c r="I415" s="1516"/>
      <c r="J415" s="1516">
        <v>8</v>
      </c>
    </row>
    <row r="416" spans="1:10">
      <c r="A416" s="1514" t="s">
        <v>618</v>
      </c>
      <c r="B416" s="1516"/>
      <c r="C416" s="1516"/>
      <c r="D416" s="1516">
        <v>7.99</v>
      </c>
      <c r="E416" s="1516"/>
      <c r="F416" s="1516"/>
      <c r="G416" s="1516"/>
      <c r="H416" s="1516"/>
      <c r="I416" s="1516"/>
      <c r="J416" s="1516">
        <v>7.99</v>
      </c>
    </row>
    <row r="417" spans="1:10">
      <c r="A417" s="1514" t="s">
        <v>1316</v>
      </c>
      <c r="B417" s="1516"/>
      <c r="C417" s="1516"/>
      <c r="D417" s="1516"/>
      <c r="E417" s="1516"/>
      <c r="F417" s="1516"/>
      <c r="G417" s="1516"/>
      <c r="H417" s="1516"/>
      <c r="I417" s="1516">
        <v>7.9</v>
      </c>
      <c r="J417" s="1516">
        <v>7.9</v>
      </c>
    </row>
    <row r="418" spans="1:10">
      <c r="A418" s="1514" t="s">
        <v>272</v>
      </c>
      <c r="B418" s="1516"/>
      <c r="C418" s="1516"/>
      <c r="D418" s="1516"/>
      <c r="E418" s="1516"/>
      <c r="F418" s="1516"/>
      <c r="G418" s="1516"/>
      <c r="H418" s="1516">
        <v>7.5</v>
      </c>
      <c r="I418" s="1516"/>
      <c r="J418" s="1516">
        <v>7.5</v>
      </c>
    </row>
    <row r="419" spans="1:10">
      <c r="A419" s="1514" t="s">
        <v>235</v>
      </c>
      <c r="B419" s="1516"/>
      <c r="C419" s="1516"/>
      <c r="D419" s="1516"/>
      <c r="E419" s="1516"/>
      <c r="F419" s="1516"/>
      <c r="G419" s="1516"/>
      <c r="H419" s="1516">
        <v>7.5</v>
      </c>
      <c r="I419" s="1516"/>
      <c r="J419" s="1516">
        <v>7.5</v>
      </c>
    </row>
    <row r="420" spans="1:10">
      <c r="A420" s="1514" t="s">
        <v>452</v>
      </c>
      <c r="B420" s="1516"/>
      <c r="C420" s="1516"/>
      <c r="D420" s="1516"/>
      <c r="E420" s="1516"/>
      <c r="F420" s="1516"/>
      <c r="G420" s="1516">
        <v>7.5</v>
      </c>
      <c r="H420" s="1516"/>
      <c r="I420" s="1516"/>
      <c r="J420" s="1516">
        <v>7.5</v>
      </c>
    </row>
    <row r="421" spans="1:10">
      <c r="A421" s="1514" t="s">
        <v>613</v>
      </c>
      <c r="B421" s="1516"/>
      <c r="C421" s="1516"/>
      <c r="D421" s="1516">
        <v>7.49</v>
      </c>
      <c r="E421" s="1516"/>
      <c r="F421" s="1516"/>
      <c r="G421" s="1516"/>
      <c r="H421" s="1516"/>
      <c r="I421" s="1516"/>
      <c r="J421" s="1516">
        <v>7.49</v>
      </c>
    </row>
    <row r="422" spans="1:10">
      <c r="A422" s="1514" t="s">
        <v>453</v>
      </c>
      <c r="B422" s="1516"/>
      <c r="C422" s="1516"/>
      <c r="D422" s="1516"/>
      <c r="E422" s="1516"/>
      <c r="F422" s="1516"/>
      <c r="G422" s="1516">
        <v>7.4</v>
      </c>
      <c r="H422" s="1516"/>
      <c r="I422" s="1516"/>
      <c r="J422" s="1516">
        <v>7.4</v>
      </c>
    </row>
    <row r="423" spans="1:10">
      <c r="A423" s="1514" t="s">
        <v>568</v>
      </c>
      <c r="B423" s="1516"/>
      <c r="C423" s="1516"/>
      <c r="D423" s="1516"/>
      <c r="E423" s="1516"/>
      <c r="F423" s="1516">
        <v>7.3</v>
      </c>
      <c r="G423" s="1516"/>
      <c r="H423" s="1516"/>
      <c r="I423" s="1516"/>
      <c r="J423" s="1516">
        <v>7.3</v>
      </c>
    </row>
    <row r="424" spans="1:10">
      <c r="A424" s="1514" t="s">
        <v>559</v>
      </c>
      <c r="B424" s="1516"/>
      <c r="C424" s="1516"/>
      <c r="D424" s="1516"/>
      <c r="E424" s="1516"/>
      <c r="F424" s="1516">
        <v>7.29</v>
      </c>
      <c r="G424" s="1516"/>
      <c r="H424" s="1516"/>
      <c r="I424" s="1516"/>
      <c r="J424" s="1516">
        <v>7.29</v>
      </c>
    </row>
    <row r="425" spans="1:10">
      <c r="A425" s="1514" t="s">
        <v>460</v>
      </c>
      <c r="B425" s="1516"/>
      <c r="C425" s="1516"/>
      <c r="D425" s="1516"/>
      <c r="E425" s="1516"/>
      <c r="F425" s="1516"/>
      <c r="G425" s="1516">
        <v>6.9</v>
      </c>
      <c r="H425" s="1516"/>
      <c r="I425" s="1516"/>
      <c r="J425" s="1516">
        <v>6.9</v>
      </c>
    </row>
    <row r="426" spans="1:10">
      <c r="A426" s="1514" t="s">
        <v>575</v>
      </c>
      <c r="B426" s="1516"/>
      <c r="C426" s="1516"/>
      <c r="D426" s="1516"/>
      <c r="E426" s="1516">
        <v>6.88</v>
      </c>
      <c r="F426" s="1516"/>
      <c r="G426" s="1516"/>
      <c r="H426" s="1516"/>
      <c r="I426" s="1516"/>
      <c r="J426" s="1516">
        <v>6.88</v>
      </c>
    </row>
    <row r="427" spans="1:10">
      <c r="A427" s="1514" t="s">
        <v>513</v>
      </c>
      <c r="B427" s="1516"/>
      <c r="C427" s="1516"/>
      <c r="D427" s="1516"/>
      <c r="E427" s="1516"/>
      <c r="F427" s="1516">
        <v>6.78</v>
      </c>
      <c r="G427" s="1516"/>
      <c r="H427" s="1516"/>
      <c r="I427" s="1516"/>
      <c r="J427" s="1516">
        <v>6.78</v>
      </c>
    </row>
    <row r="428" spans="1:10">
      <c r="A428" s="1514" t="s">
        <v>1349</v>
      </c>
      <c r="B428" s="1516"/>
      <c r="C428" s="1516"/>
      <c r="D428" s="1516"/>
      <c r="E428" s="1516"/>
      <c r="F428" s="1516"/>
      <c r="G428" s="1516"/>
      <c r="H428" s="1516"/>
      <c r="I428" s="1516">
        <v>6.5</v>
      </c>
      <c r="J428" s="1516">
        <v>6.5</v>
      </c>
    </row>
    <row r="429" spans="1:10">
      <c r="A429" s="1514" t="s">
        <v>454</v>
      </c>
      <c r="B429" s="1516"/>
      <c r="C429" s="1516"/>
      <c r="D429" s="1516"/>
      <c r="E429" s="1516"/>
      <c r="F429" s="1516"/>
      <c r="G429" s="1516">
        <v>6.5</v>
      </c>
      <c r="H429" s="1516"/>
      <c r="I429" s="1516"/>
      <c r="J429" s="1516">
        <v>6.5</v>
      </c>
    </row>
    <row r="430" spans="1:10">
      <c r="A430" s="1514" t="s">
        <v>482</v>
      </c>
      <c r="B430" s="1516"/>
      <c r="C430" s="1516"/>
      <c r="D430" s="1516"/>
      <c r="E430" s="1516"/>
      <c r="F430" s="1516"/>
      <c r="G430" s="1516">
        <v>6.4</v>
      </c>
      <c r="H430" s="1516"/>
      <c r="I430" s="1516"/>
      <c r="J430" s="1516">
        <v>6.4</v>
      </c>
    </row>
    <row r="431" spans="1:10">
      <c r="A431" s="1514" t="s">
        <v>294</v>
      </c>
      <c r="B431" s="1516"/>
      <c r="C431" s="1516"/>
      <c r="D431" s="1516"/>
      <c r="E431" s="1516"/>
      <c r="F431" s="1516"/>
      <c r="G431" s="1516"/>
      <c r="H431" s="1516">
        <v>6.16</v>
      </c>
      <c r="I431" s="1516"/>
      <c r="J431" s="1516">
        <v>6.16</v>
      </c>
    </row>
    <row r="432" spans="1:10">
      <c r="A432" s="1514" t="s">
        <v>456</v>
      </c>
      <c r="B432" s="1516"/>
      <c r="C432" s="1516"/>
      <c r="D432" s="1516"/>
      <c r="E432" s="1516"/>
      <c r="F432" s="1516"/>
      <c r="G432" s="1516">
        <v>6</v>
      </c>
      <c r="H432" s="1516"/>
      <c r="I432" s="1516"/>
      <c r="J432" s="1516">
        <v>6</v>
      </c>
    </row>
    <row r="433" spans="1:10">
      <c r="A433" s="1514" t="s">
        <v>246</v>
      </c>
      <c r="B433" s="1516"/>
      <c r="C433" s="1516"/>
      <c r="D433" s="1516"/>
      <c r="E433" s="1516"/>
      <c r="F433" s="1516"/>
      <c r="G433" s="1516"/>
      <c r="H433" s="1516">
        <v>6</v>
      </c>
      <c r="I433" s="1516"/>
      <c r="J433" s="1516">
        <v>6</v>
      </c>
    </row>
    <row r="434" spans="1:10">
      <c r="A434" s="1514" t="s">
        <v>1390</v>
      </c>
      <c r="B434" s="1516"/>
      <c r="C434" s="1516"/>
      <c r="D434" s="1516"/>
      <c r="E434" s="1516"/>
      <c r="F434" s="1516"/>
      <c r="G434" s="1516"/>
      <c r="H434" s="1516"/>
      <c r="I434" s="1516">
        <v>6</v>
      </c>
      <c r="J434" s="1516">
        <v>6</v>
      </c>
    </row>
    <row r="435" spans="1:10">
      <c r="A435" s="1514" t="s">
        <v>455</v>
      </c>
      <c r="B435" s="1516"/>
      <c r="C435" s="1516"/>
      <c r="D435" s="1516"/>
      <c r="E435" s="1516"/>
      <c r="F435" s="1516"/>
      <c r="G435" s="1516">
        <v>6</v>
      </c>
      <c r="H435" s="1516"/>
      <c r="I435" s="1516"/>
      <c r="J435" s="1516">
        <v>6</v>
      </c>
    </row>
    <row r="436" spans="1:10">
      <c r="A436" s="1514" t="s">
        <v>515</v>
      </c>
      <c r="B436" s="1516"/>
      <c r="C436" s="1516"/>
      <c r="D436" s="1516"/>
      <c r="E436" s="1516"/>
      <c r="F436" s="1516">
        <v>6</v>
      </c>
      <c r="G436" s="1516"/>
      <c r="H436" s="1516"/>
      <c r="I436" s="1516"/>
      <c r="J436" s="1516">
        <v>6</v>
      </c>
    </row>
    <row r="437" spans="1:10">
      <c r="A437" s="1514" t="s">
        <v>231</v>
      </c>
      <c r="B437" s="1516"/>
      <c r="C437" s="1516"/>
      <c r="D437" s="1516"/>
      <c r="E437" s="1516"/>
      <c r="F437" s="1516"/>
      <c r="G437" s="1516"/>
      <c r="H437" s="1516">
        <v>5.9</v>
      </c>
      <c r="I437" s="1516"/>
      <c r="J437" s="1516">
        <v>5.9</v>
      </c>
    </row>
    <row r="438" spans="1:10">
      <c r="A438" s="1514" t="s">
        <v>535</v>
      </c>
      <c r="B438" s="1516"/>
      <c r="C438" s="1516"/>
      <c r="D438" s="1516"/>
      <c r="E438" s="1516"/>
      <c r="F438" s="1516">
        <v>5.85</v>
      </c>
      <c r="G438" s="1516"/>
      <c r="H438" s="1516"/>
      <c r="I438" s="1516"/>
      <c r="J438" s="1516">
        <v>5.85</v>
      </c>
    </row>
    <row r="439" spans="1:10">
      <c r="A439" s="1514" t="s">
        <v>669</v>
      </c>
      <c r="B439" s="1516">
        <v>5.2</v>
      </c>
      <c r="C439" s="1516"/>
      <c r="D439" s="1516"/>
      <c r="E439" s="1516"/>
      <c r="F439" s="1516"/>
      <c r="G439" s="1516"/>
      <c r="H439" s="1516"/>
      <c r="I439" s="1516"/>
      <c r="J439" s="1516">
        <v>5.2</v>
      </c>
    </row>
    <row r="440" spans="1:10">
      <c r="A440" s="1514" t="s">
        <v>576</v>
      </c>
      <c r="B440" s="1516"/>
      <c r="C440" s="1516"/>
      <c r="D440" s="1516"/>
      <c r="E440" s="1516">
        <v>5.18</v>
      </c>
      <c r="F440" s="1516"/>
      <c r="G440" s="1516"/>
      <c r="H440" s="1516"/>
      <c r="I440" s="1516"/>
      <c r="J440" s="1516">
        <v>5.18</v>
      </c>
    </row>
    <row r="441" spans="1:10">
      <c r="A441" s="1514" t="s">
        <v>295</v>
      </c>
      <c r="B441" s="1516"/>
      <c r="C441" s="1516"/>
      <c r="D441" s="1516"/>
      <c r="E441" s="1516"/>
      <c r="F441" s="1516"/>
      <c r="G441" s="1516"/>
      <c r="H441" s="1516">
        <v>5.1499999999999995</v>
      </c>
      <c r="I441" s="1516"/>
      <c r="J441" s="1516">
        <v>5.1499999999999995</v>
      </c>
    </row>
    <row r="442" spans="1:10">
      <c r="A442" s="1514" t="s">
        <v>459</v>
      </c>
      <c r="B442" s="1516"/>
      <c r="C442" s="1516"/>
      <c r="D442" s="1516"/>
      <c r="E442" s="1516"/>
      <c r="F442" s="1516"/>
      <c r="G442" s="1516">
        <v>5.0999999999999996</v>
      </c>
      <c r="H442" s="1516"/>
      <c r="I442" s="1516"/>
      <c r="J442" s="1516">
        <v>5.0999999999999996</v>
      </c>
    </row>
    <row r="443" spans="1:10">
      <c r="A443" s="1514" t="s">
        <v>232</v>
      </c>
      <c r="B443" s="1516"/>
      <c r="C443" s="1516"/>
      <c r="D443" s="1516"/>
      <c r="E443" s="1516"/>
      <c r="F443" s="1516"/>
      <c r="G443" s="1516"/>
      <c r="H443" s="1516">
        <v>5.0999999999999996</v>
      </c>
      <c r="I443" s="1516"/>
      <c r="J443" s="1516">
        <v>5.0999999999999996</v>
      </c>
    </row>
    <row r="444" spans="1:10">
      <c r="A444" s="1514" t="s">
        <v>89</v>
      </c>
      <c r="B444" s="1516"/>
      <c r="C444" s="1516"/>
      <c r="D444" s="1516"/>
      <c r="E444" s="1516"/>
      <c r="F444" s="1516"/>
      <c r="G444" s="1516"/>
      <c r="H444" s="1516"/>
      <c r="I444" s="1516">
        <v>5</v>
      </c>
      <c r="J444" s="1516">
        <v>5</v>
      </c>
    </row>
    <row r="445" spans="1:10">
      <c r="A445" s="1514" t="s">
        <v>1364</v>
      </c>
      <c r="B445" s="1516"/>
      <c r="C445" s="1516"/>
      <c r="D445" s="1516"/>
      <c r="E445" s="1516"/>
      <c r="F445" s="1516"/>
      <c r="G445" s="1516"/>
      <c r="H445" s="1516"/>
      <c r="I445" s="1516">
        <v>5</v>
      </c>
      <c r="J445" s="1516">
        <v>5</v>
      </c>
    </row>
    <row r="446" spans="1:10">
      <c r="A446" s="1514" t="s">
        <v>642</v>
      </c>
      <c r="B446" s="1516"/>
      <c r="C446" s="1516">
        <v>5</v>
      </c>
      <c r="D446" s="1516"/>
      <c r="E446" s="1516"/>
      <c r="F446" s="1516"/>
      <c r="G446" s="1516"/>
      <c r="H446" s="1516"/>
      <c r="I446" s="1516"/>
      <c r="J446" s="1516">
        <v>5</v>
      </c>
    </row>
    <row r="447" spans="1:10">
      <c r="A447" s="1514" t="s">
        <v>336</v>
      </c>
      <c r="B447" s="1516"/>
      <c r="C447" s="1516"/>
      <c r="D447" s="1516"/>
      <c r="E447" s="1516"/>
      <c r="F447" s="1516"/>
      <c r="G447" s="1516"/>
      <c r="H447" s="1516">
        <v>5</v>
      </c>
      <c r="I447" s="1516"/>
      <c r="J447" s="1516">
        <v>5</v>
      </c>
    </row>
    <row r="448" spans="1:10">
      <c r="A448" s="1514" t="s">
        <v>195</v>
      </c>
      <c r="B448" s="1516"/>
      <c r="C448" s="1516"/>
      <c r="D448" s="1516"/>
      <c r="E448" s="1516"/>
      <c r="F448" s="1516"/>
      <c r="G448" s="1516"/>
      <c r="H448" s="1516">
        <v>4.4000000000000004</v>
      </c>
      <c r="I448" s="1516"/>
      <c r="J448" s="1516">
        <v>4.4000000000000004</v>
      </c>
    </row>
    <row r="449" spans="1:10">
      <c r="A449" s="1514" t="s">
        <v>393</v>
      </c>
      <c r="B449" s="1516"/>
      <c r="C449" s="1516"/>
      <c r="D449" s="1516"/>
      <c r="E449" s="1516"/>
      <c r="F449" s="1516"/>
      <c r="G449" s="1516"/>
      <c r="H449" s="1516">
        <v>4.33</v>
      </c>
      <c r="I449" s="1516"/>
      <c r="J449" s="1516">
        <v>4.33</v>
      </c>
    </row>
    <row r="450" spans="1:10">
      <c r="A450" s="1514" t="s">
        <v>324</v>
      </c>
      <c r="B450" s="1516"/>
      <c r="C450" s="1516"/>
      <c r="D450" s="1516"/>
      <c r="E450" s="1516"/>
      <c r="F450" s="1516"/>
      <c r="G450" s="1516"/>
      <c r="H450" s="1516">
        <v>4</v>
      </c>
      <c r="I450" s="1516"/>
      <c r="J450" s="1516">
        <v>4</v>
      </c>
    </row>
    <row r="451" spans="1:10">
      <c r="A451" s="1514" t="s">
        <v>484</v>
      </c>
      <c r="B451" s="1516"/>
      <c r="C451" s="1516"/>
      <c r="D451" s="1516"/>
      <c r="E451" s="1516"/>
      <c r="F451" s="1516"/>
      <c r="G451" s="1516">
        <v>3.89</v>
      </c>
      <c r="H451" s="1516"/>
      <c r="I451" s="1516"/>
      <c r="J451" s="1516">
        <v>3.89</v>
      </c>
    </row>
    <row r="452" spans="1:10">
      <c r="A452" s="1514" t="s">
        <v>275</v>
      </c>
      <c r="B452" s="1516"/>
      <c r="C452" s="1516"/>
      <c r="D452" s="1516"/>
      <c r="E452" s="1516"/>
      <c r="F452" s="1516"/>
      <c r="G452" s="1516"/>
      <c r="H452" s="1516">
        <v>3.7</v>
      </c>
      <c r="I452" s="1516"/>
      <c r="J452" s="1516">
        <v>3.7</v>
      </c>
    </row>
    <row r="453" spans="1:10">
      <c r="A453" s="1514" t="s">
        <v>561</v>
      </c>
      <c r="B453" s="1516"/>
      <c r="C453" s="1516"/>
      <c r="D453" s="1516"/>
      <c r="E453" s="1516"/>
      <c r="F453" s="1516">
        <v>3.69</v>
      </c>
      <c r="G453" s="1516"/>
      <c r="H453" s="1516"/>
      <c r="I453" s="1516"/>
      <c r="J453" s="1516">
        <v>3.69</v>
      </c>
    </row>
    <row r="454" spans="1:10">
      <c r="A454" s="1514" t="s">
        <v>580</v>
      </c>
      <c r="B454" s="1516"/>
      <c r="C454" s="1516"/>
      <c r="D454" s="1516"/>
      <c r="E454" s="1516">
        <v>3.14</v>
      </c>
      <c r="F454" s="1516"/>
      <c r="G454" s="1516"/>
      <c r="H454" s="1516"/>
      <c r="I454" s="1516"/>
      <c r="J454" s="1516">
        <v>3.14</v>
      </c>
    </row>
    <row r="455" spans="1:10">
      <c r="A455" s="1514" t="s">
        <v>1313</v>
      </c>
      <c r="B455" s="1516"/>
      <c r="C455" s="1516"/>
      <c r="D455" s="1516"/>
      <c r="E455" s="1516"/>
      <c r="F455" s="1516"/>
      <c r="G455" s="1516"/>
      <c r="H455" s="1516"/>
      <c r="I455" s="1516">
        <v>3</v>
      </c>
      <c r="J455" s="1516">
        <v>3</v>
      </c>
    </row>
    <row r="456" spans="1:10">
      <c r="A456" s="1514" t="s">
        <v>603</v>
      </c>
      <c r="B456" s="1516"/>
      <c r="C456" s="1516"/>
      <c r="D456" s="1516"/>
      <c r="E456" s="1516">
        <v>2.99</v>
      </c>
      <c r="F456" s="1516"/>
      <c r="G456" s="1516"/>
      <c r="H456" s="1516"/>
      <c r="I456" s="1516"/>
      <c r="J456" s="1516">
        <v>2.99</v>
      </c>
    </row>
    <row r="457" spans="1:10">
      <c r="A457" s="1514" t="s">
        <v>539</v>
      </c>
      <c r="B457" s="1516"/>
      <c r="C457" s="1516"/>
      <c r="D457" s="1516"/>
      <c r="E457" s="1516"/>
      <c r="F457" s="1516">
        <v>2.9</v>
      </c>
      <c r="G457" s="1516"/>
      <c r="H457" s="1516"/>
      <c r="I457" s="1516"/>
      <c r="J457" s="1516">
        <v>2.9</v>
      </c>
    </row>
    <row r="458" spans="1:10">
      <c r="A458" s="1514" t="s">
        <v>193</v>
      </c>
      <c r="B458" s="1516"/>
      <c r="C458" s="1516"/>
      <c r="D458" s="1516"/>
      <c r="E458" s="1516"/>
      <c r="F458" s="1516"/>
      <c r="G458" s="1516"/>
      <c r="H458" s="1516">
        <v>2.8</v>
      </c>
      <c r="I458" s="1516"/>
      <c r="J458" s="1516">
        <v>2.8</v>
      </c>
    </row>
    <row r="459" spans="1:10">
      <c r="A459" s="1514" t="s">
        <v>1333</v>
      </c>
      <c r="B459" s="1516"/>
      <c r="C459" s="1516"/>
      <c r="D459" s="1516"/>
      <c r="E459" s="1516"/>
      <c r="F459" s="1516"/>
      <c r="G459" s="1516"/>
      <c r="H459" s="1516"/>
      <c r="I459" s="1516">
        <v>2.5</v>
      </c>
      <c r="J459" s="1516">
        <v>2.5</v>
      </c>
    </row>
    <row r="460" spans="1:10">
      <c r="A460" s="1514" t="s">
        <v>499</v>
      </c>
      <c r="B460" s="1516"/>
      <c r="C460" s="1516"/>
      <c r="D460" s="1516"/>
      <c r="E460" s="1516"/>
      <c r="F460" s="1516"/>
      <c r="G460" s="1516">
        <v>2.39</v>
      </c>
      <c r="H460" s="1516"/>
      <c r="I460" s="1516"/>
      <c r="J460" s="1516">
        <v>2.39</v>
      </c>
    </row>
    <row r="461" spans="1:10">
      <c r="A461" s="1514" t="s">
        <v>1337</v>
      </c>
      <c r="B461" s="1516"/>
      <c r="C461" s="1516"/>
      <c r="D461" s="1516"/>
      <c r="E461" s="1516"/>
      <c r="F461" s="1516"/>
      <c r="G461" s="1516"/>
      <c r="H461" s="1516"/>
      <c r="I461" s="1516">
        <v>2.15</v>
      </c>
      <c r="J461" s="1516">
        <v>2.15</v>
      </c>
    </row>
    <row r="462" spans="1:10">
      <c r="A462" s="1514" t="s">
        <v>213</v>
      </c>
      <c r="B462" s="1516"/>
      <c r="C462" s="1516"/>
      <c r="D462" s="1516"/>
      <c r="E462" s="1516"/>
      <c r="F462" s="1516"/>
      <c r="G462" s="1516"/>
      <c r="H462" s="1516">
        <v>2</v>
      </c>
      <c r="I462" s="1516"/>
      <c r="J462" s="1516">
        <v>2</v>
      </c>
    </row>
    <row r="463" spans="1:10">
      <c r="A463" s="1514" t="s">
        <v>442</v>
      </c>
      <c r="B463" s="1516"/>
      <c r="C463" s="1516"/>
      <c r="D463" s="1516"/>
      <c r="E463" s="1516"/>
      <c r="F463" s="1516"/>
      <c r="G463" s="1516">
        <v>2</v>
      </c>
      <c r="H463" s="1516"/>
      <c r="I463" s="1516"/>
      <c r="J463" s="1516">
        <v>2</v>
      </c>
    </row>
    <row r="464" spans="1:10">
      <c r="A464" s="1514" t="s">
        <v>519</v>
      </c>
      <c r="B464" s="1516"/>
      <c r="C464" s="1516"/>
      <c r="D464" s="1516"/>
      <c r="E464" s="1516"/>
      <c r="F464" s="1516">
        <v>2</v>
      </c>
      <c r="G464" s="1516"/>
      <c r="H464" s="1516"/>
      <c r="I464" s="1516"/>
      <c r="J464" s="1516">
        <v>2</v>
      </c>
    </row>
    <row r="465" spans="1:10">
      <c r="A465" s="1514" t="s">
        <v>292</v>
      </c>
      <c r="B465" s="1516"/>
      <c r="C465" s="1516"/>
      <c r="D465" s="1516"/>
      <c r="E465" s="1516"/>
      <c r="F465" s="1516"/>
      <c r="G465" s="1516"/>
      <c r="H465" s="1516">
        <v>1.81</v>
      </c>
      <c r="I465" s="1516"/>
      <c r="J465" s="1516">
        <v>1.81</v>
      </c>
    </row>
    <row r="466" spans="1:10">
      <c r="A466" s="1514" t="s">
        <v>520</v>
      </c>
      <c r="B466" s="1516"/>
      <c r="C466" s="1516"/>
      <c r="D466" s="1516"/>
      <c r="E466" s="1516"/>
      <c r="F466" s="1516">
        <v>1.7</v>
      </c>
      <c r="G466" s="1516"/>
      <c r="H466" s="1516"/>
      <c r="I466" s="1516"/>
      <c r="J466" s="1516">
        <v>1.7</v>
      </c>
    </row>
    <row r="467" spans="1:10">
      <c r="A467" s="1514" t="s">
        <v>1302</v>
      </c>
      <c r="B467" s="1516"/>
      <c r="C467" s="1516"/>
      <c r="D467" s="1516"/>
      <c r="E467" s="1516"/>
      <c r="F467" s="1516"/>
      <c r="G467" s="1516"/>
      <c r="H467" s="1516"/>
      <c r="I467" s="1516">
        <v>1.69</v>
      </c>
      <c r="J467" s="1516">
        <v>1.69</v>
      </c>
    </row>
    <row r="468" spans="1:10">
      <c r="A468" s="1514" t="s">
        <v>265</v>
      </c>
      <c r="B468" s="1516"/>
      <c r="C468" s="1516"/>
      <c r="D468" s="1516"/>
      <c r="E468" s="1516"/>
      <c r="F468" s="1516"/>
      <c r="G468" s="1516"/>
      <c r="H468" s="1516">
        <v>1.5</v>
      </c>
      <c r="I468" s="1516"/>
      <c r="J468" s="1516">
        <v>1.5</v>
      </c>
    </row>
    <row r="469" spans="1:10">
      <c r="A469" s="1514" t="s">
        <v>255</v>
      </c>
      <c r="B469" s="1516"/>
      <c r="C469" s="1516"/>
      <c r="D469" s="1516"/>
      <c r="E469" s="1516"/>
      <c r="F469" s="1516"/>
      <c r="G469" s="1516"/>
      <c r="H469" s="1516">
        <v>1.5</v>
      </c>
      <c r="I469" s="1516"/>
      <c r="J469" s="1516">
        <v>1.5</v>
      </c>
    </row>
    <row r="470" spans="1:10">
      <c r="A470" s="1514" t="s">
        <v>313</v>
      </c>
      <c r="B470" s="1516"/>
      <c r="C470" s="1516"/>
      <c r="D470" s="1516"/>
      <c r="E470" s="1516"/>
      <c r="F470" s="1516"/>
      <c r="G470" s="1516"/>
      <c r="H470" s="1516">
        <v>1.04</v>
      </c>
      <c r="I470" s="1516"/>
      <c r="J470" s="1516">
        <v>1.04</v>
      </c>
    </row>
    <row r="471" spans="1:10">
      <c r="A471" s="1514" t="s">
        <v>236</v>
      </c>
      <c r="B471" s="1516"/>
      <c r="C471" s="1516"/>
      <c r="D471" s="1516"/>
      <c r="E471" s="1516"/>
      <c r="F471" s="1516"/>
      <c r="G471" s="1516"/>
      <c r="H471" s="1516">
        <v>1</v>
      </c>
      <c r="I471" s="1516"/>
      <c r="J471" s="1516">
        <v>1</v>
      </c>
    </row>
    <row r="472" spans="1:10">
      <c r="A472" s="1514" t="s">
        <v>652</v>
      </c>
      <c r="B472" s="1516"/>
      <c r="C472" s="1516">
        <v>1</v>
      </c>
      <c r="D472" s="1516"/>
      <c r="E472" s="1516"/>
      <c r="F472" s="1516"/>
      <c r="G472" s="1516"/>
      <c r="H472" s="1516"/>
      <c r="I472" s="1516"/>
      <c r="J472" s="1516">
        <v>1</v>
      </c>
    </row>
    <row r="473" spans="1:10">
      <c r="A473" s="1514" t="s">
        <v>1371</v>
      </c>
      <c r="B473" s="1516"/>
      <c r="C473" s="1516"/>
      <c r="D473" s="1516"/>
      <c r="E473" s="1516"/>
      <c r="F473" s="1516"/>
      <c r="G473" s="1516"/>
      <c r="H473" s="1516"/>
      <c r="I473" s="1516">
        <v>0.95</v>
      </c>
      <c r="J473" s="1516">
        <v>0.95</v>
      </c>
    </row>
    <row r="474" spans="1:10">
      <c r="A474" s="1514" t="s">
        <v>325</v>
      </c>
      <c r="B474" s="1516"/>
      <c r="C474" s="1516"/>
      <c r="D474" s="1516"/>
      <c r="E474" s="1516"/>
      <c r="F474" s="1516"/>
      <c r="G474" s="1516"/>
      <c r="H474" s="1516">
        <v>0.71</v>
      </c>
      <c r="I474" s="1516"/>
      <c r="J474" s="1516">
        <v>0.71</v>
      </c>
    </row>
    <row r="475" spans="1:10">
      <c r="A475" s="1514" t="s">
        <v>1389</v>
      </c>
      <c r="B475" s="1516"/>
      <c r="C475" s="1516"/>
      <c r="D475" s="1516"/>
      <c r="E475" s="1516"/>
      <c r="F475" s="1516"/>
      <c r="G475" s="1516"/>
      <c r="H475" s="1516"/>
      <c r="I475" s="1516">
        <v>0.7</v>
      </c>
      <c r="J475" s="1516">
        <v>0.7</v>
      </c>
    </row>
    <row r="476" spans="1:10">
      <c r="A476" s="1514" t="s">
        <v>619</v>
      </c>
      <c r="B476" s="1516"/>
      <c r="C476" s="1516"/>
      <c r="D476" s="1516">
        <v>0.62</v>
      </c>
      <c r="E476" s="1516"/>
      <c r="F476" s="1516"/>
      <c r="G476" s="1516"/>
      <c r="H476" s="1516"/>
      <c r="I476" s="1516"/>
      <c r="J476" s="1516">
        <v>0.62</v>
      </c>
    </row>
    <row r="477" spans="1:10">
      <c r="A477" s="1514" t="s">
        <v>635</v>
      </c>
      <c r="B477" s="1516"/>
      <c r="C477" s="1516"/>
      <c r="D477" s="1516">
        <v>0</v>
      </c>
      <c r="E477" s="1516"/>
      <c r="F477" s="1516"/>
      <c r="G477" s="1516"/>
      <c r="H477" s="1516"/>
      <c r="I477" s="1516"/>
      <c r="J477" s="1516">
        <v>0</v>
      </c>
    </row>
    <row r="478" spans="1:10">
      <c r="A478" s="1514" t="s">
        <v>351</v>
      </c>
      <c r="B478" s="1516"/>
      <c r="C478" s="1516"/>
      <c r="D478" s="1516"/>
      <c r="E478" s="1516"/>
      <c r="F478" s="1516"/>
      <c r="G478" s="1516"/>
      <c r="H478" s="1516">
        <v>-0.19</v>
      </c>
      <c r="I478" s="1516"/>
      <c r="J478" s="1516">
        <v>-0.19</v>
      </c>
    </row>
    <row r="479" spans="1:10">
      <c r="A479" s="1514" t="s">
        <v>348</v>
      </c>
      <c r="B479" s="1516"/>
      <c r="C479" s="1516"/>
      <c r="D479" s="1516"/>
      <c r="E479" s="1516"/>
      <c r="F479" s="1516"/>
      <c r="G479" s="1516"/>
      <c r="H479" s="1516">
        <v>-25.82</v>
      </c>
      <c r="I479" s="1516">
        <v>-25.82</v>
      </c>
      <c r="J479" s="1516">
        <v>-51.64</v>
      </c>
    </row>
    <row r="480" spans="1:10">
      <c r="A480" s="1514" t="s">
        <v>738</v>
      </c>
      <c r="B480" s="1516">
        <v>4177.3</v>
      </c>
      <c r="C480" s="1516">
        <v>7273.6499999999978</v>
      </c>
      <c r="D480" s="1516">
        <v>7111.9499999999962</v>
      </c>
      <c r="E480" s="1516">
        <v>5182.1399999999985</v>
      </c>
      <c r="F480" s="1516">
        <v>7368.5599999999977</v>
      </c>
      <c r="G480" s="1516">
        <v>10200.699999999995</v>
      </c>
      <c r="H480" s="1516">
        <v>16629.697999999997</v>
      </c>
      <c r="I480" s="1516">
        <v>14805.594000000001</v>
      </c>
      <c r="J480" s="1516">
        <v>72749.59199999999</v>
      </c>
    </row>
    <row r="481" spans="1:9">
      <c r="A481"/>
      <c r="B481"/>
      <c r="C481"/>
      <c r="D481"/>
      <c r="E481"/>
      <c r="F481"/>
      <c r="G481"/>
      <c r="H481"/>
      <c r="I481"/>
    </row>
    <row r="482" spans="1:9">
      <c r="A482"/>
      <c r="B482"/>
      <c r="C482"/>
      <c r="D482"/>
      <c r="E482"/>
      <c r="F482"/>
      <c r="G482"/>
      <c r="H482"/>
      <c r="I482"/>
    </row>
    <row r="483" spans="1:9">
      <c r="A483"/>
      <c r="B483"/>
      <c r="C483"/>
      <c r="D483"/>
      <c r="E483"/>
      <c r="F483"/>
      <c r="G483"/>
      <c r="H483"/>
      <c r="I483"/>
    </row>
    <row r="484" spans="1:9">
      <c r="A484"/>
      <c r="B484"/>
      <c r="C484"/>
      <c r="D484"/>
      <c r="E484"/>
      <c r="F484"/>
      <c r="G484"/>
      <c r="H484"/>
      <c r="I484"/>
    </row>
    <row r="485" spans="1:9">
      <c r="A485"/>
      <c r="B485"/>
      <c r="C485"/>
      <c r="D485"/>
      <c r="E485"/>
      <c r="F485"/>
      <c r="G485"/>
      <c r="H485"/>
      <c r="I485"/>
    </row>
    <row r="486" spans="1:9">
      <c r="A486"/>
      <c r="B486"/>
      <c r="C486"/>
      <c r="D486"/>
      <c r="E486"/>
      <c r="F486"/>
      <c r="G486"/>
      <c r="H486"/>
      <c r="I486"/>
    </row>
    <row r="487" spans="1:9">
      <c r="A487"/>
      <c r="B487"/>
      <c r="C487"/>
      <c r="D487"/>
      <c r="E487"/>
      <c r="F487"/>
      <c r="G487"/>
      <c r="H487"/>
      <c r="I487"/>
    </row>
    <row r="488" spans="1:9">
      <c r="A488"/>
      <c r="B488"/>
      <c r="C488"/>
      <c r="D488"/>
      <c r="E488"/>
      <c r="F488"/>
      <c r="G488"/>
      <c r="H488"/>
      <c r="I488"/>
    </row>
    <row r="489" spans="1:9">
      <c r="A489"/>
      <c r="B489"/>
      <c r="C489"/>
      <c r="D489"/>
      <c r="E489"/>
      <c r="F489"/>
      <c r="G489"/>
      <c r="H489"/>
      <c r="I489"/>
    </row>
    <row r="490" spans="1:9">
      <c r="A490"/>
      <c r="B490"/>
      <c r="C490"/>
      <c r="D490"/>
      <c r="E490"/>
      <c r="F490"/>
      <c r="G490"/>
      <c r="H490"/>
      <c r="I490"/>
    </row>
    <row r="491" spans="1:9">
      <c r="A491"/>
      <c r="B491"/>
      <c r="C491"/>
      <c r="D491"/>
      <c r="E491"/>
      <c r="F491"/>
      <c r="G491"/>
      <c r="H491"/>
      <c r="I491"/>
    </row>
    <row r="492" spans="1:9">
      <c r="A492"/>
      <c r="B492"/>
      <c r="C492"/>
      <c r="D492"/>
      <c r="E492"/>
      <c r="F492"/>
      <c r="G492"/>
      <c r="H492"/>
      <c r="I492"/>
    </row>
    <row r="493" spans="1:9">
      <c r="A493"/>
      <c r="B493"/>
      <c r="C493"/>
      <c r="D493"/>
      <c r="E493"/>
      <c r="F493"/>
      <c r="G493"/>
      <c r="H493"/>
      <c r="I493"/>
    </row>
    <row r="494" spans="1:9">
      <c r="A494"/>
      <c r="B494"/>
      <c r="C494"/>
      <c r="D494"/>
      <c r="E494"/>
      <c r="F494"/>
      <c r="G494"/>
      <c r="H494"/>
      <c r="I494"/>
    </row>
    <row r="495" spans="1:9">
      <c r="A495"/>
      <c r="B495"/>
      <c r="C495"/>
      <c r="D495"/>
      <c r="E495"/>
      <c r="F495"/>
      <c r="G495"/>
      <c r="H495"/>
      <c r="I495"/>
    </row>
    <row r="496" spans="1:9">
      <c r="A496"/>
      <c r="B496"/>
      <c r="C496"/>
      <c r="D496"/>
      <c r="E496"/>
      <c r="F496"/>
      <c r="G496"/>
      <c r="H496"/>
      <c r="I496"/>
    </row>
    <row r="497" spans="1:9">
      <c r="A497"/>
      <c r="B497"/>
      <c r="C497"/>
      <c r="D497"/>
      <c r="E497"/>
      <c r="F497"/>
      <c r="G497"/>
      <c r="H497"/>
      <c r="I497"/>
    </row>
    <row r="498" spans="1:9">
      <c r="A498"/>
      <c r="B498"/>
      <c r="C498"/>
      <c r="D498"/>
      <c r="E498"/>
      <c r="F498"/>
      <c r="G498"/>
      <c r="H498"/>
      <c r="I498"/>
    </row>
    <row r="499" spans="1:9">
      <c r="A499"/>
      <c r="B499"/>
      <c r="C499"/>
      <c r="D499"/>
      <c r="E499"/>
      <c r="F499"/>
      <c r="G499"/>
      <c r="H499"/>
      <c r="I499"/>
    </row>
    <row r="500" spans="1:9">
      <c r="A500"/>
      <c r="B500"/>
      <c r="C500"/>
      <c r="D500"/>
      <c r="E500"/>
      <c r="F500"/>
      <c r="G500"/>
      <c r="H500"/>
      <c r="I500"/>
    </row>
    <row r="501" spans="1:9">
      <c r="A501"/>
      <c r="B501"/>
      <c r="C501"/>
      <c r="D501"/>
      <c r="E501"/>
      <c r="F501"/>
      <c r="G501"/>
      <c r="H501"/>
      <c r="I50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90B4-37D4-4647-B76B-354CDE7AC2C2}">
  <sheetPr codeName="Foglio4"/>
  <dimension ref="B1:OX964"/>
  <sheetViews>
    <sheetView showGridLines="0" topLeftCell="A10" zoomScale="80" zoomScaleNormal="80" workbookViewId="0">
      <selection activeCell="C68" sqref="C68"/>
    </sheetView>
  </sheetViews>
  <sheetFormatPr defaultColWidth="9.140625" defaultRowHeight="15"/>
  <cols>
    <col min="1" max="1" width="5.5703125" style="9" bestFit="1" customWidth="1"/>
    <col min="2" max="2" width="38" style="9" customWidth="1"/>
    <col min="3" max="8" width="15.28515625" style="9" customWidth="1"/>
    <col min="9" max="9" width="15" style="9" customWidth="1"/>
    <col min="10" max="10" width="14.85546875" style="9" bestFit="1" customWidth="1"/>
    <col min="11" max="11" width="32.140625" style="9" bestFit="1" customWidth="1"/>
    <col min="12" max="26" width="19.28515625" style="9" customWidth="1"/>
    <col min="27" max="27" width="11.5703125" style="9" customWidth="1"/>
    <col min="28" max="28" width="15.42578125" style="9" customWidth="1"/>
    <col min="29" max="29" width="14" style="9" customWidth="1"/>
    <col min="30" max="31" width="11.7109375" style="21" customWidth="1"/>
    <col min="32" max="32" width="13.7109375" style="21" customWidth="1"/>
    <col min="33" max="33" width="12.5703125" style="9" bestFit="1" customWidth="1"/>
    <col min="34" max="34" width="20.140625" style="9" customWidth="1"/>
    <col min="35" max="35" width="12.42578125" style="9" customWidth="1"/>
    <col min="36" max="36" width="13.42578125" style="9" customWidth="1"/>
    <col min="37" max="38" width="12.42578125" style="9" customWidth="1"/>
    <col min="39" max="39" width="12.5703125" style="9" bestFit="1" customWidth="1"/>
    <col min="40" max="41" width="11.7109375" style="9" bestFit="1" customWidth="1"/>
    <col min="42" max="42" width="36.7109375" style="9" customWidth="1"/>
    <col min="43" max="47" width="29.140625" style="9" customWidth="1"/>
    <col min="48" max="48" width="26.28515625" style="9" customWidth="1"/>
    <col min="49" max="65" width="11.85546875" style="9" bestFit="1" customWidth="1"/>
    <col min="66" max="67" width="11.7109375" style="9" bestFit="1" customWidth="1"/>
    <col min="68" max="73" width="12.42578125" style="9" bestFit="1" customWidth="1"/>
    <col min="74" max="139" width="12.5703125" style="9" bestFit="1" customWidth="1"/>
    <col min="140" max="186" width="12.42578125" style="9" bestFit="1" customWidth="1"/>
    <col min="187" max="411" width="9.140625" style="9"/>
    <col min="412" max="414" width="11.5703125" style="9" bestFit="1" customWidth="1"/>
    <col min="415" max="16384" width="9.140625" style="9"/>
  </cols>
  <sheetData>
    <row r="1" spans="2:49">
      <c r="K1" s="511" t="s">
        <v>754</v>
      </c>
      <c r="L1" s="544">
        <v>2020</v>
      </c>
      <c r="M1" s="544">
        <v>2021</v>
      </c>
      <c r="N1" s="544">
        <v>2022</v>
      </c>
      <c r="O1" s="544">
        <v>2023</v>
      </c>
      <c r="P1" s="544">
        <v>2024</v>
      </c>
      <c r="Q1" s="544">
        <v>2025</v>
      </c>
      <c r="R1" s="544">
        <v>2026</v>
      </c>
      <c r="S1" s="544">
        <v>2020</v>
      </c>
      <c r="T1" s="544">
        <v>2021</v>
      </c>
      <c r="U1" s="544">
        <v>2022</v>
      </c>
      <c r="V1" s="544">
        <v>2023</v>
      </c>
      <c r="W1" s="544">
        <v>2024</v>
      </c>
      <c r="X1" s="544">
        <v>2025</v>
      </c>
      <c r="Y1" s="544">
        <v>2026</v>
      </c>
    </row>
    <row r="2" spans="2:49">
      <c r="B2" s="237" t="s">
        <v>755</v>
      </c>
      <c r="C2" s="516" t="s">
        <v>756</v>
      </c>
      <c r="D2" s="516" t="s">
        <v>757</v>
      </c>
      <c r="E2" s="516" t="s">
        <v>758</v>
      </c>
      <c r="F2" s="517" t="s">
        <v>759</v>
      </c>
      <c r="G2" s="515" t="s">
        <v>760</v>
      </c>
      <c r="H2" s="40"/>
      <c r="I2" s="14" t="s">
        <v>761</v>
      </c>
      <c r="K2" s="706" t="s">
        <v>762</v>
      </c>
      <c r="L2" s="696">
        <f>BILANCIO!C58</f>
        <v>2770</v>
      </c>
      <c r="M2" s="700">
        <f>BILANCIO!D58</f>
        <v>2984.91</v>
      </c>
      <c r="N2" s="700">
        <f>BILANCIO!E58</f>
        <v>4621.79</v>
      </c>
      <c r="O2" s="700">
        <f>BILANCIO!F58</f>
        <v>4550</v>
      </c>
      <c r="P2" s="700">
        <f>BILANCIO!G58</f>
        <v>3532.9</v>
      </c>
      <c r="Q2" s="700">
        <f>BILANCIO!H58</f>
        <v>1280</v>
      </c>
      <c r="R2" s="700">
        <f>BILANCIO!I58</f>
        <v>80</v>
      </c>
      <c r="S2" s="548">
        <f t="shared" ref="S2:Y2" si="0">L2/L5</f>
        <v>0.96287541713014457</v>
      </c>
      <c r="T2" s="548">
        <f t="shared" si="0"/>
        <v>0.44162790284780906</v>
      </c>
      <c r="U2" s="546">
        <f t="shared" si="0"/>
        <v>0.6797509721674776</v>
      </c>
      <c r="V2" s="548">
        <f t="shared" si="0"/>
        <v>0.9175755033557047</v>
      </c>
      <c r="W2" s="319">
        <f t="shared" si="0"/>
        <v>0.85750624397750463</v>
      </c>
      <c r="X2" s="319">
        <f t="shared" si="0"/>
        <v>0.54198935499032463</v>
      </c>
      <c r="Y2" s="319">
        <f t="shared" si="0"/>
        <v>5.1639555899819257E-2</v>
      </c>
    </row>
    <row r="3" spans="2:49">
      <c r="B3" s="9" t="s">
        <v>763</v>
      </c>
      <c r="C3" s="69">
        <f>BILANCIO!$B$67+$C$66</f>
        <v>1100</v>
      </c>
      <c r="D3" s="14"/>
      <c r="E3" s="69">
        <f>SUM(E4:E7)-E8</f>
        <v>2230.9299999999998</v>
      </c>
      <c r="F3" s="542">
        <f>C3-E3-C66</f>
        <v>-1130.9299999999998</v>
      </c>
      <c r="G3" s="14"/>
      <c r="I3" s="70">
        <f>ROUND(IF(F3+C66+IF(F6&gt;0,-F6,0)&lt;0,0,F3+C66+IF(F6&gt;0,-F6,0)),2)</f>
        <v>0</v>
      </c>
      <c r="K3" s="707" t="s">
        <v>764</v>
      </c>
      <c r="L3" s="697">
        <f>BILANCIO!C24</f>
        <v>0</v>
      </c>
      <c r="M3" s="701">
        <f>BILANCIO!D24</f>
        <v>3652</v>
      </c>
      <c r="N3" s="701">
        <f>BILANCIO!E24</f>
        <v>1980</v>
      </c>
      <c r="O3" s="701">
        <f>BILANCIO!F24</f>
        <v>220</v>
      </c>
      <c r="P3" s="701">
        <f>BILANCIO!G24</f>
        <v>442</v>
      </c>
      <c r="Q3" s="701">
        <f>BILANCIO!H24</f>
        <v>1030</v>
      </c>
      <c r="R3" s="701">
        <f>BILANCIO!I24</f>
        <v>1466</v>
      </c>
      <c r="S3" s="549">
        <f t="shared" ref="S3:Y3" si="1">L3/L5</f>
        <v>0</v>
      </c>
      <c r="T3" s="549">
        <f t="shared" si="1"/>
        <v>0.54032620789243191</v>
      </c>
      <c r="U3" s="545">
        <f t="shared" si="1"/>
        <v>0.29120901747842409</v>
      </c>
      <c r="V3" s="549">
        <f t="shared" si="1"/>
        <v>4.4366288074341766E-2</v>
      </c>
      <c r="W3" s="320">
        <f t="shared" si="1"/>
        <v>0.10728233458010616</v>
      </c>
      <c r="X3" s="320">
        <f t="shared" si="1"/>
        <v>0.43613205909377684</v>
      </c>
      <c r="Y3" s="320">
        <f t="shared" si="1"/>
        <v>0.94629486186418799</v>
      </c>
    </row>
    <row r="4" spans="2:49">
      <c r="B4" s="71" t="s">
        <v>765</v>
      </c>
      <c r="C4" s="69">
        <f>INDEX(BILANCIO!B53:ZZ53, MATCH(BILANCIO!$B$2, BILANCIO!B9:ZZ9, 0))</f>
        <v>123.85</v>
      </c>
      <c r="D4" s="14"/>
      <c r="E4" s="1375">
        <f>INDEX(BILANCIO!B53:ZZ53, MATCH(BILANCIO!$B$2, BILANCIO!B9:ZZ9, 0))</f>
        <v>123.85</v>
      </c>
      <c r="F4" s="73">
        <f>C4-E4</f>
        <v>0</v>
      </c>
      <c r="G4" s="15"/>
      <c r="K4" s="708" t="s">
        <v>766</v>
      </c>
      <c r="L4" s="698">
        <f>BILANCIO!C59</f>
        <v>106.8</v>
      </c>
      <c r="M4" s="702">
        <f>BILANCIO!D59</f>
        <v>121.97</v>
      </c>
      <c r="N4" s="702">
        <f>BILANCIO!E59</f>
        <v>197.45000000000005</v>
      </c>
      <c r="O4" s="702">
        <f>BILANCIO!F59</f>
        <v>188.72</v>
      </c>
      <c r="P4" s="702">
        <f>BILANCIO!G59</f>
        <v>145.07</v>
      </c>
      <c r="Q4" s="702">
        <f>BILANCIO!H59</f>
        <v>51.67</v>
      </c>
      <c r="R4" s="702">
        <f>BILANCIO!I59</f>
        <v>3.2</v>
      </c>
      <c r="S4" s="550">
        <f t="shared" ref="S4:Y4" si="2">L4/L5</f>
        <v>3.7124582869855392E-2</v>
      </c>
      <c r="T4" s="550">
        <f t="shared" si="2"/>
        <v>1.8045889259759012E-2</v>
      </c>
      <c r="U4" s="547">
        <f t="shared" si="2"/>
        <v>2.9040010354098408E-2</v>
      </c>
      <c r="V4" s="550">
        <f t="shared" si="2"/>
        <v>3.8058208569953532E-2</v>
      </c>
      <c r="W4" s="321">
        <f t="shared" si="2"/>
        <v>3.5211421442389139E-2</v>
      </c>
      <c r="X4" s="321">
        <f t="shared" si="2"/>
        <v>2.1878585915898495E-2</v>
      </c>
      <c r="Y4" s="321">
        <f t="shared" si="2"/>
        <v>2.0655822359927707E-3</v>
      </c>
      <c r="AQ4" s="1471"/>
      <c r="AR4" s="1471"/>
      <c r="AS4" s="1471"/>
      <c r="AU4" s="28"/>
      <c r="AV4" s="28"/>
      <c r="AW4" s="28"/>
    </row>
    <row r="5" spans="2:49">
      <c r="B5" s="71" t="s">
        <v>767</v>
      </c>
      <c r="C5" s="69">
        <f>INDEX(BILANCIO!B58:ZZ58, MATCH(BILANCIO!$B$2, BILANCIO!B9:ZZ9, 0))</f>
        <v>0</v>
      </c>
      <c r="D5" s="69">
        <f>C5/4</f>
        <v>0</v>
      </c>
      <c r="E5" s="1375">
        <f>SUM(INDEX(BILANCIO!B58:ZZ58, MATCH(BILANCIO!$B$2, BILANCIO!B9:ZZ9, 0)),
 INDEX(BILANCIO!B59:ZZ59, MATCH(BILANCIO!$B$2, BILANCIO!B9:ZZ9, 0)),
 INDEX(BILANCIO!B24:ZZ24, MATCH(BILANCIO!$B$2, BILANCIO!B9:ZZ9, 0)))</f>
        <v>0</v>
      </c>
      <c r="F5" s="74">
        <f>C5-E5</f>
        <v>0</v>
      </c>
      <c r="G5" s="75">
        <f>F5/4</f>
        <v>0</v>
      </c>
      <c r="K5" s="709" t="s">
        <v>79</v>
      </c>
      <c r="L5" s="699">
        <f t="shared" ref="L5:Q5" si="3">L2+L3+L4</f>
        <v>2876.8</v>
      </c>
      <c r="M5" s="703">
        <f t="shared" si="3"/>
        <v>6758.88</v>
      </c>
      <c r="N5" s="703">
        <f t="shared" si="3"/>
        <v>6799.24</v>
      </c>
      <c r="O5" s="703">
        <f t="shared" si="3"/>
        <v>4958.72</v>
      </c>
      <c r="P5" s="703">
        <f t="shared" si="3"/>
        <v>4119.97</v>
      </c>
      <c r="Q5" s="554">
        <f t="shared" si="3"/>
        <v>2361.67</v>
      </c>
      <c r="R5" s="554">
        <f t="shared" ref="R5" si="4">R2+R3+R4</f>
        <v>1549.2</v>
      </c>
      <c r="S5" s="551">
        <f>L5/BILANCIO!C11</f>
        <v>0.10780184366334408</v>
      </c>
      <c r="T5" s="551">
        <f>M5/BILANCIO!D11</f>
        <v>0.25382604776926543</v>
      </c>
      <c r="U5" s="552">
        <f>N5/BILANCIO!E11</f>
        <v>0.24738902634259932</v>
      </c>
      <c r="V5" s="551">
        <f>O5/BILANCIO!F11</f>
        <v>0.18048773385746525</v>
      </c>
      <c r="W5" s="553">
        <f>P5/BILANCIO!G11</f>
        <v>0.13686243895957215</v>
      </c>
      <c r="X5" s="553">
        <f>Q5/BILANCIO!H11</f>
        <v>7.8110468000661487E-2</v>
      </c>
      <c r="Y5" s="553">
        <f>R5/BILANCIO!I11</f>
        <v>4.7128255049890488E-2</v>
      </c>
      <c r="Z5" s="9" t="s">
        <v>768</v>
      </c>
      <c r="AU5" s="28"/>
      <c r="AV5" s="28"/>
      <c r="AW5" s="28"/>
    </row>
    <row r="6" spans="2:49">
      <c r="B6" s="71" t="s">
        <v>769</v>
      </c>
      <c r="C6" s="69"/>
      <c r="D6" s="69">
        <f>C6/4</f>
        <v>0</v>
      </c>
      <c r="E6" s="72">
        <f>SUM(INDEX(BILANCIO!B60:ZZ60, MATCH(BILANCIO!$B$2, BILANCIO!B9:ZZ9, 0)),
 INDEX(BILANCIO!B61:ZZ61, MATCH(BILANCIO!$B$2, BILANCIO!B9:ZZ9, 0)))</f>
        <v>0</v>
      </c>
      <c r="F6" s="74">
        <f>C6-E6</f>
        <v>0</v>
      </c>
      <c r="G6" s="75">
        <f>F6/4</f>
        <v>0</v>
      </c>
      <c r="K6" s="709" t="s">
        <v>770</v>
      </c>
      <c r="L6" s="699">
        <f t="shared" ref="L6:Q6" si="5">L5/12</f>
        <v>239.73333333333335</v>
      </c>
      <c r="M6" s="703">
        <f t="shared" si="5"/>
        <v>563.24</v>
      </c>
      <c r="N6" s="703">
        <f t="shared" si="5"/>
        <v>566.60333333333335</v>
      </c>
      <c r="O6" s="703">
        <f t="shared" si="5"/>
        <v>413.22666666666669</v>
      </c>
      <c r="P6" s="554">
        <f t="shared" si="5"/>
        <v>343.33083333333337</v>
      </c>
      <c r="Q6" s="554">
        <f t="shared" si="5"/>
        <v>196.80583333333334</v>
      </c>
      <c r="R6" s="554">
        <f t="shared" ref="R6" si="6">R5/12</f>
        <v>129.1</v>
      </c>
      <c r="W6" s="15"/>
      <c r="X6" s="15"/>
      <c r="AQ6" s="40"/>
      <c r="AS6" s="76"/>
      <c r="AU6" s="28"/>
      <c r="AV6" s="28"/>
      <c r="AW6" s="28"/>
    </row>
    <row r="7" spans="2:49">
      <c r="B7" s="71" t="s">
        <v>771</v>
      </c>
      <c r="C7" s="69">
        <f>(C3-C4-C5-C6+C66)</f>
        <v>976.15</v>
      </c>
      <c r="D7" s="69">
        <f>C7/4</f>
        <v>244.03749999999999</v>
      </c>
      <c r="E7" s="72">
        <f>SUM( INDEX(BILANCIO!B56:ZZ56, MATCH(BILANCIO!$B$2, BILANCIO!B9:ZZ9, 0)),
 INDEX(BILANCIO!B57:ZZ57, MATCH(BILANCIO!$B$2, BILANCIO!B9:ZZ9, 0)))</f>
        <v>2114.08</v>
      </c>
      <c r="F7" s="74">
        <f>C7-E7</f>
        <v>-1137.9299999999998</v>
      </c>
      <c r="G7" s="75">
        <f>F7/4</f>
        <v>-284.48249999999996</v>
      </c>
      <c r="AQ7" s="40"/>
      <c r="AS7" s="76"/>
      <c r="AT7" s="76"/>
      <c r="AU7" s="28"/>
      <c r="AV7" s="28"/>
      <c r="AW7" s="28"/>
    </row>
    <row r="8" spans="2:49">
      <c r="B8" s="77" t="s">
        <v>772</v>
      </c>
      <c r="C8" s="14"/>
      <c r="D8" s="14"/>
      <c r="E8" s="72">
        <f>INDEX(BILANCIO!B63:ZZ63, MATCH(BILANCIO!$B$2, BILANCIO!B9:ZZ9, 0))</f>
        <v>7</v>
      </c>
      <c r="F8" s="75"/>
      <c r="G8" s="69"/>
      <c r="L8" s="1471" t="s">
        <v>773</v>
      </c>
      <c r="M8" s="1471"/>
      <c r="N8" s="1471"/>
      <c r="O8" s="1471"/>
      <c r="P8" s="1471"/>
      <c r="Q8" s="1471"/>
      <c r="AQ8" s="40"/>
      <c r="AU8" s="28"/>
      <c r="AV8" s="28"/>
      <c r="AW8" s="28"/>
    </row>
    <row r="9" spans="2:49">
      <c r="C9" s="28"/>
      <c r="D9" s="21"/>
      <c r="E9" s="49" t="s">
        <v>774</v>
      </c>
      <c r="F9" s="73">
        <f>INDEX(BILANCIO!B71:ZZ71, MATCH(BILANCIO!$B$2, BILANCIO!B9:ZZ9, 0))</f>
        <v>-799.5</v>
      </c>
      <c r="G9" s="37"/>
      <c r="L9" s="555">
        <f>L4/BILANCIO!C11</f>
        <v>4.0020984786030131E-3</v>
      </c>
      <c r="M9" s="555">
        <f>M4/BILANCIO!D11</f>
        <v>4.5805167492864651E-3</v>
      </c>
      <c r="N9" s="555">
        <f>N4/BILANCIO!E11</f>
        <v>7.1841798864794078E-3</v>
      </c>
      <c r="O9" s="555">
        <f>O4/BILANCIO!F11</f>
        <v>6.8690398194656763E-3</v>
      </c>
      <c r="P9" s="555">
        <f>P4/BILANCIO!G11</f>
        <v>4.819121017838753E-3</v>
      </c>
      <c r="Q9" s="555">
        <f>Q4/BILANCIO!H11</f>
        <v>1.7089465850835125E-3</v>
      </c>
      <c r="R9" s="555">
        <f>R4/BILANCIO!I11</f>
        <v>9.7347286444390371E-5</v>
      </c>
      <c r="AQ9" s="40"/>
      <c r="AU9" s="28"/>
      <c r="AV9" s="28"/>
      <c r="AW9" s="28"/>
    </row>
    <row r="10" spans="2:49">
      <c r="E10" s="49" t="s">
        <v>775</v>
      </c>
      <c r="F10" s="80">
        <f>(INDEX(BILANCIO!B71:ZZ71, MATCH(BILANCIO!$B$2, BILANCIO!B9:ZZ9, 0)))-Valutazioni!F7</f>
        <v>338.42999999999984</v>
      </c>
      <c r="H10" s="916"/>
      <c r="AQ10" s="40"/>
      <c r="AS10" s="76"/>
      <c r="AT10" s="76"/>
      <c r="AU10" s="28"/>
      <c r="AV10" s="28"/>
      <c r="AW10" s="28"/>
    </row>
    <row r="11" spans="2:49">
      <c r="AQ11" s="40"/>
      <c r="AU11" s="28"/>
      <c r="AV11" s="28"/>
      <c r="AW11" s="28"/>
    </row>
    <row r="12" spans="2:49" s="91" customFormat="1" ht="30.75" customHeight="1">
      <c r="B12" s="792" t="s">
        <v>776</v>
      </c>
      <c r="C12" s="793" t="s">
        <v>777</v>
      </c>
      <c r="D12" s="469" t="s">
        <v>778</v>
      </c>
      <c r="E12" s="1060" t="s">
        <v>779</v>
      </c>
      <c r="F12" s="91" t="s">
        <v>780</v>
      </c>
      <c r="AD12" s="786"/>
      <c r="AE12" s="786"/>
      <c r="AF12" s="786"/>
      <c r="AQ12" s="794"/>
      <c r="AU12" s="795"/>
      <c r="AV12" s="795"/>
      <c r="AW12" s="795"/>
    </row>
    <row r="13" spans="2:49">
      <c r="B13" s="518" t="s">
        <v>781</v>
      </c>
      <c r="C13" s="523">
        <f>BILANCIO!Q16</f>
        <v>830.5</v>
      </c>
      <c r="D13" s="523">
        <f>BILANCIO!Q16</f>
        <v>830.5</v>
      </c>
      <c r="E13" s="536">
        <f>D13-C13</f>
        <v>0</v>
      </c>
      <c r="F13" s="9" t="s">
        <v>782</v>
      </c>
      <c r="P13" s="80"/>
      <c r="AQ13" s="40"/>
      <c r="AU13" s="28"/>
      <c r="AV13" s="28"/>
      <c r="AW13" s="28"/>
    </row>
    <row r="14" spans="2:49">
      <c r="B14" s="9" t="s">
        <v>783</v>
      </c>
      <c r="C14" s="524">
        <f>BILANCIO!Q22+BILANCIO!Q23</f>
        <v>143.81800910333914</v>
      </c>
      <c r="D14" s="525">
        <f>'ANALISI CONSUMI GAS ENERGIA'!I100</f>
        <v>139.97156106052691</v>
      </c>
      <c r="E14" s="1061">
        <f>D14-C14</f>
        <v>-3.8464480428122272</v>
      </c>
      <c r="P14" s="80"/>
      <c r="AQ14" s="40"/>
      <c r="AU14" s="28"/>
      <c r="AV14" s="28"/>
      <c r="AW14" s="28"/>
    </row>
    <row r="15" spans="2:49">
      <c r="B15" s="9" t="s">
        <v>79</v>
      </c>
      <c r="C15" s="526">
        <f>SUM(C13:C14)</f>
        <v>974.31800910333914</v>
      </c>
      <c r="D15" s="526">
        <f>SUM(D13:D14)</f>
        <v>970.47156106052694</v>
      </c>
      <c r="E15" s="536">
        <f>D15-C15</f>
        <v>-3.8464480428121988</v>
      </c>
      <c r="AQ15" s="40"/>
      <c r="AS15" s="76"/>
      <c r="AT15" s="76"/>
      <c r="AU15" s="28"/>
      <c r="AV15" s="28"/>
      <c r="AW15" s="28"/>
    </row>
    <row r="16" spans="2:49">
      <c r="B16" s="519" t="s">
        <v>784</v>
      </c>
      <c r="C16" s="528"/>
      <c r="D16" s="531"/>
      <c r="E16" s="537"/>
      <c r="AQ16" s="40"/>
      <c r="AU16" s="28"/>
      <c r="AV16" s="28"/>
      <c r="AW16" s="28"/>
    </row>
    <row r="17" spans="2:49">
      <c r="B17" s="49" t="s">
        <v>86</v>
      </c>
      <c r="C17" s="527">
        <f>'SPESE MENSILI MACCHINA'!P9</f>
        <v>271.25</v>
      </c>
      <c r="D17" s="532">
        <f>BILANCIO!Q18</f>
        <v>271.58333333333331</v>
      </c>
      <c r="E17" s="536">
        <f t="shared" ref="E17:E21" si="7">D17-C17</f>
        <v>0.33333333333331439</v>
      </c>
      <c r="AQ17" s="40"/>
      <c r="AU17" s="28"/>
      <c r="AV17" s="28"/>
      <c r="AW17" s="28"/>
    </row>
    <row r="18" spans="2:49">
      <c r="B18" s="49" t="s">
        <v>785</v>
      </c>
      <c r="C18" s="527">
        <f>BILANCIO!Q60+BILANCIO!Q61</f>
        <v>116.03999999999999</v>
      </c>
      <c r="D18" s="533">
        <f>BILANCIO!Q60+BILANCIO!Q61</f>
        <v>116.03999999999999</v>
      </c>
      <c r="E18" s="536">
        <f>D18-C18</f>
        <v>0</v>
      </c>
      <c r="AQ18" s="40"/>
      <c r="AU18" s="28"/>
      <c r="AV18" s="28"/>
      <c r="AW18" s="28"/>
    </row>
    <row r="19" spans="2:49">
      <c r="B19" s="49" t="s">
        <v>786</v>
      </c>
      <c r="C19" s="527"/>
      <c r="D19" s="527"/>
      <c r="E19" s="536">
        <f t="shared" si="7"/>
        <v>0</v>
      </c>
      <c r="N19"/>
      <c r="O19"/>
      <c r="P19"/>
      <c r="Q19"/>
      <c r="R19"/>
      <c r="S19"/>
      <c r="T19"/>
      <c r="U19"/>
      <c r="V19"/>
      <c r="AQ19" s="40"/>
      <c r="AU19" s="28"/>
      <c r="AV19" s="28"/>
      <c r="AW19" s="28"/>
    </row>
    <row r="20" spans="2:49">
      <c r="B20" s="49" t="s">
        <v>787</v>
      </c>
      <c r="C20" s="527">
        <f>BILANCIO!Q21</f>
        <v>52.25</v>
      </c>
      <c r="D20" s="527"/>
      <c r="E20" s="536">
        <f t="shared" si="7"/>
        <v>-52.25</v>
      </c>
      <c r="N20"/>
      <c r="O20"/>
      <c r="P20"/>
      <c r="Q20"/>
      <c r="R20"/>
      <c r="S20"/>
      <c r="T20"/>
      <c r="U20"/>
      <c r="V20"/>
      <c r="AQ20" s="40"/>
      <c r="AU20" s="28"/>
      <c r="AV20" s="28"/>
      <c r="AW20" s="28"/>
    </row>
    <row r="21" spans="2:49">
      <c r="B21" s="49" t="s">
        <v>79</v>
      </c>
      <c r="C21" s="527">
        <f>SUM(C17:C20)</f>
        <v>439.53999999999996</v>
      </c>
      <c r="D21" s="527">
        <f>SUM(D17:D20)</f>
        <v>387.62333333333333</v>
      </c>
      <c r="E21" s="536">
        <f t="shared" si="7"/>
        <v>-51.916666666666629</v>
      </c>
      <c r="N21"/>
      <c r="O21"/>
      <c r="P21"/>
      <c r="Q21"/>
      <c r="R21"/>
      <c r="S21"/>
      <c r="T21"/>
      <c r="U21"/>
      <c r="V21"/>
      <c r="AQ21" s="40"/>
      <c r="AS21" s="76"/>
      <c r="AT21" s="76"/>
      <c r="AU21" s="28"/>
      <c r="AV21" s="28"/>
      <c r="AW21" s="28"/>
    </row>
    <row r="22" spans="2:49">
      <c r="B22" s="519" t="s">
        <v>788</v>
      </c>
      <c r="C22" s="528"/>
      <c r="D22" s="531"/>
      <c r="E22" s="537"/>
      <c r="N22"/>
      <c r="O22"/>
      <c r="P22"/>
      <c r="Q22"/>
      <c r="R22"/>
      <c r="S22"/>
      <c r="T22"/>
      <c r="U22"/>
      <c r="V22"/>
      <c r="AQ22" s="40"/>
      <c r="AS22" s="76"/>
      <c r="AT22" s="76"/>
      <c r="AU22" s="28"/>
      <c r="AV22" s="28"/>
      <c r="AW22" s="28"/>
    </row>
    <row r="23" spans="2:49">
      <c r="B23" s="49" t="s">
        <v>789</v>
      </c>
      <c r="C23" s="526">
        <f>BILANCIO!Q24</f>
        <v>209.42857142857142</v>
      </c>
      <c r="D23" s="527">
        <v>110</v>
      </c>
      <c r="E23" s="538">
        <f>D23-C23</f>
        <v>-99.428571428571416</v>
      </c>
      <c r="N23"/>
      <c r="O23"/>
      <c r="P23"/>
      <c r="Q23"/>
      <c r="R23"/>
      <c r="S23"/>
      <c r="T23"/>
      <c r="U23"/>
      <c r="V23"/>
      <c r="AQ23" s="40"/>
      <c r="AS23" s="76"/>
      <c r="AU23" s="28"/>
      <c r="AV23" s="28"/>
      <c r="AW23" s="28"/>
    </row>
    <row r="24" spans="2:49">
      <c r="B24" s="49" t="s">
        <v>790</v>
      </c>
      <c r="C24" s="526">
        <f>BILANCIO!Q25</f>
        <v>168.43666666666664</v>
      </c>
      <c r="D24" s="527">
        <v>80</v>
      </c>
      <c r="E24" s="538">
        <f>D24-C24</f>
        <v>-88.436666666666639</v>
      </c>
      <c r="N24"/>
      <c r="O24"/>
      <c r="P24"/>
      <c r="Q24"/>
      <c r="R24"/>
      <c r="S24"/>
      <c r="T24"/>
      <c r="U24"/>
      <c r="V24"/>
      <c r="AQ24" s="40"/>
      <c r="AU24" s="28"/>
      <c r="AV24" s="28"/>
      <c r="AW24" s="28"/>
    </row>
    <row r="25" spans="2:49">
      <c r="B25" s="49" t="s">
        <v>791</v>
      </c>
      <c r="C25" s="526">
        <f>BILANCIO!Q26</f>
        <v>765.06125000000009</v>
      </c>
      <c r="D25" s="527">
        <v>200</v>
      </c>
      <c r="E25" s="538">
        <f>D25-C25</f>
        <v>-565.06125000000009</v>
      </c>
      <c r="N25"/>
      <c r="O25"/>
      <c r="P25"/>
      <c r="Q25"/>
      <c r="R25"/>
      <c r="S25"/>
      <c r="T25"/>
      <c r="U25"/>
      <c r="V25"/>
      <c r="AQ25" s="40"/>
      <c r="AU25" s="28"/>
      <c r="AV25" s="28"/>
      <c r="AW25" s="28"/>
    </row>
    <row r="26" spans="2:49">
      <c r="B26" s="49" t="s">
        <v>79</v>
      </c>
      <c r="C26" s="527">
        <f>SUM(C23:C25)</f>
        <v>1142.9264880952383</v>
      </c>
      <c r="D26" s="527">
        <f>SUM(D22:D25)</f>
        <v>390</v>
      </c>
      <c r="E26" s="536">
        <f t="shared" ref="E26" si="8">D26-C26</f>
        <v>-752.92648809523826</v>
      </c>
      <c r="N26"/>
      <c r="O26"/>
      <c r="P26"/>
      <c r="Q26"/>
      <c r="R26"/>
      <c r="S26"/>
      <c r="T26"/>
      <c r="U26"/>
      <c r="V26"/>
      <c r="AQ26" s="40"/>
      <c r="AU26" s="28"/>
      <c r="AV26" s="28"/>
      <c r="AW26" s="28"/>
    </row>
    <row r="27" spans="2:49">
      <c r="B27" s="519" t="s">
        <v>792</v>
      </c>
      <c r="C27" s="528"/>
      <c r="D27" s="534"/>
      <c r="E27" s="537"/>
      <c r="N27"/>
      <c r="O27"/>
      <c r="P27"/>
      <c r="Q27"/>
      <c r="R27"/>
      <c r="S27"/>
      <c r="T27"/>
      <c r="U27"/>
      <c r="V27"/>
      <c r="AQ27" s="40"/>
      <c r="AS27" s="76"/>
      <c r="AT27" s="76"/>
      <c r="AU27" s="28"/>
      <c r="AV27" s="28"/>
      <c r="AW27" s="28"/>
    </row>
    <row r="28" spans="2:49">
      <c r="B28" s="49" t="s">
        <v>28</v>
      </c>
      <c r="C28" s="526">
        <f>BILANCIO!Q53</f>
        <v>92.69583333333334</v>
      </c>
      <c r="D28" s="527">
        <v>96.92</v>
      </c>
      <c r="E28" s="538">
        <f>D28-C28</f>
        <v>4.2241666666666617</v>
      </c>
      <c r="N28"/>
      <c r="O28"/>
      <c r="P28"/>
      <c r="Q28"/>
      <c r="R28"/>
      <c r="S28"/>
      <c r="T28"/>
      <c r="U28"/>
      <c r="V28"/>
      <c r="AQ28" s="40"/>
      <c r="AU28" s="28"/>
      <c r="AV28" s="28"/>
      <c r="AW28" s="28"/>
    </row>
    <row r="29" spans="2:49">
      <c r="B29" s="49" t="s">
        <v>745</v>
      </c>
      <c r="C29" s="526">
        <f>BILANCIO!Q58+BILANCIO!Q59</f>
        <v>83.2</v>
      </c>
      <c r="D29" s="527">
        <v>0</v>
      </c>
      <c r="E29" s="538">
        <f>D29-C29</f>
        <v>-83.2</v>
      </c>
      <c r="N29"/>
      <c r="O29"/>
      <c r="P29"/>
      <c r="Q29"/>
      <c r="R29"/>
      <c r="S29"/>
      <c r="T29"/>
      <c r="U29"/>
      <c r="V29"/>
      <c r="AQ29" s="40"/>
      <c r="AU29" s="28"/>
      <c r="AV29" s="28"/>
      <c r="AW29" s="28"/>
    </row>
    <row r="30" spans="2:49">
      <c r="B30" s="49" t="s">
        <v>793</v>
      </c>
      <c r="C30" s="526">
        <f>BILANCIO!Q56</f>
        <v>1662.1273999999999</v>
      </c>
      <c r="D30" s="527">
        <v>1350</v>
      </c>
      <c r="E30" s="538">
        <f>D30-C30</f>
        <v>-312.12739999999985</v>
      </c>
      <c r="N30"/>
      <c r="O30"/>
      <c r="P30"/>
      <c r="Q30"/>
      <c r="R30"/>
      <c r="S30"/>
      <c r="T30"/>
      <c r="U30"/>
      <c r="V30"/>
      <c r="AQ30" s="40"/>
      <c r="AU30" s="28"/>
      <c r="AV30" s="28"/>
      <c r="AW30" s="28"/>
    </row>
    <row r="31" spans="2:49">
      <c r="B31" s="49" t="s">
        <v>79</v>
      </c>
      <c r="C31" s="527">
        <f>SUM(C28:C30)</f>
        <v>1838.0232333333331</v>
      </c>
      <c r="D31" s="527">
        <f>SUM(D28:D30)</f>
        <v>1446.92</v>
      </c>
      <c r="E31" s="538">
        <f>D31-C31</f>
        <v>-391.10323333333304</v>
      </c>
      <c r="N31"/>
      <c r="O31"/>
      <c r="P31"/>
      <c r="Q31"/>
      <c r="R31"/>
      <c r="S31"/>
      <c r="T31"/>
      <c r="U31"/>
      <c r="V31"/>
      <c r="AQ31" s="40"/>
      <c r="AU31" s="28"/>
      <c r="AV31" s="28"/>
      <c r="AW31" s="28"/>
    </row>
    <row r="32" spans="2:49">
      <c r="C32" s="529"/>
      <c r="D32" s="522"/>
      <c r="E32" s="536"/>
      <c r="N32"/>
      <c r="O32"/>
      <c r="P32"/>
      <c r="Q32"/>
      <c r="R32"/>
      <c r="S32"/>
      <c r="T32"/>
      <c r="U32"/>
      <c r="V32"/>
      <c r="AQ32" s="40"/>
      <c r="AU32" s="28"/>
      <c r="AV32" s="28"/>
      <c r="AW32" s="28"/>
    </row>
    <row r="33" spans="2:51">
      <c r="B33" s="1062" t="s">
        <v>794</v>
      </c>
      <c r="C33" s="1063">
        <f>C15+C21+C31+C26</f>
        <v>4394.8077305319111</v>
      </c>
      <c r="D33" s="1063">
        <f>D15+D21+D31+D26</f>
        <v>3195.0148943938602</v>
      </c>
      <c r="E33" s="1064">
        <f>D33-C33</f>
        <v>-1199.7928361380509</v>
      </c>
      <c r="N33"/>
      <c r="O33"/>
      <c r="P33"/>
      <c r="Q33"/>
      <c r="R33"/>
      <c r="S33"/>
      <c r="T33"/>
      <c r="U33"/>
      <c r="V33"/>
      <c r="AQ33" s="40"/>
      <c r="AU33" s="28"/>
      <c r="AV33" s="28"/>
      <c r="AW33" s="28"/>
      <c r="AY33" s="14"/>
    </row>
    <row r="34" spans="2:51">
      <c r="B34" s="49" t="s">
        <v>795</v>
      </c>
      <c r="C34" s="527">
        <f>BILANCIO!Q13</f>
        <v>6916.0041666666675</v>
      </c>
      <c r="D34" s="527">
        <f>BILANCIO!Q13</f>
        <v>6916.0041666666675</v>
      </c>
      <c r="E34" s="538">
        <f>D34-C34</f>
        <v>0</v>
      </c>
      <c r="J34" s="637"/>
      <c r="K34" s="637"/>
      <c r="N34"/>
      <c r="O34"/>
      <c r="P34"/>
      <c r="Q34"/>
      <c r="R34"/>
      <c r="S34"/>
      <c r="T34"/>
      <c r="U34"/>
      <c r="V34"/>
      <c r="AQ34" s="40"/>
      <c r="AS34" s="76"/>
      <c r="AT34" s="76"/>
      <c r="AU34" s="28"/>
      <c r="AV34" s="28"/>
      <c r="AW34" s="28"/>
    </row>
    <row r="35" spans="2:51">
      <c r="B35" s="49" t="s">
        <v>796</v>
      </c>
      <c r="C35" s="527">
        <f>BILANCIO!Q28+BILANCIO!Q63+BILANCIO!Q29+BILANCIO!Q29</f>
        <v>356.47250000000003</v>
      </c>
      <c r="D35" s="527">
        <f>(2430+590)/12</f>
        <v>251.66666666666666</v>
      </c>
      <c r="E35" s="538">
        <f>D35-C35</f>
        <v>-104.80583333333337</v>
      </c>
      <c r="F35" s="9" t="s">
        <v>797</v>
      </c>
      <c r="J35" s="637"/>
      <c r="K35" s="637"/>
      <c r="N35"/>
      <c r="O35"/>
      <c r="P35"/>
      <c r="Q35"/>
      <c r="R35"/>
      <c r="S35"/>
      <c r="T35"/>
      <c r="U35"/>
      <c r="V35"/>
      <c r="AQ35" s="40"/>
      <c r="AS35" s="76"/>
      <c r="AT35" s="76"/>
      <c r="AU35" s="28"/>
      <c r="AV35" s="28"/>
      <c r="AW35" s="28"/>
    </row>
    <row r="36" spans="2:51">
      <c r="H36"/>
      <c r="I36"/>
      <c r="J36"/>
      <c r="K36"/>
      <c r="L36"/>
      <c r="N36"/>
      <c r="O36"/>
      <c r="P36"/>
      <c r="Q36"/>
      <c r="R36"/>
      <c r="S36"/>
      <c r="T36"/>
      <c r="U36"/>
      <c r="V36"/>
      <c r="AQ36" s="40"/>
      <c r="AS36" s="76"/>
      <c r="AT36" s="76"/>
      <c r="AU36" s="28"/>
      <c r="AV36" s="28"/>
      <c r="AW36" s="28"/>
    </row>
    <row r="37" spans="2:51">
      <c r="H37"/>
      <c r="I37"/>
      <c r="J37"/>
      <c r="K37"/>
      <c r="L37"/>
      <c r="N37"/>
      <c r="O37"/>
      <c r="P37"/>
      <c r="Q37"/>
      <c r="R37"/>
      <c r="S37"/>
      <c r="T37"/>
      <c r="U37"/>
      <c r="V37"/>
      <c r="AQ37" s="40"/>
      <c r="AU37" s="28"/>
      <c r="AV37" s="28"/>
      <c r="AW37" s="28"/>
    </row>
    <row r="38" spans="2:51">
      <c r="B38" s="516" t="s">
        <v>798</v>
      </c>
      <c r="C38" s="530">
        <f>C34+C35-C33</f>
        <v>2877.6689361347562</v>
      </c>
      <c r="D38" s="530">
        <f>D34+D35-D33</f>
        <v>3972.6559389394743</v>
      </c>
      <c r="E38" s="539">
        <f>D38-C38</f>
        <v>1094.987002804718</v>
      </c>
      <c r="F38" s="535"/>
      <c r="G38" s="521"/>
      <c r="H38"/>
      <c r="I38"/>
      <c r="J38"/>
      <c r="K38"/>
      <c r="L38"/>
      <c r="N38"/>
      <c r="O38"/>
      <c r="P38"/>
      <c r="Q38"/>
      <c r="R38"/>
      <c r="S38"/>
      <c r="T38"/>
      <c r="U38"/>
      <c r="V38"/>
      <c r="AQ38" s="40"/>
      <c r="AS38" s="76"/>
      <c r="AT38" s="76"/>
      <c r="AU38" s="28"/>
      <c r="AV38" s="28"/>
      <c r="AW38" s="28"/>
    </row>
    <row r="39" spans="2:51">
      <c r="B39" s="49" t="s">
        <v>799</v>
      </c>
      <c r="C39" s="37"/>
      <c r="D39" s="82"/>
      <c r="F39" s="520" t="s">
        <v>794</v>
      </c>
      <c r="G39" s="242">
        <f>SUM(G33:G38)</f>
        <v>0</v>
      </c>
      <c r="H39"/>
      <c r="I39"/>
      <c r="J39"/>
      <c r="K39"/>
      <c r="L39"/>
      <c r="N39"/>
      <c r="O39"/>
      <c r="P39"/>
      <c r="Q39"/>
      <c r="R39"/>
      <c r="S39"/>
      <c r="T39"/>
      <c r="U39"/>
      <c r="V39"/>
      <c r="AQ39" s="40"/>
      <c r="AU39" s="28"/>
      <c r="AV39" s="28"/>
      <c r="AW39" s="28"/>
    </row>
    <row r="40" spans="2:51">
      <c r="B40" s="49" t="s">
        <v>800</v>
      </c>
      <c r="C40" s="37"/>
      <c r="D40" s="84"/>
      <c r="H40"/>
      <c r="I40"/>
      <c r="J40"/>
      <c r="K40"/>
      <c r="L40"/>
      <c r="N40"/>
      <c r="O40"/>
      <c r="P40"/>
      <c r="Q40"/>
      <c r="R40"/>
      <c r="S40"/>
      <c r="T40"/>
      <c r="U40"/>
      <c r="V40"/>
      <c r="AQ40" s="40"/>
      <c r="AU40" s="28"/>
      <c r="AV40" s="28"/>
      <c r="AW40" s="28"/>
    </row>
    <row r="41" spans="2:51">
      <c r="H41"/>
      <c r="I41"/>
      <c r="J41"/>
      <c r="K41"/>
      <c r="L41"/>
      <c r="N41"/>
      <c r="O41"/>
      <c r="P41"/>
      <c r="Q41"/>
      <c r="R41"/>
      <c r="S41"/>
      <c r="T41"/>
      <c r="U41"/>
      <c r="V41"/>
      <c r="AQ41" s="40"/>
      <c r="AU41" s="28"/>
      <c r="AV41" s="28"/>
      <c r="AW41" s="28"/>
    </row>
    <row r="42" spans="2:51">
      <c r="H42"/>
      <c r="I42"/>
      <c r="J42"/>
      <c r="K42"/>
      <c r="L42"/>
      <c r="N42"/>
      <c r="O42"/>
      <c r="P42"/>
      <c r="Q42"/>
      <c r="R42"/>
      <c r="S42"/>
      <c r="T42"/>
      <c r="U42"/>
      <c r="V42"/>
      <c r="AQ42" s="40"/>
      <c r="AS42" s="76"/>
      <c r="AT42" s="76"/>
      <c r="AU42" s="28"/>
      <c r="AV42" s="28"/>
      <c r="AW42" s="28"/>
    </row>
    <row r="43" spans="2:51">
      <c r="H43"/>
      <c r="I43"/>
      <c r="J43"/>
      <c r="K43"/>
      <c r="L43"/>
      <c r="N43"/>
      <c r="O43"/>
      <c r="P43"/>
      <c r="Q43"/>
      <c r="R43"/>
      <c r="S43"/>
      <c r="T43"/>
      <c r="U43"/>
      <c r="V43"/>
      <c r="AQ43" s="40"/>
      <c r="AU43" s="28"/>
      <c r="AV43" s="28"/>
      <c r="AW43" s="28"/>
    </row>
    <row r="44" spans="2:51">
      <c r="H44"/>
      <c r="I44"/>
      <c r="J44"/>
      <c r="K44"/>
      <c r="L44"/>
      <c r="N44"/>
      <c r="O44"/>
      <c r="P44"/>
      <c r="Q44"/>
      <c r="R44"/>
      <c r="S44"/>
      <c r="T44"/>
      <c r="U44"/>
      <c r="V44"/>
      <c r="AQ44" s="40"/>
      <c r="AU44" s="28"/>
      <c r="AV44" s="28"/>
      <c r="AW44" s="28"/>
    </row>
    <row r="45" spans="2:51">
      <c r="B45" s="282" t="s">
        <v>801</v>
      </c>
      <c r="C45" s="515">
        <f>SUM(C46:C50)</f>
        <v>425</v>
      </c>
      <c r="H45"/>
      <c r="I45"/>
      <c r="J45"/>
      <c r="K45"/>
      <c r="L45"/>
      <c r="N45"/>
      <c r="O45"/>
      <c r="P45"/>
      <c r="Q45"/>
      <c r="R45"/>
      <c r="S45"/>
      <c r="T45"/>
      <c r="U45"/>
      <c r="V45"/>
      <c r="AQ45" s="40"/>
      <c r="AU45" s="28"/>
      <c r="AV45" s="28"/>
      <c r="AW45" s="28"/>
    </row>
    <row r="46" spans="2:51">
      <c r="B46" s="266" t="s">
        <v>651</v>
      </c>
      <c r="C46" s="21">
        <v>325</v>
      </c>
      <c r="H46"/>
      <c r="I46"/>
      <c r="J46"/>
      <c r="K46"/>
      <c r="L46"/>
      <c r="N46"/>
      <c r="O46"/>
      <c r="P46"/>
      <c r="Q46"/>
      <c r="R46"/>
      <c r="S46"/>
      <c r="T46"/>
      <c r="U46"/>
      <c r="V46"/>
      <c r="AQ46" s="40"/>
      <c r="AU46" s="28"/>
      <c r="AV46" s="28"/>
      <c r="AW46" s="28"/>
    </row>
    <row r="47" spans="2:51">
      <c r="B47" s="266" t="s">
        <v>375</v>
      </c>
      <c r="C47" s="21">
        <f>150-70+20</f>
        <v>100</v>
      </c>
      <c r="H47"/>
      <c r="I47"/>
      <c r="J47"/>
      <c r="K47"/>
      <c r="L47"/>
      <c r="N47"/>
      <c r="O47"/>
      <c r="P47"/>
      <c r="Q47"/>
      <c r="R47"/>
      <c r="S47"/>
      <c r="T47"/>
      <c r="U47"/>
      <c r="V47"/>
      <c r="AQ47" s="40"/>
      <c r="AU47" s="28"/>
      <c r="AV47" s="28"/>
      <c r="AW47" s="28"/>
    </row>
    <row r="48" spans="2:51">
      <c r="B48" s="266"/>
      <c r="C48" s="21"/>
      <c r="H48"/>
      <c r="I48"/>
      <c r="J48"/>
      <c r="K48"/>
      <c r="L48"/>
      <c r="N48"/>
      <c r="O48"/>
      <c r="P48"/>
      <c r="Q48"/>
      <c r="R48"/>
      <c r="S48"/>
      <c r="T48"/>
      <c r="U48"/>
      <c r="V48"/>
      <c r="AQ48" s="40"/>
      <c r="AU48" s="28"/>
      <c r="AV48" s="28"/>
      <c r="AW48" s="28"/>
    </row>
    <row r="49" spans="2:49">
      <c r="B49" s="266"/>
      <c r="C49" s="21"/>
      <c r="H49"/>
      <c r="I49"/>
      <c r="J49"/>
      <c r="K49"/>
      <c r="L49"/>
      <c r="N49"/>
      <c r="O49"/>
      <c r="P49"/>
      <c r="Q49"/>
      <c r="R49"/>
      <c r="S49"/>
      <c r="T49"/>
      <c r="U49"/>
      <c r="V49"/>
      <c r="AQ49" s="40"/>
      <c r="AU49" s="28"/>
      <c r="AV49" s="28"/>
      <c r="AW49" s="28"/>
    </row>
    <row r="50" spans="2:49">
      <c r="B50" s="266"/>
      <c r="C50" s="21"/>
      <c r="H50"/>
      <c r="I50"/>
      <c r="J50"/>
      <c r="K50"/>
      <c r="L50"/>
      <c r="N50"/>
      <c r="O50"/>
      <c r="P50"/>
      <c r="Q50"/>
      <c r="R50"/>
      <c r="S50"/>
      <c r="T50"/>
      <c r="U50"/>
      <c r="V50"/>
      <c r="AQ50" s="40"/>
      <c r="AS50" s="76"/>
      <c r="AT50" s="76"/>
      <c r="AU50" s="28"/>
      <c r="AV50" s="28"/>
      <c r="AW50" s="28"/>
    </row>
    <row r="51" spans="2:49">
      <c r="C51" s="21"/>
      <c r="H51"/>
      <c r="I51"/>
      <c r="J51"/>
      <c r="K51"/>
      <c r="L51"/>
      <c r="N51"/>
      <c r="O51"/>
      <c r="P51"/>
      <c r="Q51"/>
      <c r="R51"/>
      <c r="S51"/>
      <c r="T51"/>
      <c r="U51"/>
      <c r="V51"/>
      <c r="AQ51" s="40"/>
      <c r="AS51" s="76"/>
      <c r="AT51" s="76"/>
      <c r="AU51" s="28"/>
      <c r="AV51" s="28"/>
      <c r="AW51" s="28"/>
    </row>
    <row r="52" spans="2:49">
      <c r="B52" s="282" t="s">
        <v>802</v>
      </c>
      <c r="C52" s="515">
        <f>SUM(C53:C64)</f>
        <v>0</v>
      </c>
      <c r="H52"/>
      <c r="I52"/>
      <c r="J52"/>
      <c r="K52"/>
      <c r="L52"/>
      <c r="N52"/>
      <c r="O52"/>
      <c r="P52"/>
      <c r="Q52"/>
      <c r="R52"/>
      <c r="S52"/>
      <c r="T52"/>
      <c r="U52"/>
      <c r="V52"/>
      <c r="AQ52" s="40"/>
      <c r="AU52" s="28"/>
      <c r="AV52" s="28"/>
      <c r="AW52" s="28"/>
    </row>
    <row r="53" spans="2:49">
      <c r="B53" s="266"/>
      <c r="C53" s="21"/>
      <c r="H53"/>
      <c r="I53"/>
      <c r="J53"/>
      <c r="K53"/>
      <c r="L53"/>
      <c r="N53"/>
      <c r="O53"/>
      <c r="P53"/>
      <c r="Q53"/>
      <c r="R53"/>
      <c r="S53"/>
      <c r="T53"/>
      <c r="U53"/>
      <c r="V53"/>
      <c r="AQ53" s="40"/>
      <c r="AU53" s="28"/>
      <c r="AV53" s="28"/>
      <c r="AW53" s="28"/>
    </row>
    <row r="54" spans="2:49">
      <c r="B54" s="266"/>
      <c r="C54" s="21"/>
      <c r="H54"/>
      <c r="I54"/>
      <c r="J54"/>
      <c r="K54"/>
      <c r="L54"/>
      <c r="N54"/>
      <c r="O54"/>
      <c r="P54"/>
      <c r="Q54"/>
      <c r="R54"/>
      <c r="S54"/>
      <c r="T54"/>
      <c r="U54"/>
      <c r="V54"/>
      <c r="AQ54" s="40"/>
      <c r="AU54" s="28"/>
      <c r="AV54" s="28"/>
      <c r="AW54" s="28"/>
    </row>
    <row r="55" spans="2:49">
      <c r="B55" s="266"/>
      <c r="C55" s="21"/>
      <c r="H55"/>
      <c r="I55"/>
      <c r="J55"/>
      <c r="K55"/>
      <c r="L55"/>
      <c r="N55"/>
      <c r="O55"/>
      <c r="P55"/>
      <c r="Q55"/>
      <c r="R55"/>
      <c r="S55"/>
      <c r="T55"/>
      <c r="U55"/>
      <c r="V55"/>
      <c r="AQ55" s="40"/>
      <c r="AU55" s="28"/>
      <c r="AV55" s="28"/>
      <c r="AW55" s="28"/>
    </row>
    <row r="56" spans="2:49">
      <c r="B56" s="266"/>
      <c r="H56"/>
      <c r="I56"/>
      <c r="J56"/>
      <c r="K56"/>
      <c r="L56"/>
      <c r="N56"/>
      <c r="O56"/>
      <c r="P56"/>
      <c r="Q56"/>
      <c r="R56"/>
      <c r="S56"/>
      <c r="T56"/>
      <c r="U56"/>
      <c r="V56"/>
      <c r="AQ56" s="40"/>
      <c r="AU56" s="28"/>
      <c r="AV56" s="28"/>
      <c r="AW56" s="28"/>
    </row>
    <row r="57" spans="2:49">
      <c r="B57" s="266"/>
      <c r="H57"/>
      <c r="I57"/>
      <c r="J57"/>
      <c r="K57"/>
      <c r="L57"/>
      <c r="N57"/>
      <c r="O57"/>
      <c r="P57"/>
      <c r="Q57"/>
      <c r="R57"/>
      <c r="S57"/>
      <c r="T57"/>
      <c r="U57"/>
      <c r="V57"/>
      <c r="AQ57" s="40"/>
      <c r="AS57" s="76"/>
      <c r="AT57" s="76"/>
      <c r="AU57" s="28"/>
      <c r="AV57" s="28"/>
      <c r="AW57" s="28"/>
    </row>
    <row r="58" spans="2:49">
      <c r="B58" s="266"/>
      <c r="H58"/>
      <c r="I58"/>
      <c r="J58"/>
      <c r="K58"/>
      <c r="L58"/>
      <c r="N58"/>
      <c r="O58"/>
      <c r="P58"/>
      <c r="Q58"/>
      <c r="R58"/>
      <c r="S58"/>
      <c r="T58"/>
      <c r="U58"/>
      <c r="V58"/>
      <c r="AQ58" s="40"/>
      <c r="AU58" s="28"/>
      <c r="AV58" s="28"/>
      <c r="AW58" s="28"/>
    </row>
    <row r="59" spans="2:49">
      <c r="B59" s="266"/>
      <c r="F59" s="637"/>
      <c r="G59" s="637"/>
      <c r="H59"/>
      <c r="I59"/>
      <c r="J59"/>
      <c r="K59"/>
      <c r="L59"/>
      <c r="N59"/>
      <c r="O59"/>
      <c r="P59"/>
      <c r="Q59"/>
      <c r="R59"/>
      <c r="S59"/>
      <c r="T59"/>
      <c r="U59"/>
      <c r="V59"/>
      <c r="AQ59" s="40"/>
      <c r="AS59" s="76"/>
      <c r="AU59" s="28"/>
      <c r="AV59" s="28"/>
      <c r="AW59" s="28"/>
    </row>
    <row r="60" spans="2:49">
      <c r="B60" s="266"/>
      <c r="F60" s="637"/>
      <c r="G60" s="637"/>
      <c r="H60"/>
      <c r="I60"/>
      <c r="J60"/>
      <c r="K60"/>
      <c r="L60"/>
      <c r="N60"/>
      <c r="O60"/>
      <c r="P60"/>
      <c r="Q60"/>
      <c r="R60"/>
      <c r="S60"/>
      <c r="T60"/>
      <c r="U60"/>
      <c r="V60"/>
      <c r="AQ60" s="40"/>
      <c r="AU60" s="28"/>
      <c r="AV60" s="28"/>
      <c r="AW60" s="28"/>
    </row>
    <row r="61" spans="2:49">
      <c r="B61" s="266"/>
      <c r="H61"/>
      <c r="I61"/>
      <c r="J61"/>
      <c r="K61"/>
      <c r="L61"/>
      <c r="N61"/>
      <c r="O61"/>
      <c r="P61"/>
      <c r="Q61"/>
      <c r="R61"/>
      <c r="S61"/>
      <c r="T61"/>
      <c r="U61"/>
      <c r="V61"/>
      <c r="AQ61" s="40"/>
      <c r="AU61" s="28"/>
      <c r="AV61" s="28"/>
      <c r="AW61" s="28"/>
    </row>
    <row r="62" spans="2:49">
      <c r="B62" s="266"/>
      <c r="F62" s="49"/>
      <c r="G62" s="28"/>
      <c r="H62"/>
      <c r="I62"/>
      <c r="J62"/>
      <c r="K62"/>
      <c r="L62"/>
      <c r="N62"/>
      <c r="O62"/>
      <c r="P62"/>
      <c r="Q62"/>
      <c r="R62"/>
      <c r="S62"/>
      <c r="T62"/>
      <c r="U62"/>
      <c r="V62"/>
      <c r="AQ62" s="40"/>
      <c r="AS62" s="76"/>
      <c r="AT62" s="76"/>
      <c r="AU62" s="28"/>
      <c r="AV62" s="28"/>
      <c r="AW62" s="28"/>
    </row>
    <row r="63" spans="2:49">
      <c r="B63" s="266"/>
      <c r="F63" s="76"/>
      <c r="G63" s="98"/>
      <c r="H63"/>
      <c r="I63"/>
      <c r="J63"/>
      <c r="K63"/>
      <c r="L63"/>
      <c r="N63"/>
      <c r="O63"/>
      <c r="P63"/>
      <c r="Q63"/>
      <c r="R63"/>
      <c r="S63"/>
      <c r="T63"/>
      <c r="U63"/>
      <c r="V63"/>
      <c r="AQ63" s="40"/>
      <c r="AU63" s="28"/>
      <c r="AV63" s="28"/>
      <c r="AW63" s="28"/>
    </row>
    <row r="64" spans="2:49">
      <c r="G64" s="719"/>
      <c r="H64"/>
      <c r="I64"/>
      <c r="J64"/>
      <c r="K64"/>
      <c r="L64"/>
      <c r="N64"/>
      <c r="O64"/>
      <c r="P64"/>
      <c r="Q64"/>
      <c r="R64"/>
      <c r="S64"/>
      <c r="T64"/>
      <c r="U64"/>
      <c r="V64"/>
      <c r="AQ64" s="40"/>
      <c r="AS64" s="76"/>
      <c r="AT64" s="76"/>
      <c r="AU64" s="28"/>
      <c r="AV64" s="28"/>
      <c r="AW64" s="28"/>
    </row>
    <row r="65" spans="2:51">
      <c r="B65" s="9" t="s">
        <v>803</v>
      </c>
      <c r="C65" s="522" t="s">
        <v>804</v>
      </c>
      <c r="D65" s="9" t="s">
        <v>713</v>
      </c>
      <c r="F65" s="76"/>
      <c r="G65" s="98"/>
      <c r="H65"/>
      <c r="I65"/>
      <c r="J65"/>
      <c r="K65"/>
      <c r="L65"/>
      <c r="N65"/>
      <c r="O65"/>
      <c r="P65"/>
      <c r="Q65"/>
      <c r="R65"/>
      <c r="S65"/>
      <c r="T65"/>
      <c r="U65"/>
      <c r="V65"/>
      <c r="AQ65" s="40"/>
      <c r="AU65" s="28"/>
      <c r="AV65" s="28"/>
      <c r="AW65" s="28"/>
      <c r="AY65" s="14"/>
    </row>
    <row r="66" spans="2:51">
      <c r="B66" s="516" t="s">
        <v>794</v>
      </c>
      <c r="C66" s="523">
        <f>SUM(C67:C79)</f>
        <v>0</v>
      </c>
      <c r="D66" s="515">
        <f>SUM(D67:D79)</f>
        <v>0</v>
      </c>
      <c r="G66" s="28"/>
      <c r="H66"/>
      <c r="I66"/>
      <c r="J66"/>
      <c r="K66"/>
      <c r="L66"/>
      <c r="N66"/>
      <c r="O66"/>
      <c r="P66"/>
      <c r="Q66"/>
      <c r="R66"/>
      <c r="S66"/>
      <c r="T66"/>
      <c r="U66"/>
      <c r="V66"/>
      <c r="AQ66" s="40"/>
      <c r="AU66" s="28"/>
      <c r="AV66" s="28"/>
      <c r="AW66" s="28"/>
    </row>
    <row r="67" spans="2:51">
      <c r="B67" s="9" t="s">
        <v>805</v>
      </c>
      <c r="C67" s="525"/>
      <c r="D67" s="28"/>
      <c r="G67" s="607"/>
      <c r="H67"/>
      <c r="I67"/>
      <c r="J67"/>
      <c r="K67"/>
      <c r="L67"/>
      <c r="N67"/>
      <c r="O67"/>
      <c r="P67"/>
      <c r="Q67"/>
      <c r="R67"/>
      <c r="S67"/>
      <c r="T67"/>
      <c r="U67"/>
      <c r="V67"/>
      <c r="AQ67" s="40"/>
      <c r="AU67" s="28"/>
      <c r="AV67" s="28"/>
      <c r="AW67" s="28"/>
    </row>
    <row r="68" spans="2:51">
      <c r="B68" s="9" t="s">
        <v>806</v>
      </c>
      <c r="C68" s="525"/>
      <c r="D68" s="28"/>
      <c r="F68" s="790"/>
      <c r="G68" s="98"/>
      <c r="H68"/>
      <c r="I68"/>
      <c r="J68"/>
      <c r="K68"/>
      <c r="L68"/>
      <c r="N68"/>
      <c r="O68"/>
      <c r="P68"/>
      <c r="Q68"/>
      <c r="R68"/>
      <c r="S68"/>
      <c r="T68"/>
      <c r="U68"/>
      <c r="V68"/>
      <c r="AQ68" s="40"/>
      <c r="AU68" s="28"/>
      <c r="AV68" s="28"/>
      <c r="AW68" s="28"/>
    </row>
    <row r="69" spans="2:51">
      <c r="C69" s="525"/>
      <c r="D69" s="28"/>
      <c r="G69" s="98"/>
      <c r="H69"/>
      <c r="I69"/>
      <c r="J69"/>
      <c r="K69"/>
      <c r="L69"/>
      <c r="N69"/>
      <c r="O69"/>
      <c r="P69"/>
      <c r="Q69"/>
      <c r="R69"/>
      <c r="S69"/>
      <c r="T69"/>
      <c r="U69"/>
      <c r="V69"/>
      <c r="AQ69" s="40"/>
      <c r="AU69" s="28"/>
      <c r="AV69" s="28"/>
      <c r="AW69" s="28"/>
    </row>
    <row r="70" spans="2:51">
      <c r="C70" s="525"/>
      <c r="D70" s="98"/>
      <c r="G70" s="28"/>
      <c r="H70"/>
      <c r="I70"/>
      <c r="J70"/>
      <c r="K70"/>
      <c r="L70"/>
      <c r="N70"/>
      <c r="O70"/>
      <c r="P70"/>
      <c r="Q70"/>
      <c r="R70"/>
      <c r="S70"/>
      <c r="T70"/>
      <c r="U70"/>
      <c r="V70"/>
      <c r="AQ70" s="40"/>
      <c r="AS70" s="76"/>
      <c r="AT70" s="76"/>
      <c r="AU70" s="28"/>
      <c r="AV70" s="28"/>
      <c r="AW70" s="28"/>
    </row>
    <row r="71" spans="2:51">
      <c r="C71" s="525"/>
      <c r="H71"/>
      <c r="I71"/>
      <c r="J71"/>
      <c r="K71"/>
      <c r="L71"/>
      <c r="N71"/>
      <c r="O71"/>
      <c r="P71"/>
      <c r="Q71"/>
      <c r="R71"/>
      <c r="S71"/>
      <c r="T71"/>
      <c r="U71"/>
      <c r="V71"/>
      <c r="AQ71" s="40"/>
      <c r="AU71" s="28"/>
      <c r="AV71" s="28"/>
      <c r="AW71" s="28"/>
    </row>
    <row r="72" spans="2:51">
      <c r="C72" s="525"/>
      <c r="D72" s="28"/>
      <c r="H72"/>
      <c r="I72"/>
      <c r="J72"/>
      <c r="K72"/>
      <c r="L72"/>
      <c r="N72"/>
      <c r="O72"/>
      <c r="P72"/>
      <c r="Q72"/>
      <c r="R72"/>
      <c r="S72"/>
      <c r="T72"/>
      <c r="U72"/>
      <c r="V72"/>
      <c r="AQ72" s="40"/>
      <c r="AU72" s="28"/>
      <c r="AV72" s="28"/>
      <c r="AW72" s="28"/>
    </row>
    <row r="73" spans="2:51">
      <c r="C73" s="540"/>
      <c r="H73"/>
      <c r="I73"/>
      <c r="J73"/>
      <c r="K73"/>
      <c r="L73"/>
      <c r="N73"/>
      <c r="O73"/>
      <c r="P73"/>
      <c r="Q73"/>
      <c r="R73"/>
      <c r="S73"/>
      <c r="T73"/>
      <c r="U73"/>
      <c r="V73"/>
      <c r="AQ73" s="40"/>
      <c r="AS73" s="76"/>
      <c r="AT73" s="76"/>
      <c r="AU73" s="28"/>
      <c r="AV73" s="28"/>
      <c r="AW73" s="28"/>
    </row>
    <row r="74" spans="2:51">
      <c r="C74" s="541"/>
      <c r="H74"/>
      <c r="I74"/>
      <c r="J74"/>
      <c r="K74"/>
      <c r="L74"/>
      <c r="N74"/>
      <c r="O74"/>
      <c r="P74"/>
      <c r="Q74"/>
      <c r="R74"/>
      <c r="S74"/>
      <c r="T74"/>
      <c r="U74"/>
      <c r="V74"/>
      <c r="AQ74" s="40"/>
      <c r="AU74" s="28"/>
      <c r="AV74" s="28"/>
      <c r="AW74" s="28"/>
    </row>
    <row r="75" spans="2:51">
      <c r="C75" s="522"/>
      <c r="H75"/>
      <c r="I75"/>
      <c r="J75"/>
      <c r="K75"/>
      <c r="L75"/>
      <c r="N75"/>
      <c r="O75"/>
      <c r="P75"/>
      <c r="Q75"/>
      <c r="R75"/>
      <c r="S75"/>
      <c r="T75"/>
      <c r="U75"/>
      <c r="V75"/>
      <c r="AQ75" s="40"/>
      <c r="AU75" s="28"/>
      <c r="AV75" s="28"/>
      <c r="AW75" s="28"/>
    </row>
    <row r="76" spans="2:51">
      <c r="C76" s="522"/>
      <c r="N76"/>
      <c r="O76"/>
      <c r="P76"/>
      <c r="Q76"/>
      <c r="R76"/>
      <c r="S76"/>
      <c r="T76"/>
      <c r="U76"/>
      <c r="V76"/>
      <c r="AQ76" s="40"/>
      <c r="AU76" s="28"/>
      <c r="AV76" s="28"/>
      <c r="AW76" s="28"/>
    </row>
    <row r="77" spans="2:51">
      <c r="C77" s="522"/>
      <c r="N77"/>
      <c r="O77"/>
      <c r="P77"/>
      <c r="Q77"/>
      <c r="R77"/>
      <c r="S77"/>
      <c r="T77"/>
      <c r="U77"/>
      <c r="V77"/>
      <c r="AQ77" s="40"/>
      <c r="AU77" s="28"/>
      <c r="AV77" s="28"/>
      <c r="AW77" s="28"/>
    </row>
    <row r="78" spans="2:51">
      <c r="C78" s="522"/>
      <c r="N78"/>
      <c r="O78"/>
      <c r="P78"/>
      <c r="Q78"/>
      <c r="R78"/>
      <c r="S78"/>
      <c r="T78"/>
      <c r="U78"/>
      <c r="V78"/>
      <c r="AQ78" s="40"/>
      <c r="AU78" s="28"/>
      <c r="AV78" s="28"/>
      <c r="AW78" s="28"/>
    </row>
    <row r="79" spans="2:51">
      <c r="C79" s="522"/>
      <c r="N79"/>
      <c r="O79"/>
      <c r="P79"/>
      <c r="Q79"/>
      <c r="R79"/>
      <c r="S79"/>
      <c r="T79"/>
      <c r="U79"/>
      <c r="V79"/>
      <c r="AQ79" s="40"/>
      <c r="AU79" s="28"/>
      <c r="AV79" s="28"/>
      <c r="AW79" s="28"/>
    </row>
    <row r="80" spans="2:51">
      <c r="N80"/>
      <c r="O80"/>
      <c r="P80"/>
      <c r="Q80"/>
      <c r="R80"/>
      <c r="S80"/>
      <c r="T80"/>
      <c r="U80"/>
      <c r="V80"/>
      <c r="AQ80" s="40"/>
      <c r="AU80" s="28"/>
      <c r="AV80" s="28"/>
      <c r="AW80" s="28"/>
    </row>
    <row r="81" spans="14:51">
      <c r="N81"/>
      <c r="O81"/>
      <c r="P81"/>
      <c r="Q81"/>
      <c r="R81"/>
      <c r="S81"/>
      <c r="T81"/>
      <c r="U81"/>
      <c r="V81"/>
      <c r="AQ81" s="40"/>
      <c r="AU81" s="28"/>
      <c r="AV81" s="28"/>
      <c r="AW81" s="28"/>
    </row>
    <row r="82" spans="14:51">
      <c r="N82"/>
      <c r="O82"/>
      <c r="P82"/>
      <c r="Q82"/>
      <c r="R82"/>
      <c r="S82"/>
      <c r="T82"/>
      <c r="U82"/>
      <c r="V82"/>
      <c r="AQ82" s="40"/>
      <c r="AU82" s="28"/>
      <c r="AV82" s="28"/>
      <c r="AW82" s="28"/>
    </row>
    <row r="83" spans="14:51">
      <c r="N83"/>
      <c r="O83"/>
      <c r="P83"/>
      <c r="Q83"/>
      <c r="R83"/>
      <c r="S83"/>
      <c r="T83"/>
      <c r="U83"/>
      <c r="V83"/>
      <c r="AQ83" s="40"/>
      <c r="AU83" s="28"/>
      <c r="AV83" s="28"/>
      <c r="AW83" s="28"/>
    </row>
    <row r="84" spans="14:51">
      <c r="N84"/>
      <c r="O84"/>
      <c r="P84"/>
      <c r="Q84"/>
      <c r="R84"/>
      <c r="S84"/>
      <c r="T84"/>
      <c r="U84"/>
      <c r="V84"/>
      <c r="AQ84" s="40"/>
      <c r="AU84" s="28"/>
      <c r="AV84" s="28"/>
      <c r="AW84" s="28"/>
    </row>
    <row r="85" spans="14:51">
      <c r="N85"/>
      <c r="O85"/>
      <c r="P85"/>
      <c r="Q85"/>
      <c r="R85"/>
      <c r="S85"/>
      <c r="T85"/>
      <c r="U85"/>
      <c r="V85"/>
      <c r="AQ85" s="40"/>
      <c r="AU85" s="28"/>
      <c r="AV85" s="28"/>
      <c r="AW85" s="28"/>
    </row>
    <row r="86" spans="14:51">
      <c r="N86"/>
      <c r="O86"/>
      <c r="P86"/>
      <c r="Q86"/>
      <c r="R86"/>
      <c r="S86"/>
      <c r="T86"/>
      <c r="U86"/>
      <c r="V86"/>
      <c r="AQ86" s="40"/>
      <c r="AU86" s="28"/>
      <c r="AV86" s="28"/>
      <c r="AW86" s="28"/>
    </row>
    <row r="87" spans="14:51">
      <c r="N87"/>
      <c r="O87"/>
      <c r="P87"/>
      <c r="Q87"/>
      <c r="R87"/>
      <c r="S87"/>
      <c r="T87"/>
      <c r="U87"/>
      <c r="V87"/>
      <c r="AQ87" s="40"/>
      <c r="AU87" s="28"/>
      <c r="AV87" s="28"/>
      <c r="AW87" s="28"/>
    </row>
    <row r="88" spans="14:51">
      <c r="N88"/>
      <c r="O88"/>
      <c r="P88"/>
      <c r="Q88"/>
      <c r="R88"/>
      <c r="S88"/>
      <c r="T88"/>
      <c r="U88"/>
      <c r="V88"/>
      <c r="AQ88" s="40"/>
      <c r="AU88" s="28"/>
      <c r="AV88" s="28"/>
      <c r="AW88" s="28"/>
    </row>
    <row r="89" spans="14:51">
      <c r="N89"/>
      <c r="O89"/>
      <c r="P89"/>
      <c r="Q89"/>
      <c r="R89"/>
      <c r="S89"/>
      <c r="T89"/>
      <c r="U89"/>
      <c r="V89"/>
      <c r="AQ89" s="40"/>
      <c r="AU89" s="28"/>
      <c r="AV89" s="28"/>
      <c r="AW89" s="28"/>
    </row>
    <row r="90" spans="14:51">
      <c r="N90"/>
      <c r="O90"/>
      <c r="P90"/>
      <c r="Q90"/>
      <c r="R90"/>
      <c r="S90"/>
      <c r="T90"/>
      <c r="U90"/>
      <c r="V90"/>
      <c r="AQ90" s="40"/>
      <c r="AU90" s="28"/>
      <c r="AV90" s="28"/>
      <c r="AW90" s="28"/>
    </row>
    <row r="91" spans="14:51">
      <c r="N91"/>
      <c r="O91"/>
      <c r="P91"/>
      <c r="Q91"/>
      <c r="R91"/>
      <c r="S91"/>
      <c r="T91"/>
      <c r="U91"/>
      <c r="V91"/>
      <c r="AQ91" s="40"/>
      <c r="AU91" s="28"/>
      <c r="AV91" s="28"/>
      <c r="AW91" s="28"/>
    </row>
    <row r="92" spans="14:51">
      <c r="N92"/>
      <c r="O92"/>
      <c r="P92"/>
      <c r="Q92"/>
      <c r="R92"/>
      <c r="S92"/>
      <c r="T92"/>
      <c r="U92"/>
      <c r="V92"/>
      <c r="AQ92" s="40"/>
      <c r="AU92" s="28"/>
      <c r="AV92" s="28"/>
      <c r="AW92" s="28"/>
    </row>
    <row r="93" spans="14:51">
      <c r="N93"/>
      <c r="O93"/>
      <c r="P93"/>
      <c r="Q93"/>
      <c r="R93"/>
      <c r="S93"/>
      <c r="T93"/>
      <c r="U93"/>
      <c r="V93"/>
      <c r="AQ93" s="40"/>
      <c r="AU93" s="28"/>
      <c r="AV93" s="28"/>
      <c r="AW93" s="28"/>
    </row>
    <row r="94" spans="14:51">
      <c r="N94"/>
      <c r="O94"/>
      <c r="P94"/>
      <c r="Q94"/>
      <c r="R94"/>
      <c r="S94"/>
      <c r="T94"/>
      <c r="U94"/>
      <c r="V94"/>
      <c r="AQ94" s="40"/>
      <c r="AU94" s="28"/>
      <c r="AV94" s="28"/>
      <c r="AW94" s="28"/>
    </row>
    <row r="95" spans="14:51">
      <c r="N95"/>
      <c r="O95"/>
      <c r="P95"/>
      <c r="Q95"/>
      <c r="R95"/>
      <c r="S95"/>
      <c r="T95"/>
      <c r="U95"/>
      <c r="V95"/>
      <c r="AQ95" s="40"/>
      <c r="AU95" s="28"/>
      <c r="AV95" s="28"/>
      <c r="AW95" s="28"/>
      <c r="AY95" s="14"/>
    </row>
    <row r="96" spans="14:51">
      <c r="N96"/>
      <c r="O96"/>
      <c r="P96"/>
      <c r="Q96"/>
      <c r="R96"/>
      <c r="S96"/>
      <c r="T96"/>
      <c r="U96"/>
      <c r="V96"/>
      <c r="AQ96" s="40"/>
      <c r="AU96" s="28"/>
      <c r="AV96" s="28"/>
      <c r="AW96" s="28"/>
    </row>
    <row r="97" spans="14:49">
      <c r="N97"/>
      <c r="O97"/>
      <c r="P97"/>
      <c r="Q97"/>
      <c r="R97"/>
      <c r="S97"/>
      <c r="T97"/>
      <c r="U97"/>
      <c r="V97"/>
      <c r="AQ97" s="40"/>
      <c r="AS97" s="76"/>
      <c r="AT97" s="76"/>
      <c r="AU97" s="28"/>
      <c r="AV97" s="28"/>
      <c r="AW97" s="28"/>
    </row>
    <row r="98" spans="14:49">
      <c r="N98"/>
      <c r="O98"/>
      <c r="P98"/>
      <c r="Q98"/>
      <c r="R98"/>
      <c r="S98"/>
      <c r="T98"/>
      <c r="U98"/>
      <c r="V98"/>
      <c r="AQ98" s="40"/>
      <c r="AU98" s="28"/>
      <c r="AV98" s="28"/>
      <c r="AW98" s="28"/>
    </row>
    <row r="99" spans="14:49">
      <c r="N99"/>
      <c r="O99"/>
      <c r="P99"/>
      <c r="Q99"/>
      <c r="R99"/>
      <c r="S99"/>
      <c r="T99"/>
      <c r="U99"/>
      <c r="V99"/>
      <c r="AQ99" s="40"/>
      <c r="AU99" s="28"/>
      <c r="AV99" s="28"/>
      <c r="AW99" s="28"/>
    </row>
    <row r="100" spans="14:49">
      <c r="N100"/>
      <c r="O100"/>
      <c r="P100"/>
      <c r="Q100"/>
      <c r="R100"/>
      <c r="S100"/>
      <c r="T100"/>
      <c r="U100"/>
      <c r="V100"/>
      <c r="AQ100" s="40"/>
      <c r="AU100" s="28"/>
      <c r="AV100" s="28"/>
      <c r="AW100" s="28"/>
    </row>
    <row r="101" spans="14:49">
      <c r="N101"/>
      <c r="O101"/>
      <c r="P101"/>
      <c r="Q101"/>
      <c r="R101"/>
      <c r="S101"/>
      <c r="T101"/>
      <c r="U101"/>
      <c r="V101"/>
      <c r="AQ101" s="40"/>
      <c r="AU101" s="28"/>
      <c r="AV101" s="28"/>
      <c r="AW101" s="28"/>
    </row>
    <row r="102" spans="14:49">
      <c r="N102"/>
      <c r="O102"/>
      <c r="P102"/>
      <c r="Q102"/>
      <c r="R102"/>
      <c r="S102"/>
      <c r="T102"/>
      <c r="U102"/>
      <c r="V102"/>
      <c r="AQ102" s="40"/>
      <c r="AS102" s="76"/>
      <c r="AT102" s="76"/>
      <c r="AU102" s="28"/>
      <c r="AV102" s="28"/>
      <c r="AW102" s="28"/>
    </row>
    <row r="103" spans="14:49">
      <c r="N103"/>
      <c r="O103"/>
      <c r="P103"/>
      <c r="Q103"/>
      <c r="R103"/>
      <c r="S103"/>
      <c r="T103"/>
      <c r="U103"/>
      <c r="V103"/>
      <c r="AQ103" s="40"/>
      <c r="AU103" s="28"/>
      <c r="AV103" s="28"/>
      <c r="AW103" s="28"/>
    </row>
    <row r="104" spans="14:49">
      <c r="N104"/>
      <c r="O104"/>
      <c r="P104"/>
      <c r="Q104"/>
      <c r="R104"/>
      <c r="S104"/>
      <c r="T104"/>
      <c r="U104"/>
      <c r="V104"/>
      <c r="AQ104" s="40"/>
      <c r="AU104" s="28"/>
      <c r="AV104" s="28"/>
      <c r="AW104" s="28"/>
    </row>
    <row r="105" spans="14:49">
      <c r="N105"/>
      <c r="O105"/>
      <c r="P105"/>
      <c r="Q105"/>
      <c r="R105"/>
      <c r="S105"/>
      <c r="T105"/>
      <c r="U105"/>
      <c r="V105"/>
      <c r="AQ105" s="40"/>
      <c r="AS105" s="76"/>
      <c r="AT105" s="76"/>
      <c r="AU105" s="28"/>
      <c r="AV105" s="28"/>
      <c r="AW105" s="28"/>
    </row>
    <row r="106" spans="14:49">
      <c r="N106"/>
      <c r="O106"/>
      <c r="P106"/>
      <c r="Q106"/>
      <c r="R106"/>
      <c r="S106"/>
      <c r="T106"/>
      <c r="U106"/>
      <c r="V106"/>
      <c r="AQ106" s="40"/>
      <c r="AU106" s="28"/>
      <c r="AV106" s="28"/>
      <c r="AW106" s="28"/>
    </row>
    <row r="107" spans="14:49">
      <c r="N107"/>
      <c r="O107"/>
      <c r="P107"/>
      <c r="Q107"/>
      <c r="R107"/>
      <c r="S107"/>
      <c r="T107"/>
      <c r="U107"/>
      <c r="V107"/>
      <c r="AQ107" s="40"/>
      <c r="AU107" s="28"/>
      <c r="AV107" s="28"/>
      <c r="AW107" s="28"/>
    </row>
    <row r="108" spans="14:49">
      <c r="N108"/>
      <c r="O108"/>
      <c r="P108"/>
      <c r="Q108"/>
      <c r="R108"/>
      <c r="S108"/>
      <c r="T108"/>
      <c r="U108"/>
      <c r="V108"/>
      <c r="AQ108" s="40"/>
      <c r="AU108" s="28"/>
      <c r="AV108" s="28"/>
      <c r="AW108" s="28"/>
    </row>
    <row r="109" spans="14:49">
      <c r="N109"/>
      <c r="O109"/>
      <c r="P109"/>
      <c r="Q109"/>
      <c r="R109"/>
      <c r="S109"/>
      <c r="T109"/>
      <c r="U109"/>
      <c r="V109"/>
      <c r="AQ109" s="40"/>
      <c r="AU109" s="28"/>
      <c r="AV109" s="28"/>
      <c r="AW109" s="28"/>
    </row>
    <row r="110" spans="14:49">
      <c r="N110"/>
      <c r="O110"/>
      <c r="P110"/>
      <c r="Q110"/>
      <c r="R110"/>
      <c r="S110"/>
      <c r="T110"/>
      <c r="U110"/>
      <c r="V110"/>
      <c r="AQ110" s="40"/>
      <c r="AU110" s="28"/>
      <c r="AV110" s="28"/>
      <c r="AW110" s="28"/>
    </row>
    <row r="111" spans="14:49">
      <c r="N111"/>
      <c r="O111"/>
      <c r="P111"/>
      <c r="Q111"/>
      <c r="R111"/>
      <c r="S111"/>
      <c r="T111"/>
      <c r="U111"/>
      <c r="V111"/>
      <c r="AQ111" s="40"/>
      <c r="AU111" s="28"/>
      <c r="AV111" s="28"/>
      <c r="AW111" s="28"/>
    </row>
    <row r="112" spans="14:49">
      <c r="N112"/>
      <c r="O112"/>
      <c r="P112"/>
      <c r="Q112"/>
      <c r="R112"/>
      <c r="S112"/>
      <c r="T112"/>
      <c r="U112"/>
      <c r="V112"/>
      <c r="AQ112" s="40"/>
      <c r="AS112" s="76"/>
      <c r="AT112" s="76"/>
      <c r="AU112" s="28"/>
      <c r="AV112" s="28"/>
      <c r="AW112" s="28"/>
    </row>
    <row r="113" spans="14:51">
      <c r="N113"/>
      <c r="O113"/>
      <c r="P113"/>
      <c r="Q113"/>
      <c r="R113"/>
      <c r="S113"/>
      <c r="T113"/>
      <c r="U113"/>
      <c r="V113"/>
      <c r="AQ113" s="40"/>
      <c r="AS113" s="76"/>
      <c r="AT113" s="76"/>
      <c r="AU113" s="28"/>
      <c r="AV113" s="28"/>
      <c r="AW113" s="28"/>
    </row>
    <row r="114" spans="14:51">
      <c r="N114"/>
      <c r="O114"/>
      <c r="P114"/>
      <c r="Q114"/>
      <c r="R114"/>
      <c r="S114"/>
      <c r="T114"/>
      <c r="U114"/>
      <c r="V114"/>
      <c r="AQ114" s="40"/>
      <c r="AU114" s="28"/>
      <c r="AV114" s="28"/>
      <c r="AW114" s="28"/>
    </row>
    <row r="115" spans="14:51">
      <c r="N115"/>
      <c r="O115"/>
      <c r="P115"/>
      <c r="Q115"/>
      <c r="R115"/>
      <c r="S115"/>
      <c r="T115"/>
      <c r="U115"/>
      <c r="V115"/>
      <c r="AQ115" s="40"/>
      <c r="AU115" s="28"/>
      <c r="AV115" s="28"/>
      <c r="AW115" s="28"/>
    </row>
    <row r="116" spans="14:51">
      <c r="N116"/>
      <c r="O116"/>
      <c r="P116"/>
      <c r="Q116"/>
      <c r="R116"/>
      <c r="S116"/>
      <c r="T116"/>
      <c r="U116"/>
      <c r="V116"/>
      <c r="AQ116" s="40"/>
      <c r="AU116" s="28"/>
      <c r="AV116" s="28"/>
      <c r="AW116" s="28"/>
    </row>
    <row r="117" spans="14:51">
      <c r="N117"/>
      <c r="O117"/>
      <c r="P117"/>
      <c r="Q117"/>
      <c r="R117"/>
      <c r="S117"/>
      <c r="T117"/>
      <c r="U117"/>
      <c r="V117"/>
      <c r="AQ117" s="40"/>
      <c r="AU117" s="28"/>
      <c r="AV117" s="28"/>
      <c r="AW117" s="28"/>
    </row>
    <row r="118" spans="14:51">
      <c r="N118"/>
      <c r="O118"/>
      <c r="P118"/>
      <c r="Q118"/>
      <c r="R118"/>
      <c r="S118"/>
      <c r="T118"/>
      <c r="U118"/>
      <c r="V118"/>
      <c r="AQ118" s="40"/>
      <c r="AS118" s="76"/>
      <c r="AT118" s="76"/>
      <c r="AU118" s="28"/>
      <c r="AV118" s="28"/>
      <c r="AW118" s="28"/>
    </row>
    <row r="119" spans="14:51">
      <c r="N119"/>
      <c r="O119"/>
      <c r="P119"/>
      <c r="Q119"/>
      <c r="R119"/>
      <c r="S119"/>
      <c r="T119"/>
      <c r="U119"/>
      <c r="V119"/>
      <c r="AQ119" s="40"/>
      <c r="AS119" s="76"/>
      <c r="AT119" s="76"/>
      <c r="AU119" s="28"/>
      <c r="AV119" s="28"/>
      <c r="AW119" s="28"/>
    </row>
    <row r="120" spans="14:51">
      <c r="N120"/>
      <c r="O120"/>
      <c r="P120"/>
      <c r="Q120"/>
      <c r="R120"/>
      <c r="S120"/>
      <c r="T120"/>
      <c r="U120"/>
      <c r="V120"/>
      <c r="AQ120" s="40"/>
      <c r="AS120" s="76"/>
      <c r="AT120" s="76"/>
      <c r="AU120" s="28"/>
      <c r="AV120" s="28"/>
      <c r="AW120" s="28"/>
    </row>
    <row r="121" spans="14:51">
      <c r="N121"/>
      <c r="O121"/>
      <c r="P121"/>
      <c r="Q121"/>
      <c r="R121"/>
      <c r="S121"/>
      <c r="T121"/>
      <c r="U121"/>
      <c r="V121"/>
      <c r="AQ121" s="40"/>
      <c r="AU121" s="28"/>
      <c r="AV121" s="28"/>
      <c r="AW121" s="28"/>
    </row>
    <row r="122" spans="14:51">
      <c r="N122"/>
      <c r="O122"/>
      <c r="P122"/>
      <c r="Q122"/>
      <c r="R122"/>
      <c r="S122"/>
      <c r="T122"/>
      <c r="U122"/>
      <c r="V122"/>
      <c r="AQ122" s="40"/>
      <c r="AU122" s="28"/>
      <c r="AV122" s="28"/>
      <c r="AW122" s="28"/>
    </row>
    <row r="123" spans="14:51">
      <c r="N123"/>
      <c r="O123"/>
      <c r="P123"/>
      <c r="Q123"/>
      <c r="R123"/>
      <c r="S123"/>
      <c r="T123"/>
      <c r="U123"/>
      <c r="V123"/>
      <c r="AQ123" s="40"/>
      <c r="AU123" s="28"/>
      <c r="AV123" s="28"/>
      <c r="AW123" s="28"/>
    </row>
    <row r="124" spans="14:51">
      <c r="N124"/>
      <c r="O124"/>
      <c r="P124"/>
      <c r="Q124"/>
      <c r="R124"/>
      <c r="S124"/>
      <c r="T124"/>
      <c r="U124"/>
      <c r="V124"/>
      <c r="AQ124" s="40"/>
      <c r="AU124" s="28"/>
      <c r="AV124" s="28"/>
      <c r="AW124" s="28"/>
    </row>
    <row r="125" spans="14:51">
      <c r="N125"/>
      <c r="O125"/>
      <c r="P125"/>
      <c r="Q125"/>
      <c r="R125"/>
      <c r="S125"/>
      <c r="T125"/>
      <c r="U125"/>
      <c r="V125"/>
      <c r="AQ125" s="40"/>
      <c r="AU125" s="28"/>
      <c r="AV125" s="28"/>
      <c r="AW125" s="28"/>
    </row>
    <row r="126" spans="14:51">
      <c r="N126"/>
      <c r="O126"/>
      <c r="P126"/>
      <c r="Q126"/>
      <c r="R126"/>
      <c r="S126"/>
      <c r="T126"/>
      <c r="U126"/>
      <c r="V126"/>
      <c r="AQ126" s="40"/>
      <c r="AU126" s="28"/>
      <c r="AV126" s="28"/>
      <c r="AW126" s="28"/>
      <c r="AY126" s="14"/>
    </row>
    <row r="127" spans="14:51">
      <c r="N127"/>
      <c r="O127"/>
      <c r="P127"/>
      <c r="Q127"/>
      <c r="R127"/>
      <c r="S127"/>
      <c r="T127"/>
      <c r="U127"/>
      <c r="V127"/>
      <c r="AQ127" s="40"/>
      <c r="AS127" s="76"/>
      <c r="AT127" s="76"/>
      <c r="AU127" s="28"/>
      <c r="AV127" s="28"/>
      <c r="AW127" s="28"/>
    </row>
    <row r="128" spans="14:51">
      <c r="N128"/>
      <c r="O128"/>
      <c r="P128"/>
      <c r="Q128"/>
      <c r="R128"/>
      <c r="S128"/>
      <c r="T128"/>
      <c r="U128"/>
      <c r="V128"/>
      <c r="AQ128" s="40"/>
      <c r="AU128" s="28"/>
      <c r="AV128" s="28"/>
      <c r="AW128" s="28"/>
    </row>
    <row r="129" spans="14:49">
      <c r="N129"/>
      <c r="O129"/>
      <c r="P129"/>
      <c r="Q129"/>
      <c r="R129"/>
      <c r="S129"/>
      <c r="T129"/>
      <c r="U129"/>
      <c r="V129"/>
      <c r="AQ129" s="40"/>
      <c r="AU129" s="28"/>
      <c r="AV129" s="28"/>
      <c r="AW129" s="28"/>
    </row>
    <row r="130" spans="14:49">
      <c r="N130"/>
      <c r="O130"/>
      <c r="P130"/>
      <c r="Q130"/>
      <c r="R130"/>
      <c r="S130"/>
      <c r="T130"/>
      <c r="U130"/>
      <c r="V130"/>
      <c r="AQ130" s="40"/>
      <c r="AU130" s="28"/>
      <c r="AV130" s="28"/>
      <c r="AW130" s="28"/>
    </row>
    <row r="131" spans="14:49">
      <c r="N131"/>
      <c r="O131"/>
      <c r="P131"/>
      <c r="Q131"/>
      <c r="R131"/>
      <c r="S131"/>
      <c r="T131"/>
      <c r="U131"/>
      <c r="V131"/>
      <c r="AQ131" s="40"/>
      <c r="AS131" s="76"/>
      <c r="AT131" s="76"/>
      <c r="AU131" s="28"/>
      <c r="AV131" s="28"/>
      <c r="AW131" s="28"/>
    </row>
    <row r="132" spans="14:49">
      <c r="N132"/>
      <c r="O132"/>
      <c r="P132"/>
      <c r="Q132"/>
      <c r="R132"/>
      <c r="S132"/>
      <c r="T132"/>
      <c r="U132"/>
      <c r="V132"/>
      <c r="AQ132" s="40"/>
      <c r="AU132" s="28"/>
      <c r="AV132" s="28"/>
      <c r="AW132" s="28"/>
    </row>
    <row r="133" spans="14:49">
      <c r="N133"/>
      <c r="O133"/>
      <c r="P133"/>
      <c r="Q133"/>
      <c r="R133"/>
      <c r="S133"/>
      <c r="T133"/>
      <c r="U133"/>
      <c r="V133"/>
      <c r="AQ133" s="40"/>
      <c r="AU133" s="28"/>
      <c r="AV133" s="28"/>
      <c r="AW133" s="28"/>
    </row>
    <row r="134" spans="14:49">
      <c r="N134"/>
      <c r="O134"/>
      <c r="P134"/>
      <c r="Q134"/>
      <c r="R134"/>
      <c r="S134"/>
      <c r="T134"/>
      <c r="U134"/>
      <c r="V134"/>
      <c r="AQ134" s="40"/>
      <c r="AU134" s="28"/>
      <c r="AV134" s="28"/>
      <c r="AW134" s="28"/>
    </row>
    <row r="135" spans="14:49">
      <c r="N135"/>
      <c r="O135"/>
      <c r="P135"/>
      <c r="Q135"/>
      <c r="R135"/>
      <c r="S135"/>
      <c r="T135"/>
      <c r="U135"/>
      <c r="V135"/>
      <c r="AQ135" s="40"/>
      <c r="AU135" s="28"/>
      <c r="AV135" s="28"/>
      <c r="AW135" s="28"/>
    </row>
    <row r="136" spans="14:49">
      <c r="N136"/>
      <c r="O136"/>
      <c r="P136"/>
      <c r="Q136"/>
      <c r="R136"/>
      <c r="S136"/>
      <c r="T136"/>
      <c r="U136"/>
      <c r="V136"/>
      <c r="AQ136" s="40"/>
      <c r="AS136" s="76"/>
      <c r="AT136" s="76"/>
      <c r="AU136" s="28"/>
      <c r="AV136" s="28"/>
      <c r="AW136" s="28"/>
    </row>
    <row r="137" spans="14:49">
      <c r="N137"/>
      <c r="O137"/>
      <c r="P137"/>
      <c r="Q137"/>
      <c r="R137"/>
      <c r="S137"/>
      <c r="T137"/>
      <c r="U137"/>
      <c r="V137"/>
      <c r="AQ137" s="40"/>
      <c r="AU137" s="28"/>
      <c r="AV137" s="28"/>
      <c r="AW137" s="28"/>
    </row>
    <row r="138" spans="14:49">
      <c r="N138"/>
      <c r="O138"/>
      <c r="P138"/>
      <c r="Q138"/>
      <c r="R138"/>
      <c r="S138"/>
      <c r="T138"/>
      <c r="U138"/>
      <c r="V138"/>
      <c r="AQ138" s="40"/>
      <c r="AU138" s="28"/>
      <c r="AV138" s="28"/>
      <c r="AW138" s="28"/>
    </row>
    <row r="139" spans="14:49">
      <c r="N139"/>
      <c r="O139"/>
      <c r="P139"/>
      <c r="Q139"/>
      <c r="R139"/>
      <c r="S139"/>
      <c r="T139"/>
      <c r="U139"/>
      <c r="V139"/>
      <c r="AQ139" s="40"/>
      <c r="AT139" s="88"/>
      <c r="AU139" s="28"/>
      <c r="AV139" s="28"/>
      <c r="AW139" s="28"/>
    </row>
    <row r="140" spans="14:49">
      <c r="N140"/>
      <c r="O140"/>
      <c r="P140"/>
      <c r="Q140"/>
      <c r="R140"/>
      <c r="S140"/>
      <c r="T140"/>
      <c r="U140"/>
      <c r="V140"/>
      <c r="AQ140" s="40"/>
      <c r="AS140" s="76"/>
      <c r="AT140" s="76"/>
      <c r="AU140" s="28"/>
      <c r="AV140" s="28"/>
      <c r="AW140" s="28"/>
    </row>
    <row r="141" spans="14:49">
      <c r="N141"/>
      <c r="O141"/>
      <c r="P141"/>
      <c r="Q141"/>
      <c r="R141"/>
      <c r="S141"/>
      <c r="T141"/>
      <c r="U141"/>
      <c r="V141"/>
      <c r="AQ141" s="40"/>
      <c r="AU141" s="28"/>
      <c r="AV141" s="28"/>
      <c r="AW141" s="28"/>
    </row>
    <row r="142" spans="14:49">
      <c r="N142"/>
      <c r="O142"/>
      <c r="P142"/>
      <c r="Q142"/>
      <c r="R142"/>
      <c r="S142"/>
      <c r="T142"/>
      <c r="U142"/>
      <c r="V142"/>
      <c r="AQ142" s="40"/>
      <c r="AU142" s="28"/>
      <c r="AV142" s="28"/>
      <c r="AW142" s="28"/>
    </row>
    <row r="143" spans="14:49">
      <c r="N143"/>
      <c r="O143"/>
      <c r="P143"/>
      <c r="Q143"/>
      <c r="R143"/>
      <c r="S143"/>
      <c r="T143"/>
      <c r="U143"/>
      <c r="V143"/>
      <c r="AQ143" s="40"/>
      <c r="AU143" s="28"/>
      <c r="AV143" s="28"/>
      <c r="AW143" s="28"/>
    </row>
    <row r="144" spans="14:49">
      <c r="N144"/>
      <c r="O144"/>
      <c r="P144"/>
      <c r="Q144"/>
      <c r="R144"/>
      <c r="S144"/>
      <c r="T144"/>
      <c r="U144"/>
      <c r="V144"/>
      <c r="AQ144" s="40"/>
      <c r="AU144" s="28"/>
      <c r="AV144" s="28"/>
      <c r="AW144" s="28"/>
    </row>
    <row r="145" spans="14:51">
      <c r="N145"/>
      <c r="O145"/>
      <c r="P145"/>
      <c r="Q145"/>
      <c r="R145"/>
      <c r="S145"/>
      <c r="T145"/>
      <c r="U145"/>
      <c r="V145"/>
      <c r="AQ145" s="40"/>
      <c r="AU145" s="28"/>
      <c r="AV145" s="28"/>
      <c r="AW145" s="28"/>
    </row>
    <row r="146" spans="14:51">
      <c r="N146"/>
      <c r="O146"/>
      <c r="P146"/>
      <c r="Q146"/>
      <c r="R146"/>
      <c r="S146"/>
      <c r="T146"/>
      <c r="U146"/>
      <c r="V146"/>
      <c r="AQ146" s="40"/>
      <c r="AS146" s="76"/>
      <c r="AT146" s="76"/>
      <c r="AU146" s="28"/>
      <c r="AV146" s="28"/>
      <c r="AW146" s="28"/>
    </row>
    <row r="147" spans="14:51">
      <c r="N147"/>
      <c r="O147"/>
      <c r="P147"/>
      <c r="Q147"/>
      <c r="R147"/>
      <c r="S147"/>
      <c r="T147"/>
      <c r="U147"/>
      <c r="V147"/>
      <c r="AQ147" s="40"/>
      <c r="AU147" s="28"/>
      <c r="AV147" s="28"/>
      <c r="AW147" s="28"/>
    </row>
    <row r="148" spans="14:51">
      <c r="N148"/>
      <c r="O148"/>
      <c r="P148"/>
      <c r="Q148"/>
      <c r="R148"/>
      <c r="S148"/>
      <c r="T148"/>
      <c r="U148"/>
      <c r="V148"/>
      <c r="AQ148" s="40"/>
      <c r="AU148" s="28"/>
      <c r="AV148" s="28"/>
      <c r="AW148" s="28"/>
    </row>
    <row r="149" spans="14:51">
      <c r="N149"/>
      <c r="O149"/>
      <c r="P149"/>
      <c r="Q149"/>
      <c r="R149"/>
      <c r="S149"/>
      <c r="T149"/>
      <c r="U149"/>
      <c r="V149"/>
      <c r="AQ149" s="40"/>
      <c r="AU149" s="28"/>
      <c r="AV149" s="28"/>
      <c r="AW149" s="28"/>
    </row>
    <row r="150" spans="14:51">
      <c r="AQ150" s="40"/>
      <c r="AU150" s="28"/>
      <c r="AV150" s="28"/>
      <c r="AW150" s="28"/>
    </row>
    <row r="151" spans="14:51">
      <c r="AQ151" s="40"/>
      <c r="AU151" s="28"/>
      <c r="AV151" s="28"/>
      <c r="AW151" s="28"/>
    </row>
    <row r="152" spans="14:51">
      <c r="AQ152" s="40"/>
      <c r="AU152" s="28"/>
      <c r="AV152" s="28"/>
      <c r="AW152" s="28"/>
    </row>
    <row r="153" spans="14:51">
      <c r="AQ153" s="40"/>
      <c r="AU153" s="28"/>
      <c r="AV153" s="28"/>
      <c r="AW153" s="28"/>
    </row>
    <row r="154" spans="14:51">
      <c r="AQ154" s="40"/>
      <c r="AS154" s="76"/>
      <c r="AT154" s="76"/>
      <c r="AU154" s="28"/>
      <c r="AV154" s="28"/>
      <c r="AW154" s="28"/>
    </row>
    <row r="155" spans="14:51">
      <c r="AQ155" s="40"/>
      <c r="AS155" s="76"/>
      <c r="AT155" s="76"/>
      <c r="AU155" s="28"/>
      <c r="AV155" s="28"/>
      <c r="AW155" s="28"/>
    </row>
    <row r="156" spans="14:51">
      <c r="AQ156" s="40"/>
      <c r="AU156" s="28"/>
      <c r="AV156" s="28"/>
      <c r="AW156" s="28"/>
      <c r="AY156" s="14"/>
    </row>
    <row r="157" spans="14:51">
      <c r="AQ157" s="40"/>
      <c r="AU157" s="28"/>
      <c r="AV157" s="28"/>
      <c r="AW157" s="28"/>
    </row>
    <row r="158" spans="14:51">
      <c r="AQ158" s="40"/>
      <c r="AS158" s="76"/>
      <c r="AT158" s="76"/>
      <c r="AU158" s="28"/>
      <c r="AV158" s="28"/>
      <c r="AW158" s="28"/>
    </row>
    <row r="159" spans="14:51">
      <c r="AQ159" s="40"/>
      <c r="AU159" s="28"/>
      <c r="AV159" s="28"/>
      <c r="AW159" s="28"/>
    </row>
    <row r="160" spans="14:51">
      <c r="AQ160" s="40"/>
      <c r="AU160" s="28"/>
      <c r="AV160" s="28"/>
      <c r="AW160" s="28"/>
    </row>
    <row r="161" spans="43:49">
      <c r="AQ161" s="40"/>
      <c r="AU161" s="28"/>
      <c r="AV161" s="28"/>
      <c r="AW161" s="28"/>
    </row>
    <row r="162" spans="43:49">
      <c r="AQ162" s="40"/>
      <c r="AU162" s="28"/>
      <c r="AV162" s="28"/>
      <c r="AW162" s="28"/>
    </row>
    <row r="163" spans="43:49">
      <c r="AQ163" s="40"/>
      <c r="AU163" s="28"/>
      <c r="AV163" s="28"/>
      <c r="AW163" s="28"/>
    </row>
    <row r="164" spans="43:49">
      <c r="AQ164" s="40"/>
      <c r="AS164" s="76"/>
      <c r="AT164" s="76"/>
      <c r="AU164" s="28"/>
      <c r="AV164" s="28"/>
      <c r="AW164" s="28"/>
    </row>
    <row r="165" spans="43:49">
      <c r="AQ165" s="40"/>
      <c r="AU165" s="28"/>
      <c r="AV165" s="28"/>
      <c r="AW165" s="28"/>
    </row>
    <row r="166" spans="43:49">
      <c r="AQ166" s="40"/>
      <c r="AS166" s="76"/>
      <c r="AT166" s="76"/>
      <c r="AU166" s="28"/>
      <c r="AV166" s="28"/>
      <c r="AW166" s="28"/>
    </row>
    <row r="167" spans="43:49">
      <c r="AQ167" s="40"/>
      <c r="AS167" s="76"/>
      <c r="AT167" s="76"/>
      <c r="AU167" s="28"/>
      <c r="AV167" s="28"/>
      <c r="AW167" s="28"/>
    </row>
    <row r="168" spans="43:49">
      <c r="AQ168" s="40"/>
      <c r="AU168" s="28"/>
      <c r="AV168" s="28"/>
      <c r="AW168" s="28"/>
    </row>
    <row r="169" spans="43:49">
      <c r="AQ169" s="40"/>
      <c r="AU169" s="28"/>
      <c r="AV169" s="28"/>
      <c r="AW169" s="28"/>
    </row>
    <row r="170" spans="43:49">
      <c r="AQ170" s="40"/>
      <c r="AU170" s="28"/>
      <c r="AV170" s="28"/>
      <c r="AW170" s="28"/>
    </row>
    <row r="171" spans="43:49">
      <c r="AQ171" s="40"/>
      <c r="AU171" s="28"/>
      <c r="AV171" s="28"/>
      <c r="AW171" s="28"/>
    </row>
    <row r="172" spans="43:49">
      <c r="AQ172" s="40"/>
      <c r="AS172" s="76"/>
      <c r="AT172" s="76"/>
      <c r="AU172" s="28"/>
      <c r="AV172" s="28"/>
      <c r="AW172" s="28"/>
    </row>
    <row r="173" spans="43:49">
      <c r="AQ173" s="40"/>
      <c r="AU173" s="28"/>
      <c r="AV173" s="28"/>
      <c r="AW173" s="28"/>
    </row>
    <row r="174" spans="43:49">
      <c r="AQ174" s="40"/>
      <c r="AU174" s="28"/>
      <c r="AV174" s="28"/>
      <c r="AW174" s="28"/>
    </row>
    <row r="175" spans="43:49">
      <c r="AQ175" s="40"/>
      <c r="AU175" s="28"/>
      <c r="AV175" s="28"/>
      <c r="AW175" s="28"/>
    </row>
    <row r="176" spans="43:49">
      <c r="AQ176" s="40"/>
      <c r="AU176" s="28"/>
      <c r="AV176" s="28"/>
      <c r="AW176" s="28"/>
    </row>
    <row r="177" spans="43:51">
      <c r="AQ177" s="40"/>
      <c r="AU177" s="28"/>
      <c r="AV177" s="28"/>
      <c r="AW177" s="28"/>
    </row>
    <row r="178" spans="43:51">
      <c r="AQ178" s="40"/>
      <c r="AU178" s="28"/>
      <c r="AV178" s="28"/>
      <c r="AW178" s="28"/>
    </row>
    <row r="179" spans="43:51">
      <c r="AQ179" s="40"/>
      <c r="AU179" s="28"/>
      <c r="AV179" s="28"/>
      <c r="AW179" s="28"/>
    </row>
    <row r="180" spans="43:51">
      <c r="AQ180" s="40"/>
      <c r="AU180" s="28"/>
      <c r="AV180" s="28"/>
      <c r="AW180" s="28"/>
    </row>
    <row r="181" spans="43:51">
      <c r="AQ181" s="40"/>
      <c r="AS181" s="76"/>
      <c r="AT181" s="76"/>
      <c r="AU181" s="28"/>
      <c r="AV181" s="28"/>
      <c r="AW181" s="28"/>
    </row>
    <row r="182" spans="43:51">
      <c r="AQ182" s="40"/>
      <c r="AU182" s="28"/>
      <c r="AV182" s="28"/>
      <c r="AW182" s="28"/>
    </row>
    <row r="183" spans="43:51">
      <c r="AQ183" s="40"/>
      <c r="AU183" s="28"/>
      <c r="AV183" s="28"/>
      <c r="AW183" s="28"/>
    </row>
    <row r="184" spans="43:51">
      <c r="AQ184" s="40"/>
      <c r="AU184" s="28"/>
      <c r="AV184" s="28"/>
      <c r="AW184" s="28"/>
    </row>
    <row r="185" spans="43:51">
      <c r="AQ185" s="40"/>
      <c r="AU185" s="28"/>
      <c r="AV185" s="28"/>
      <c r="AW185" s="28"/>
      <c r="AY185" s="14"/>
    </row>
    <row r="186" spans="43:51">
      <c r="AQ186" s="40"/>
      <c r="AS186" s="76"/>
      <c r="AT186" s="76"/>
      <c r="AU186" s="28"/>
      <c r="AV186" s="28"/>
      <c r="AW186" s="28"/>
    </row>
    <row r="187" spans="43:51">
      <c r="AQ187" s="40"/>
      <c r="AU187" s="28"/>
      <c r="AV187" s="28"/>
      <c r="AW187" s="28"/>
    </row>
    <row r="188" spans="43:51">
      <c r="AQ188" s="40"/>
      <c r="AU188" s="28"/>
      <c r="AV188" s="28"/>
      <c r="AW188" s="28"/>
    </row>
    <row r="189" spans="43:51">
      <c r="AQ189" s="40"/>
      <c r="AS189" s="76"/>
      <c r="AT189" s="76"/>
      <c r="AU189" s="28"/>
      <c r="AV189" s="28"/>
      <c r="AW189" s="28"/>
    </row>
    <row r="190" spans="43:51">
      <c r="AQ190" s="40"/>
      <c r="AU190" s="28"/>
      <c r="AV190" s="28"/>
      <c r="AW190" s="28"/>
    </row>
    <row r="191" spans="43:51">
      <c r="AQ191" s="40"/>
      <c r="AS191" s="76"/>
      <c r="AT191" s="76"/>
      <c r="AU191" s="28"/>
      <c r="AV191" s="28"/>
      <c r="AW191" s="28"/>
    </row>
    <row r="192" spans="43:51">
      <c r="AQ192" s="40"/>
      <c r="AU192" s="28"/>
      <c r="AV192" s="28"/>
      <c r="AW192" s="28"/>
    </row>
    <row r="193" spans="43:49">
      <c r="AQ193" s="40"/>
      <c r="AU193" s="28"/>
      <c r="AV193" s="28"/>
      <c r="AW193" s="28"/>
    </row>
    <row r="194" spans="43:49">
      <c r="AQ194" s="40"/>
      <c r="AU194" s="28"/>
      <c r="AV194" s="28"/>
      <c r="AW194" s="28"/>
    </row>
    <row r="195" spans="43:49">
      <c r="AQ195" s="40"/>
      <c r="AS195" s="76"/>
      <c r="AT195" s="76"/>
      <c r="AU195" s="28"/>
      <c r="AV195" s="28"/>
      <c r="AW195" s="28"/>
    </row>
    <row r="196" spans="43:49">
      <c r="AQ196" s="40"/>
      <c r="AS196" s="76"/>
      <c r="AT196" s="76"/>
      <c r="AU196" s="28"/>
      <c r="AV196" s="28"/>
      <c r="AW196" s="28"/>
    </row>
    <row r="197" spans="43:49">
      <c r="AQ197" s="40"/>
      <c r="AU197" s="28"/>
      <c r="AV197" s="28"/>
      <c r="AW197" s="28"/>
    </row>
    <row r="198" spans="43:49">
      <c r="AQ198" s="40"/>
      <c r="AU198" s="28"/>
      <c r="AV198" s="28"/>
      <c r="AW198" s="28"/>
    </row>
    <row r="199" spans="43:49">
      <c r="AQ199" s="40"/>
      <c r="AU199" s="28"/>
      <c r="AV199" s="28"/>
      <c r="AW199" s="28"/>
    </row>
    <row r="200" spans="43:49">
      <c r="AQ200" s="40"/>
      <c r="AU200" s="28"/>
      <c r="AV200" s="28"/>
      <c r="AW200" s="28"/>
    </row>
    <row r="201" spans="43:49">
      <c r="AQ201" s="40"/>
      <c r="AS201" s="76"/>
      <c r="AT201" s="76"/>
      <c r="AU201" s="28"/>
      <c r="AV201" s="28"/>
      <c r="AW201" s="28"/>
    </row>
    <row r="202" spans="43:49">
      <c r="AQ202" s="40"/>
      <c r="AU202" s="28"/>
      <c r="AV202" s="28"/>
      <c r="AW202" s="28"/>
    </row>
    <row r="203" spans="43:49">
      <c r="AQ203" s="40"/>
      <c r="AU203" s="28"/>
      <c r="AV203" s="28"/>
      <c r="AW203" s="28"/>
    </row>
    <row r="204" spans="43:49">
      <c r="AQ204" s="40"/>
      <c r="AU204" s="28"/>
      <c r="AV204" s="28"/>
      <c r="AW204" s="28"/>
    </row>
    <row r="205" spans="43:49">
      <c r="AQ205" s="40"/>
      <c r="AS205" s="76"/>
      <c r="AT205" s="76"/>
      <c r="AU205" s="28"/>
      <c r="AV205" s="28"/>
      <c r="AW205" s="28"/>
    </row>
    <row r="206" spans="43:49">
      <c r="AQ206" s="40"/>
      <c r="AU206" s="28"/>
      <c r="AV206" s="28"/>
      <c r="AW206" s="28"/>
    </row>
    <row r="207" spans="43:49">
      <c r="AQ207" s="40"/>
      <c r="AU207" s="28"/>
      <c r="AV207" s="28"/>
      <c r="AW207" s="28"/>
    </row>
    <row r="208" spans="43:49">
      <c r="AQ208" s="40"/>
      <c r="AU208" s="28"/>
      <c r="AV208" s="28"/>
      <c r="AW208" s="28"/>
    </row>
    <row r="209" spans="43:51">
      <c r="AQ209" s="40"/>
      <c r="AU209" s="28"/>
      <c r="AV209" s="28"/>
      <c r="AW209" s="28"/>
    </row>
    <row r="210" spans="43:51">
      <c r="AQ210" s="40"/>
      <c r="AS210" s="76"/>
      <c r="AT210" s="76"/>
      <c r="AU210" s="28"/>
      <c r="AV210" s="28"/>
      <c r="AW210" s="28"/>
    </row>
    <row r="211" spans="43:51">
      <c r="AQ211" s="40"/>
      <c r="AU211" s="28"/>
      <c r="AV211" s="28"/>
      <c r="AW211" s="28"/>
    </row>
    <row r="212" spans="43:51">
      <c r="AQ212" s="40"/>
      <c r="AU212" s="28"/>
      <c r="AV212" s="28"/>
      <c r="AW212" s="28"/>
    </row>
    <row r="213" spans="43:51">
      <c r="AQ213" s="40"/>
      <c r="AU213" s="28"/>
      <c r="AV213" s="28"/>
      <c r="AW213" s="28"/>
    </row>
    <row r="214" spans="43:51">
      <c r="AQ214" s="40"/>
      <c r="AU214" s="28"/>
      <c r="AV214" s="28"/>
      <c r="AW214" s="28"/>
    </row>
    <row r="215" spans="43:51">
      <c r="AQ215" s="40"/>
      <c r="AU215" s="28"/>
      <c r="AV215" s="28"/>
      <c r="AW215" s="28"/>
    </row>
    <row r="216" spans="43:51">
      <c r="AQ216" s="40"/>
      <c r="AU216" s="28"/>
      <c r="AV216" s="28"/>
      <c r="AW216" s="28"/>
      <c r="AY216" s="14"/>
    </row>
    <row r="217" spans="43:51">
      <c r="AQ217" s="40"/>
      <c r="AS217" s="76"/>
      <c r="AT217" s="76"/>
      <c r="AU217" s="28"/>
      <c r="AV217" s="28"/>
      <c r="AW217" s="28"/>
    </row>
    <row r="218" spans="43:51">
      <c r="AQ218" s="40"/>
      <c r="AS218" s="76"/>
      <c r="AT218" s="76"/>
      <c r="AU218" s="28"/>
      <c r="AV218" s="28"/>
      <c r="AW218" s="28"/>
    </row>
    <row r="219" spans="43:51">
      <c r="AQ219" s="40"/>
      <c r="AS219" s="76"/>
      <c r="AT219" s="76"/>
      <c r="AU219" s="28"/>
      <c r="AV219" s="28"/>
      <c r="AW219" s="28"/>
    </row>
    <row r="220" spans="43:51">
      <c r="AQ220" s="40"/>
      <c r="AS220" s="76"/>
      <c r="AT220" s="76"/>
      <c r="AU220" s="28"/>
      <c r="AV220" s="28"/>
      <c r="AW220" s="28"/>
    </row>
    <row r="221" spans="43:51">
      <c r="AQ221" s="40"/>
      <c r="AU221" s="28"/>
      <c r="AV221" s="28"/>
      <c r="AW221" s="28"/>
    </row>
    <row r="222" spans="43:51">
      <c r="AQ222" s="40"/>
      <c r="AU222" s="28"/>
      <c r="AV222" s="28"/>
      <c r="AW222" s="28"/>
    </row>
    <row r="223" spans="43:51">
      <c r="AQ223" s="40"/>
      <c r="AU223" s="28"/>
      <c r="AV223" s="28"/>
      <c r="AW223" s="28"/>
    </row>
    <row r="224" spans="43:51">
      <c r="AQ224" s="40"/>
      <c r="AS224" s="76"/>
      <c r="AT224" s="76"/>
      <c r="AU224" s="28"/>
      <c r="AV224" s="28"/>
      <c r="AW224" s="28"/>
    </row>
    <row r="225" spans="43:49">
      <c r="AQ225" s="40"/>
      <c r="AU225" s="28"/>
      <c r="AV225" s="28"/>
      <c r="AW225" s="28"/>
    </row>
    <row r="226" spans="43:49">
      <c r="AQ226" s="40"/>
      <c r="AU226" s="28"/>
      <c r="AV226" s="28"/>
      <c r="AW226" s="28"/>
    </row>
    <row r="227" spans="43:49">
      <c r="AQ227" s="40"/>
      <c r="AU227" s="28"/>
      <c r="AV227" s="28"/>
      <c r="AW227" s="28"/>
    </row>
    <row r="228" spans="43:49">
      <c r="AQ228" s="40"/>
      <c r="AU228" s="28"/>
      <c r="AV228" s="28"/>
      <c r="AW228" s="28"/>
    </row>
    <row r="229" spans="43:49">
      <c r="AQ229" s="40"/>
      <c r="AU229" s="28"/>
      <c r="AV229" s="28"/>
      <c r="AW229" s="28"/>
    </row>
    <row r="230" spans="43:49">
      <c r="AQ230" s="40"/>
      <c r="AU230" s="28"/>
      <c r="AV230" s="28"/>
      <c r="AW230" s="28"/>
    </row>
    <row r="231" spans="43:49">
      <c r="AQ231" s="40"/>
      <c r="AS231" s="76"/>
      <c r="AT231" s="76"/>
      <c r="AU231" s="28"/>
      <c r="AV231" s="28"/>
      <c r="AW231" s="28"/>
    </row>
    <row r="232" spans="43:49">
      <c r="AQ232" s="40"/>
      <c r="AS232" s="76"/>
      <c r="AT232" s="76"/>
      <c r="AU232" s="28"/>
      <c r="AV232" s="28"/>
      <c r="AW232" s="28"/>
    </row>
    <row r="233" spans="43:49">
      <c r="AQ233" s="40"/>
      <c r="AU233" s="28"/>
      <c r="AV233" s="28"/>
      <c r="AW233" s="28"/>
    </row>
    <row r="234" spans="43:49">
      <c r="AQ234" s="40"/>
      <c r="AU234" s="28"/>
      <c r="AV234" s="28"/>
      <c r="AW234" s="28"/>
    </row>
    <row r="235" spans="43:49">
      <c r="AQ235" s="40"/>
      <c r="AU235" s="28"/>
      <c r="AV235" s="28"/>
      <c r="AW235" s="28"/>
    </row>
    <row r="236" spans="43:49">
      <c r="AQ236" s="40"/>
      <c r="AU236" s="28"/>
      <c r="AV236" s="28"/>
      <c r="AW236" s="28"/>
    </row>
    <row r="237" spans="43:49">
      <c r="AQ237" s="40"/>
      <c r="AU237" s="28"/>
      <c r="AV237" s="28"/>
      <c r="AW237" s="28"/>
    </row>
    <row r="238" spans="43:49">
      <c r="AQ238" s="40"/>
      <c r="AS238" s="76"/>
      <c r="AT238" s="76"/>
      <c r="AU238" s="28"/>
      <c r="AV238" s="28"/>
      <c r="AW238" s="28"/>
    </row>
    <row r="239" spans="43:49">
      <c r="AQ239" s="40"/>
      <c r="AS239" s="76"/>
      <c r="AT239" s="76"/>
      <c r="AU239" s="28"/>
      <c r="AV239" s="28"/>
      <c r="AW239" s="28"/>
    </row>
    <row r="240" spans="43:49">
      <c r="AQ240" s="40"/>
      <c r="AU240" s="28"/>
      <c r="AV240" s="28"/>
      <c r="AW240" s="28"/>
    </row>
    <row r="241" spans="43:55">
      <c r="AQ241" s="40"/>
      <c r="AU241" s="28"/>
      <c r="AV241" s="28"/>
      <c r="AW241" s="28"/>
    </row>
    <row r="242" spans="43:55">
      <c r="AQ242" s="40"/>
      <c r="AU242" s="28"/>
      <c r="AV242" s="28"/>
      <c r="AW242" s="28"/>
    </row>
    <row r="243" spans="43:55">
      <c r="AQ243" s="40"/>
      <c r="AU243" s="28"/>
      <c r="AV243" s="28"/>
      <c r="AW243" s="28"/>
      <c r="AY243" s="14"/>
      <c r="AZ243" s="28"/>
      <c r="BA243" s="28"/>
      <c r="BB243" s="28"/>
      <c r="BC243" s="28"/>
    </row>
    <row r="244" spans="43:55">
      <c r="AQ244" s="40"/>
      <c r="AS244" s="76"/>
      <c r="AT244" s="76"/>
      <c r="AU244" s="28"/>
      <c r="AV244" s="28"/>
      <c r="AW244" s="28"/>
    </row>
    <row r="245" spans="43:55">
      <c r="AQ245" s="40"/>
      <c r="AU245" s="28"/>
      <c r="AV245" s="28"/>
      <c r="AW245" s="28"/>
    </row>
    <row r="246" spans="43:55">
      <c r="AQ246" s="40"/>
      <c r="AU246" s="28"/>
      <c r="AV246" s="28"/>
      <c r="AW246" s="28"/>
    </row>
    <row r="247" spans="43:55">
      <c r="AQ247" s="40"/>
      <c r="AU247" s="28"/>
      <c r="AV247" s="28"/>
      <c r="AW247" s="28"/>
    </row>
    <row r="248" spans="43:55">
      <c r="AQ248" s="40"/>
      <c r="AU248" s="28"/>
      <c r="AV248" s="28"/>
      <c r="AW248" s="28"/>
    </row>
    <row r="249" spans="43:55">
      <c r="AQ249" s="40"/>
      <c r="AU249" s="28"/>
      <c r="AV249" s="28"/>
      <c r="AW249" s="28"/>
    </row>
    <row r="250" spans="43:55">
      <c r="AQ250" s="40"/>
      <c r="AS250" s="76"/>
      <c r="AT250" s="76"/>
      <c r="AU250" s="28"/>
      <c r="AV250" s="28"/>
      <c r="AW250" s="28"/>
    </row>
    <row r="251" spans="43:55">
      <c r="AQ251" s="40"/>
      <c r="AU251" s="28"/>
      <c r="AV251" s="28"/>
      <c r="AW251" s="28"/>
    </row>
    <row r="252" spans="43:55">
      <c r="AQ252" s="40"/>
      <c r="AU252" s="28"/>
      <c r="AV252" s="28"/>
      <c r="AW252" s="28"/>
    </row>
    <row r="253" spans="43:55">
      <c r="AQ253" s="40"/>
      <c r="AU253" s="28"/>
      <c r="AV253" s="28"/>
      <c r="AW253" s="28"/>
    </row>
    <row r="254" spans="43:55">
      <c r="AQ254" s="40"/>
      <c r="AU254" s="28"/>
      <c r="AV254" s="28"/>
      <c r="AW254" s="28"/>
    </row>
    <row r="255" spans="43:55">
      <c r="AQ255" s="40"/>
      <c r="AU255" s="28"/>
      <c r="AV255" s="28"/>
      <c r="AW255" s="28"/>
    </row>
    <row r="256" spans="43:55">
      <c r="AQ256" s="40"/>
      <c r="AU256" s="28"/>
      <c r="AV256" s="28"/>
      <c r="AW256" s="28"/>
    </row>
    <row r="257" spans="43:49">
      <c r="AQ257" s="40"/>
      <c r="AU257" s="28"/>
      <c r="AV257" s="28"/>
      <c r="AW257" s="28"/>
    </row>
    <row r="258" spans="43:49">
      <c r="AQ258" s="40"/>
      <c r="AU258" s="28"/>
      <c r="AV258" s="28"/>
      <c r="AW258" s="28"/>
    </row>
    <row r="259" spans="43:49">
      <c r="AQ259" s="40"/>
      <c r="AU259" s="28"/>
      <c r="AV259" s="28"/>
      <c r="AW259" s="28"/>
    </row>
    <row r="260" spans="43:49">
      <c r="AQ260" s="40"/>
      <c r="AU260" s="28"/>
      <c r="AV260" s="28"/>
      <c r="AW260" s="28"/>
    </row>
    <row r="261" spans="43:49">
      <c r="AQ261" s="40"/>
      <c r="AU261" s="28"/>
      <c r="AV261" s="28"/>
      <c r="AW261" s="28"/>
    </row>
    <row r="262" spans="43:49">
      <c r="AQ262" s="40"/>
      <c r="AU262" s="28"/>
      <c r="AV262" s="28"/>
      <c r="AW262" s="28"/>
    </row>
    <row r="263" spans="43:49">
      <c r="AQ263" s="40"/>
      <c r="AU263" s="28"/>
      <c r="AV263" s="28"/>
      <c r="AW263" s="28"/>
    </row>
    <row r="264" spans="43:49">
      <c r="AQ264" s="40"/>
      <c r="AU264" s="28"/>
      <c r="AV264" s="28"/>
      <c r="AW264" s="28"/>
    </row>
    <row r="265" spans="43:49">
      <c r="AQ265" s="40"/>
      <c r="AU265" s="28"/>
      <c r="AV265" s="28"/>
      <c r="AW265" s="28"/>
    </row>
    <row r="266" spans="43:49">
      <c r="AQ266" s="40"/>
      <c r="AU266" s="28"/>
      <c r="AV266" s="28"/>
      <c r="AW266" s="28"/>
    </row>
    <row r="267" spans="43:49">
      <c r="AQ267" s="40"/>
      <c r="AS267" s="76"/>
      <c r="AT267" s="76"/>
      <c r="AU267" s="28"/>
      <c r="AV267" s="28"/>
      <c r="AW267" s="28"/>
    </row>
    <row r="268" spans="43:49">
      <c r="AQ268" s="40"/>
      <c r="AU268" s="28"/>
      <c r="AV268" s="28"/>
      <c r="AW268" s="28"/>
    </row>
    <row r="269" spans="43:49">
      <c r="AQ269" s="40"/>
      <c r="AU269" s="28"/>
      <c r="AV269" s="28"/>
      <c r="AW269" s="28"/>
    </row>
    <row r="270" spans="43:49">
      <c r="AQ270" s="40"/>
      <c r="AU270" s="28"/>
      <c r="AV270" s="28"/>
      <c r="AW270" s="28"/>
    </row>
    <row r="271" spans="43:49">
      <c r="AQ271" s="40"/>
      <c r="AU271" s="28"/>
      <c r="AV271" s="28"/>
      <c r="AW271" s="28"/>
    </row>
    <row r="272" spans="43:49">
      <c r="AQ272" s="40"/>
      <c r="AS272" s="76"/>
      <c r="AT272" s="76"/>
      <c r="AU272" s="28"/>
      <c r="AV272" s="28"/>
      <c r="AW272" s="28"/>
    </row>
    <row r="273" spans="43:53">
      <c r="AQ273" s="40"/>
      <c r="AU273" s="28"/>
      <c r="AV273" s="28"/>
      <c r="AW273" s="28"/>
    </row>
    <row r="274" spans="43:53">
      <c r="AQ274" s="40"/>
      <c r="AU274" s="28"/>
      <c r="AV274" s="28"/>
      <c r="AW274" s="28"/>
    </row>
    <row r="275" spans="43:53">
      <c r="AQ275" s="40"/>
      <c r="AU275" s="28"/>
      <c r="AV275" s="28"/>
      <c r="AW275" s="28"/>
      <c r="BA275" s="14"/>
    </row>
    <row r="276" spans="43:53">
      <c r="AQ276" s="40"/>
      <c r="AU276" s="28"/>
      <c r="AV276" s="28"/>
      <c r="AW276" s="28"/>
    </row>
    <row r="277" spans="43:53">
      <c r="AQ277" s="40"/>
      <c r="AU277" s="28"/>
      <c r="AV277" s="28"/>
      <c r="AW277" s="28"/>
    </row>
    <row r="278" spans="43:53">
      <c r="AQ278" s="40"/>
      <c r="AU278" s="28"/>
      <c r="AV278" s="28"/>
      <c r="AW278" s="28"/>
    </row>
    <row r="279" spans="43:53">
      <c r="AQ279" s="40"/>
      <c r="AU279" s="28"/>
      <c r="AV279" s="28"/>
      <c r="AW279" s="28"/>
    </row>
    <row r="280" spans="43:53">
      <c r="AQ280" s="40"/>
      <c r="AU280" s="28"/>
      <c r="AV280" s="28"/>
      <c r="AW280" s="28"/>
    </row>
    <row r="281" spans="43:53">
      <c r="AQ281" s="40"/>
      <c r="AS281" s="76"/>
      <c r="AT281" s="76"/>
      <c r="AU281" s="28"/>
      <c r="AV281" s="28"/>
      <c r="AW281" s="28"/>
    </row>
    <row r="282" spans="43:53">
      <c r="AQ282" s="40"/>
      <c r="AU282" s="28"/>
      <c r="AV282" s="28"/>
      <c r="AW282" s="28"/>
    </row>
    <row r="283" spans="43:53">
      <c r="AQ283" s="40"/>
      <c r="AU283" s="28"/>
      <c r="AV283" s="28"/>
      <c r="AW283" s="28"/>
    </row>
    <row r="284" spans="43:53">
      <c r="AQ284" s="40"/>
      <c r="AS284" s="76"/>
      <c r="AT284" s="76"/>
      <c r="AU284" s="28"/>
      <c r="AV284" s="28"/>
      <c r="AW284" s="28"/>
    </row>
    <row r="285" spans="43:53">
      <c r="AQ285" s="40"/>
      <c r="AU285" s="28"/>
      <c r="AV285" s="28"/>
      <c r="AW285" s="28"/>
    </row>
    <row r="286" spans="43:53">
      <c r="AQ286" s="40"/>
      <c r="AU286" s="28"/>
      <c r="AV286" s="28"/>
      <c r="AW286" s="28"/>
    </row>
    <row r="287" spans="43:53">
      <c r="AQ287" s="40"/>
      <c r="AU287" s="28"/>
      <c r="AV287" s="28"/>
      <c r="AW287" s="28"/>
    </row>
    <row r="288" spans="43:53">
      <c r="AQ288" s="40"/>
      <c r="AS288" s="76"/>
      <c r="AT288" s="76"/>
      <c r="AU288" s="28"/>
      <c r="AV288" s="28"/>
      <c r="AW288" s="28"/>
    </row>
    <row r="289" spans="43:49">
      <c r="AQ289" s="40"/>
      <c r="AU289" s="28"/>
      <c r="AV289" s="28"/>
      <c r="AW289" s="28"/>
    </row>
    <row r="290" spans="43:49">
      <c r="AQ290" s="40"/>
      <c r="AU290" s="28"/>
      <c r="AV290" s="28"/>
      <c r="AW290" s="28"/>
    </row>
    <row r="291" spans="43:49">
      <c r="AQ291" s="40"/>
      <c r="AS291" s="76"/>
      <c r="AT291" s="76"/>
      <c r="AU291" s="28"/>
      <c r="AV291" s="28"/>
      <c r="AW291" s="28"/>
    </row>
    <row r="292" spans="43:49">
      <c r="AQ292" s="40"/>
      <c r="AU292" s="28"/>
      <c r="AV292" s="28"/>
      <c r="AW292" s="28"/>
    </row>
    <row r="293" spans="43:49">
      <c r="AQ293" s="40"/>
      <c r="AU293" s="28"/>
      <c r="AV293" s="28"/>
      <c r="AW293" s="28"/>
    </row>
    <row r="294" spans="43:49">
      <c r="AQ294" s="40"/>
      <c r="AU294" s="28"/>
      <c r="AV294" s="28"/>
      <c r="AW294" s="28"/>
    </row>
    <row r="295" spans="43:49">
      <c r="AQ295" s="40"/>
      <c r="AU295" s="28"/>
      <c r="AV295" s="28"/>
      <c r="AW295" s="28"/>
    </row>
    <row r="296" spans="43:49">
      <c r="AQ296" s="40"/>
      <c r="AU296" s="28"/>
      <c r="AV296" s="28"/>
      <c r="AW296" s="28"/>
    </row>
    <row r="297" spans="43:49">
      <c r="AQ297" s="40"/>
      <c r="AU297" s="28"/>
      <c r="AV297" s="28"/>
      <c r="AW297" s="28"/>
    </row>
    <row r="298" spans="43:49">
      <c r="AQ298" s="40"/>
      <c r="AU298" s="28"/>
      <c r="AV298" s="28"/>
      <c r="AW298" s="28"/>
    </row>
    <row r="299" spans="43:49">
      <c r="AQ299" s="40"/>
      <c r="AU299" s="28"/>
      <c r="AV299" s="28"/>
      <c r="AW299" s="28"/>
    </row>
    <row r="300" spans="43:49">
      <c r="AQ300" s="40"/>
      <c r="AU300" s="28"/>
      <c r="AV300" s="28"/>
      <c r="AW300" s="28"/>
    </row>
    <row r="301" spans="43:49">
      <c r="AQ301" s="40"/>
      <c r="AS301" s="76"/>
      <c r="AT301" s="76"/>
      <c r="AU301" s="28"/>
      <c r="AV301" s="28"/>
      <c r="AW301" s="28"/>
    </row>
    <row r="302" spans="43:49">
      <c r="AQ302" s="40"/>
      <c r="AU302" s="28"/>
      <c r="AV302" s="28"/>
      <c r="AW302" s="28"/>
    </row>
    <row r="303" spans="43:49">
      <c r="AQ303" s="40"/>
      <c r="AU303" s="28"/>
      <c r="AV303" s="28"/>
      <c r="AW303" s="28"/>
    </row>
    <row r="304" spans="43:49">
      <c r="AQ304" s="40"/>
      <c r="AU304" s="28"/>
      <c r="AV304" s="28"/>
      <c r="AW304" s="28"/>
    </row>
    <row r="305" spans="43:53">
      <c r="AQ305" s="40"/>
      <c r="AU305" s="28"/>
      <c r="AV305" s="28"/>
      <c r="AW305" s="28"/>
      <c r="BA305" s="14"/>
    </row>
    <row r="306" spans="43:53">
      <c r="AQ306" s="40"/>
      <c r="AU306" s="28"/>
      <c r="AV306" s="28"/>
      <c r="AW306" s="28"/>
    </row>
    <row r="307" spans="43:53">
      <c r="AQ307" s="40"/>
      <c r="AU307" s="28"/>
      <c r="AV307" s="28"/>
      <c r="AW307" s="28"/>
    </row>
    <row r="308" spans="43:53">
      <c r="AQ308" s="40"/>
      <c r="AU308" s="28"/>
      <c r="AV308" s="28"/>
      <c r="AW308" s="28"/>
    </row>
    <row r="309" spans="43:53">
      <c r="AQ309" s="40"/>
      <c r="AS309" s="76"/>
      <c r="AT309" s="76"/>
      <c r="AU309" s="28"/>
      <c r="AV309" s="28"/>
      <c r="AW309" s="28"/>
    </row>
    <row r="310" spans="43:53">
      <c r="AQ310" s="40"/>
      <c r="AU310" s="28"/>
      <c r="AV310" s="28"/>
      <c r="AW310" s="28"/>
    </row>
    <row r="311" spans="43:53">
      <c r="AQ311" s="40"/>
      <c r="AU311" s="28"/>
      <c r="AV311" s="28"/>
      <c r="AW311" s="28"/>
    </row>
    <row r="312" spans="43:53">
      <c r="AQ312" s="40"/>
      <c r="AU312" s="28"/>
      <c r="AV312" s="28"/>
      <c r="AW312" s="28"/>
    </row>
    <row r="313" spans="43:53">
      <c r="AQ313" s="40"/>
      <c r="AS313" s="76"/>
      <c r="AT313" s="76"/>
      <c r="AU313" s="28"/>
      <c r="AV313" s="28"/>
      <c r="AW313" s="28"/>
    </row>
    <row r="314" spans="43:53">
      <c r="AQ314" s="40"/>
      <c r="AU314" s="28"/>
      <c r="AV314" s="28"/>
      <c r="AW314" s="28"/>
    </row>
    <row r="315" spans="43:53">
      <c r="AQ315" s="40"/>
      <c r="AU315" s="28"/>
      <c r="AV315" s="28"/>
      <c r="AW315" s="28"/>
    </row>
    <row r="316" spans="43:53">
      <c r="AQ316" s="40"/>
      <c r="AU316" s="28"/>
      <c r="AV316" s="28"/>
      <c r="AW316" s="28"/>
    </row>
    <row r="317" spans="43:53">
      <c r="AQ317" s="40"/>
      <c r="AU317" s="28"/>
      <c r="AV317" s="28"/>
      <c r="AW317" s="28"/>
    </row>
    <row r="318" spans="43:53">
      <c r="AQ318" s="40"/>
      <c r="AU318" s="28"/>
      <c r="AV318" s="28"/>
      <c r="AW318" s="28"/>
    </row>
    <row r="319" spans="43:53">
      <c r="AQ319" s="40"/>
      <c r="AU319" s="28"/>
      <c r="AV319" s="28"/>
      <c r="AW319" s="28"/>
    </row>
    <row r="320" spans="43:53">
      <c r="AQ320" s="40"/>
      <c r="AS320" s="76"/>
      <c r="AT320" s="76"/>
      <c r="AU320" s="28"/>
      <c r="AV320" s="28"/>
      <c r="AW320" s="28"/>
    </row>
    <row r="321" spans="2:414">
      <c r="AQ321" s="40"/>
      <c r="AU321" s="28"/>
      <c r="AV321" s="28"/>
      <c r="AW321" s="28"/>
    </row>
    <row r="322" spans="2:414">
      <c r="AQ322" s="40"/>
      <c r="AU322" s="28"/>
      <c r="AV322" s="28"/>
      <c r="AW322" s="28"/>
    </row>
    <row r="323" spans="2:414">
      <c r="AQ323" s="40"/>
      <c r="AS323" s="76"/>
      <c r="AT323" s="76"/>
      <c r="AU323" s="28"/>
      <c r="AV323" s="28"/>
      <c r="AW323" s="28"/>
    </row>
    <row r="324" spans="2:414">
      <c r="AQ324" s="40"/>
      <c r="AS324" s="76"/>
      <c r="AT324" s="76"/>
      <c r="AU324" s="28"/>
      <c r="AV324" s="28"/>
      <c r="AW324" s="28"/>
    </row>
    <row r="325" spans="2:414">
      <c r="AQ325" s="40"/>
      <c r="AS325" s="76"/>
      <c r="AT325" s="76"/>
      <c r="AU325" s="28"/>
      <c r="AV325" s="28"/>
      <c r="AW325" s="28"/>
    </row>
    <row r="326" spans="2:414">
      <c r="AQ326" s="40"/>
      <c r="AS326" s="76"/>
      <c r="AT326" s="76"/>
      <c r="AU326" s="28"/>
      <c r="AV326" s="28"/>
      <c r="AW326" s="28"/>
    </row>
    <row r="327" spans="2:414">
      <c r="AQ327" s="40"/>
      <c r="AS327" s="76"/>
      <c r="AT327" s="76"/>
      <c r="AU327" s="28"/>
      <c r="AV327" s="28"/>
      <c r="AW327" s="28"/>
    </row>
    <row r="328" spans="2:414">
      <c r="AQ328" s="40"/>
      <c r="AS328" s="76"/>
      <c r="AT328" s="76"/>
      <c r="AU328" s="28"/>
      <c r="AV328" s="28"/>
      <c r="AW328" s="28"/>
    </row>
    <row r="329" spans="2:414">
      <c r="AQ329" s="40"/>
      <c r="AS329" s="76"/>
      <c r="AT329" s="76"/>
      <c r="AU329" s="28"/>
      <c r="AV329" s="28"/>
      <c r="AW329" s="28"/>
    </row>
    <row r="330" spans="2:414">
      <c r="AQ330" s="40"/>
      <c r="AS330" s="76"/>
      <c r="AT330" s="76"/>
      <c r="AU330" s="28"/>
      <c r="AV330" s="28"/>
      <c r="AW330" s="28"/>
    </row>
    <row r="331" spans="2:414">
      <c r="AQ331" s="40"/>
      <c r="AS331" s="76"/>
      <c r="AT331" s="76"/>
      <c r="AU331" s="28"/>
      <c r="AV331" s="28"/>
      <c r="AW331" s="28"/>
    </row>
    <row r="332" spans="2:414">
      <c r="AQ332" s="40"/>
      <c r="AU332" s="28"/>
      <c r="AV332" s="28"/>
      <c r="AW332" s="28"/>
    </row>
    <row r="333" spans="2:414">
      <c r="AQ333" s="40"/>
      <c r="AU333" s="28"/>
      <c r="AV333" s="28"/>
      <c r="AW333" s="28"/>
    </row>
    <row r="334" spans="2:414">
      <c r="AQ334" s="40"/>
      <c r="AU334" s="28"/>
      <c r="AV334" s="28"/>
      <c r="AW334" s="28"/>
    </row>
    <row r="335" spans="2:414" s="880" customFormat="1">
      <c r="B335" s="879">
        <f>IF(BILANCIO!S$64=0,"",BILANCIO!S$9)</f>
        <v>43739</v>
      </c>
      <c r="C335" s="879">
        <f>IF(BILANCIO!T$64=0,"",BILANCIO!T$9)</f>
        <v>43770</v>
      </c>
      <c r="D335" s="879">
        <f>IF(BILANCIO!U$64=0,"",BILANCIO!U$9)</f>
        <v>43800</v>
      </c>
      <c r="E335" s="879">
        <f>IF(BILANCIO!V$64=0,"",BILANCIO!V$9)</f>
        <v>43831</v>
      </c>
      <c r="F335" s="879">
        <f>IF(BILANCIO!W$64=0,"",BILANCIO!W$9)</f>
        <v>43862</v>
      </c>
      <c r="G335" s="879">
        <f>IF(BILANCIO!X$64=0,"",BILANCIO!X$9)</f>
        <v>43891</v>
      </c>
      <c r="H335" s="879">
        <f>IF(BILANCIO!Y$64=0,"",BILANCIO!Y$9)</f>
        <v>43922</v>
      </c>
      <c r="I335" s="879">
        <f>IF(BILANCIO!Z$64=0,"",BILANCIO!Z$9)</f>
        <v>43952</v>
      </c>
      <c r="J335" s="879">
        <f>IF(BILANCIO!AA$64=0,"",BILANCIO!AA$9)</f>
        <v>43983</v>
      </c>
      <c r="K335" s="879">
        <f>IF(BILANCIO!AB$64=0,"",BILANCIO!AB$9)</f>
        <v>44013</v>
      </c>
      <c r="L335" s="879">
        <f>IF(BILANCIO!AC$64=0,"",BILANCIO!AC$9)</f>
        <v>44044</v>
      </c>
      <c r="M335" s="879">
        <f>IF(BILANCIO!AD$64=0,"",BILANCIO!AD$9)</f>
        <v>44075</v>
      </c>
      <c r="N335" s="879">
        <f>IF(BILANCIO!AE$64=0,"",BILANCIO!AE$9)</f>
        <v>44105</v>
      </c>
      <c r="O335" s="879">
        <f>IF(BILANCIO!AF$64=0,"",BILANCIO!AF$9)</f>
        <v>44136</v>
      </c>
      <c r="P335" s="879">
        <f>IF(BILANCIO!AG$64=0,"",BILANCIO!AG$9)</f>
        <v>44166</v>
      </c>
      <c r="Q335" s="879">
        <f>IF(BILANCIO!AH$64=0,"",BILANCIO!AH$9)</f>
        <v>44197</v>
      </c>
      <c r="R335" s="879">
        <f>IF(BILANCIO!AI$64=0,"",BILANCIO!AI$9)</f>
        <v>44228</v>
      </c>
      <c r="S335" s="879">
        <f>IF(BILANCIO!AJ$64=0,"",BILANCIO!AJ$9)</f>
        <v>44256</v>
      </c>
      <c r="T335" s="879">
        <f>IF(BILANCIO!AK$64=0,"",BILANCIO!AK$9)</f>
        <v>44287</v>
      </c>
      <c r="U335" s="879">
        <f>IF(BILANCIO!AL$64=0,"",BILANCIO!AL$9)</f>
        <v>44317</v>
      </c>
      <c r="V335" s="879">
        <f>IF(BILANCIO!AM$64=0,"",BILANCIO!AM$9)</f>
        <v>44348</v>
      </c>
      <c r="W335" s="879">
        <f>IF(BILANCIO!AN$64=0,"",BILANCIO!AN$9)</f>
        <v>44378</v>
      </c>
      <c r="X335" s="879"/>
      <c r="Y335" s="879">
        <f>IF(BILANCIO!AO$64=0,"",BILANCIO!AO$9)</f>
        <v>44409</v>
      </c>
      <c r="Z335" s="879">
        <f>IF(BILANCIO!AP$64=0,"",BILANCIO!AP$9)</f>
        <v>44440</v>
      </c>
      <c r="AA335" s="879">
        <f>IF(BILANCIO!AQ$64=0,"",BILANCIO!AQ$9)</f>
        <v>44470</v>
      </c>
      <c r="AB335" s="879">
        <f>IF(BILANCIO!AR$64=0,"",BILANCIO!AR$9)</f>
        <v>44501</v>
      </c>
      <c r="AC335" s="879">
        <f>IF(BILANCIO!AS$64=0,"",BILANCIO!AS$9)</f>
        <v>44531</v>
      </c>
      <c r="AD335" s="879">
        <f>IF(BILANCIO!AT$64=0,"",BILANCIO!AT$9)</f>
        <v>44562</v>
      </c>
      <c r="AE335" s="879">
        <f>IF(BILANCIO!AU$64=0,"",BILANCIO!AU$9)</f>
        <v>44593</v>
      </c>
      <c r="AF335" s="879">
        <f>IF(BILANCIO!AV$64=0,"",BILANCIO!AV$9)</f>
        <v>44621</v>
      </c>
      <c r="AG335" s="879">
        <f>IF(BILANCIO!AW$64=0,"",BILANCIO!AW$9)</f>
        <v>44652</v>
      </c>
      <c r="AH335" s="879">
        <f>IF(BILANCIO!AX$64=0,"",BILANCIO!AX$9)</f>
        <v>44682</v>
      </c>
      <c r="AI335" s="879">
        <f>IF(BILANCIO!AY$64=0,"",BILANCIO!AY$9)</f>
        <v>44713</v>
      </c>
      <c r="AJ335" s="879">
        <f>IF(BILANCIO!AZ$64=0,"",BILANCIO!AZ$9)</f>
        <v>44743</v>
      </c>
      <c r="AK335" s="879">
        <f>IF(BILANCIO!BA$64=0,"",BILANCIO!BA$9)</f>
        <v>44774</v>
      </c>
      <c r="AL335" s="879">
        <f>IF(BILANCIO!BB$64=0,"",BILANCIO!BB$9)</f>
        <v>44805</v>
      </c>
      <c r="AM335" s="879">
        <f>IF(BILANCIO!BC$64=0,"",BILANCIO!BC$9)</f>
        <v>44835</v>
      </c>
      <c r="AN335" s="879">
        <f>IF(BILANCIO!BD$64=0,"",BILANCIO!BD$9)</f>
        <v>44866</v>
      </c>
      <c r="AO335" s="879">
        <f>IF(BILANCIO!BE$64=0,"",BILANCIO!BE$9)</f>
        <v>44896</v>
      </c>
      <c r="AP335" s="879">
        <f>IF(BILANCIO!BF$64=0,"",BILANCIO!BF$9)</f>
        <v>44927</v>
      </c>
      <c r="AQ335" s="879">
        <f>IF(BILANCIO!BG$64=0,"",BILANCIO!BG$9)</f>
        <v>44958</v>
      </c>
      <c r="AR335" s="879">
        <f>IF(BILANCIO!BH$64=0,"",BILANCIO!BH$9)</f>
        <v>44986</v>
      </c>
      <c r="AS335" s="879">
        <f>IF(BILANCIO!BI$64=0,"",BILANCIO!BI$9)</f>
        <v>45017</v>
      </c>
      <c r="AT335" s="879">
        <f>IF(BILANCIO!BJ$64=0,"",BILANCIO!BJ$9)</f>
        <v>45047</v>
      </c>
      <c r="AU335" s="879">
        <f>IF(BILANCIO!BK$64=0,"",BILANCIO!BK$9)</f>
        <v>45078</v>
      </c>
      <c r="AV335" s="879">
        <f>IF(BILANCIO!BL$64=0,"",BILANCIO!BL$9)</f>
        <v>45108</v>
      </c>
      <c r="AW335" s="879">
        <f>IF(BILANCIO!BM$64=0,"",BILANCIO!BM$9)</f>
        <v>45139</v>
      </c>
      <c r="AX335" s="879">
        <f>IF(BILANCIO!BN$64=0,"",BILANCIO!BN$9)</f>
        <v>45170</v>
      </c>
      <c r="AY335" s="879">
        <f>IF(BILANCIO!BO$64=0,"",BILANCIO!BO$9)</f>
        <v>45200</v>
      </c>
      <c r="AZ335" s="879">
        <f>IF(BILANCIO!BP$64=0,"",BILANCIO!BP$9)</f>
        <v>45231</v>
      </c>
      <c r="BA335" s="879">
        <f>IF(BILANCIO!BQ$64=0,"",BILANCIO!BQ$9)</f>
        <v>45261</v>
      </c>
      <c r="BB335" s="879">
        <f>IF(BILANCIO!BR$64=0,"",BILANCIO!BR$9)</f>
        <v>45292</v>
      </c>
      <c r="BC335" s="879">
        <f>IF(BILANCIO!BS$64=0,"",BILANCIO!BS$9)</f>
        <v>45323</v>
      </c>
      <c r="BD335" s="879">
        <f>IF(BILANCIO!BT$64=0,"",BILANCIO!BT$9)</f>
        <v>45352</v>
      </c>
      <c r="BE335" s="879">
        <f>IF(BILANCIO!BU$64=0,"",BILANCIO!BU$9)</f>
        <v>45383</v>
      </c>
      <c r="BF335" s="879">
        <f>IF(BILANCIO!BV$64=0,"",BILANCIO!BV$9)</f>
        <v>45413</v>
      </c>
      <c r="BG335" s="879">
        <f>IF(BILANCIO!BW$64=0,"",BILANCIO!BW$9)</f>
        <v>45444</v>
      </c>
      <c r="BH335" s="879">
        <f>IF(BILANCIO!BX$64=0,"",BILANCIO!BX$9)</f>
        <v>45474</v>
      </c>
      <c r="BI335" s="879">
        <f>IF(BILANCIO!BY$64=0,"",BILANCIO!BY$9)</f>
        <v>45505</v>
      </c>
      <c r="BJ335" s="879">
        <f>IF(BILANCIO!BZ$64=0,"",BILANCIO!BZ$9)</f>
        <v>45536</v>
      </c>
      <c r="BK335" s="879">
        <f>IF(BILANCIO!CA$64=0,"",BILANCIO!CA$9)</f>
        <v>45566</v>
      </c>
      <c r="BL335" s="879">
        <f>IF(BILANCIO!CB$64=0,"",BILANCIO!CB$9)</f>
        <v>45597</v>
      </c>
      <c r="BM335" s="879">
        <f>IF(BILANCIO!CC$64=0,"",BILANCIO!CC$9)</f>
        <v>45627</v>
      </c>
      <c r="BN335" s="879">
        <f>IF(BILANCIO!CD$64=0,"",BILANCIO!CD$9)</f>
        <v>45658</v>
      </c>
      <c r="BO335" s="879">
        <f>IF(BILANCIO!CE$64=0,"",BILANCIO!CE$9)</f>
        <v>45689</v>
      </c>
      <c r="BP335" s="879">
        <f>IF(BILANCIO!CF$64=0,"",BILANCIO!CF$9)</f>
        <v>45717</v>
      </c>
      <c r="BQ335" s="879">
        <f>IF(BILANCIO!CG$64=0,"",BILANCIO!CG$9)</f>
        <v>45748</v>
      </c>
      <c r="BR335" s="879">
        <f>IF(BILANCIO!CH$64=0,"",BILANCIO!CH$9)</f>
        <v>45778</v>
      </c>
      <c r="BS335" s="879">
        <f>IF(BILANCIO!CI$64=0,"",BILANCIO!CI$9)</f>
        <v>45809</v>
      </c>
      <c r="BT335" s="879">
        <f>IF(BILANCIO!CJ$64=0,"",BILANCIO!CJ$9)</f>
        <v>45839</v>
      </c>
      <c r="BU335" s="879">
        <f>IF(BILANCIO!CK$64=0,"",BILANCIO!CK$9)</f>
        <v>45870</v>
      </c>
      <c r="BV335" s="879">
        <f>IF(BILANCIO!CL$64=0,"",BILANCIO!CL$9)</f>
        <v>45901</v>
      </c>
      <c r="BW335" s="879">
        <f>IF(BILANCIO!CM$64=0,"",BILANCIO!CM$9)</f>
        <v>45931</v>
      </c>
      <c r="BX335" s="879">
        <f>IF(BILANCIO!CN$64=0,"",BILANCIO!CN$9)</f>
        <v>45962</v>
      </c>
      <c r="BY335" s="879">
        <f>IF(BILANCIO!CO$64=0,"",BILANCIO!CO$9)</f>
        <v>45992</v>
      </c>
      <c r="BZ335" s="879">
        <f>IF(BILANCIO!CP$64=0,"",BILANCIO!CP$9)</f>
        <v>46023</v>
      </c>
      <c r="CA335" s="879">
        <f>IF(BILANCIO!CQ$64=0,"",BILANCIO!CQ$9)</f>
        <v>46054</v>
      </c>
      <c r="CB335" s="879">
        <f>IF(BILANCIO!CR$64=0,"",BILANCIO!CR$9)</f>
        <v>46082</v>
      </c>
      <c r="CC335" s="879">
        <f>IF(BILANCIO!CS$64=0,"",BILANCIO!CS$9)</f>
        <v>46113</v>
      </c>
      <c r="CD335" s="879">
        <f>IF(BILANCIO!CT$64=0,"",BILANCIO!CT$9)</f>
        <v>46143</v>
      </c>
      <c r="CE335" s="879">
        <f>IF(BILANCIO!CU$64=0,"",BILANCIO!CU$9)</f>
        <v>46174</v>
      </c>
      <c r="CF335" s="879">
        <f>IF(BILANCIO!CV$64=0,"",BILANCIO!CV$9)</f>
        <v>46204</v>
      </c>
      <c r="CG335" s="879">
        <f>IF(BILANCIO!CW$64=0,"",BILANCIO!CW$9)</f>
        <v>46235</v>
      </c>
      <c r="CH335" s="879">
        <f>IF(BILANCIO!CX$64=0,"",BILANCIO!CX$9)</f>
        <v>46266</v>
      </c>
      <c r="CI335" s="879">
        <f>IF(BILANCIO!CY$64=0,"",BILANCIO!CY$9)</f>
        <v>46296</v>
      </c>
      <c r="CJ335" s="879" t="str">
        <f>IF(BILANCIO!CZ$64=0,"",BILANCIO!CZ$9)</f>
        <v/>
      </c>
      <c r="CK335" s="879" t="str">
        <f>IF(BILANCIO!DA$64=0,"",BILANCIO!DA$9)</f>
        <v/>
      </c>
      <c r="CL335" s="879" t="str">
        <f>IF(BILANCIO!DB$64=0,"",BILANCIO!DB$9)</f>
        <v/>
      </c>
      <c r="CM335" s="879" t="str">
        <f>IF(BILANCIO!DC$64=0,"",BILANCIO!DC$9)</f>
        <v/>
      </c>
      <c r="CN335" s="879" t="str">
        <f>IF(BILANCIO!DD$64=0,"",BILANCIO!DD$9)</f>
        <v/>
      </c>
      <c r="CO335" s="879" t="str">
        <f>IF(BILANCIO!DE$64=0,"",BILANCIO!DE$9)</f>
        <v/>
      </c>
      <c r="CP335" s="879" t="str">
        <f>IF(BILANCIO!DF$64=0,"",BILANCIO!DF$9)</f>
        <v/>
      </c>
      <c r="CQ335" s="879" t="str">
        <f>IF(BILANCIO!DG$64=0,"",BILANCIO!DG$9)</f>
        <v/>
      </c>
      <c r="CR335" s="879" t="str">
        <f>IF(BILANCIO!DH$64=0,"",BILANCIO!DH$9)</f>
        <v/>
      </c>
      <c r="CS335" s="879" t="str">
        <f>IF(BILANCIO!DI$64=0,"",BILANCIO!DI$9)</f>
        <v/>
      </c>
      <c r="CT335" s="879" t="str">
        <f>IF(BILANCIO!DJ$64=0,"",BILANCIO!DJ$9)</f>
        <v/>
      </c>
      <c r="CU335" s="879" t="str">
        <f>IF(BILANCIO!DK$64=0,"",BILANCIO!DK$9)</f>
        <v/>
      </c>
      <c r="CV335" s="879" t="str">
        <f>IF(BILANCIO!DL$64=0,"",BILANCIO!DL$9)</f>
        <v/>
      </c>
      <c r="CW335" s="879" t="str">
        <f>IF(BILANCIO!DM$64=0,"",BILANCIO!DM$9)</f>
        <v/>
      </c>
      <c r="CX335" s="879" t="str">
        <f>IF(BILANCIO!DN$64=0,"",BILANCIO!DN$9)</f>
        <v/>
      </c>
      <c r="CY335" s="879" t="str">
        <f>IF(BILANCIO!DO$64=0,"",BILANCIO!DO$9)</f>
        <v/>
      </c>
      <c r="CZ335" s="879" t="str">
        <f>IF(BILANCIO!DP$64=0,"",BILANCIO!DP$9)</f>
        <v/>
      </c>
      <c r="DA335" s="879" t="str">
        <f>IF(BILANCIO!DQ$64=0,"",BILANCIO!DQ$9)</f>
        <v/>
      </c>
      <c r="DB335" s="879" t="str">
        <f>IF(BILANCIO!DR$64=0,"",BILANCIO!DR$9)</f>
        <v/>
      </c>
      <c r="DC335" s="879" t="str">
        <f>IF(BILANCIO!DS$64=0,"",BILANCIO!DS$9)</f>
        <v/>
      </c>
      <c r="DD335" s="879" t="str">
        <f>IF(BILANCIO!DT$64=0,"",BILANCIO!DT$9)</f>
        <v/>
      </c>
      <c r="DE335" s="879" t="str">
        <f>IF(BILANCIO!DU$64=0,"",BILANCIO!DU$9)</f>
        <v/>
      </c>
      <c r="DF335" s="879" t="str">
        <f>IF(BILANCIO!DV$64=0,"",BILANCIO!DV$9)</f>
        <v/>
      </c>
      <c r="DG335" s="879" t="str">
        <f>IF(BILANCIO!DW$64=0,"",BILANCIO!DW$9)</f>
        <v/>
      </c>
      <c r="DH335" s="879" t="str">
        <f>IF(BILANCIO!DX$64=0,"",BILANCIO!DX$9)</f>
        <v/>
      </c>
      <c r="DI335" s="879" t="str">
        <f>IF(BILANCIO!DY$64=0,"",BILANCIO!DY$9)</f>
        <v/>
      </c>
      <c r="DJ335" s="879" t="str">
        <f>IF(BILANCIO!DZ$64=0,"",BILANCIO!DZ$9)</f>
        <v/>
      </c>
      <c r="DK335" s="879" t="str">
        <f>IF(BILANCIO!EA$64=0,"",BILANCIO!EA$9)</f>
        <v/>
      </c>
      <c r="DL335" s="879" t="str">
        <f>IF(BILANCIO!EB$64=0,"",BILANCIO!EB$9)</f>
        <v/>
      </c>
      <c r="DM335" s="879" t="str">
        <f>IF(BILANCIO!EC$64=0,"",BILANCIO!EC$9)</f>
        <v/>
      </c>
      <c r="DN335" s="879" t="str">
        <f>IF(BILANCIO!ED$64=0,"",BILANCIO!ED$9)</f>
        <v/>
      </c>
      <c r="DO335" s="879" t="str">
        <f>IF(BILANCIO!EE$64=0,"",BILANCIO!EE$9)</f>
        <v/>
      </c>
      <c r="DP335" s="879" t="str">
        <f>IF(BILANCIO!EF$64=0,"",BILANCIO!EF$9)</f>
        <v/>
      </c>
      <c r="DQ335" s="879" t="str">
        <f>IF(BILANCIO!EG$64=0,"",BILANCIO!EG$9)</f>
        <v/>
      </c>
      <c r="DR335" s="879" t="str">
        <f>IF(BILANCIO!EH$64=0,"",BILANCIO!EH$9)</f>
        <v/>
      </c>
      <c r="DS335" s="879" t="str">
        <f>IF(BILANCIO!EI$64=0,"",BILANCIO!EI$9)</f>
        <v/>
      </c>
      <c r="DT335" s="879" t="str">
        <f>IF(BILANCIO!EJ$64=0,"",BILANCIO!EJ$9)</f>
        <v/>
      </c>
      <c r="DU335" s="879" t="str">
        <f>IF(BILANCIO!EK$64=0,"",BILANCIO!EK$9)</f>
        <v/>
      </c>
      <c r="DV335" s="879" t="str">
        <f>IF(BILANCIO!EL$64=0,"",BILANCIO!EL$9)</f>
        <v/>
      </c>
      <c r="DW335" s="879" t="str">
        <f>IF(BILANCIO!EM$64=0,"",BILANCIO!EM$9)</f>
        <v/>
      </c>
      <c r="DX335" s="879" t="str">
        <f>IF(BILANCIO!EN$64=0,"",BILANCIO!EN$9)</f>
        <v/>
      </c>
      <c r="DY335" s="879" t="str">
        <f>IF(BILANCIO!EO$64=0,"",BILANCIO!EO$9)</f>
        <v/>
      </c>
      <c r="DZ335" s="879" t="str">
        <f>IF(BILANCIO!EP$64=0,"",BILANCIO!EP$9)</f>
        <v/>
      </c>
      <c r="EA335" s="879" t="str">
        <f>IF(BILANCIO!EQ$64=0,"",BILANCIO!EQ$9)</f>
        <v/>
      </c>
      <c r="EB335" s="879" t="str">
        <f>IF(BILANCIO!ER$64=0,"",BILANCIO!ER$9)</f>
        <v/>
      </c>
      <c r="EC335" s="879" t="str">
        <f>IF(BILANCIO!ES$64=0,"",BILANCIO!ES$9)</f>
        <v/>
      </c>
      <c r="ED335" s="879" t="str">
        <f>IF(BILANCIO!ET$64=0,"",BILANCIO!ET$9)</f>
        <v/>
      </c>
      <c r="EE335" s="879" t="str">
        <f>IF(BILANCIO!EU$64=0,"",BILANCIO!EU$9)</f>
        <v/>
      </c>
      <c r="EF335" s="879" t="str">
        <f>IF(BILANCIO!EV$64=0,"",BILANCIO!EV$9)</f>
        <v/>
      </c>
      <c r="EG335" s="879" t="str">
        <f>IF(BILANCIO!EW$64=0,"",BILANCIO!EW$9)</f>
        <v/>
      </c>
      <c r="EH335" s="879" t="str">
        <f>IF(BILANCIO!EX$64=0,"",BILANCIO!EX$9)</f>
        <v/>
      </c>
      <c r="EI335" s="879" t="str">
        <f>IF(BILANCIO!EY$64=0,"",BILANCIO!EY$9)</f>
        <v/>
      </c>
      <c r="EJ335" s="879" t="str">
        <f>IF(BILANCIO!EZ$64=0,"",BILANCIO!EZ$9)</f>
        <v/>
      </c>
      <c r="EK335" s="879" t="str">
        <f>IF(BILANCIO!FA$64=0,"",BILANCIO!FA$9)</f>
        <v/>
      </c>
      <c r="EL335" s="879" t="str">
        <f>IF(BILANCIO!FB$64=0,"",BILANCIO!FB$9)</f>
        <v/>
      </c>
      <c r="EM335" s="879" t="str">
        <f>IF(BILANCIO!FC$64=0,"",BILANCIO!FC$9)</f>
        <v/>
      </c>
      <c r="EN335" s="879" t="str">
        <f>IF(BILANCIO!FD$64=0,"",BILANCIO!FD$9)</f>
        <v/>
      </c>
      <c r="EO335" s="879" t="str">
        <f>IF(BILANCIO!FE$64=0,"",BILANCIO!FE$9)</f>
        <v/>
      </c>
      <c r="EP335" s="879" t="str">
        <f>IF(BILANCIO!FF$64=0,"",BILANCIO!FF$9)</f>
        <v/>
      </c>
      <c r="EQ335" s="879" t="str">
        <f>IF(BILANCIO!FG$64=0,"",BILANCIO!FG$9)</f>
        <v/>
      </c>
      <c r="ER335" s="879" t="str">
        <f>IF(BILANCIO!FH$64=0,"",BILANCIO!FH$9)</f>
        <v/>
      </c>
      <c r="ES335" s="879" t="str">
        <f>IF(BILANCIO!FI$64=0,"",BILANCIO!FI$9)</f>
        <v/>
      </c>
      <c r="ET335" s="879" t="str">
        <f>IF(BILANCIO!FJ$64=0,"",BILANCIO!FJ$9)</f>
        <v/>
      </c>
      <c r="EU335" s="879" t="str">
        <f>IF(BILANCIO!FK$64=0,"",BILANCIO!FK$9)</f>
        <v/>
      </c>
      <c r="EV335" s="879" t="str">
        <f>IF(BILANCIO!FL$64=0,"",BILANCIO!FL$9)</f>
        <v/>
      </c>
      <c r="EW335" s="879" t="str">
        <f>IF(BILANCIO!FM$64=0,"",BILANCIO!FM$9)</f>
        <v/>
      </c>
      <c r="EX335" s="879" t="str">
        <f>IF(BILANCIO!FN$64=0,"",BILANCIO!FN$9)</f>
        <v/>
      </c>
      <c r="EY335" s="879" t="str">
        <f>IF(BILANCIO!FO$64=0,"",BILANCIO!FO$9)</f>
        <v/>
      </c>
      <c r="EZ335" s="879" t="str">
        <f>IF(BILANCIO!FP$64=0,"",BILANCIO!FP$9)</f>
        <v/>
      </c>
      <c r="FA335" s="879" t="str">
        <f>IF(BILANCIO!FQ$64=0,"",BILANCIO!FQ$9)</f>
        <v/>
      </c>
      <c r="FB335" s="879" t="str">
        <f>IF(BILANCIO!FR$64=0,"",BILANCIO!FR$9)</f>
        <v/>
      </c>
      <c r="FC335" s="879" t="str">
        <f>IF(BILANCIO!FS$64=0,"",BILANCIO!FS$9)</f>
        <v/>
      </c>
      <c r="FD335" s="879" t="str">
        <f>IF(BILANCIO!FT$64=0,"",BILANCIO!FT$9)</f>
        <v/>
      </c>
      <c r="FE335" s="879" t="str">
        <f>IF(BILANCIO!FU$64=0,"",BILANCIO!FU$9)</f>
        <v/>
      </c>
      <c r="FF335" s="879" t="str">
        <f>IF(BILANCIO!FV$64=0,"",BILANCIO!FV$9)</f>
        <v/>
      </c>
      <c r="FG335" s="879" t="str">
        <f>IF(BILANCIO!FW$64=0,"",BILANCIO!FW$9)</f>
        <v/>
      </c>
      <c r="FH335" s="879" t="str">
        <f>IF(BILANCIO!FX$64=0,"",BILANCIO!FX$9)</f>
        <v/>
      </c>
      <c r="FI335" s="879" t="str">
        <f>IF(BILANCIO!FY$64=0,"",BILANCIO!FY$9)</f>
        <v/>
      </c>
      <c r="FJ335" s="879" t="str">
        <f>IF(BILANCIO!FZ$64=0,"",BILANCIO!FZ$9)</f>
        <v/>
      </c>
      <c r="FK335" s="879" t="str">
        <f>IF(BILANCIO!GA$64=0,"",BILANCIO!GA$9)</f>
        <v/>
      </c>
      <c r="FL335" s="879" t="str">
        <f>IF(BILANCIO!GB$64=0,"",BILANCIO!GB$9)</f>
        <v/>
      </c>
      <c r="FM335" s="879" t="str">
        <f>IF(BILANCIO!GC$64=0,"",BILANCIO!GC$9)</f>
        <v/>
      </c>
      <c r="FN335" s="879" t="str">
        <f>IF(BILANCIO!GD$64=0,"",BILANCIO!GD$9)</f>
        <v/>
      </c>
      <c r="FO335" s="879" t="str">
        <f>IF(BILANCIO!GE$64=0,"",BILANCIO!GE$9)</f>
        <v/>
      </c>
      <c r="FP335" s="879" t="str">
        <f>IF(BILANCIO!GF$64=0,"",BILANCIO!GF$9)</f>
        <v/>
      </c>
      <c r="FQ335" s="879" t="str">
        <f>IF(BILANCIO!GG$64=0,"",BILANCIO!GG$9)</f>
        <v/>
      </c>
      <c r="FR335" s="879" t="str">
        <f>IF(BILANCIO!GH$64=0,"",BILANCIO!GH$9)</f>
        <v/>
      </c>
      <c r="FS335" s="879" t="str">
        <f>IF(BILANCIO!GI$64=0,"",BILANCIO!GI$9)</f>
        <v/>
      </c>
      <c r="FT335" s="879" t="str">
        <f>IF(BILANCIO!GJ$64=0,"",BILANCIO!GJ$9)</f>
        <v/>
      </c>
      <c r="FU335" s="879" t="str">
        <f>IF(BILANCIO!GK$64=0,"",BILANCIO!GK$9)</f>
        <v/>
      </c>
      <c r="FV335" s="879" t="str">
        <f>IF(BILANCIO!GL$64=0,"",BILANCIO!GL$9)</f>
        <v/>
      </c>
      <c r="FW335" s="879" t="str">
        <f>IF(BILANCIO!GM$64=0,"",BILANCIO!GM$9)</f>
        <v/>
      </c>
      <c r="FX335" s="879" t="str">
        <f>IF(BILANCIO!GN$64=0,"",BILANCIO!GN$9)</f>
        <v/>
      </c>
      <c r="FY335" s="879" t="str">
        <f>IF(BILANCIO!GO$64=0,"",BILANCIO!GO$9)</f>
        <v/>
      </c>
      <c r="FZ335" s="879" t="str">
        <f>IF(BILANCIO!GP$64=0,"",BILANCIO!GP$9)</f>
        <v/>
      </c>
      <c r="GA335" s="879" t="str">
        <f>IF(BILANCIO!GQ$64=0,"",BILANCIO!GQ$9)</f>
        <v/>
      </c>
      <c r="GB335" s="879" t="str">
        <f>IF(BILANCIO!GR$64=0,"",BILANCIO!GR$9)</f>
        <v/>
      </c>
      <c r="GC335" s="879" t="str">
        <f>IF(BILANCIO!GS$64=0,"",BILANCIO!GS$9)</f>
        <v/>
      </c>
      <c r="GD335" s="879" t="str">
        <f>IF(BILANCIO!GT$64=0,"",BILANCIO!GT$9)</f>
        <v/>
      </c>
      <c r="GE335" s="879" t="str">
        <f>IF(BILANCIO!GU$64=0,"",BILANCIO!GU$9)</f>
        <v/>
      </c>
      <c r="GF335" s="879" t="str">
        <f>IF(BILANCIO!GV$64=0,"",BILANCIO!GV$9)</f>
        <v/>
      </c>
      <c r="GG335" s="879" t="str">
        <f>IF(BILANCIO!GW$64=0,"",BILANCIO!GW$9)</f>
        <v/>
      </c>
      <c r="GH335" s="879" t="str">
        <f>IF(BILANCIO!GX$64=0,"",BILANCIO!GX$9)</f>
        <v/>
      </c>
      <c r="GI335" s="879" t="str">
        <f>IF(BILANCIO!GY$64=0,"",BILANCIO!GY$9)</f>
        <v/>
      </c>
      <c r="GJ335" s="879" t="str">
        <f>IF(BILANCIO!GZ$64=0,"",BILANCIO!GZ$9)</f>
        <v/>
      </c>
      <c r="GK335" s="879" t="str">
        <f>IF(BILANCIO!HA$64=0,"",BILANCIO!HA$9)</f>
        <v/>
      </c>
      <c r="GL335" s="879" t="str">
        <f>IF(BILANCIO!HB$64=0,"",BILANCIO!HB$9)</f>
        <v/>
      </c>
      <c r="GM335" s="879" t="str">
        <f>IF(BILANCIO!HC$64=0,"",BILANCIO!HC$9)</f>
        <v/>
      </c>
      <c r="GN335" s="879" t="str">
        <f>IF(BILANCIO!HD$64=0,"",BILANCIO!HD$9)</f>
        <v/>
      </c>
      <c r="GO335" s="879" t="str">
        <f>IF(BILANCIO!HE$64=0,"",BILANCIO!HE$9)</f>
        <v/>
      </c>
      <c r="GP335" s="879" t="str">
        <f>IF(BILANCIO!HF$64=0,"",BILANCIO!HF$9)</f>
        <v/>
      </c>
      <c r="GQ335" s="879" t="str">
        <f>IF(BILANCIO!HG$64=0,"",BILANCIO!HG$9)</f>
        <v/>
      </c>
      <c r="GR335" s="879" t="str">
        <f>IF(BILANCIO!HH$64=0,"",BILANCIO!HH$9)</f>
        <v/>
      </c>
      <c r="GS335" s="879" t="str">
        <f>IF(BILANCIO!HI$64=0,"",BILANCIO!HI$9)</f>
        <v/>
      </c>
      <c r="GT335" s="879" t="str">
        <f>IF(BILANCIO!HJ$64=0,"",BILANCIO!HJ$9)</f>
        <v/>
      </c>
      <c r="GU335" s="879" t="str">
        <f>IF(BILANCIO!HK$64=0,"",BILANCIO!HK$9)</f>
        <v/>
      </c>
      <c r="GV335" s="879" t="str">
        <f>IF(BILANCIO!HL$64=0,"",BILANCIO!HL$9)</f>
        <v/>
      </c>
      <c r="GW335" s="879" t="str">
        <f>IF(BILANCIO!HM$64=0,"",BILANCIO!HM$9)</f>
        <v/>
      </c>
      <c r="GX335" s="879" t="str">
        <f>IF(BILANCIO!HN$64=0,"",BILANCIO!HN$9)</f>
        <v/>
      </c>
      <c r="GY335" s="879" t="str">
        <f>IF(BILANCIO!HO$64=0,"",BILANCIO!HO$9)</f>
        <v/>
      </c>
      <c r="GZ335" s="879" t="str">
        <f>IF(BILANCIO!HP$64=0,"",BILANCIO!HP$9)</f>
        <v/>
      </c>
      <c r="HA335" s="879" t="str">
        <f>IF(BILANCIO!HQ$64=0,"",BILANCIO!HQ$9)</f>
        <v/>
      </c>
      <c r="HB335" s="879" t="str">
        <f>IF(BILANCIO!HR$64=0,"",BILANCIO!HR$9)</f>
        <v/>
      </c>
      <c r="HC335" s="879" t="str">
        <f>IF(BILANCIO!HS$64=0,"",BILANCIO!HS$9)</f>
        <v/>
      </c>
      <c r="HD335" s="879" t="str">
        <f>IF(BILANCIO!HT$64=0,"",BILANCIO!HT$9)</f>
        <v/>
      </c>
      <c r="HE335" s="879" t="str">
        <f>IF(BILANCIO!HU$64=0,"",BILANCIO!HU$9)</f>
        <v/>
      </c>
      <c r="HF335" s="879" t="str">
        <f>IF(BILANCIO!HV$64=0,"",BILANCIO!HV$9)</f>
        <v/>
      </c>
      <c r="HG335" s="879" t="str">
        <f>IF(BILANCIO!HW$64=0,"",BILANCIO!HW$9)</f>
        <v/>
      </c>
      <c r="HH335" s="879" t="str">
        <f>IF(BILANCIO!HX$64=0,"",BILANCIO!HX$9)</f>
        <v/>
      </c>
      <c r="HI335" s="879" t="str">
        <f>IF(BILANCIO!HY$64=0,"",BILANCIO!HY$9)</f>
        <v/>
      </c>
      <c r="HJ335" s="879" t="str">
        <f>IF(BILANCIO!HZ$64=0,"",BILANCIO!HZ$9)</f>
        <v/>
      </c>
      <c r="HK335" s="879" t="str">
        <f>IF(BILANCIO!IA$64=0,"",BILANCIO!IA$9)</f>
        <v/>
      </c>
      <c r="HL335" s="879" t="str">
        <f>IF(BILANCIO!IB$64=0,"",BILANCIO!IB$9)</f>
        <v/>
      </c>
      <c r="HM335" s="879" t="str">
        <f>IF(BILANCIO!IC$64=0,"",BILANCIO!IC$9)</f>
        <v/>
      </c>
      <c r="HN335" s="879" t="str">
        <f>IF(BILANCIO!ID$64=0,"",BILANCIO!ID$9)</f>
        <v/>
      </c>
      <c r="HO335" s="879" t="str">
        <f>IF(BILANCIO!IE$64=0,"",BILANCIO!IE$9)</f>
        <v/>
      </c>
      <c r="HP335" s="879" t="str">
        <f>IF(BILANCIO!IF$64=0,"",BILANCIO!IF$9)</f>
        <v/>
      </c>
      <c r="HQ335" s="879" t="str">
        <f>IF(BILANCIO!IG$64=0,"",BILANCIO!IG$9)</f>
        <v/>
      </c>
      <c r="HR335" s="879" t="str">
        <f>IF(BILANCIO!IH$64=0,"",BILANCIO!IH$9)</f>
        <v/>
      </c>
      <c r="HS335" s="879" t="str">
        <f>IF(BILANCIO!II$64=0,"",BILANCIO!II$9)</f>
        <v/>
      </c>
      <c r="HT335" s="879" t="str">
        <f>IF(BILANCIO!IJ$64=0,"",BILANCIO!IJ$9)</f>
        <v/>
      </c>
      <c r="HU335" s="879" t="str">
        <f>IF(BILANCIO!IK$64=0,"",BILANCIO!IK$9)</f>
        <v/>
      </c>
      <c r="HV335" s="879" t="str">
        <f>IF(BILANCIO!IL$64=0,"",BILANCIO!IL$9)</f>
        <v/>
      </c>
      <c r="HW335" s="879" t="str">
        <f>IF(BILANCIO!IM$64=0,"",BILANCIO!IM$9)</f>
        <v/>
      </c>
      <c r="HX335" s="879" t="str">
        <f>IF(BILANCIO!IN$64=0,"",BILANCIO!IN$9)</f>
        <v/>
      </c>
      <c r="HY335" s="879" t="str">
        <f>IF(BILANCIO!IO$64=0,"",BILANCIO!IO$9)</f>
        <v/>
      </c>
      <c r="HZ335" s="879" t="str">
        <f>IF(BILANCIO!IP$64=0,"",BILANCIO!IP$9)</f>
        <v/>
      </c>
      <c r="IA335" s="879" t="str">
        <f>IF(BILANCIO!IQ$64=0,"",BILANCIO!IQ$9)</f>
        <v/>
      </c>
      <c r="IB335" s="879" t="str">
        <f>IF(BILANCIO!IR$64=0,"",BILANCIO!IR$9)</f>
        <v/>
      </c>
      <c r="IC335" s="879" t="str">
        <f>IF(BILANCIO!IS$64=0,"",BILANCIO!IS$9)</f>
        <v/>
      </c>
      <c r="ID335" s="879" t="str">
        <f>IF(BILANCIO!IT$64=0,"",BILANCIO!IT$9)</f>
        <v/>
      </c>
      <c r="IE335" s="879" t="str">
        <f>IF(BILANCIO!IU$64=0,"",BILANCIO!IU$9)</f>
        <v/>
      </c>
      <c r="IF335" s="879" t="str">
        <f>IF(BILANCIO!IV$64=0,"",BILANCIO!IV$9)</f>
        <v/>
      </c>
      <c r="IG335" s="879" t="str">
        <f>IF(BILANCIO!IW$64=0,"",BILANCIO!IW$9)</f>
        <v/>
      </c>
      <c r="IH335" s="879" t="str">
        <f>IF(BILANCIO!IX$64=0,"",BILANCIO!IX$9)</f>
        <v/>
      </c>
      <c r="II335" s="879" t="str">
        <f>IF(BILANCIO!IY$64=0,"",BILANCIO!IY$9)</f>
        <v/>
      </c>
      <c r="IJ335" s="879" t="str">
        <f>IF(BILANCIO!IZ$64=0,"",BILANCIO!IZ$9)</f>
        <v/>
      </c>
      <c r="IK335" s="879" t="str">
        <f>IF(BILANCIO!JA$64=0,"",BILANCIO!JA$9)</f>
        <v/>
      </c>
      <c r="IL335" s="879" t="str">
        <f>IF(BILANCIO!JB$64=0,"",BILANCIO!JB$9)</f>
        <v/>
      </c>
      <c r="IM335" s="879" t="str">
        <f>IF(BILANCIO!JC$64=0,"",BILANCIO!JC$9)</f>
        <v/>
      </c>
      <c r="IN335" s="879" t="str">
        <f>IF(BILANCIO!JD$64=0,"",BILANCIO!JD$9)</f>
        <v/>
      </c>
      <c r="IO335" s="879" t="str">
        <f>IF(BILANCIO!JE$64=0,"",BILANCIO!JE$9)</f>
        <v/>
      </c>
      <c r="IP335" s="879" t="str">
        <f>IF(BILANCIO!JF$64=0,"",BILANCIO!JF$9)</f>
        <v/>
      </c>
      <c r="IQ335" s="879" t="str">
        <f>IF(BILANCIO!JG$64=0,"",BILANCIO!JG$9)</f>
        <v/>
      </c>
      <c r="IR335" s="879" t="str">
        <f>IF(BILANCIO!JH$64=0,"",BILANCIO!JH$9)</f>
        <v/>
      </c>
      <c r="IS335" s="879" t="str">
        <f>IF(BILANCIO!JI$64=0,"",BILANCIO!JI$9)</f>
        <v/>
      </c>
      <c r="IT335" s="879" t="str">
        <f>IF(BILANCIO!JJ$64=0,"",BILANCIO!JJ$9)</f>
        <v/>
      </c>
      <c r="IU335" s="879" t="str">
        <f>IF(BILANCIO!JK$64=0,"",BILANCIO!JK$9)</f>
        <v/>
      </c>
      <c r="IV335" s="879" t="str">
        <f>IF(BILANCIO!JL$64=0,"",BILANCIO!JL$9)</f>
        <v/>
      </c>
      <c r="IW335" s="879" t="str">
        <f>IF(BILANCIO!JM$64=0,"",BILANCIO!JM$9)</f>
        <v/>
      </c>
      <c r="IX335" s="879" t="str">
        <f>IF(BILANCIO!JN$64=0,"",BILANCIO!JN$9)</f>
        <v/>
      </c>
      <c r="IY335" s="879" t="str">
        <f>IF(BILANCIO!JO$64=0,"",BILANCIO!JO$9)</f>
        <v/>
      </c>
      <c r="IZ335" s="879" t="str">
        <f>IF(BILANCIO!JP$64=0,"",BILANCIO!JP$9)</f>
        <v/>
      </c>
      <c r="JA335" s="879" t="str">
        <f>IF(BILANCIO!JQ$64=0,"",BILANCIO!JQ$9)</f>
        <v/>
      </c>
      <c r="JB335" s="879" t="str">
        <f>IF(BILANCIO!JR$64=0,"",BILANCIO!JR$9)</f>
        <v/>
      </c>
      <c r="JC335" s="879" t="str">
        <f>IF(BILANCIO!JS$64=0,"",BILANCIO!JS$9)</f>
        <v/>
      </c>
      <c r="JD335" s="879" t="str">
        <f>IF(BILANCIO!JT$64=0,"",BILANCIO!JT$9)</f>
        <v/>
      </c>
      <c r="JE335" s="879" t="str">
        <f>IF(BILANCIO!JU$64=0,"",BILANCIO!JU$9)</f>
        <v/>
      </c>
      <c r="JF335" s="879" t="str">
        <f>IF(BILANCIO!JV$64=0,"",BILANCIO!JV$9)</f>
        <v/>
      </c>
      <c r="JG335" s="879" t="str">
        <f>IF(BILANCIO!JW$64=0,"",BILANCIO!JW$9)</f>
        <v/>
      </c>
      <c r="JH335" s="879" t="str">
        <f>IF(BILANCIO!JX$64=0,"",BILANCIO!JX$9)</f>
        <v/>
      </c>
      <c r="JI335" s="879" t="str">
        <f>IF(BILANCIO!JY$64=0,"",BILANCIO!JY$9)</f>
        <v/>
      </c>
      <c r="JJ335" s="879" t="str">
        <f>IF(BILANCIO!JZ$64=0,"",BILANCIO!JZ$9)</f>
        <v/>
      </c>
      <c r="JK335" s="879" t="str">
        <f>IF(BILANCIO!KA$64=0,"",BILANCIO!KA$9)</f>
        <v/>
      </c>
      <c r="JL335" s="879" t="str">
        <f>IF(BILANCIO!KB$64=0,"",BILANCIO!KB$9)</f>
        <v/>
      </c>
      <c r="JM335" s="879" t="str">
        <f>IF(BILANCIO!KC$64=0,"",BILANCIO!KC$9)</f>
        <v/>
      </c>
      <c r="JN335" s="879" t="str">
        <f>IF(BILANCIO!KD$64=0,"",BILANCIO!KD$9)</f>
        <v/>
      </c>
      <c r="JO335" s="879" t="str">
        <f>IF(BILANCIO!KE$64=0,"",BILANCIO!KE$9)</f>
        <v/>
      </c>
      <c r="JP335" s="879" t="str">
        <f>IF(BILANCIO!KF$64=0,"",BILANCIO!KF$9)</f>
        <v/>
      </c>
      <c r="JQ335" s="879" t="str">
        <f>IF(BILANCIO!KG$64=0,"",BILANCIO!KG$9)</f>
        <v/>
      </c>
      <c r="JR335" s="879" t="str">
        <f>IF(BILANCIO!KH$64=0,"",BILANCIO!KH$9)</f>
        <v/>
      </c>
      <c r="JS335" s="879" t="str">
        <f>IF(BILANCIO!KI$64=0,"",BILANCIO!KI$9)</f>
        <v/>
      </c>
      <c r="JT335" s="879" t="str">
        <f>IF(BILANCIO!KJ$64=0,"",BILANCIO!KJ$9)</f>
        <v/>
      </c>
      <c r="JU335" s="879" t="str">
        <f>IF(BILANCIO!KK$64=0,"",BILANCIO!KK$9)</f>
        <v/>
      </c>
      <c r="JV335" s="879" t="str">
        <f>IF(BILANCIO!KL$64=0,"",BILANCIO!KL$9)</f>
        <v/>
      </c>
      <c r="JW335" s="879" t="str">
        <f>IF(BILANCIO!KM$64=0,"",BILANCIO!KM$9)</f>
        <v/>
      </c>
      <c r="JX335" s="879" t="str">
        <f>IF(BILANCIO!KN$64=0,"",BILANCIO!KN$9)</f>
        <v/>
      </c>
      <c r="JY335" s="879" t="str">
        <f>IF(BILANCIO!KO$64=0,"",BILANCIO!KO$9)</f>
        <v/>
      </c>
      <c r="JZ335" s="879" t="str">
        <f>IF(BILANCIO!KP$64=0,"",BILANCIO!KP$9)</f>
        <v/>
      </c>
      <c r="KA335" s="879" t="str">
        <f>IF(BILANCIO!KQ$64=0,"",BILANCIO!KQ$9)</f>
        <v/>
      </c>
      <c r="KB335" s="879" t="str">
        <f>IF(BILANCIO!KR$64=0,"",BILANCIO!KR$9)</f>
        <v/>
      </c>
      <c r="KC335" s="879" t="str">
        <f>IF(BILANCIO!KS$64=0,"",BILANCIO!KS$9)</f>
        <v/>
      </c>
      <c r="KD335" s="879" t="str">
        <f>IF(BILANCIO!KT$64=0,"",BILANCIO!KT$9)</f>
        <v/>
      </c>
      <c r="KE335" s="879" t="str">
        <f>IF(BILANCIO!KU$64=0,"",BILANCIO!KU$9)</f>
        <v/>
      </c>
      <c r="KF335" s="879" t="str">
        <f>IF(BILANCIO!KV$64=0,"",BILANCIO!KV$9)</f>
        <v/>
      </c>
      <c r="KG335" s="879" t="str">
        <f>IF(BILANCIO!KW$64=0,"",BILANCIO!KW$9)</f>
        <v/>
      </c>
      <c r="KH335" s="879" t="str">
        <f>IF(BILANCIO!KX$64=0,"",BILANCIO!KX$9)</f>
        <v/>
      </c>
      <c r="KI335" s="879" t="str">
        <f>IF(BILANCIO!KY$64=0,"",BILANCIO!KY$9)</f>
        <v/>
      </c>
      <c r="KJ335" s="879" t="str">
        <f>IF(BILANCIO!KZ$64=0,"",BILANCIO!KZ$9)</f>
        <v/>
      </c>
      <c r="KK335" s="879" t="str">
        <f>IF(BILANCIO!LA$64=0,"",BILANCIO!LA$9)</f>
        <v/>
      </c>
      <c r="KL335" s="879" t="str">
        <f>IF(BILANCIO!LB$64=0,"",BILANCIO!LB$9)</f>
        <v/>
      </c>
      <c r="KM335" s="879" t="str">
        <f>IF(BILANCIO!LC$64=0,"",BILANCIO!LC$9)</f>
        <v/>
      </c>
      <c r="KN335" s="879" t="str">
        <f>IF(BILANCIO!LD$64=0,"",BILANCIO!LD$9)</f>
        <v/>
      </c>
      <c r="KO335" s="879" t="str">
        <f>IF(BILANCIO!LE$64=0,"",BILANCIO!LE$9)</f>
        <v/>
      </c>
      <c r="KP335" s="879" t="str">
        <f>IF(BILANCIO!LF$64=0,"",BILANCIO!LF$9)</f>
        <v/>
      </c>
      <c r="KQ335" s="879" t="str">
        <f>IF(BILANCIO!LG$64=0,"",BILANCIO!LG$9)</f>
        <v/>
      </c>
      <c r="KR335" s="879" t="str">
        <f>IF(BILANCIO!LH$64=0,"",BILANCIO!LH$9)</f>
        <v/>
      </c>
      <c r="KS335" s="879" t="str">
        <f>IF(BILANCIO!LI$64=0,"",BILANCIO!LI$9)</f>
        <v/>
      </c>
      <c r="KT335" s="879" t="str">
        <f>IF(BILANCIO!LJ$64=0,"",BILANCIO!LJ$9)</f>
        <v/>
      </c>
      <c r="KU335" s="879" t="str">
        <f>IF(BILANCIO!LK$64=0,"",BILANCIO!LK$9)</f>
        <v/>
      </c>
      <c r="KV335" s="879" t="str">
        <f>IF(BILANCIO!LL$64=0,"",BILANCIO!LL$9)</f>
        <v/>
      </c>
      <c r="KW335" s="879" t="str">
        <f>IF(BILANCIO!LM$64=0,"",BILANCIO!LM$9)</f>
        <v/>
      </c>
      <c r="KX335" s="879" t="str">
        <f>IF(BILANCIO!LN$64=0,"",BILANCIO!LN$9)</f>
        <v/>
      </c>
      <c r="KY335" s="879" t="str">
        <f>IF(BILANCIO!LO$64=0,"",BILANCIO!LO$9)</f>
        <v/>
      </c>
      <c r="KZ335" s="879" t="str">
        <f>IF(BILANCIO!LP$64=0,"",BILANCIO!LP$9)</f>
        <v/>
      </c>
      <c r="LA335" s="879" t="str">
        <f>IF(BILANCIO!LQ$64=0,"",BILANCIO!LQ$9)</f>
        <v/>
      </c>
      <c r="LB335" s="879" t="str">
        <f>IF(BILANCIO!LR$64=0,"",BILANCIO!LR$9)</f>
        <v/>
      </c>
      <c r="LC335" s="879" t="str">
        <f>IF(BILANCIO!LS$64=0,"",BILANCIO!LS$9)</f>
        <v/>
      </c>
      <c r="LD335" s="879" t="str">
        <f>IF(BILANCIO!LT$64=0,"",BILANCIO!LT$9)</f>
        <v/>
      </c>
      <c r="LE335" s="879"/>
      <c r="LF335" s="879"/>
      <c r="LG335" s="879"/>
      <c r="LH335" s="879"/>
      <c r="LI335" s="879"/>
      <c r="LJ335" s="879"/>
      <c r="LK335" s="879"/>
      <c r="LL335" s="879"/>
      <c r="LM335" s="879"/>
      <c r="LN335" s="879"/>
      <c r="LO335" s="879"/>
      <c r="LP335" s="879"/>
      <c r="LQ335" s="879"/>
      <c r="LR335" s="879"/>
      <c r="LS335" s="879"/>
      <c r="LT335" s="879"/>
      <c r="LU335" s="879"/>
      <c r="LV335" s="879"/>
      <c r="LW335" s="879"/>
      <c r="LX335" s="879"/>
      <c r="LY335" s="879"/>
      <c r="LZ335" s="879"/>
      <c r="MA335" s="879"/>
      <c r="MB335" s="879"/>
      <c r="MC335" s="879"/>
      <c r="MD335" s="879"/>
      <c r="ME335" s="879"/>
      <c r="MF335" s="879"/>
      <c r="MG335" s="879"/>
      <c r="MH335" s="879"/>
      <c r="MI335" s="879"/>
      <c r="MJ335" s="879"/>
      <c r="MK335" s="879"/>
      <c r="ML335" s="879"/>
      <c r="MM335" s="879"/>
      <c r="MN335" s="879"/>
      <c r="MO335" s="879"/>
      <c r="MP335" s="879"/>
      <c r="MQ335" s="879"/>
      <c r="MR335" s="879"/>
      <c r="MS335" s="879"/>
      <c r="MT335" s="879"/>
      <c r="MU335" s="879"/>
      <c r="MV335" s="879"/>
      <c r="MW335" s="879"/>
      <c r="MX335" s="879"/>
      <c r="MY335" s="879"/>
      <c r="MZ335" s="879"/>
      <c r="NA335" s="879"/>
      <c r="NB335" s="879"/>
      <c r="NC335" s="879"/>
      <c r="ND335" s="879"/>
      <c r="NE335" s="879"/>
      <c r="NF335" s="879"/>
      <c r="NG335" s="879"/>
      <c r="NH335" s="879"/>
      <c r="NI335" s="879"/>
      <c r="NJ335" s="879"/>
      <c r="NK335" s="879"/>
      <c r="NL335" s="879"/>
      <c r="NM335" s="879"/>
      <c r="NN335" s="879"/>
      <c r="NO335" s="879"/>
      <c r="NP335" s="879"/>
      <c r="NQ335" s="879"/>
      <c r="NR335" s="879"/>
      <c r="NS335" s="879"/>
      <c r="NT335" s="879"/>
      <c r="NU335" s="879"/>
      <c r="NV335" s="879"/>
      <c r="NW335" s="879"/>
      <c r="NX335" s="879"/>
      <c r="NY335" s="879"/>
      <c r="NZ335" s="879"/>
      <c r="OA335" s="879"/>
      <c r="OB335" s="879"/>
      <c r="OC335" s="879"/>
      <c r="OD335" s="879"/>
      <c r="OE335" s="879"/>
      <c r="OF335" s="879"/>
      <c r="OG335" s="879"/>
      <c r="OH335" s="879"/>
      <c r="OI335" s="879"/>
      <c r="OJ335" s="879"/>
      <c r="OK335" s="879"/>
      <c r="OL335" s="879"/>
      <c r="OM335" s="879"/>
      <c r="ON335" s="879"/>
      <c r="OO335" s="879"/>
      <c r="OP335" s="879"/>
      <c r="OQ335" s="879"/>
      <c r="OR335" s="879"/>
      <c r="OS335" s="879"/>
      <c r="OT335" s="879"/>
      <c r="OU335" s="879"/>
      <c r="OV335" s="879"/>
      <c r="OW335" s="879"/>
      <c r="OX335" s="879"/>
    </row>
    <row r="336" spans="2:414" s="880" customFormat="1">
      <c r="B336" s="881">
        <f>IF(BILANCIO!S$64=0,"",BILANCIO!S32)</f>
        <v>7851.23</v>
      </c>
      <c r="C336" s="881">
        <f>IF(BILANCIO!T$64=0,"",BILANCIO!T32)</f>
        <v>8195.7999999999993</v>
      </c>
      <c r="D336" s="881">
        <f>IF(BILANCIO!U$64=0,"",BILANCIO!U32)</f>
        <v>11552.48</v>
      </c>
      <c r="E336" s="881">
        <f>IF(BILANCIO!V$64=0,"",BILANCIO!V32)</f>
        <v>11541.369999999999</v>
      </c>
      <c r="F336" s="881">
        <f>IF(BILANCIO!W$64=0,"",BILANCIO!W32)</f>
        <v>11543.579999999998</v>
      </c>
      <c r="G336" s="881">
        <f>IF(BILANCIO!X$64=0,"",BILANCIO!X32)</f>
        <v>11517.649999999998</v>
      </c>
      <c r="H336" s="881">
        <f>IF(BILANCIO!Y$64=0,"",BILANCIO!Y32)</f>
        <v>11874.519999999997</v>
      </c>
      <c r="I336" s="881">
        <f>IF(BILANCIO!Z$64=0,"",BILANCIO!Z32)</f>
        <v>12417.519999999997</v>
      </c>
      <c r="J336" s="881">
        <f>IF(BILANCIO!AA$64=0,"",BILANCIO!AA32)</f>
        <v>12636.559999999998</v>
      </c>
      <c r="K336" s="881">
        <f>IF(BILANCIO!AB$64=0,"",BILANCIO!AB32)</f>
        <v>13224.529999999997</v>
      </c>
      <c r="L336" s="881">
        <f>IF(BILANCIO!AC$64=0,"",BILANCIO!AC32)</f>
        <v>13228.389999999998</v>
      </c>
      <c r="M336" s="881">
        <f>IF(BILANCIO!AD$64=0,"",BILANCIO!AD32)</f>
        <v>12707.639999999998</v>
      </c>
      <c r="N336" s="881">
        <f>IF(BILANCIO!AE$64=0,"",BILANCIO!AE32)</f>
        <v>12629.769999999997</v>
      </c>
      <c r="O336" s="881">
        <f>IF(BILANCIO!AF$64=0,"",BILANCIO!AF32)</f>
        <v>1559.4499999999971</v>
      </c>
      <c r="P336" s="881">
        <f>IF(BILANCIO!AG$64=0,"",BILANCIO!AG32)</f>
        <v>2224.5099999999966</v>
      </c>
      <c r="Q336" s="881">
        <f>IF(BILANCIO!AH$64=0,"",BILANCIO!AH32)</f>
        <v>1843.8699999999963</v>
      </c>
      <c r="R336" s="881">
        <f>IF(BILANCIO!AI$64=0,"",BILANCIO!AI32)</f>
        <v>3684.5199999999959</v>
      </c>
      <c r="S336" s="881">
        <f>IF(BILANCIO!AJ$64=0,"",BILANCIO!AJ32)</f>
        <v>882.47999999999683</v>
      </c>
      <c r="T336" s="881">
        <f>IF(BILANCIO!AK$64=0,"",BILANCIO!AK32)</f>
        <v>1203.769999999997</v>
      </c>
      <c r="U336" s="881">
        <f>IF(BILANCIO!AL$64=0,"",BILANCIO!AL32)</f>
        <v>1394.4199999999967</v>
      </c>
      <c r="V336" s="881">
        <f>IF(BILANCIO!AM$64=0,"",BILANCIO!AM32)</f>
        <v>1366.5399999999963</v>
      </c>
      <c r="W336" s="881">
        <f>IF(BILANCIO!AN$64=0,"",BILANCIO!AN32)</f>
        <v>5941.1799999999957</v>
      </c>
      <c r="X336" s="881"/>
      <c r="Y336" s="881">
        <f>IF(BILANCIO!AO$64=0,"",BILANCIO!AO32)</f>
        <v>4125.6699999999964</v>
      </c>
      <c r="Z336" s="881">
        <f>IF(BILANCIO!AP$64=0,"",BILANCIO!AP32)</f>
        <v>3502.8099999999968</v>
      </c>
      <c r="AA336" s="881">
        <f>IF(BILANCIO!AQ$64=0,"",BILANCIO!AQ32)</f>
        <v>3155.3399999999965</v>
      </c>
      <c r="AB336" s="881">
        <f>IF(BILANCIO!AR$64=0,"",BILANCIO!AR32)</f>
        <v>3050.5299999999966</v>
      </c>
      <c r="AC336" s="881">
        <f>IF(BILANCIO!AS$64=0,"",BILANCIO!AS32)</f>
        <v>4838.6099999999969</v>
      </c>
      <c r="AD336" s="881">
        <f>IF(BILANCIO!AT$64=0,"",BILANCIO!AT32)</f>
        <v>17167.149999999998</v>
      </c>
      <c r="AE336" s="881">
        <f>IF(BILANCIO!AU$64=0,"",BILANCIO!AU32)</f>
        <v>2534.41</v>
      </c>
      <c r="AF336" s="881">
        <f>IF(BILANCIO!AV$64=0,"",BILANCIO!AV32)</f>
        <v>3121.67</v>
      </c>
      <c r="AG336" s="881">
        <f>IF(BILANCIO!AW$64=0,"",BILANCIO!AW32)</f>
        <v>20882.830000000002</v>
      </c>
      <c r="AH336" s="881">
        <f>IF(BILANCIO!AX$64=0,"",BILANCIO!AX32)</f>
        <v>20604.54</v>
      </c>
      <c r="AI336" s="881">
        <f>IF(BILANCIO!AY$64=0,"",BILANCIO!AY32)</f>
        <v>20634.57</v>
      </c>
      <c r="AJ336" s="881">
        <f>IF(BILANCIO!AZ$64=0,"",BILANCIO!AZ32)</f>
        <v>20065.32</v>
      </c>
      <c r="AK336" s="881">
        <f>IF(BILANCIO!BA$64=0,"",BILANCIO!BA32)</f>
        <v>20213.27</v>
      </c>
      <c r="AL336" s="881">
        <f>IF(BILANCIO!BB$64=0,"",BILANCIO!BB32)</f>
        <v>1128.0699999999997</v>
      </c>
      <c r="AM336" s="881">
        <f>IF(BILANCIO!BC$64=0,"",BILANCIO!BC32)</f>
        <v>1094.2699999999995</v>
      </c>
      <c r="AN336" s="881">
        <f>IF(BILANCIO!BD$64=0,"",BILANCIO!BD32)</f>
        <v>1161.3299999999995</v>
      </c>
      <c r="AO336" s="881">
        <f>IF(BILANCIO!BE$64=0,"",BILANCIO!BE32)</f>
        <v>3883.4299999999994</v>
      </c>
      <c r="AP336" s="881">
        <f>IF(BILANCIO!BF$64=0,"",BILANCIO!BF32)</f>
        <v>3226.3999999999996</v>
      </c>
      <c r="AQ336" s="881">
        <f>IF(BILANCIO!BG$64=0,"",BILANCIO!BG32)</f>
        <v>3271.6299999999997</v>
      </c>
      <c r="AR336" s="881">
        <f>IF(BILANCIO!BH$64=0,"",BILANCIO!BH32)</f>
        <v>3117.9299999999989</v>
      </c>
      <c r="AS336" s="881">
        <f>IF(BILANCIO!BI$64=0,"",BILANCIO!BI32)</f>
        <v>3071.7999999999984</v>
      </c>
      <c r="AT336" s="881">
        <f>IF(BILANCIO!BJ$64=0,"",BILANCIO!BJ32)</f>
        <v>2873.8999999999987</v>
      </c>
      <c r="AU336" s="881">
        <f>IF(BILANCIO!BK$64=0,"",BILANCIO!BK32)</f>
        <v>2571.9299999999985</v>
      </c>
      <c r="AV336" s="881">
        <f>IF(BILANCIO!BL$64=0,"",BILANCIO!BL32)</f>
        <v>2751.3699999999985</v>
      </c>
      <c r="AW336" s="881">
        <f>IF(BILANCIO!BM$64=0,"",BILANCIO!BM32)</f>
        <v>2194.3199999999993</v>
      </c>
      <c r="AX336" s="881">
        <f>IF(BILANCIO!BN$64=0,"",BILANCIO!BN32)</f>
        <v>1700.2799999999997</v>
      </c>
      <c r="AY336" s="881">
        <f>IF(BILANCIO!BO$64=0,"",BILANCIO!BO32)</f>
        <v>1654.12</v>
      </c>
      <c r="AZ336" s="881">
        <f>IF(BILANCIO!BP$64=0,"",BILANCIO!BP32)</f>
        <v>1489.0699999999997</v>
      </c>
      <c r="BA336" s="881">
        <f>IF(BILANCIO!BQ$64=0,"",BILANCIO!BQ32)</f>
        <v>3214.4500000000003</v>
      </c>
      <c r="BB336" s="881">
        <f>IF(BILANCIO!BR$64=0,"",BILANCIO!BR32)</f>
        <v>2849.4200000000005</v>
      </c>
      <c r="BC336" s="881">
        <f>IF(BILANCIO!BS$64=0,"",BILANCIO!BS32)</f>
        <v>2754.95</v>
      </c>
      <c r="BD336" s="881">
        <f>IF(BILANCIO!BT$64=0,"",BILANCIO!BT32)</f>
        <v>5906.15</v>
      </c>
      <c r="BE336" s="881">
        <f>IF(BILANCIO!BU$64=0,"",BILANCIO!BU32)</f>
        <v>5970.15</v>
      </c>
      <c r="BF336" s="881">
        <f>IF(BILANCIO!BV$64=0,"",BILANCIO!BV32)</f>
        <v>5908.9</v>
      </c>
      <c r="BG336" s="881">
        <f>IF(BILANCIO!BW$64=0,"",BILANCIO!BW32)</f>
        <v>5520.5599999999995</v>
      </c>
      <c r="BH336" s="881">
        <f>IF(BILANCIO!BX$64=0,"",BILANCIO!BX32)</f>
        <v>5590.37</v>
      </c>
      <c r="BI336" s="881">
        <f>IF(BILANCIO!BY$64=0,"",BILANCIO!BY32)</f>
        <v>5403.21</v>
      </c>
      <c r="BJ336" s="881">
        <f>IF(BILANCIO!BZ$64=0,"",BILANCIO!BZ32)</f>
        <v>5004.3500000000004</v>
      </c>
      <c r="BK336" s="881">
        <f>IF(BILANCIO!CA$64=0,"",BILANCIO!CA32)</f>
        <v>8062.55</v>
      </c>
      <c r="BL336" s="881">
        <f>IF(BILANCIO!CB$64=0,"",BILANCIO!CB32)</f>
        <v>6638.329999999999</v>
      </c>
      <c r="BM336" s="881">
        <f>IF(BILANCIO!CC$64=0,"",BILANCIO!CC32)</f>
        <v>8487.159999999998</v>
      </c>
      <c r="BN336" s="881">
        <f>IF(BILANCIO!CD$64=0,"",BILANCIO!CD32)</f>
        <v>8547.0499999999975</v>
      </c>
      <c r="BO336" s="881">
        <f>IF(BILANCIO!CE$64=0,"",BILANCIO!CE32)</f>
        <v>8673.3199999999979</v>
      </c>
      <c r="BP336" s="881">
        <f>IF(BILANCIO!CF$64=0,"",BILANCIO!CF32)</f>
        <v>11338.679999999997</v>
      </c>
      <c r="BQ336" s="881">
        <f>IF(BILANCIO!CG$64=0,"",BILANCIO!CG32)</f>
        <v>11272.169999999996</v>
      </c>
      <c r="BR336" s="881">
        <f>IF(BILANCIO!CH$64=0,"",BILANCIO!CH32)</f>
        <v>11159.409999999996</v>
      </c>
      <c r="BS336" s="881">
        <f>IF(BILANCIO!CI$64=0,"",BILANCIO!CI32)</f>
        <v>11206.049999999996</v>
      </c>
      <c r="BT336" s="881">
        <f>IF(BILANCIO!CJ$64=0,"",BILANCIO!CJ32)</f>
        <v>11116.089999999995</v>
      </c>
      <c r="BU336" s="881">
        <f>IF(BILANCIO!CK$64=0,"",BILANCIO!CK32)</f>
        <v>10905.101999999995</v>
      </c>
      <c r="BV336" s="881">
        <f>IF(BILANCIO!CL$64=0,"",BILANCIO!CL32)</f>
        <v>10226.301999999994</v>
      </c>
      <c r="BW336" s="881">
        <f>IF(BILANCIO!CM$64=0,"",BILANCIO!CM32)</f>
        <v>10230.011999999995</v>
      </c>
      <c r="BX336" s="881">
        <f>IF(BILANCIO!CN$64=0,"",BILANCIO!CN32)</f>
        <v>10230.741999999995</v>
      </c>
      <c r="BY336" s="881">
        <f>IF(BILANCIO!CO$64=0,"",BILANCIO!CO32)</f>
        <v>11614.741999999995</v>
      </c>
      <c r="BZ336" s="881">
        <f>IF(BILANCIO!CP$64=0,"",BILANCIO!CP32)</f>
        <v>11338.621999999994</v>
      </c>
      <c r="CA336" s="881">
        <f>IF(BILANCIO!CQ$64=0,"",BILANCIO!CQ32)</f>
        <v>11429.191999999994</v>
      </c>
      <c r="CB336" s="881">
        <f>IF(BILANCIO!CR$64=0,"",BILANCIO!CR32)</f>
        <v>11034.723999999995</v>
      </c>
      <c r="CC336" s="881">
        <f>IF(BILANCIO!CS$64=0,"",BILANCIO!CS32)</f>
        <v>12846.083999999995</v>
      </c>
      <c r="CD336" s="881">
        <f>IF(BILANCIO!CT$64=0,"",BILANCIO!CT32)</f>
        <v>20283.255999999994</v>
      </c>
      <c r="CE336" s="881">
        <f>IF(BILANCIO!CU$64=0,"",BILANCIO!CU32)</f>
        <v>54638.227999999996</v>
      </c>
      <c r="CF336" s="881">
        <f>IF(BILANCIO!CV$64=0,"",BILANCIO!CV32)</f>
        <v>54234.477999999996</v>
      </c>
      <c r="CG336" s="881">
        <f>IF(BILANCIO!CW$64=0,"",BILANCIO!CW32)</f>
        <v>54331.037999999993</v>
      </c>
      <c r="CH336" s="881">
        <f>IF(BILANCIO!CX$64=0,"",BILANCIO!CX32)</f>
        <v>51856.187999999995</v>
      </c>
      <c r="CI336" s="881">
        <f>IF(BILANCIO!CY$64=0,"",BILANCIO!CY32)</f>
        <v>51056.687999999995</v>
      </c>
      <c r="CJ336" s="881" t="str">
        <f>IF(BILANCIO!CZ$64=0,"",BILANCIO!CZ32)</f>
        <v/>
      </c>
      <c r="CK336" s="881" t="str">
        <f>IF(BILANCIO!DA$64=0,"",BILANCIO!DA32)</f>
        <v/>
      </c>
      <c r="CL336" s="881" t="str">
        <f>IF(BILANCIO!DB$64=0,"",BILANCIO!DB32)</f>
        <v/>
      </c>
      <c r="CM336" s="881" t="str">
        <f>IF(BILANCIO!DC$64=0,"",BILANCIO!DC32)</f>
        <v/>
      </c>
      <c r="CN336" s="881" t="str">
        <f>IF(BILANCIO!DD$64=0,"",BILANCIO!DD32)</f>
        <v/>
      </c>
      <c r="CO336" s="881" t="str">
        <f>IF(BILANCIO!DE$64=0,"",BILANCIO!DE32)</f>
        <v/>
      </c>
      <c r="CP336" s="881" t="str">
        <f>IF(BILANCIO!DF$64=0,"",BILANCIO!DF32)</f>
        <v/>
      </c>
      <c r="CQ336" s="881" t="str">
        <f>IF(BILANCIO!DG$64=0,"",BILANCIO!DG32)</f>
        <v/>
      </c>
      <c r="CR336" s="881" t="str">
        <f>IF(BILANCIO!DH$64=0,"",BILANCIO!DH32)</f>
        <v/>
      </c>
      <c r="CS336" s="881" t="str">
        <f>IF(BILANCIO!DI$64=0,"",BILANCIO!DI32)</f>
        <v/>
      </c>
      <c r="CT336" s="881" t="str">
        <f>IF(BILANCIO!DJ$64=0,"",BILANCIO!DJ32)</f>
        <v/>
      </c>
      <c r="CU336" s="881" t="str">
        <f>IF(BILANCIO!DK$64=0,"",BILANCIO!DK32)</f>
        <v/>
      </c>
      <c r="CV336" s="881" t="str">
        <f>IF(BILANCIO!DL$64=0,"",BILANCIO!DL32)</f>
        <v/>
      </c>
      <c r="CW336" s="881" t="str">
        <f>IF(BILANCIO!DM$64=0,"",BILANCIO!DM32)</f>
        <v/>
      </c>
      <c r="CX336" s="881" t="str">
        <f>IF(BILANCIO!DN$64=0,"",BILANCIO!DN32)</f>
        <v/>
      </c>
      <c r="CY336" s="881" t="str">
        <f>IF(BILANCIO!DO$64=0,"",BILANCIO!DO32)</f>
        <v/>
      </c>
      <c r="CZ336" s="881" t="str">
        <f>IF(BILANCIO!DP$64=0,"",BILANCIO!DP32)</f>
        <v/>
      </c>
      <c r="DA336" s="881" t="str">
        <f>IF(BILANCIO!DQ$64=0,"",BILANCIO!DQ32)</f>
        <v/>
      </c>
      <c r="DB336" s="881" t="str">
        <f>IF(BILANCIO!DR$64=0,"",BILANCIO!DR32)</f>
        <v/>
      </c>
      <c r="DC336" s="881" t="str">
        <f>IF(BILANCIO!DS$64=0,"",BILANCIO!DS32)</f>
        <v/>
      </c>
      <c r="DD336" s="881" t="str">
        <f>IF(BILANCIO!DT$64=0,"",BILANCIO!DT32)</f>
        <v/>
      </c>
      <c r="DE336" s="881" t="str">
        <f>IF(BILANCIO!DU$64=0,"",BILANCIO!DU32)</f>
        <v/>
      </c>
      <c r="DF336" s="881" t="str">
        <f>IF(BILANCIO!DV$64=0,"",BILANCIO!DV32)</f>
        <v/>
      </c>
      <c r="DG336" s="881" t="str">
        <f>IF(BILANCIO!DW$64=0,"",BILANCIO!DW32)</f>
        <v/>
      </c>
      <c r="DH336" s="881" t="str">
        <f>IF(BILANCIO!DX$64=0,"",BILANCIO!DX32)</f>
        <v/>
      </c>
      <c r="DI336" s="881" t="str">
        <f>IF(BILANCIO!DY$64=0,"",BILANCIO!DY32)</f>
        <v/>
      </c>
      <c r="DJ336" s="881" t="str">
        <f>IF(BILANCIO!DZ$64=0,"",BILANCIO!DZ32)</f>
        <v/>
      </c>
      <c r="DK336" s="881" t="str">
        <f>IF(BILANCIO!EA$64=0,"",BILANCIO!EA32)</f>
        <v/>
      </c>
      <c r="DL336" s="881" t="str">
        <f>IF(BILANCIO!EB$64=0,"",BILANCIO!EB32)</f>
        <v/>
      </c>
      <c r="DM336" s="881" t="str">
        <f>IF(BILANCIO!EC$64=0,"",BILANCIO!EC32)</f>
        <v/>
      </c>
      <c r="DN336" s="881" t="str">
        <f>IF(BILANCIO!ED$64=0,"",BILANCIO!ED32)</f>
        <v/>
      </c>
      <c r="DO336" s="881" t="str">
        <f>IF(BILANCIO!EE$64=0,"",BILANCIO!EE32)</f>
        <v/>
      </c>
      <c r="DP336" s="881" t="str">
        <f>IF(BILANCIO!EF$64=0,"",BILANCIO!EF32)</f>
        <v/>
      </c>
      <c r="DQ336" s="881" t="str">
        <f>IF(BILANCIO!EG$64=0,"",BILANCIO!EG32)</f>
        <v/>
      </c>
      <c r="DR336" s="881" t="str">
        <f>IF(BILANCIO!EH$64=0,"",BILANCIO!EH32)</f>
        <v/>
      </c>
      <c r="DS336" s="881" t="str">
        <f>IF(BILANCIO!EI$64=0,"",BILANCIO!EI32)</f>
        <v/>
      </c>
      <c r="DT336" s="881" t="str">
        <f>IF(BILANCIO!EJ$64=0,"",BILANCIO!EJ32)</f>
        <v/>
      </c>
      <c r="DU336" s="881" t="str">
        <f>IF(BILANCIO!EK$64=0,"",BILANCIO!EK32)</f>
        <v/>
      </c>
      <c r="DV336" s="881" t="str">
        <f>IF(BILANCIO!EL$64=0,"",BILANCIO!EL32)</f>
        <v/>
      </c>
      <c r="DW336" s="881" t="str">
        <f>IF(BILANCIO!EM$64=0,"",BILANCIO!EM32)</f>
        <v/>
      </c>
      <c r="DX336" s="881" t="str">
        <f>IF(BILANCIO!EN$64=0,"",BILANCIO!EN32)</f>
        <v/>
      </c>
      <c r="DY336" s="881" t="str">
        <f>IF(BILANCIO!EO$64=0,"",BILANCIO!EO32)</f>
        <v/>
      </c>
      <c r="DZ336" s="881" t="str">
        <f>IF(BILANCIO!EP$64=0,"",BILANCIO!EP32)</f>
        <v/>
      </c>
      <c r="EA336" s="881" t="str">
        <f>IF(BILANCIO!EQ$64=0,"",BILANCIO!EQ32)</f>
        <v/>
      </c>
      <c r="EB336" s="881" t="str">
        <f>IF(BILANCIO!ER$64=0,"",BILANCIO!ER32)</f>
        <v/>
      </c>
      <c r="EC336" s="881" t="str">
        <f>IF(BILANCIO!ES$64=0,"",BILANCIO!ES32)</f>
        <v/>
      </c>
      <c r="ED336" s="881" t="str">
        <f>IF(BILANCIO!ET$64=0,"",BILANCIO!ET32)</f>
        <v/>
      </c>
      <c r="EE336" s="881" t="str">
        <f>IF(BILANCIO!EU$64=0,"",BILANCIO!EU32)</f>
        <v/>
      </c>
      <c r="EF336" s="881" t="str">
        <f>IF(BILANCIO!EV$64=0,"",BILANCIO!EV32)</f>
        <v/>
      </c>
      <c r="EG336" s="881" t="str">
        <f>IF(BILANCIO!EW$64=0,"",BILANCIO!EW32)</f>
        <v/>
      </c>
      <c r="EH336" s="881" t="str">
        <f>IF(BILANCIO!EX$64=0,"",BILANCIO!EX32)</f>
        <v/>
      </c>
      <c r="EI336" s="881" t="str">
        <f>IF(BILANCIO!EY$64=0,"",BILANCIO!EY32)</f>
        <v/>
      </c>
      <c r="EJ336" s="881" t="str">
        <f>IF(BILANCIO!EZ$64=0,"",BILANCIO!EZ32)</f>
        <v/>
      </c>
      <c r="EK336" s="881" t="str">
        <f>IF(BILANCIO!FA$64=0,"",BILANCIO!FA32)</f>
        <v/>
      </c>
      <c r="EL336" s="881" t="str">
        <f>IF(BILANCIO!FB$64=0,"",BILANCIO!FB32)</f>
        <v/>
      </c>
      <c r="EM336" s="881" t="str">
        <f>IF(BILANCIO!FC$64=0,"",BILANCIO!FC32)</f>
        <v/>
      </c>
      <c r="EN336" s="881" t="str">
        <f>IF(BILANCIO!FD$64=0,"",BILANCIO!FD32)</f>
        <v/>
      </c>
      <c r="EO336" s="881" t="str">
        <f>IF(BILANCIO!FE$64=0,"",BILANCIO!FE32)</f>
        <v/>
      </c>
      <c r="EP336" s="881" t="str">
        <f>IF(BILANCIO!FF$64=0,"",BILANCIO!FF32)</f>
        <v/>
      </c>
      <c r="EQ336" s="881" t="str">
        <f>IF(BILANCIO!FG$64=0,"",BILANCIO!FG32)</f>
        <v/>
      </c>
      <c r="ER336" s="881" t="str">
        <f>IF(BILANCIO!FH$64=0,"",BILANCIO!FH32)</f>
        <v/>
      </c>
      <c r="ES336" s="881" t="str">
        <f>IF(BILANCIO!FI$64=0,"",BILANCIO!FI32)</f>
        <v/>
      </c>
      <c r="ET336" s="881" t="str">
        <f>IF(BILANCIO!FJ$64=0,"",BILANCIO!FJ32)</f>
        <v/>
      </c>
      <c r="EU336" s="881" t="str">
        <f>IF(BILANCIO!FK$64=0,"",BILANCIO!FK32)</f>
        <v/>
      </c>
      <c r="EV336" s="881" t="str">
        <f>IF(BILANCIO!FL$64=0,"",BILANCIO!FL32)</f>
        <v/>
      </c>
      <c r="EW336" s="881" t="str">
        <f>IF(BILANCIO!FM$64=0,"",BILANCIO!FM32)</f>
        <v/>
      </c>
      <c r="EX336" s="881" t="str">
        <f>IF(BILANCIO!FN$64=0,"",BILANCIO!FN32)</f>
        <v/>
      </c>
      <c r="EY336" s="881" t="str">
        <f>IF(BILANCIO!FO$64=0,"",BILANCIO!FO32)</f>
        <v/>
      </c>
      <c r="EZ336" s="881" t="str">
        <f>IF(BILANCIO!FP$64=0,"",BILANCIO!FP32)</f>
        <v/>
      </c>
      <c r="FA336" s="881" t="str">
        <f>IF(BILANCIO!FQ$64=0,"",BILANCIO!FQ32)</f>
        <v/>
      </c>
      <c r="FB336" s="881" t="str">
        <f>IF(BILANCIO!FR$64=0,"",BILANCIO!FR32)</f>
        <v/>
      </c>
      <c r="FC336" s="881" t="str">
        <f>IF(BILANCIO!FS$64=0,"",BILANCIO!FS32)</f>
        <v/>
      </c>
      <c r="FD336" s="881" t="str">
        <f>IF(BILANCIO!FT$64=0,"",BILANCIO!FT32)</f>
        <v/>
      </c>
      <c r="FE336" s="881" t="str">
        <f>IF(BILANCIO!FU$64=0,"",BILANCIO!FU32)</f>
        <v/>
      </c>
      <c r="FF336" s="881" t="str">
        <f>IF(BILANCIO!FV$64=0,"",BILANCIO!FV32)</f>
        <v/>
      </c>
      <c r="FG336" s="881" t="str">
        <f>IF(BILANCIO!FW$64=0,"",BILANCIO!FW32)</f>
        <v/>
      </c>
      <c r="FH336" s="881" t="str">
        <f>IF(BILANCIO!FX$64=0,"",BILANCIO!FX32)</f>
        <v/>
      </c>
      <c r="FI336" s="881" t="str">
        <f>IF(BILANCIO!FY$64=0,"",BILANCIO!FY32)</f>
        <v/>
      </c>
      <c r="FJ336" s="881" t="str">
        <f>IF(BILANCIO!FZ$64=0,"",BILANCIO!FZ32)</f>
        <v/>
      </c>
      <c r="FK336" s="881" t="str">
        <f>IF(BILANCIO!GA$64=0,"",BILANCIO!GA32)</f>
        <v/>
      </c>
      <c r="FL336" s="881" t="str">
        <f>IF(BILANCIO!GB$64=0,"",BILANCIO!GB32)</f>
        <v/>
      </c>
      <c r="FM336" s="881" t="str">
        <f>IF(BILANCIO!GC$64=0,"",BILANCIO!GC32)</f>
        <v/>
      </c>
      <c r="FN336" s="881" t="str">
        <f>IF(BILANCIO!GD$64=0,"",BILANCIO!GD32)</f>
        <v/>
      </c>
      <c r="FO336" s="881" t="str">
        <f>IF(BILANCIO!GE$64=0,"",BILANCIO!GE32)</f>
        <v/>
      </c>
      <c r="FP336" s="881" t="str">
        <f>IF(BILANCIO!GF$64=0,"",BILANCIO!GF32)</f>
        <v/>
      </c>
      <c r="FQ336" s="881" t="str">
        <f>IF(BILANCIO!GG$64=0,"",BILANCIO!GG32)</f>
        <v/>
      </c>
      <c r="FR336" s="881" t="str">
        <f>IF(BILANCIO!GH$64=0,"",BILANCIO!GH32)</f>
        <v/>
      </c>
      <c r="FS336" s="881" t="str">
        <f>IF(BILANCIO!GI$64=0,"",BILANCIO!GI32)</f>
        <v/>
      </c>
      <c r="FT336" s="881" t="str">
        <f>IF(BILANCIO!GJ$64=0,"",BILANCIO!GJ32)</f>
        <v/>
      </c>
      <c r="FU336" s="881" t="str">
        <f>IF(BILANCIO!GK$64=0,"",BILANCIO!GK32)</f>
        <v/>
      </c>
      <c r="FV336" s="881" t="str">
        <f>IF(BILANCIO!GL$64=0,"",BILANCIO!GL32)</f>
        <v/>
      </c>
      <c r="FW336" s="881" t="str">
        <f>IF(BILANCIO!GM$64=0,"",BILANCIO!GM32)</f>
        <v/>
      </c>
      <c r="FX336" s="881" t="str">
        <f>IF(BILANCIO!GN$64=0,"",BILANCIO!GN32)</f>
        <v/>
      </c>
      <c r="FY336" s="881" t="str">
        <f>IF(BILANCIO!GO$64=0,"",BILANCIO!GO32)</f>
        <v/>
      </c>
      <c r="FZ336" s="881" t="str">
        <f>IF(BILANCIO!GP$64=0,"",BILANCIO!GP32)</f>
        <v/>
      </c>
      <c r="GA336" s="881" t="str">
        <f>IF(BILANCIO!GQ$64=0,"",BILANCIO!GQ32)</f>
        <v/>
      </c>
      <c r="GB336" s="881" t="str">
        <f>IF(BILANCIO!GR$64=0,"",BILANCIO!GR32)</f>
        <v/>
      </c>
      <c r="GC336" s="881" t="str">
        <f>IF(BILANCIO!GS$64=0,"",BILANCIO!GS32)</f>
        <v/>
      </c>
      <c r="GD336" s="881" t="str">
        <f>IF(BILANCIO!GT$64=0,"",BILANCIO!GT32)</f>
        <v/>
      </c>
      <c r="GE336" s="881" t="str">
        <f>IF(BILANCIO!GU$64=0,"",BILANCIO!GU32)</f>
        <v/>
      </c>
      <c r="GF336" s="881" t="str">
        <f>IF(BILANCIO!GV$64=0,"",BILANCIO!GV32)</f>
        <v/>
      </c>
      <c r="GG336" s="881" t="str">
        <f>IF(BILANCIO!GW$64=0,"",BILANCIO!GW32)</f>
        <v/>
      </c>
      <c r="GH336" s="881" t="str">
        <f>IF(BILANCIO!GX$64=0,"",BILANCIO!GX32)</f>
        <v/>
      </c>
      <c r="GI336" s="881" t="str">
        <f>IF(BILANCIO!GY$64=0,"",BILANCIO!GY32)</f>
        <v/>
      </c>
      <c r="GJ336" s="881" t="str">
        <f>IF(BILANCIO!GZ$64=0,"",BILANCIO!GZ32)</f>
        <v/>
      </c>
      <c r="GK336" s="881" t="str">
        <f>IF(BILANCIO!HA$64=0,"",BILANCIO!HA32)</f>
        <v/>
      </c>
      <c r="GL336" s="881" t="str">
        <f>IF(BILANCIO!HB$64=0,"",BILANCIO!HB32)</f>
        <v/>
      </c>
      <c r="GM336" s="881" t="str">
        <f>IF(BILANCIO!HC$64=0,"",BILANCIO!HC32)</f>
        <v/>
      </c>
      <c r="GN336" s="881" t="str">
        <f>IF(BILANCIO!HD$64=0,"",BILANCIO!HD32)</f>
        <v/>
      </c>
      <c r="GO336" s="881" t="str">
        <f>IF(BILANCIO!HE$64=0,"",BILANCIO!HE32)</f>
        <v/>
      </c>
      <c r="GP336" s="881" t="str">
        <f>IF(BILANCIO!HF$64=0,"",BILANCIO!HF32)</f>
        <v/>
      </c>
      <c r="GQ336" s="881" t="str">
        <f>IF(BILANCIO!HG$64=0,"",BILANCIO!HG32)</f>
        <v/>
      </c>
      <c r="GR336" s="881" t="str">
        <f>IF(BILANCIO!HH$64=0,"",BILANCIO!HH32)</f>
        <v/>
      </c>
      <c r="GS336" s="881" t="str">
        <f>IF(BILANCIO!HI$64=0,"",BILANCIO!HI32)</f>
        <v/>
      </c>
      <c r="GT336" s="881" t="str">
        <f>IF(BILANCIO!HJ$64=0,"",BILANCIO!HJ32)</f>
        <v/>
      </c>
      <c r="GU336" s="881" t="str">
        <f>IF(BILANCIO!HK$64=0,"",BILANCIO!HK32)</f>
        <v/>
      </c>
      <c r="GV336" s="881" t="str">
        <f>IF(BILANCIO!HL$64=0,"",BILANCIO!HL32)</f>
        <v/>
      </c>
      <c r="GW336" s="881" t="str">
        <f>IF(BILANCIO!HM$64=0,"",BILANCIO!HM32)</f>
        <v/>
      </c>
      <c r="GX336" s="881" t="str">
        <f>IF(BILANCIO!HN$64=0,"",BILANCIO!HN32)</f>
        <v/>
      </c>
      <c r="GY336" s="881" t="str">
        <f>IF(BILANCIO!HO$64=0,"",BILANCIO!HO32)</f>
        <v/>
      </c>
      <c r="GZ336" s="881" t="str">
        <f>IF(BILANCIO!HP$64=0,"",BILANCIO!HP32)</f>
        <v/>
      </c>
      <c r="HA336" s="881" t="str">
        <f>IF(BILANCIO!HQ$64=0,"",BILANCIO!HQ32)</f>
        <v/>
      </c>
      <c r="HB336" s="881" t="str">
        <f>IF(BILANCIO!HR$64=0,"",BILANCIO!HR32)</f>
        <v/>
      </c>
      <c r="HC336" s="881" t="str">
        <f>IF(BILANCIO!HS$64=0,"",BILANCIO!HS32)</f>
        <v/>
      </c>
      <c r="HD336" s="881" t="str">
        <f>IF(BILANCIO!HT$64=0,"",BILANCIO!HT32)</f>
        <v/>
      </c>
      <c r="HE336" s="881" t="str">
        <f>IF(BILANCIO!HU$64=0,"",BILANCIO!HU32)</f>
        <v/>
      </c>
      <c r="HF336" s="881" t="str">
        <f>IF(BILANCIO!HV$64=0,"",BILANCIO!HV32)</f>
        <v/>
      </c>
      <c r="HG336" s="881" t="str">
        <f>IF(BILANCIO!HW$64=0,"",BILANCIO!HW32)</f>
        <v/>
      </c>
      <c r="HH336" s="881" t="str">
        <f>IF(BILANCIO!HX$64=0,"",BILANCIO!HX32)</f>
        <v/>
      </c>
      <c r="HI336" s="881" t="str">
        <f>IF(BILANCIO!HY$64=0,"",BILANCIO!HY32)</f>
        <v/>
      </c>
      <c r="HJ336" s="881" t="str">
        <f>IF(BILANCIO!HZ$64=0,"",BILANCIO!HZ32)</f>
        <v/>
      </c>
      <c r="HK336" s="881" t="str">
        <f>IF(BILANCIO!IA$64=0,"",BILANCIO!IA32)</f>
        <v/>
      </c>
      <c r="HL336" s="881" t="str">
        <f>IF(BILANCIO!IB$64=0,"",BILANCIO!IB32)</f>
        <v/>
      </c>
      <c r="HM336" s="881" t="str">
        <f>IF(BILANCIO!IC$64=0,"",BILANCIO!IC32)</f>
        <v/>
      </c>
      <c r="HN336" s="881" t="str">
        <f>IF(BILANCIO!ID$64=0,"",BILANCIO!ID32)</f>
        <v/>
      </c>
      <c r="HO336" s="881" t="str">
        <f>IF(BILANCIO!IE$64=0,"",BILANCIO!IE32)</f>
        <v/>
      </c>
      <c r="HP336" s="881" t="str">
        <f>IF(BILANCIO!IF$64=0,"",BILANCIO!IF32)</f>
        <v/>
      </c>
      <c r="HQ336" s="881" t="str">
        <f>IF(BILANCIO!IG$64=0,"",BILANCIO!IG32)</f>
        <v/>
      </c>
      <c r="HR336" s="881" t="str">
        <f>IF(BILANCIO!IH$64=0,"",BILANCIO!IH32)</f>
        <v/>
      </c>
      <c r="HS336" s="881" t="str">
        <f>IF(BILANCIO!II$64=0,"",BILANCIO!II32)</f>
        <v/>
      </c>
      <c r="HT336" s="881" t="str">
        <f>IF(BILANCIO!IJ$64=0,"",BILANCIO!IJ32)</f>
        <v/>
      </c>
      <c r="HU336" s="881" t="str">
        <f>IF(BILANCIO!IK$64=0,"",BILANCIO!IK32)</f>
        <v/>
      </c>
      <c r="HV336" s="881" t="str">
        <f>IF(BILANCIO!IL$64=0,"",BILANCIO!IL32)</f>
        <v/>
      </c>
      <c r="HW336" s="881" t="str">
        <f>IF(BILANCIO!IM$64=0,"",BILANCIO!IM32)</f>
        <v/>
      </c>
      <c r="HX336" s="881" t="str">
        <f>IF(BILANCIO!IN$64=0,"",BILANCIO!IN32)</f>
        <v/>
      </c>
      <c r="HY336" s="881" t="str">
        <f>IF(BILANCIO!IO$64=0,"",BILANCIO!IO32)</f>
        <v/>
      </c>
      <c r="HZ336" s="881" t="str">
        <f>IF(BILANCIO!IP$64=0,"",BILANCIO!IP32)</f>
        <v/>
      </c>
      <c r="IA336" s="881" t="str">
        <f>IF(BILANCIO!IQ$64=0,"",BILANCIO!IQ32)</f>
        <v/>
      </c>
      <c r="IB336" s="881" t="str">
        <f>IF(BILANCIO!IR$64=0,"",BILANCIO!IR32)</f>
        <v/>
      </c>
      <c r="IC336" s="881" t="str">
        <f>IF(BILANCIO!IS$64=0,"",BILANCIO!IS32)</f>
        <v/>
      </c>
      <c r="ID336" s="881" t="str">
        <f>IF(BILANCIO!IT$64=0,"",BILANCIO!IT32)</f>
        <v/>
      </c>
      <c r="IE336" s="881" t="str">
        <f>IF(BILANCIO!IU$64=0,"",BILANCIO!IU32)</f>
        <v/>
      </c>
      <c r="IF336" s="881" t="str">
        <f>IF(BILANCIO!IV$64=0,"",BILANCIO!IV32)</f>
        <v/>
      </c>
      <c r="IG336" s="881" t="str">
        <f>IF(BILANCIO!IW$64=0,"",BILANCIO!IW32)</f>
        <v/>
      </c>
      <c r="IH336" s="881" t="str">
        <f>IF(BILANCIO!IX$64=0,"",BILANCIO!IX32)</f>
        <v/>
      </c>
      <c r="II336" s="881" t="str">
        <f>IF(BILANCIO!IY$64=0,"",BILANCIO!IY32)</f>
        <v/>
      </c>
      <c r="IJ336" s="881" t="str">
        <f>IF(BILANCIO!IZ$64=0,"",BILANCIO!IZ32)</f>
        <v/>
      </c>
      <c r="IK336" s="881" t="str">
        <f>IF(BILANCIO!JA$64=0,"",BILANCIO!JA32)</f>
        <v/>
      </c>
      <c r="IL336" s="881" t="str">
        <f>IF(BILANCIO!JB$64=0,"",BILANCIO!JB32)</f>
        <v/>
      </c>
      <c r="IM336" s="881" t="str">
        <f>IF(BILANCIO!JC$64=0,"",BILANCIO!JC32)</f>
        <v/>
      </c>
      <c r="IN336" s="881" t="str">
        <f>IF(BILANCIO!JD$64=0,"",BILANCIO!JD32)</f>
        <v/>
      </c>
      <c r="IO336" s="881" t="str">
        <f>IF(BILANCIO!JE$64=0,"",BILANCIO!JE32)</f>
        <v/>
      </c>
      <c r="IP336" s="881" t="str">
        <f>IF(BILANCIO!JF$64=0,"",BILANCIO!JF32)</f>
        <v/>
      </c>
      <c r="IQ336" s="881" t="str">
        <f>IF(BILANCIO!JG$64=0,"",BILANCIO!JG32)</f>
        <v/>
      </c>
      <c r="IR336" s="881" t="str">
        <f>IF(BILANCIO!JH$64=0,"",BILANCIO!JH32)</f>
        <v/>
      </c>
      <c r="IS336" s="881" t="str">
        <f>IF(BILANCIO!JI$64=0,"",BILANCIO!JI32)</f>
        <v/>
      </c>
      <c r="IT336" s="881" t="str">
        <f>IF(BILANCIO!JJ$64=0,"",BILANCIO!JJ32)</f>
        <v/>
      </c>
      <c r="IU336" s="881" t="str">
        <f>IF(BILANCIO!JK$64=0,"",BILANCIO!JK32)</f>
        <v/>
      </c>
      <c r="IV336" s="881" t="str">
        <f>IF(BILANCIO!JL$64=0,"",BILANCIO!JL32)</f>
        <v/>
      </c>
      <c r="IW336" s="881" t="str">
        <f>IF(BILANCIO!JM$64=0,"",BILANCIO!JM32)</f>
        <v/>
      </c>
      <c r="IX336" s="881" t="str">
        <f>IF(BILANCIO!JN$64=0,"",BILANCIO!JN32)</f>
        <v/>
      </c>
      <c r="IY336" s="881" t="str">
        <f>IF(BILANCIO!JO$64=0,"",BILANCIO!JO32)</f>
        <v/>
      </c>
      <c r="IZ336" s="881" t="str">
        <f>IF(BILANCIO!JP$64=0,"",BILANCIO!JP32)</f>
        <v/>
      </c>
      <c r="JA336" s="881" t="str">
        <f>IF(BILANCIO!JQ$64=0,"",BILANCIO!JQ32)</f>
        <v/>
      </c>
      <c r="JB336" s="881" t="str">
        <f>IF(BILANCIO!JR$64=0,"",BILANCIO!JR32)</f>
        <v/>
      </c>
      <c r="JC336" s="881" t="str">
        <f>IF(BILANCIO!JS$64=0,"",BILANCIO!JS32)</f>
        <v/>
      </c>
      <c r="JD336" s="881" t="str">
        <f>IF(BILANCIO!JT$64=0,"",BILANCIO!JT32)</f>
        <v/>
      </c>
      <c r="JE336" s="881" t="str">
        <f>IF(BILANCIO!JU$64=0,"",BILANCIO!JU32)</f>
        <v/>
      </c>
      <c r="JF336" s="881" t="str">
        <f>IF(BILANCIO!JV$64=0,"",BILANCIO!JV32)</f>
        <v/>
      </c>
      <c r="JG336" s="881" t="str">
        <f>IF(BILANCIO!JW$64=0,"",BILANCIO!JW32)</f>
        <v/>
      </c>
      <c r="JH336" s="881" t="str">
        <f>IF(BILANCIO!JX$64=0,"",BILANCIO!JX32)</f>
        <v/>
      </c>
      <c r="JI336" s="881" t="str">
        <f>IF(BILANCIO!JY$64=0,"",BILANCIO!JY32)</f>
        <v/>
      </c>
      <c r="JJ336" s="881" t="str">
        <f>IF(BILANCIO!JZ$64=0,"",BILANCIO!JZ32)</f>
        <v/>
      </c>
      <c r="JK336" s="881" t="str">
        <f>IF(BILANCIO!KA$64=0,"",BILANCIO!KA32)</f>
        <v/>
      </c>
      <c r="JL336" s="881" t="str">
        <f>IF(BILANCIO!KB$64=0,"",BILANCIO!KB32)</f>
        <v/>
      </c>
      <c r="JM336" s="881" t="str">
        <f>IF(BILANCIO!KC$64=0,"",BILANCIO!KC32)</f>
        <v/>
      </c>
      <c r="JN336" s="881" t="str">
        <f>IF(BILANCIO!KD$64=0,"",BILANCIO!KD32)</f>
        <v/>
      </c>
      <c r="JO336" s="881" t="str">
        <f>IF(BILANCIO!KE$64=0,"",BILANCIO!KE32)</f>
        <v/>
      </c>
      <c r="JP336" s="881" t="str">
        <f>IF(BILANCIO!KF$64=0,"",BILANCIO!KF32)</f>
        <v/>
      </c>
      <c r="JQ336" s="881" t="str">
        <f>IF(BILANCIO!KG$64=0,"",BILANCIO!KG32)</f>
        <v/>
      </c>
      <c r="JR336" s="881" t="str">
        <f>IF(BILANCIO!KH$64=0,"",BILANCIO!KH32)</f>
        <v/>
      </c>
      <c r="JS336" s="881" t="str">
        <f>IF(BILANCIO!KI$64=0,"",BILANCIO!KI32)</f>
        <v/>
      </c>
      <c r="JT336" s="881" t="str">
        <f>IF(BILANCIO!KJ$64=0,"",BILANCIO!KJ32)</f>
        <v/>
      </c>
      <c r="JU336" s="881" t="str">
        <f>IF(BILANCIO!KK$64=0,"",BILANCIO!KK32)</f>
        <v/>
      </c>
      <c r="JV336" s="881" t="str">
        <f>IF(BILANCIO!KL$64=0,"",BILANCIO!KL32)</f>
        <v/>
      </c>
      <c r="JW336" s="881" t="str">
        <f>IF(BILANCIO!KM$64=0,"",BILANCIO!KM32)</f>
        <v/>
      </c>
      <c r="JX336" s="881" t="str">
        <f>IF(BILANCIO!KN$64=0,"",BILANCIO!KN32)</f>
        <v/>
      </c>
      <c r="JY336" s="881" t="str">
        <f>IF(BILANCIO!KO$64=0,"",BILANCIO!KO32)</f>
        <v/>
      </c>
      <c r="JZ336" s="881" t="str">
        <f>IF(BILANCIO!KP$64=0,"",BILANCIO!KP32)</f>
        <v/>
      </c>
      <c r="KA336" s="881" t="str">
        <f>IF(BILANCIO!KQ$64=0,"",BILANCIO!KQ32)</f>
        <v/>
      </c>
      <c r="KB336" s="881" t="str">
        <f>IF(BILANCIO!KR$64=0,"",BILANCIO!KR32)</f>
        <v/>
      </c>
      <c r="KC336" s="881" t="str">
        <f>IF(BILANCIO!KS$64=0,"",BILANCIO!KS32)</f>
        <v/>
      </c>
      <c r="KD336" s="881" t="str">
        <f>IF(BILANCIO!KT$64=0,"",BILANCIO!KT32)</f>
        <v/>
      </c>
      <c r="KE336" s="881" t="str">
        <f>IF(BILANCIO!KU$64=0,"",BILANCIO!KU32)</f>
        <v/>
      </c>
      <c r="KF336" s="881" t="str">
        <f>IF(BILANCIO!KV$64=0,"",BILANCIO!KV32)</f>
        <v/>
      </c>
      <c r="KG336" s="881" t="str">
        <f>IF(BILANCIO!KW$64=0,"",BILANCIO!KW32)</f>
        <v/>
      </c>
      <c r="KH336" s="881" t="str">
        <f>IF(BILANCIO!KX$64=0,"",BILANCIO!KX32)</f>
        <v/>
      </c>
      <c r="KI336" s="881" t="str">
        <f>IF(BILANCIO!KY$64=0,"",BILANCIO!KY32)</f>
        <v/>
      </c>
      <c r="KJ336" s="881" t="str">
        <f>IF(BILANCIO!KZ$64=0,"",BILANCIO!KZ32)</f>
        <v/>
      </c>
      <c r="KK336" s="881" t="str">
        <f>IF(BILANCIO!LA$64=0,"",BILANCIO!LA32)</f>
        <v/>
      </c>
      <c r="KL336" s="881" t="str">
        <f>IF(BILANCIO!LB$64=0,"",BILANCIO!LB32)</f>
        <v/>
      </c>
      <c r="KM336" s="881" t="str">
        <f>IF(BILANCIO!LC$64=0,"",BILANCIO!LC32)</f>
        <v/>
      </c>
      <c r="KN336" s="881" t="str">
        <f>IF(BILANCIO!LD$64=0,"",BILANCIO!LD32)</f>
        <v/>
      </c>
      <c r="KO336" s="881" t="str">
        <f>IF(BILANCIO!LE$64=0,"",BILANCIO!LE32)</f>
        <v/>
      </c>
      <c r="KP336" s="881" t="str">
        <f>IF(BILANCIO!LF$64=0,"",BILANCIO!LF32)</f>
        <v/>
      </c>
      <c r="KQ336" s="881" t="str">
        <f>IF(BILANCIO!LG$64=0,"",BILANCIO!LG32)</f>
        <v/>
      </c>
      <c r="KR336" s="881" t="str">
        <f>IF(BILANCIO!LH$64=0,"",BILANCIO!LH32)</f>
        <v/>
      </c>
      <c r="KS336" s="881" t="str">
        <f>IF(BILANCIO!LI$64=0,"",BILANCIO!LI32)</f>
        <v/>
      </c>
      <c r="KT336" s="881" t="str">
        <f>IF(BILANCIO!LJ$64=0,"",BILANCIO!LJ32)</f>
        <v/>
      </c>
      <c r="KU336" s="881" t="str">
        <f>IF(BILANCIO!LK$64=0,"",BILANCIO!LK32)</f>
        <v/>
      </c>
      <c r="KV336" s="881" t="str">
        <f>IF(BILANCIO!LL$64=0,"",BILANCIO!LL32)</f>
        <v/>
      </c>
      <c r="KW336" s="881" t="str">
        <f>IF(BILANCIO!LM$64=0,"",BILANCIO!LM32)</f>
        <v/>
      </c>
      <c r="KX336" s="881" t="str">
        <f>IF(BILANCIO!LN$64=0,"",BILANCIO!LN32)</f>
        <v/>
      </c>
      <c r="KY336" s="881" t="str">
        <f>IF(BILANCIO!LO$64=0,"",BILANCIO!LO32)</f>
        <v/>
      </c>
      <c r="KZ336" s="881" t="str">
        <f>IF(BILANCIO!LP$64=0,"",BILANCIO!LP32)</f>
        <v/>
      </c>
      <c r="LA336" s="881" t="str">
        <f>IF(BILANCIO!LQ$64=0,"",BILANCIO!LQ32)</f>
        <v/>
      </c>
      <c r="LB336" s="881" t="str">
        <f>IF(BILANCIO!LR$64=0,"",BILANCIO!LR32)</f>
        <v/>
      </c>
      <c r="LC336" s="881" t="str">
        <f>IF(BILANCIO!LS$64=0,"",BILANCIO!LS32)</f>
        <v/>
      </c>
      <c r="LD336" s="881" t="str">
        <f>IF(BILANCIO!LT$64=0,"",BILANCIO!LT32)</f>
        <v/>
      </c>
      <c r="LE336" s="881"/>
      <c r="LF336" s="881"/>
      <c r="LG336" s="881"/>
      <c r="LH336" s="881"/>
      <c r="LI336" s="881"/>
      <c r="LJ336" s="881"/>
      <c r="LK336" s="881"/>
      <c r="LL336" s="881"/>
      <c r="LM336" s="881"/>
      <c r="LN336" s="881"/>
      <c r="LO336" s="881"/>
      <c r="LP336" s="881"/>
      <c r="LQ336" s="881"/>
      <c r="LR336" s="881"/>
      <c r="LS336" s="881"/>
      <c r="LT336" s="881"/>
      <c r="LU336" s="881"/>
      <c r="LV336" s="881"/>
      <c r="LW336" s="881"/>
      <c r="LX336" s="881"/>
      <c r="LY336" s="881"/>
      <c r="LZ336" s="881"/>
      <c r="MA336" s="881"/>
      <c r="MB336" s="881"/>
      <c r="MC336" s="881"/>
      <c r="MD336" s="881"/>
      <c r="ME336" s="881"/>
      <c r="MF336" s="881"/>
      <c r="MG336" s="881"/>
      <c r="MH336" s="881"/>
      <c r="MI336" s="881"/>
      <c r="MJ336" s="881"/>
      <c r="MK336" s="881"/>
      <c r="ML336" s="881"/>
      <c r="MM336" s="881"/>
      <c r="MN336" s="881"/>
      <c r="MO336" s="881"/>
      <c r="MP336" s="881"/>
      <c r="MQ336" s="881"/>
      <c r="MR336" s="881"/>
      <c r="MS336" s="881"/>
      <c r="MT336" s="881"/>
      <c r="MU336" s="881"/>
      <c r="MV336" s="881"/>
      <c r="MW336" s="881"/>
      <c r="MX336" s="881"/>
      <c r="MY336" s="881"/>
      <c r="MZ336" s="881"/>
      <c r="NA336" s="881"/>
      <c r="NB336" s="881"/>
      <c r="NC336" s="881"/>
      <c r="ND336" s="881"/>
      <c r="NE336" s="881"/>
      <c r="NF336" s="881"/>
      <c r="NG336" s="881"/>
      <c r="NH336" s="881"/>
      <c r="NI336" s="881"/>
      <c r="NJ336" s="881"/>
      <c r="NK336" s="881"/>
      <c r="NL336" s="881"/>
      <c r="NM336" s="881"/>
      <c r="NN336" s="881"/>
      <c r="NO336" s="881"/>
      <c r="NP336" s="881"/>
      <c r="NQ336" s="881"/>
      <c r="NR336" s="881"/>
      <c r="NS336" s="881"/>
      <c r="NT336" s="881"/>
      <c r="NU336" s="881"/>
      <c r="NV336" s="881"/>
      <c r="NW336" s="881"/>
      <c r="NX336" s="881"/>
      <c r="NY336" s="881"/>
      <c r="NZ336" s="881"/>
      <c r="OA336" s="881"/>
      <c r="OB336" s="881"/>
      <c r="OC336" s="881"/>
      <c r="OD336" s="881"/>
      <c r="OE336" s="881"/>
      <c r="OF336" s="881"/>
      <c r="OG336" s="881"/>
      <c r="OH336" s="881"/>
      <c r="OI336" s="881"/>
      <c r="OJ336" s="881"/>
      <c r="OK336" s="881"/>
      <c r="OL336" s="881"/>
      <c r="OM336" s="881"/>
      <c r="ON336" s="881"/>
      <c r="OO336" s="881"/>
      <c r="OP336" s="881"/>
      <c r="OQ336" s="881"/>
      <c r="OR336" s="881"/>
      <c r="OS336" s="881"/>
      <c r="OT336" s="881"/>
      <c r="OU336" s="881"/>
      <c r="OV336" s="881"/>
      <c r="OW336" s="881"/>
      <c r="OX336" s="881"/>
    </row>
    <row r="337" spans="43:53">
      <c r="AQ337" s="40"/>
      <c r="AS337" s="76"/>
      <c r="AT337" s="76"/>
      <c r="AU337" s="28"/>
      <c r="AV337" s="28"/>
      <c r="AW337" s="28"/>
      <c r="BA337" s="14"/>
    </row>
    <row r="338" spans="43:53">
      <c r="AQ338" s="40"/>
      <c r="AS338" s="76"/>
      <c r="AT338" s="76"/>
      <c r="AU338" s="28"/>
      <c r="AV338" s="28"/>
      <c r="AW338" s="28"/>
    </row>
    <row r="339" spans="43:53">
      <c r="AQ339" s="40"/>
      <c r="AU339" s="28"/>
      <c r="AV339" s="28"/>
      <c r="AW339" s="28"/>
    </row>
    <row r="340" spans="43:53">
      <c r="AQ340" s="40"/>
      <c r="AU340" s="28"/>
      <c r="AV340" s="28"/>
      <c r="AW340" s="28"/>
    </row>
    <row r="341" spans="43:53">
      <c r="AQ341" s="40"/>
      <c r="AU341" s="28"/>
      <c r="AV341" s="28"/>
      <c r="AW341" s="28"/>
    </row>
    <row r="342" spans="43:53">
      <c r="AQ342" s="40"/>
      <c r="AU342" s="28"/>
      <c r="AV342" s="28"/>
      <c r="AW342" s="28"/>
    </row>
    <row r="343" spans="43:53">
      <c r="AQ343" s="40"/>
      <c r="AS343" s="76"/>
      <c r="AT343" s="76"/>
      <c r="AU343" s="28"/>
      <c r="AV343" s="28"/>
      <c r="AW343" s="28"/>
    </row>
    <row r="344" spans="43:53">
      <c r="AQ344" s="40"/>
      <c r="AS344" s="76"/>
      <c r="AT344" s="76"/>
      <c r="AU344" s="28"/>
      <c r="AV344" s="28"/>
      <c r="AW344" s="28"/>
    </row>
    <row r="345" spans="43:53">
      <c r="AQ345" s="40"/>
      <c r="AS345" s="76"/>
      <c r="AT345" s="76"/>
      <c r="AU345" s="28"/>
      <c r="AV345" s="28"/>
      <c r="AW345" s="28"/>
    </row>
    <row r="346" spans="43:53">
      <c r="AQ346" s="40"/>
      <c r="AU346" s="28"/>
      <c r="AV346" s="28"/>
      <c r="AW346" s="28"/>
    </row>
    <row r="347" spans="43:53">
      <c r="AQ347" s="40"/>
      <c r="AU347" s="28"/>
      <c r="AV347" s="28"/>
      <c r="AW347" s="28"/>
    </row>
    <row r="348" spans="43:53">
      <c r="AQ348" s="40"/>
      <c r="AU348" s="28"/>
      <c r="AV348" s="28"/>
      <c r="AW348" s="28"/>
    </row>
    <row r="349" spans="43:53">
      <c r="AQ349" s="40"/>
      <c r="AU349" s="28"/>
      <c r="AV349" s="28"/>
      <c r="AW349" s="28"/>
    </row>
    <row r="350" spans="43:53">
      <c r="AQ350" s="40"/>
      <c r="AU350" s="28"/>
      <c r="AV350" s="28"/>
      <c r="AW350" s="28"/>
    </row>
    <row r="351" spans="43:53">
      <c r="AQ351" s="40"/>
      <c r="AU351" s="28"/>
      <c r="AV351" s="28"/>
      <c r="AW351" s="28"/>
    </row>
    <row r="352" spans="43:53">
      <c r="AQ352" s="40"/>
      <c r="AS352" s="76"/>
      <c r="AT352" s="76"/>
      <c r="AU352" s="28"/>
      <c r="AV352" s="28"/>
      <c r="AW352" s="28"/>
    </row>
    <row r="353" spans="43:49">
      <c r="AQ353" s="40"/>
      <c r="AU353" s="28"/>
      <c r="AV353" s="28"/>
      <c r="AW353" s="28"/>
    </row>
    <row r="354" spans="43:49">
      <c r="AQ354" s="40"/>
      <c r="AU354" s="28"/>
      <c r="AV354" s="28"/>
      <c r="AW354" s="28"/>
    </row>
    <row r="355" spans="43:49">
      <c r="AQ355" s="40"/>
      <c r="AU355" s="28"/>
      <c r="AV355" s="28"/>
      <c r="AW355" s="28"/>
    </row>
    <row r="356" spans="43:49">
      <c r="AQ356" s="40"/>
      <c r="AU356" s="28"/>
      <c r="AV356" s="28"/>
      <c r="AW356" s="28"/>
    </row>
    <row r="357" spans="43:49">
      <c r="AQ357" s="40"/>
      <c r="AU357" s="28"/>
      <c r="AV357" s="28"/>
      <c r="AW357" s="28"/>
    </row>
    <row r="358" spans="43:49">
      <c r="AQ358" s="40"/>
      <c r="AU358" s="28"/>
      <c r="AV358" s="28"/>
      <c r="AW358" s="28"/>
    </row>
    <row r="359" spans="43:49">
      <c r="AQ359" s="40"/>
      <c r="AS359" s="76"/>
      <c r="AT359" s="76"/>
      <c r="AU359" s="28"/>
      <c r="AV359" s="28"/>
      <c r="AW359" s="28"/>
    </row>
    <row r="360" spans="43:49">
      <c r="AQ360" s="40"/>
      <c r="AU360" s="28"/>
      <c r="AV360" s="28"/>
      <c r="AW360" s="28"/>
    </row>
    <row r="361" spans="43:49">
      <c r="AQ361" s="40"/>
      <c r="AU361" s="28"/>
      <c r="AV361" s="28"/>
      <c r="AW361" s="28"/>
    </row>
    <row r="362" spans="43:49">
      <c r="AQ362" s="40"/>
      <c r="AU362" s="28"/>
      <c r="AV362" s="28"/>
      <c r="AW362" s="28"/>
    </row>
    <row r="363" spans="43:49">
      <c r="AQ363" s="40"/>
      <c r="AU363" s="28"/>
      <c r="AV363" s="28"/>
      <c r="AW363" s="28"/>
    </row>
    <row r="364" spans="43:49">
      <c r="AQ364" s="40"/>
      <c r="AU364" s="28"/>
      <c r="AV364" s="28"/>
      <c r="AW364" s="28"/>
    </row>
    <row r="365" spans="43:49">
      <c r="AQ365" s="40"/>
      <c r="AU365" s="28"/>
      <c r="AV365" s="28"/>
      <c r="AW365" s="28"/>
    </row>
    <row r="366" spans="43:49">
      <c r="AQ366" s="40"/>
      <c r="AS366" s="76"/>
      <c r="AT366" s="76"/>
      <c r="AU366" s="28"/>
      <c r="AV366" s="28"/>
      <c r="AW366" s="28"/>
    </row>
    <row r="367" spans="43:49">
      <c r="AQ367" s="40"/>
      <c r="AU367" s="28"/>
      <c r="AV367" s="28"/>
      <c r="AW367" s="28"/>
    </row>
    <row r="368" spans="43:49">
      <c r="AQ368" s="40"/>
      <c r="AU368" s="28"/>
      <c r="AV368" s="28"/>
      <c r="AW368" s="28"/>
    </row>
    <row r="369" spans="43:53">
      <c r="AQ369" s="40"/>
      <c r="AU369" s="28"/>
      <c r="AV369" s="28"/>
      <c r="AW369" s="28"/>
      <c r="BA369" s="14"/>
    </row>
    <row r="370" spans="43:53">
      <c r="AQ370" s="40"/>
      <c r="AU370" s="28"/>
      <c r="AV370" s="28"/>
      <c r="AW370" s="28"/>
    </row>
    <row r="371" spans="43:53">
      <c r="AQ371" s="40"/>
      <c r="AU371" s="28"/>
      <c r="AV371" s="28"/>
      <c r="AW371" s="28"/>
    </row>
    <row r="372" spans="43:53">
      <c r="AQ372" s="40"/>
      <c r="AS372" s="76"/>
      <c r="AT372" s="76"/>
      <c r="AU372" s="28"/>
      <c r="AV372" s="28"/>
      <c r="AW372" s="28"/>
    </row>
    <row r="373" spans="43:53">
      <c r="AQ373" s="40"/>
      <c r="AT373" s="89"/>
      <c r="AU373" s="28"/>
      <c r="AV373" s="28"/>
      <c r="AW373" s="28"/>
    </row>
    <row r="374" spans="43:53">
      <c r="AQ374" s="40"/>
      <c r="AU374" s="28"/>
      <c r="AV374" s="28"/>
      <c r="AW374" s="28"/>
    </row>
    <row r="375" spans="43:53">
      <c r="AQ375" s="40"/>
      <c r="AU375" s="28"/>
      <c r="AV375" s="28"/>
      <c r="AW375" s="28"/>
    </row>
    <row r="376" spans="43:53">
      <c r="AQ376" s="40"/>
      <c r="AU376" s="28"/>
      <c r="AV376" s="28"/>
      <c r="AW376" s="28"/>
    </row>
    <row r="377" spans="43:53">
      <c r="AQ377" s="40"/>
      <c r="AU377" s="28"/>
      <c r="AV377" s="28"/>
      <c r="AW377" s="28"/>
    </row>
    <row r="378" spans="43:53">
      <c r="AQ378" s="40"/>
      <c r="AU378" s="28"/>
      <c r="AV378" s="28"/>
      <c r="AW378" s="28"/>
    </row>
    <row r="379" spans="43:53">
      <c r="AQ379" s="40"/>
      <c r="AU379" s="28"/>
      <c r="AV379" s="28"/>
      <c r="AW379" s="28"/>
    </row>
    <row r="380" spans="43:53">
      <c r="AQ380" s="40"/>
      <c r="AS380" s="76"/>
      <c r="AT380" s="76"/>
      <c r="AU380" s="28"/>
      <c r="AV380" s="28"/>
      <c r="AW380" s="28"/>
    </row>
    <row r="381" spans="43:53">
      <c r="AQ381" s="40"/>
      <c r="AU381" s="28"/>
      <c r="AV381" s="28"/>
      <c r="AW381" s="28"/>
    </row>
    <row r="382" spans="43:53">
      <c r="AQ382" s="40"/>
      <c r="AS382" s="76"/>
      <c r="AT382" s="76"/>
      <c r="AU382" s="28"/>
      <c r="AV382" s="28"/>
      <c r="AW382" s="28"/>
    </row>
    <row r="383" spans="43:53">
      <c r="AQ383" s="40"/>
      <c r="AU383" s="28"/>
      <c r="AV383" s="28"/>
      <c r="AW383" s="28"/>
    </row>
    <row r="384" spans="43:53">
      <c r="AQ384" s="40"/>
      <c r="AU384" s="28"/>
      <c r="AV384" s="28"/>
      <c r="AW384" s="28"/>
    </row>
    <row r="385" spans="43:53">
      <c r="AQ385" s="40"/>
      <c r="AU385" s="28"/>
      <c r="AV385" s="28"/>
      <c r="AW385" s="28"/>
    </row>
    <row r="386" spans="43:53">
      <c r="AQ386" s="40"/>
      <c r="AU386" s="28"/>
      <c r="AV386" s="28"/>
      <c r="AW386" s="28"/>
    </row>
    <row r="387" spans="43:53">
      <c r="AQ387" s="40"/>
      <c r="AU387" s="28"/>
      <c r="AV387" s="28"/>
      <c r="AW387" s="28"/>
    </row>
    <row r="388" spans="43:53">
      <c r="AQ388" s="40"/>
      <c r="AS388" s="76"/>
      <c r="AT388" s="76"/>
      <c r="AU388" s="28"/>
      <c r="AV388" s="28"/>
      <c r="AW388" s="28"/>
    </row>
    <row r="389" spans="43:53">
      <c r="AQ389" s="40"/>
      <c r="AU389" s="28"/>
      <c r="AV389" s="28"/>
      <c r="AW389" s="28"/>
    </row>
    <row r="390" spans="43:53">
      <c r="AQ390" s="40"/>
      <c r="AU390" s="28"/>
      <c r="AV390" s="28"/>
      <c r="AW390" s="28"/>
    </row>
    <row r="391" spans="43:53">
      <c r="AQ391" s="40"/>
      <c r="AU391" s="28"/>
      <c r="AV391" s="28"/>
      <c r="AW391" s="28"/>
    </row>
    <row r="392" spans="43:53">
      <c r="AQ392" s="40"/>
      <c r="AU392" s="28"/>
      <c r="AV392" s="28"/>
      <c r="AW392" s="28"/>
    </row>
    <row r="393" spans="43:53">
      <c r="AQ393" s="40"/>
      <c r="AU393" s="28"/>
      <c r="AV393" s="28"/>
      <c r="AW393" s="28"/>
    </row>
    <row r="394" spans="43:53">
      <c r="AQ394" s="40"/>
      <c r="AU394" s="28"/>
      <c r="AV394" s="28"/>
      <c r="AW394" s="28"/>
    </row>
    <row r="395" spans="43:53">
      <c r="AQ395" s="40"/>
      <c r="AU395" s="28"/>
      <c r="AV395" s="28"/>
      <c r="AW395" s="28"/>
    </row>
    <row r="396" spans="43:53">
      <c r="AQ396" s="40"/>
      <c r="AU396" s="28"/>
      <c r="AV396" s="28"/>
      <c r="AW396" s="28"/>
    </row>
    <row r="397" spans="43:53">
      <c r="AQ397" s="40"/>
      <c r="AU397" s="28"/>
      <c r="AV397" s="28"/>
      <c r="AW397" s="28"/>
    </row>
    <row r="398" spans="43:53">
      <c r="AQ398" s="40"/>
      <c r="AU398" s="28"/>
      <c r="AV398" s="28"/>
      <c r="AW398" s="28"/>
    </row>
    <row r="399" spans="43:53">
      <c r="AQ399" s="40"/>
      <c r="AU399" s="28"/>
      <c r="AV399" s="28"/>
      <c r="AW399" s="28"/>
      <c r="BA399" s="14"/>
    </row>
    <row r="400" spans="43:53">
      <c r="AQ400" s="40"/>
      <c r="AU400" s="28"/>
      <c r="AV400" s="28"/>
      <c r="AW400" s="28"/>
    </row>
    <row r="401" spans="43:49">
      <c r="AQ401" s="40"/>
      <c r="AU401" s="28"/>
      <c r="AV401" s="28"/>
      <c r="AW401" s="28"/>
    </row>
    <row r="402" spans="43:49">
      <c r="AQ402" s="40"/>
      <c r="AS402" s="76"/>
      <c r="AT402" s="76"/>
      <c r="AU402" s="28"/>
      <c r="AV402" s="28"/>
      <c r="AW402" s="28"/>
    </row>
    <row r="403" spans="43:49">
      <c r="AQ403" s="40"/>
      <c r="AS403" s="76"/>
      <c r="AT403" s="76"/>
      <c r="AU403" s="28"/>
      <c r="AV403" s="28"/>
      <c r="AW403" s="28"/>
    </row>
    <row r="404" spans="43:49">
      <c r="AQ404" s="40"/>
      <c r="AS404" s="76"/>
      <c r="AT404" s="76"/>
      <c r="AU404" s="28"/>
      <c r="AV404" s="28"/>
      <c r="AW404" s="28"/>
    </row>
    <row r="405" spans="43:49">
      <c r="AQ405" s="40"/>
      <c r="AS405" s="76"/>
      <c r="AT405" s="76"/>
      <c r="AU405" s="28"/>
      <c r="AV405" s="28"/>
      <c r="AW405" s="28"/>
    </row>
    <row r="406" spans="43:49">
      <c r="AQ406" s="40"/>
      <c r="AS406" s="76"/>
      <c r="AT406" s="76"/>
      <c r="AU406" s="28"/>
      <c r="AV406" s="28"/>
      <c r="AW406" s="28"/>
    </row>
    <row r="407" spans="43:49">
      <c r="AQ407" s="40"/>
      <c r="AS407" s="76"/>
      <c r="AT407" s="76"/>
      <c r="AU407" s="28"/>
      <c r="AV407" s="28"/>
      <c r="AW407" s="28"/>
    </row>
    <row r="408" spans="43:49">
      <c r="AQ408" s="40"/>
      <c r="AS408" s="76"/>
      <c r="AT408" s="76"/>
      <c r="AU408" s="28"/>
      <c r="AV408" s="28"/>
      <c r="AW408" s="28"/>
    </row>
    <row r="409" spans="43:49">
      <c r="AQ409" s="40"/>
      <c r="AS409" s="76"/>
      <c r="AT409" s="76"/>
      <c r="AU409" s="28"/>
      <c r="AV409" s="28"/>
      <c r="AW409" s="28"/>
    </row>
    <row r="410" spans="43:49">
      <c r="AQ410" s="40"/>
      <c r="AS410" s="76"/>
      <c r="AT410" s="76"/>
      <c r="AU410" s="28"/>
      <c r="AV410" s="28"/>
      <c r="AW410" s="28"/>
    </row>
    <row r="411" spans="43:49">
      <c r="AQ411" s="40"/>
      <c r="AS411" s="76"/>
      <c r="AT411" s="76"/>
      <c r="AU411" s="28"/>
      <c r="AV411" s="28"/>
      <c r="AW411" s="28"/>
    </row>
    <row r="412" spans="43:49">
      <c r="AQ412" s="40"/>
      <c r="AS412" s="76"/>
      <c r="AT412" s="76"/>
      <c r="AU412" s="28"/>
      <c r="AV412" s="28"/>
      <c r="AW412" s="28"/>
    </row>
    <row r="413" spans="43:49">
      <c r="AQ413" s="40"/>
      <c r="AS413" s="76"/>
      <c r="AT413" s="76"/>
      <c r="AU413" s="28"/>
      <c r="AV413" s="28"/>
      <c r="AW413" s="28"/>
    </row>
    <row r="414" spans="43:49">
      <c r="AQ414" s="40"/>
      <c r="AS414" s="76"/>
      <c r="AT414" s="76"/>
      <c r="AU414" s="28"/>
      <c r="AV414" s="28"/>
      <c r="AW414" s="28"/>
    </row>
    <row r="415" spans="43:49">
      <c r="AQ415" s="40"/>
      <c r="AS415" s="76"/>
      <c r="AT415" s="76"/>
      <c r="AU415" s="28"/>
      <c r="AV415" s="28"/>
      <c r="AW415" s="28"/>
    </row>
    <row r="416" spans="43:49">
      <c r="AQ416" s="40"/>
      <c r="AS416" s="76"/>
      <c r="AT416" s="76"/>
      <c r="AU416" s="28"/>
      <c r="AV416" s="28"/>
      <c r="AW416" s="28"/>
    </row>
    <row r="417" spans="43:53">
      <c r="AQ417" s="40"/>
      <c r="AS417" s="76"/>
      <c r="AT417" s="76"/>
      <c r="AU417" s="28"/>
      <c r="AV417" s="28"/>
      <c r="AW417" s="28"/>
    </row>
    <row r="418" spans="43:53">
      <c r="AQ418" s="40"/>
      <c r="AU418" s="28"/>
      <c r="AV418" s="28"/>
      <c r="AW418" s="28"/>
    </row>
    <row r="419" spans="43:53">
      <c r="AQ419" s="40"/>
      <c r="AU419" s="28"/>
      <c r="AV419" s="28"/>
      <c r="AW419" s="28"/>
    </row>
    <row r="420" spans="43:53">
      <c r="AQ420" s="40"/>
      <c r="AU420" s="28"/>
      <c r="AV420" s="28"/>
      <c r="AW420" s="28"/>
    </row>
    <row r="421" spans="43:53">
      <c r="AQ421" s="40"/>
      <c r="AS421" s="76"/>
      <c r="AT421" s="76"/>
      <c r="AU421" s="28"/>
      <c r="AV421" s="28"/>
      <c r="AW421" s="28"/>
    </row>
    <row r="422" spans="43:53">
      <c r="AQ422" s="40"/>
      <c r="AU422" s="28"/>
      <c r="AV422" s="28"/>
      <c r="AW422" s="28"/>
    </row>
    <row r="423" spans="43:53">
      <c r="AQ423" s="40"/>
      <c r="AU423" s="28"/>
      <c r="AV423" s="28"/>
      <c r="AW423" s="28"/>
    </row>
    <row r="424" spans="43:53">
      <c r="AQ424" s="40"/>
      <c r="AU424" s="28"/>
      <c r="AV424" s="28"/>
      <c r="AW424" s="28"/>
    </row>
    <row r="425" spans="43:53">
      <c r="AQ425" s="40"/>
      <c r="AU425" s="28"/>
      <c r="AV425" s="28"/>
      <c r="AW425" s="28"/>
    </row>
    <row r="426" spans="43:53">
      <c r="AQ426" s="40"/>
      <c r="AS426" s="76"/>
      <c r="AT426" s="76"/>
      <c r="AU426" s="28"/>
      <c r="AV426" s="28"/>
      <c r="AW426" s="28"/>
    </row>
    <row r="427" spans="43:53">
      <c r="AQ427" s="40"/>
      <c r="AU427" s="28"/>
      <c r="AV427" s="28"/>
      <c r="AW427" s="28"/>
    </row>
    <row r="428" spans="43:53">
      <c r="AQ428" s="40"/>
      <c r="AU428" s="28"/>
      <c r="AV428" s="28"/>
      <c r="AW428" s="28"/>
    </row>
    <row r="429" spans="43:53">
      <c r="AQ429" s="40"/>
      <c r="AU429" s="28"/>
      <c r="AV429" s="28"/>
      <c r="AW429" s="28"/>
    </row>
    <row r="430" spans="43:53">
      <c r="AQ430" s="40"/>
      <c r="AU430" s="28"/>
      <c r="AV430" s="28"/>
      <c r="AW430" s="28"/>
      <c r="BA430" s="14"/>
    </row>
    <row r="431" spans="43:53">
      <c r="AQ431" s="40"/>
      <c r="AU431" s="28"/>
      <c r="AV431" s="28"/>
      <c r="AW431" s="28"/>
    </row>
    <row r="432" spans="43:53">
      <c r="AQ432" s="40"/>
      <c r="AU432" s="28"/>
      <c r="AV432" s="28"/>
      <c r="AW432" s="28"/>
    </row>
    <row r="433" spans="43:49">
      <c r="AQ433" s="40"/>
      <c r="AU433" s="28"/>
      <c r="AV433" s="28"/>
      <c r="AW433" s="28"/>
    </row>
    <row r="434" spans="43:49">
      <c r="AQ434" s="40"/>
      <c r="AU434" s="28"/>
      <c r="AV434" s="28"/>
      <c r="AW434" s="28"/>
    </row>
    <row r="435" spans="43:49">
      <c r="AQ435" s="40"/>
      <c r="AU435" s="28"/>
      <c r="AV435" s="28"/>
      <c r="AW435" s="28"/>
    </row>
    <row r="436" spans="43:49">
      <c r="AQ436" s="40"/>
      <c r="AU436" s="28"/>
      <c r="AV436" s="28"/>
      <c r="AW436" s="28"/>
    </row>
    <row r="437" spans="43:49">
      <c r="AQ437" s="40"/>
      <c r="AS437" s="76"/>
      <c r="AT437" s="76"/>
      <c r="AU437" s="28"/>
      <c r="AV437" s="28"/>
      <c r="AW437" s="28"/>
    </row>
    <row r="438" spans="43:49">
      <c r="AQ438" s="40"/>
      <c r="AU438" s="28"/>
      <c r="AV438" s="28"/>
      <c r="AW438" s="28"/>
    </row>
    <row r="439" spans="43:49">
      <c r="AQ439" s="40"/>
      <c r="AU439" s="28"/>
      <c r="AV439" s="28"/>
      <c r="AW439" s="28"/>
    </row>
    <row r="440" spans="43:49">
      <c r="AQ440" s="40"/>
      <c r="AU440" s="28"/>
      <c r="AV440" s="28"/>
      <c r="AW440" s="28"/>
    </row>
    <row r="441" spans="43:49">
      <c r="AQ441" s="40"/>
      <c r="AS441" s="76"/>
      <c r="AT441" s="76"/>
      <c r="AU441" s="28"/>
      <c r="AV441" s="28"/>
      <c r="AW441" s="28"/>
    </row>
    <row r="442" spans="43:49">
      <c r="AQ442" s="40"/>
      <c r="AS442" s="76"/>
      <c r="AT442" s="76"/>
      <c r="AU442" s="28"/>
      <c r="AV442" s="28"/>
      <c r="AW442" s="28"/>
    </row>
    <row r="443" spans="43:49">
      <c r="AQ443" s="40"/>
      <c r="AS443" s="76"/>
      <c r="AT443" s="76"/>
      <c r="AU443" s="28"/>
      <c r="AV443" s="28"/>
      <c r="AW443" s="28"/>
    </row>
    <row r="444" spans="43:49">
      <c r="AQ444" s="40"/>
      <c r="AS444" s="76"/>
      <c r="AT444" s="76"/>
      <c r="AU444" s="28"/>
      <c r="AV444" s="28"/>
      <c r="AW444" s="28"/>
    </row>
    <row r="445" spans="43:49">
      <c r="AQ445" s="40"/>
      <c r="AS445" s="76"/>
      <c r="AT445" s="76"/>
      <c r="AU445" s="28"/>
      <c r="AV445" s="28"/>
      <c r="AW445" s="28"/>
    </row>
    <row r="446" spans="43:49">
      <c r="AQ446" s="40"/>
      <c r="AS446" s="76"/>
      <c r="AT446" s="76"/>
      <c r="AU446" s="28"/>
      <c r="AV446" s="28"/>
      <c r="AW446" s="28"/>
    </row>
    <row r="447" spans="43:49">
      <c r="AQ447" s="40"/>
      <c r="AS447" s="76"/>
      <c r="AT447" s="76"/>
      <c r="AU447" s="28"/>
      <c r="AV447" s="28"/>
      <c r="AW447" s="28"/>
    </row>
    <row r="448" spans="43:49">
      <c r="AQ448" s="40"/>
      <c r="AS448" s="76"/>
      <c r="AT448" s="76"/>
      <c r="AU448" s="28"/>
      <c r="AV448" s="28"/>
      <c r="AW448" s="28"/>
    </row>
    <row r="449" spans="43:53">
      <c r="AQ449" s="40"/>
      <c r="AS449" s="76"/>
      <c r="AT449" s="76"/>
      <c r="AU449" s="28"/>
      <c r="AV449" s="28"/>
      <c r="AW449" s="28"/>
    </row>
    <row r="450" spans="43:53">
      <c r="AQ450" s="40"/>
      <c r="AS450" s="76"/>
      <c r="AT450" s="76"/>
      <c r="AU450" s="28"/>
      <c r="AV450" s="28"/>
      <c r="AW450" s="28"/>
    </row>
    <row r="451" spans="43:53">
      <c r="AQ451" s="40"/>
      <c r="AS451" s="76"/>
      <c r="AT451" s="76"/>
      <c r="AU451" s="28"/>
      <c r="AV451" s="28"/>
      <c r="AW451" s="28"/>
    </row>
    <row r="452" spans="43:53">
      <c r="AQ452" s="40"/>
      <c r="AS452" s="76"/>
      <c r="AT452" s="76"/>
      <c r="AU452" s="28"/>
      <c r="AV452" s="28"/>
      <c r="AW452" s="28"/>
    </row>
    <row r="453" spans="43:53">
      <c r="AQ453" s="40"/>
      <c r="AS453" s="76"/>
      <c r="AT453" s="76"/>
      <c r="AU453" s="28"/>
      <c r="AV453" s="28"/>
      <c r="AW453" s="28"/>
    </row>
    <row r="454" spans="43:53">
      <c r="AQ454" s="40"/>
      <c r="AS454" s="76"/>
      <c r="AT454" s="76"/>
      <c r="AU454" s="28"/>
      <c r="AV454" s="28"/>
      <c r="AW454" s="28"/>
    </row>
    <row r="455" spans="43:53">
      <c r="AQ455" s="40"/>
      <c r="AS455" s="76"/>
      <c r="AT455" s="76"/>
      <c r="AU455" s="28"/>
      <c r="AV455" s="28"/>
      <c r="AW455" s="28"/>
    </row>
    <row r="456" spans="43:53">
      <c r="AQ456" s="40"/>
      <c r="AS456" s="76"/>
      <c r="AT456" s="76"/>
      <c r="AU456" s="28"/>
      <c r="AV456" s="28"/>
      <c r="AW456" s="28"/>
    </row>
    <row r="457" spans="43:53">
      <c r="AQ457" s="40"/>
      <c r="AS457" s="76"/>
      <c r="AT457" s="76"/>
      <c r="AU457" s="28"/>
      <c r="AV457" s="28"/>
      <c r="AW457" s="28"/>
    </row>
    <row r="458" spans="43:53">
      <c r="AQ458" s="40"/>
      <c r="AS458" s="76"/>
      <c r="AT458" s="76"/>
      <c r="AU458" s="28"/>
      <c r="AV458" s="28"/>
      <c r="AW458" s="28"/>
    </row>
    <row r="459" spans="43:53">
      <c r="AQ459" s="40"/>
      <c r="AS459" s="76"/>
      <c r="AT459" s="76"/>
      <c r="AU459" s="28"/>
      <c r="AV459" s="28"/>
      <c r="AW459" s="28"/>
    </row>
    <row r="460" spans="43:53">
      <c r="AQ460" s="40"/>
      <c r="AU460" s="28"/>
      <c r="AV460" s="28"/>
      <c r="AW460" s="28"/>
      <c r="BA460" s="14"/>
    </row>
    <row r="461" spans="43:53">
      <c r="AQ461" s="40"/>
      <c r="AU461" s="28"/>
      <c r="AV461" s="28"/>
      <c r="AW461" s="28"/>
    </row>
    <row r="462" spans="43:53">
      <c r="AQ462" s="40"/>
      <c r="AU462" s="28"/>
      <c r="AV462" s="28"/>
      <c r="AW462" s="28"/>
    </row>
    <row r="463" spans="43:53">
      <c r="AQ463" s="40"/>
      <c r="AU463" s="28"/>
      <c r="AV463" s="28"/>
      <c r="AW463" s="28"/>
    </row>
    <row r="464" spans="43:53">
      <c r="AQ464" s="40"/>
      <c r="AU464" s="28"/>
      <c r="AV464" s="28"/>
      <c r="AW464" s="28"/>
    </row>
    <row r="465" spans="43:49">
      <c r="AQ465" s="40"/>
      <c r="AU465" s="28"/>
      <c r="AV465" s="28"/>
      <c r="AW465" s="28"/>
    </row>
    <row r="466" spans="43:49">
      <c r="AQ466" s="40"/>
      <c r="AU466" s="28"/>
      <c r="AV466" s="28"/>
      <c r="AW466" s="28"/>
    </row>
    <row r="467" spans="43:49">
      <c r="AQ467" s="40"/>
      <c r="AU467" s="28"/>
      <c r="AV467" s="28"/>
      <c r="AW467" s="28"/>
    </row>
    <row r="468" spans="43:49">
      <c r="AQ468" s="40"/>
      <c r="AU468" s="28"/>
      <c r="AV468" s="28"/>
      <c r="AW468" s="28"/>
    </row>
    <row r="469" spans="43:49">
      <c r="AQ469" s="40"/>
      <c r="AU469" s="28"/>
      <c r="AV469" s="28"/>
      <c r="AW469" s="28"/>
    </row>
    <row r="470" spans="43:49">
      <c r="AQ470" s="40"/>
      <c r="AU470" s="28"/>
      <c r="AV470" s="28"/>
      <c r="AW470" s="28"/>
    </row>
    <row r="471" spans="43:49">
      <c r="AQ471" s="40"/>
      <c r="AU471" s="28"/>
      <c r="AV471" s="28"/>
      <c r="AW471" s="28"/>
    </row>
    <row r="472" spans="43:49">
      <c r="AQ472" s="40"/>
      <c r="AU472" s="28"/>
      <c r="AV472" s="28"/>
      <c r="AW472" s="28"/>
    </row>
    <row r="473" spans="43:49">
      <c r="AQ473" s="40"/>
      <c r="AU473" s="28"/>
      <c r="AV473" s="28"/>
      <c r="AW473" s="28"/>
    </row>
    <row r="474" spans="43:49">
      <c r="AQ474" s="40"/>
      <c r="AU474" s="28"/>
      <c r="AV474" s="28"/>
      <c r="AW474" s="28"/>
    </row>
    <row r="475" spans="43:49">
      <c r="AQ475" s="40"/>
      <c r="AS475" s="76"/>
      <c r="AT475" s="76"/>
      <c r="AU475" s="28"/>
      <c r="AV475" s="28"/>
      <c r="AW475" s="28"/>
    </row>
    <row r="476" spans="43:49">
      <c r="AQ476" s="40"/>
      <c r="AS476" s="76"/>
      <c r="AT476" s="76"/>
      <c r="AU476" s="28"/>
      <c r="AV476" s="28"/>
      <c r="AW476" s="28"/>
    </row>
    <row r="477" spans="43:49">
      <c r="AQ477" s="40"/>
      <c r="AS477" s="76"/>
      <c r="AT477" s="76"/>
      <c r="AU477" s="28"/>
      <c r="AV477" s="28"/>
      <c r="AW477" s="28"/>
    </row>
    <row r="478" spans="43:49">
      <c r="AQ478" s="40"/>
      <c r="AS478" s="76"/>
      <c r="AT478" s="76"/>
      <c r="AU478" s="28"/>
      <c r="AV478" s="28"/>
      <c r="AW478" s="28"/>
    </row>
    <row r="479" spans="43:49">
      <c r="AQ479" s="40"/>
      <c r="AU479" s="28"/>
      <c r="AV479" s="28"/>
      <c r="AW479" s="28"/>
    </row>
    <row r="480" spans="43:49">
      <c r="AQ480" s="40"/>
      <c r="AU480" s="28"/>
      <c r="AV480" s="28"/>
      <c r="AW480" s="28"/>
    </row>
    <row r="481" spans="43:53">
      <c r="AQ481" s="40"/>
      <c r="AU481" s="28"/>
      <c r="AV481" s="28"/>
      <c r="AW481" s="28"/>
    </row>
    <row r="482" spans="43:53">
      <c r="AQ482" s="40"/>
      <c r="AU482" s="28"/>
      <c r="AV482" s="28"/>
      <c r="AW482" s="28"/>
    </row>
    <row r="483" spans="43:53">
      <c r="AQ483" s="40"/>
      <c r="AU483" s="28"/>
      <c r="AV483" s="28"/>
      <c r="AW483" s="28"/>
    </row>
    <row r="484" spans="43:53">
      <c r="AQ484" s="40"/>
      <c r="AU484" s="28"/>
      <c r="AV484" s="28"/>
      <c r="AW484" s="28"/>
    </row>
    <row r="485" spans="43:53">
      <c r="AQ485" s="40"/>
      <c r="AU485" s="28"/>
      <c r="AV485" s="28"/>
      <c r="AW485" s="28"/>
    </row>
    <row r="486" spans="43:53">
      <c r="AQ486" s="40"/>
      <c r="AU486" s="28"/>
      <c r="AV486" s="28"/>
      <c r="AW486" s="28"/>
    </row>
    <row r="487" spans="43:53">
      <c r="AQ487" s="40"/>
      <c r="AU487" s="28"/>
      <c r="AV487" s="28"/>
      <c r="AW487" s="28"/>
    </row>
    <row r="488" spans="43:53">
      <c r="AQ488" s="40"/>
      <c r="AU488" s="28"/>
      <c r="AV488" s="28"/>
      <c r="AW488" s="28"/>
    </row>
    <row r="489" spans="43:53">
      <c r="AQ489" s="40"/>
      <c r="AU489" s="28"/>
      <c r="AV489" s="28"/>
      <c r="AW489" s="28"/>
      <c r="BA489" s="14"/>
    </row>
    <row r="490" spans="43:53">
      <c r="AQ490" s="40"/>
      <c r="AU490" s="28"/>
      <c r="AV490" s="28"/>
      <c r="AW490" s="28"/>
    </row>
    <row r="491" spans="43:53">
      <c r="AQ491" s="40"/>
      <c r="AU491" s="28"/>
      <c r="AV491" s="28"/>
      <c r="AW491" s="28"/>
    </row>
    <row r="492" spans="43:53">
      <c r="AQ492" s="40"/>
      <c r="AU492" s="28"/>
      <c r="AV492" s="28"/>
      <c r="AW492" s="28"/>
    </row>
    <row r="493" spans="43:53">
      <c r="AQ493" s="40"/>
      <c r="AU493" s="28"/>
      <c r="AV493" s="28"/>
      <c r="AW493" s="28"/>
    </row>
    <row r="494" spans="43:53">
      <c r="AQ494" s="40"/>
      <c r="AU494" s="28"/>
      <c r="AV494" s="28"/>
      <c r="AW494" s="28"/>
    </row>
    <row r="495" spans="43:53">
      <c r="AQ495" s="40"/>
      <c r="AU495" s="28"/>
      <c r="AV495" s="28"/>
      <c r="AW495" s="28"/>
    </row>
    <row r="496" spans="43:53">
      <c r="AQ496" s="40"/>
      <c r="AU496" s="28"/>
      <c r="AV496" s="28"/>
      <c r="AW496" s="28"/>
    </row>
    <row r="497" spans="43:49">
      <c r="AQ497" s="40"/>
      <c r="AU497" s="28"/>
      <c r="AV497" s="28"/>
      <c r="AW497" s="28"/>
    </row>
    <row r="498" spans="43:49">
      <c r="AQ498" s="40"/>
      <c r="AU498" s="28"/>
      <c r="AV498" s="28"/>
      <c r="AW498" s="28"/>
    </row>
    <row r="499" spans="43:49">
      <c r="AQ499" s="40"/>
      <c r="AU499" s="28"/>
      <c r="AV499" s="28"/>
      <c r="AW499" s="28"/>
    </row>
    <row r="500" spans="43:49">
      <c r="AQ500" s="40"/>
      <c r="AU500" s="28"/>
      <c r="AV500" s="28"/>
      <c r="AW500" s="28"/>
    </row>
    <row r="501" spans="43:49">
      <c r="AQ501" s="40"/>
      <c r="AU501" s="28"/>
      <c r="AV501" s="28"/>
      <c r="AW501" s="28"/>
    </row>
    <row r="502" spans="43:49">
      <c r="AQ502" s="40"/>
      <c r="AU502" s="28"/>
      <c r="AV502" s="28"/>
      <c r="AW502" s="28"/>
    </row>
    <row r="503" spans="43:49">
      <c r="AQ503" s="40"/>
      <c r="AU503" s="28"/>
      <c r="AV503" s="28"/>
      <c r="AW503" s="28"/>
    </row>
    <row r="504" spans="43:49">
      <c r="AQ504" s="40"/>
      <c r="AU504" s="28"/>
      <c r="AV504" s="28"/>
      <c r="AW504" s="28"/>
    </row>
    <row r="505" spans="43:49">
      <c r="AQ505" s="40"/>
      <c r="AU505" s="28"/>
      <c r="AV505" s="28"/>
      <c r="AW505" s="28"/>
    </row>
    <row r="506" spans="43:49">
      <c r="AQ506" s="40"/>
      <c r="AU506" s="28"/>
      <c r="AV506" s="28"/>
      <c r="AW506" s="28"/>
    </row>
    <row r="507" spans="43:49">
      <c r="AQ507" s="40"/>
      <c r="AU507" s="28"/>
      <c r="AV507" s="28"/>
      <c r="AW507" s="28"/>
    </row>
    <row r="508" spans="43:49">
      <c r="AQ508" s="40"/>
      <c r="AU508" s="28"/>
      <c r="AV508" s="28"/>
      <c r="AW508" s="28"/>
    </row>
    <row r="509" spans="43:49">
      <c r="AQ509" s="40"/>
      <c r="AU509" s="28"/>
      <c r="AV509" s="28"/>
      <c r="AW509" s="28"/>
    </row>
    <row r="510" spans="43:49">
      <c r="AQ510" s="40"/>
      <c r="AU510" s="28"/>
      <c r="AV510" s="28"/>
      <c r="AW510" s="28"/>
    </row>
    <row r="511" spans="43:49">
      <c r="AQ511" s="40"/>
      <c r="AU511" s="28"/>
      <c r="AV511" s="28"/>
      <c r="AW511" s="28"/>
    </row>
    <row r="512" spans="43:49">
      <c r="AQ512" s="40"/>
      <c r="AU512" s="28"/>
      <c r="AV512" s="28"/>
      <c r="AW512" s="28"/>
    </row>
    <row r="513" spans="43:53">
      <c r="AQ513" s="40"/>
      <c r="AU513" s="28"/>
      <c r="AV513" s="28"/>
      <c r="AW513" s="28"/>
    </row>
    <row r="514" spans="43:53">
      <c r="AQ514" s="40"/>
      <c r="AU514" s="28"/>
      <c r="AV514" s="28"/>
      <c r="AW514" s="28"/>
    </row>
    <row r="515" spans="43:53">
      <c r="AQ515" s="40"/>
      <c r="AU515" s="28"/>
      <c r="AV515" s="28"/>
      <c r="AW515" s="28"/>
    </row>
    <row r="516" spans="43:53">
      <c r="AQ516" s="40"/>
      <c r="AU516" s="28"/>
      <c r="AV516" s="28"/>
      <c r="AW516" s="28"/>
    </row>
    <row r="517" spans="43:53">
      <c r="AQ517" s="40"/>
      <c r="AU517" s="28"/>
      <c r="AV517" s="28"/>
      <c r="AW517" s="28"/>
    </row>
    <row r="518" spans="43:53">
      <c r="AQ518" s="40"/>
      <c r="AU518" s="28"/>
      <c r="AV518" s="28"/>
      <c r="AW518" s="28"/>
    </row>
    <row r="519" spans="43:53">
      <c r="AQ519" s="40"/>
      <c r="AU519" s="28"/>
      <c r="AV519" s="28"/>
      <c r="AW519" s="28"/>
    </row>
    <row r="520" spans="43:53">
      <c r="AQ520" s="40"/>
      <c r="AU520" s="28"/>
      <c r="AV520" s="28"/>
      <c r="AW520" s="28"/>
    </row>
    <row r="521" spans="43:53">
      <c r="AQ521" s="40"/>
      <c r="AU521" s="28"/>
      <c r="AV521" s="28"/>
      <c r="AW521" s="28"/>
    </row>
    <row r="522" spans="43:53">
      <c r="AQ522" s="40"/>
      <c r="AU522" s="28"/>
      <c r="AV522" s="28"/>
      <c r="AW522" s="28"/>
      <c r="BA522" s="14"/>
    </row>
    <row r="523" spans="43:53">
      <c r="AQ523" s="40"/>
      <c r="AU523" s="28"/>
      <c r="AV523" s="28"/>
      <c r="AW523" s="28"/>
    </row>
    <row r="524" spans="43:53">
      <c r="AQ524" s="40"/>
      <c r="AU524" s="28"/>
      <c r="AV524" s="28"/>
      <c r="AW524" s="28"/>
    </row>
    <row r="525" spans="43:53">
      <c r="AQ525" s="40"/>
      <c r="AU525" s="28"/>
      <c r="AV525" s="28"/>
      <c r="AW525" s="28"/>
    </row>
    <row r="526" spans="43:53">
      <c r="AQ526" s="40"/>
      <c r="AU526" s="28"/>
      <c r="AV526" s="28"/>
      <c r="AW526" s="28"/>
    </row>
    <row r="527" spans="43:53">
      <c r="AQ527" s="40"/>
      <c r="AU527" s="28"/>
      <c r="AV527" s="28"/>
      <c r="AW527" s="28"/>
    </row>
    <row r="528" spans="43:53">
      <c r="AQ528" s="40"/>
      <c r="AU528" s="28"/>
      <c r="AV528" s="28"/>
      <c r="AW528" s="28"/>
    </row>
    <row r="529" spans="43:49">
      <c r="AQ529" s="40"/>
      <c r="AU529" s="28"/>
      <c r="AV529" s="28"/>
      <c r="AW529" s="28"/>
    </row>
    <row r="530" spans="43:49">
      <c r="AQ530" s="40"/>
      <c r="AU530" s="28"/>
      <c r="AV530" s="28"/>
      <c r="AW530" s="28"/>
    </row>
    <row r="531" spans="43:49">
      <c r="AQ531" s="40"/>
      <c r="AU531" s="28"/>
      <c r="AV531" s="28"/>
      <c r="AW531" s="28"/>
    </row>
    <row r="532" spans="43:49">
      <c r="AQ532" s="40"/>
      <c r="AU532" s="28"/>
      <c r="AV532" s="28"/>
      <c r="AW532" s="28"/>
    </row>
    <row r="533" spans="43:49">
      <c r="AQ533" s="40"/>
      <c r="AU533" s="28"/>
      <c r="AV533" s="28"/>
      <c r="AW533" s="28"/>
    </row>
    <row r="534" spans="43:49">
      <c r="AQ534" s="40"/>
      <c r="AU534" s="28"/>
      <c r="AV534" s="28"/>
      <c r="AW534" s="28"/>
    </row>
    <row r="535" spans="43:49">
      <c r="AQ535" s="40"/>
      <c r="AU535" s="28"/>
      <c r="AV535" s="28"/>
      <c r="AW535" s="28"/>
    </row>
    <row r="536" spans="43:49">
      <c r="AQ536" s="40"/>
      <c r="AU536" s="28"/>
      <c r="AV536" s="28"/>
      <c r="AW536" s="28"/>
    </row>
    <row r="537" spans="43:49">
      <c r="AQ537" s="40"/>
      <c r="AU537" s="28"/>
      <c r="AV537" s="28"/>
      <c r="AW537" s="28"/>
    </row>
    <row r="538" spans="43:49">
      <c r="AQ538" s="40"/>
      <c r="AU538" s="28"/>
      <c r="AV538" s="28"/>
      <c r="AW538" s="28"/>
    </row>
    <row r="539" spans="43:49">
      <c r="AQ539" s="40"/>
      <c r="AU539" s="28"/>
      <c r="AV539" s="28"/>
      <c r="AW539" s="28"/>
    </row>
    <row r="540" spans="43:49">
      <c r="AQ540" s="40"/>
      <c r="AU540" s="28"/>
      <c r="AV540" s="28"/>
      <c r="AW540" s="28"/>
    </row>
    <row r="541" spans="43:49">
      <c r="AQ541" s="40"/>
      <c r="AU541" s="28"/>
      <c r="AV541" s="28"/>
      <c r="AW541" s="28"/>
    </row>
    <row r="542" spans="43:49">
      <c r="AQ542" s="40"/>
      <c r="AU542" s="28"/>
      <c r="AV542" s="28"/>
      <c r="AW542" s="28"/>
    </row>
    <row r="543" spans="43:49">
      <c r="AQ543" s="40"/>
      <c r="AU543" s="28"/>
      <c r="AV543" s="28"/>
      <c r="AW543" s="28"/>
    </row>
    <row r="544" spans="43:49">
      <c r="AQ544" s="40"/>
      <c r="AU544" s="28"/>
      <c r="AV544" s="28"/>
      <c r="AW544" s="28"/>
    </row>
    <row r="545" spans="43:49">
      <c r="AQ545" s="40"/>
      <c r="AU545" s="28"/>
      <c r="AV545" s="28"/>
      <c r="AW545" s="28"/>
    </row>
    <row r="546" spans="43:49">
      <c r="AQ546" s="40"/>
      <c r="AU546" s="28"/>
      <c r="AV546" s="28"/>
      <c r="AW546" s="28"/>
    </row>
    <row r="547" spans="43:49">
      <c r="AQ547" s="40"/>
      <c r="AU547" s="28"/>
      <c r="AV547" s="28"/>
      <c r="AW547" s="28"/>
    </row>
    <row r="548" spans="43:49">
      <c r="AQ548" s="40"/>
      <c r="AU548" s="28"/>
      <c r="AV548" s="28"/>
      <c r="AW548" s="28"/>
    </row>
    <row r="549" spans="43:49">
      <c r="AQ549" s="40"/>
      <c r="AU549" s="28"/>
      <c r="AV549" s="28"/>
      <c r="AW549" s="28"/>
    </row>
    <row r="550" spans="43:49">
      <c r="AQ550" s="40"/>
      <c r="AU550" s="28"/>
      <c r="AV550" s="28"/>
      <c r="AW550" s="28"/>
    </row>
    <row r="551" spans="43:49">
      <c r="AQ551" s="40"/>
      <c r="AU551" s="28"/>
      <c r="AV551" s="28"/>
      <c r="AW551" s="28"/>
    </row>
    <row r="552" spans="43:49">
      <c r="AQ552" s="40"/>
      <c r="AU552" s="28"/>
      <c r="AV552" s="28"/>
      <c r="AW552" s="28"/>
    </row>
    <row r="553" spans="43:49">
      <c r="AQ553" s="40"/>
      <c r="AU553" s="28"/>
      <c r="AV553" s="28"/>
      <c r="AW553" s="28"/>
    </row>
    <row r="554" spans="43:49">
      <c r="AQ554" s="40"/>
      <c r="AU554" s="28"/>
      <c r="AV554" s="28"/>
      <c r="AW554" s="28"/>
    </row>
    <row r="555" spans="43:49">
      <c r="AQ555" s="40"/>
      <c r="AU555" s="28"/>
      <c r="AV555" s="28"/>
      <c r="AW555" s="28"/>
    </row>
    <row r="556" spans="43:49">
      <c r="AQ556" s="40"/>
      <c r="AU556" s="28"/>
      <c r="AV556" s="28"/>
      <c r="AW556" s="28"/>
    </row>
    <row r="557" spans="43:49">
      <c r="AQ557" s="40"/>
      <c r="AU557" s="28"/>
      <c r="AV557" s="28"/>
      <c r="AW557" s="28"/>
    </row>
    <row r="558" spans="43:49">
      <c r="AQ558" s="40"/>
      <c r="AU558" s="28"/>
      <c r="AV558" s="28"/>
      <c r="AW558" s="28"/>
    </row>
    <row r="559" spans="43:49">
      <c r="AQ559" s="40"/>
      <c r="AU559" s="28"/>
      <c r="AV559" s="28"/>
      <c r="AW559" s="28"/>
    </row>
    <row r="560" spans="43:49">
      <c r="AQ560" s="40"/>
      <c r="AU560" s="28"/>
      <c r="AV560" s="28"/>
      <c r="AW560" s="28"/>
    </row>
    <row r="561" spans="43:49">
      <c r="AQ561" s="40"/>
      <c r="AU561" s="28"/>
      <c r="AV561" s="28"/>
      <c r="AW561" s="28"/>
    </row>
    <row r="562" spans="43:49">
      <c r="AQ562" s="40"/>
      <c r="AU562" s="28"/>
      <c r="AV562" s="28"/>
      <c r="AW562" s="28"/>
    </row>
    <row r="563" spans="43:49">
      <c r="AQ563" s="40"/>
      <c r="AU563" s="28"/>
      <c r="AV563" s="28"/>
      <c r="AW563" s="28"/>
    </row>
    <row r="564" spans="43:49">
      <c r="AQ564" s="40"/>
      <c r="AU564" s="28"/>
      <c r="AV564" s="28"/>
      <c r="AW564" s="28"/>
    </row>
    <row r="565" spans="43:49">
      <c r="AQ565" s="40"/>
      <c r="AU565" s="28"/>
      <c r="AV565" s="28"/>
      <c r="AW565" s="28"/>
    </row>
    <row r="566" spans="43:49">
      <c r="AQ566" s="40"/>
      <c r="AU566" s="28"/>
      <c r="AV566" s="28"/>
      <c r="AW566" s="28"/>
    </row>
    <row r="567" spans="43:49">
      <c r="AQ567" s="40"/>
      <c r="AU567" s="28"/>
      <c r="AV567" s="28"/>
      <c r="AW567" s="28"/>
    </row>
    <row r="568" spans="43:49">
      <c r="AQ568" s="40"/>
      <c r="AU568" s="28"/>
      <c r="AV568" s="28"/>
      <c r="AW568" s="28"/>
    </row>
    <row r="569" spans="43:49">
      <c r="AQ569" s="40"/>
      <c r="AU569" s="28"/>
      <c r="AV569" s="28"/>
      <c r="AW569" s="28"/>
    </row>
    <row r="570" spans="43:49">
      <c r="AQ570" s="40"/>
      <c r="AU570" s="28"/>
      <c r="AV570" s="28"/>
      <c r="AW570" s="28"/>
    </row>
    <row r="571" spans="43:49">
      <c r="AQ571" s="40"/>
      <c r="AU571" s="28"/>
      <c r="AV571" s="28"/>
      <c r="AW571" s="28"/>
    </row>
    <row r="572" spans="43:49">
      <c r="AQ572" s="40"/>
      <c r="AU572" s="28"/>
      <c r="AV572" s="28"/>
      <c r="AW572" s="28"/>
    </row>
    <row r="573" spans="43:49">
      <c r="AQ573" s="40"/>
      <c r="AU573" s="28"/>
      <c r="AV573" s="28"/>
      <c r="AW573" s="28"/>
    </row>
    <row r="574" spans="43:49">
      <c r="AQ574" s="40"/>
      <c r="AU574" s="28"/>
      <c r="AV574" s="28"/>
      <c r="AW574" s="28"/>
    </row>
    <row r="575" spans="43:49">
      <c r="AQ575" s="40"/>
      <c r="AU575" s="28"/>
      <c r="AV575" s="28"/>
      <c r="AW575" s="28"/>
    </row>
    <row r="576" spans="43:49">
      <c r="AQ576" s="40"/>
      <c r="AU576" s="28"/>
      <c r="AV576" s="28"/>
      <c r="AW576" s="28"/>
    </row>
    <row r="577" spans="43:49">
      <c r="AQ577" s="40"/>
      <c r="AU577" s="28"/>
      <c r="AV577" s="28"/>
      <c r="AW577" s="28"/>
    </row>
    <row r="578" spans="43:49">
      <c r="AQ578" s="40"/>
      <c r="AU578" s="28"/>
      <c r="AV578" s="28"/>
      <c r="AW578" s="28"/>
    </row>
    <row r="579" spans="43:49">
      <c r="AQ579" s="40"/>
      <c r="AU579" s="28"/>
      <c r="AV579" s="28"/>
      <c r="AW579" s="28"/>
    </row>
    <row r="580" spans="43:49">
      <c r="AQ580" s="40"/>
      <c r="AU580" s="28"/>
      <c r="AV580" s="28"/>
      <c r="AW580" s="28"/>
    </row>
    <row r="581" spans="43:49">
      <c r="AQ581" s="40"/>
      <c r="AU581" s="28"/>
      <c r="AV581" s="28"/>
      <c r="AW581" s="28"/>
    </row>
    <row r="582" spans="43:49">
      <c r="AQ582" s="40"/>
      <c r="AU582" s="28"/>
      <c r="AV582" s="28"/>
      <c r="AW582" s="28"/>
    </row>
    <row r="583" spans="43:49">
      <c r="AQ583" s="40"/>
      <c r="AU583" s="28"/>
      <c r="AV583" s="28"/>
      <c r="AW583" s="28"/>
    </row>
    <row r="584" spans="43:49">
      <c r="AQ584" s="40"/>
      <c r="AU584" s="28"/>
      <c r="AV584" s="28"/>
      <c r="AW584" s="28"/>
    </row>
    <row r="585" spans="43:49">
      <c r="AQ585" s="40"/>
      <c r="AU585" s="28"/>
      <c r="AV585" s="28"/>
      <c r="AW585" s="28"/>
    </row>
    <row r="586" spans="43:49">
      <c r="AQ586" s="40"/>
      <c r="AU586" s="28"/>
      <c r="AV586" s="28"/>
      <c r="AW586" s="28"/>
    </row>
    <row r="587" spans="43:49">
      <c r="AQ587" s="40"/>
      <c r="AU587" s="28"/>
      <c r="AV587" s="28"/>
      <c r="AW587" s="28"/>
    </row>
    <row r="588" spans="43:49">
      <c r="AQ588" s="40"/>
      <c r="AU588" s="28"/>
      <c r="AV588" s="28"/>
      <c r="AW588" s="28"/>
    </row>
    <row r="589" spans="43:49">
      <c r="AQ589" s="40"/>
      <c r="AU589" s="28"/>
      <c r="AV589" s="28"/>
      <c r="AW589" s="28"/>
    </row>
    <row r="590" spans="43:49">
      <c r="AQ590" s="40"/>
      <c r="AU590" s="28"/>
      <c r="AV590" s="28"/>
      <c r="AW590" s="28"/>
    </row>
    <row r="591" spans="43:49">
      <c r="AQ591" s="40"/>
      <c r="AU591" s="28"/>
      <c r="AV591" s="28"/>
      <c r="AW591" s="28"/>
    </row>
    <row r="592" spans="43:49">
      <c r="AQ592" s="40"/>
      <c r="AU592" s="28"/>
      <c r="AV592" s="28"/>
      <c r="AW592" s="28"/>
    </row>
    <row r="593" spans="43:49">
      <c r="AQ593" s="40"/>
      <c r="AU593" s="28"/>
      <c r="AV593" s="28"/>
      <c r="AW593" s="28"/>
    </row>
    <row r="594" spans="43:49">
      <c r="AQ594" s="40"/>
      <c r="AU594" s="28"/>
      <c r="AV594" s="28"/>
      <c r="AW594" s="28"/>
    </row>
    <row r="595" spans="43:49">
      <c r="AQ595" s="40"/>
      <c r="AU595" s="28"/>
      <c r="AV595" s="28"/>
      <c r="AW595" s="28"/>
    </row>
    <row r="596" spans="43:49">
      <c r="AQ596" s="40"/>
      <c r="AU596" s="28"/>
      <c r="AV596" s="28"/>
      <c r="AW596" s="28"/>
    </row>
    <row r="597" spans="43:49">
      <c r="AQ597" s="40"/>
      <c r="AU597" s="28"/>
      <c r="AV597" s="28"/>
      <c r="AW597" s="28"/>
    </row>
    <row r="598" spans="43:49">
      <c r="AQ598" s="40"/>
      <c r="AU598" s="28"/>
      <c r="AV598" s="28"/>
      <c r="AW598" s="28"/>
    </row>
    <row r="599" spans="43:49">
      <c r="AQ599" s="40"/>
      <c r="AU599" s="28"/>
      <c r="AV599" s="28"/>
      <c r="AW599" s="28"/>
    </row>
    <row r="600" spans="43:49">
      <c r="AQ600" s="40"/>
      <c r="AU600" s="28"/>
      <c r="AV600" s="28"/>
      <c r="AW600" s="28"/>
    </row>
    <row r="601" spans="43:49">
      <c r="AQ601" s="40"/>
      <c r="AU601" s="28"/>
      <c r="AV601" s="28"/>
      <c r="AW601" s="28"/>
    </row>
    <row r="602" spans="43:49">
      <c r="AQ602" s="40"/>
      <c r="AU602" s="28"/>
      <c r="AV602" s="28"/>
      <c r="AW602" s="28"/>
    </row>
    <row r="603" spans="43:49">
      <c r="AQ603" s="40"/>
      <c r="AU603" s="28"/>
      <c r="AV603" s="28"/>
      <c r="AW603" s="28"/>
    </row>
    <row r="604" spans="43:49">
      <c r="AQ604" s="40"/>
      <c r="AU604" s="28"/>
      <c r="AV604" s="28"/>
      <c r="AW604" s="28"/>
    </row>
    <row r="605" spans="43:49">
      <c r="AQ605" s="40"/>
      <c r="AU605" s="28"/>
      <c r="AV605" s="28"/>
      <c r="AW605" s="28"/>
    </row>
    <row r="606" spans="43:49">
      <c r="AQ606" s="40"/>
      <c r="AU606" s="28"/>
      <c r="AV606" s="28"/>
      <c r="AW606" s="28"/>
    </row>
    <row r="607" spans="43:49">
      <c r="AQ607" s="40"/>
      <c r="AU607" s="28"/>
      <c r="AV607" s="28"/>
      <c r="AW607" s="28"/>
    </row>
    <row r="608" spans="43:49">
      <c r="AQ608" s="40"/>
      <c r="AU608" s="28"/>
      <c r="AV608" s="28"/>
      <c r="AW608" s="28"/>
    </row>
    <row r="609" spans="43:49">
      <c r="AQ609" s="40"/>
      <c r="AU609" s="28"/>
      <c r="AV609" s="28"/>
      <c r="AW609" s="28"/>
    </row>
    <row r="610" spans="43:49">
      <c r="AQ610" s="40"/>
      <c r="AU610" s="28"/>
      <c r="AV610" s="28"/>
      <c r="AW610" s="28"/>
    </row>
    <row r="611" spans="43:49">
      <c r="AQ611" s="40"/>
      <c r="AU611" s="28"/>
      <c r="AV611" s="28"/>
      <c r="AW611" s="28"/>
    </row>
    <row r="612" spans="43:49">
      <c r="AQ612" s="40"/>
      <c r="AU612" s="28"/>
      <c r="AV612" s="28"/>
      <c r="AW612" s="28"/>
    </row>
    <row r="613" spans="43:49">
      <c r="AQ613" s="40"/>
      <c r="AU613" s="28"/>
      <c r="AV613" s="28"/>
      <c r="AW613" s="28"/>
    </row>
    <row r="614" spans="43:49">
      <c r="AQ614" s="40"/>
      <c r="AU614" s="28"/>
      <c r="AV614" s="28"/>
      <c r="AW614" s="28"/>
    </row>
    <row r="615" spans="43:49">
      <c r="AQ615" s="40"/>
      <c r="AU615" s="28"/>
      <c r="AV615" s="28"/>
      <c r="AW615" s="28"/>
    </row>
    <row r="616" spans="43:49">
      <c r="AQ616" s="40"/>
      <c r="AU616" s="28"/>
      <c r="AV616" s="28"/>
      <c r="AW616" s="28"/>
    </row>
    <row r="617" spans="43:49">
      <c r="AQ617" s="40"/>
      <c r="AU617" s="28"/>
      <c r="AV617" s="28"/>
      <c r="AW617" s="28"/>
    </row>
    <row r="618" spans="43:49">
      <c r="AQ618" s="40"/>
      <c r="AU618" s="28"/>
      <c r="AV618" s="28"/>
      <c r="AW618" s="28"/>
    </row>
    <row r="619" spans="43:49">
      <c r="AQ619" s="40"/>
      <c r="AU619" s="28"/>
      <c r="AV619" s="28"/>
      <c r="AW619" s="28"/>
    </row>
    <row r="620" spans="43:49">
      <c r="AQ620" s="40"/>
      <c r="AU620" s="28"/>
      <c r="AV620" s="28"/>
      <c r="AW620" s="28"/>
    </row>
    <row r="621" spans="43:49">
      <c r="AQ621" s="40"/>
      <c r="AU621" s="28"/>
      <c r="AV621" s="28"/>
      <c r="AW621" s="28"/>
    </row>
    <row r="622" spans="43:49">
      <c r="AQ622" s="40"/>
      <c r="AU622" s="28"/>
      <c r="AV622" s="28"/>
      <c r="AW622" s="28"/>
    </row>
    <row r="623" spans="43:49">
      <c r="AQ623" s="40"/>
      <c r="AU623" s="28"/>
      <c r="AV623" s="28"/>
      <c r="AW623" s="28"/>
    </row>
    <row r="624" spans="43:49">
      <c r="AQ624" s="40"/>
      <c r="AU624" s="28"/>
      <c r="AV624" s="28"/>
      <c r="AW624" s="28"/>
    </row>
    <row r="625" spans="43:49">
      <c r="AQ625" s="40"/>
      <c r="AU625" s="28"/>
      <c r="AV625" s="28"/>
      <c r="AW625" s="28"/>
    </row>
    <row r="626" spans="43:49">
      <c r="AQ626" s="40"/>
      <c r="AU626" s="28"/>
      <c r="AV626" s="28"/>
      <c r="AW626" s="28"/>
    </row>
    <row r="627" spans="43:49">
      <c r="AQ627" s="40"/>
      <c r="AU627" s="28"/>
      <c r="AV627" s="28"/>
      <c r="AW627" s="28"/>
    </row>
    <row r="628" spans="43:49">
      <c r="AQ628" s="40"/>
      <c r="AU628" s="28"/>
      <c r="AV628" s="28"/>
      <c r="AW628" s="28"/>
    </row>
    <row r="629" spans="43:49">
      <c r="AQ629" s="40"/>
      <c r="AU629" s="28"/>
      <c r="AV629" s="28"/>
      <c r="AW629" s="28"/>
    </row>
    <row r="630" spans="43:49">
      <c r="AQ630" s="40"/>
      <c r="AU630" s="28"/>
      <c r="AV630" s="28"/>
      <c r="AW630" s="28"/>
    </row>
    <row r="631" spans="43:49">
      <c r="AQ631" s="40"/>
      <c r="AU631" s="28"/>
      <c r="AV631" s="28"/>
      <c r="AW631" s="28"/>
    </row>
    <row r="632" spans="43:49">
      <c r="AQ632" s="40"/>
      <c r="AU632" s="28"/>
      <c r="AV632" s="28"/>
      <c r="AW632" s="28"/>
    </row>
    <row r="633" spans="43:49">
      <c r="AQ633" s="40"/>
      <c r="AU633" s="28"/>
      <c r="AV633" s="28"/>
      <c r="AW633" s="28"/>
    </row>
    <row r="634" spans="43:49">
      <c r="AQ634" s="40"/>
      <c r="AU634" s="28"/>
      <c r="AV634" s="28"/>
      <c r="AW634" s="28"/>
    </row>
    <row r="635" spans="43:49">
      <c r="AQ635" s="40"/>
      <c r="AU635" s="28"/>
      <c r="AV635" s="28"/>
      <c r="AW635" s="28"/>
    </row>
    <row r="636" spans="43:49">
      <c r="AQ636" s="40"/>
      <c r="AU636" s="28"/>
      <c r="AV636" s="28"/>
      <c r="AW636" s="28"/>
    </row>
    <row r="637" spans="43:49">
      <c r="AQ637" s="40"/>
      <c r="AU637" s="28"/>
      <c r="AV637" s="28"/>
      <c r="AW637" s="28"/>
    </row>
    <row r="638" spans="43:49">
      <c r="AQ638" s="40"/>
      <c r="AU638" s="28"/>
      <c r="AV638" s="28"/>
      <c r="AW638" s="28"/>
    </row>
    <row r="639" spans="43:49">
      <c r="AQ639" s="40"/>
      <c r="AU639" s="28"/>
      <c r="AV639" s="28"/>
      <c r="AW639" s="28"/>
    </row>
    <row r="640" spans="43:49">
      <c r="AQ640" s="40"/>
      <c r="AU640" s="28"/>
      <c r="AV640" s="28"/>
      <c r="AW640" s="28"/>
    </row>
    <row r="641" spans="43:49">
      <c r="AQ641" s="40"/>
      <c r="AU641" s="28"/>
      <c r="AV641" s="28"/>
      <c r="AW641" s="28"/>
    </row>
    <row r="642" spans="43:49">
      <c r="AQ642" s="40"/>
      <c r="AU642" s="28"/>
      <c r="AV642" s="28"/>
      <c r="AW642" s="28"/>
    </row>
    <row r="643" spans="43:49">
      <c r="AQ643" s="40"/>
      <c r="AU643" s="28"/>
      <c r="AV643" s="28"/>
      <c r="AW643" s="28"/>
    </row>
    <row r="644" spans="43:49">
      <c r="AQ644" s="40"/>
      <c r="AU644" s="28"/>
      <c r="AV644" s="28"/>
      <c r="AW644" s="28"/>
    </row>
    <row r="645" spans="43:49">
      <c r="AQ645" s="40"/>
      <c r="AU645" s="28"/>
      <c r="AV645" s="28"/>
      <c r="AW645" s="28"/>
    </row>
    <row r="646" spans="43:49">
      <c r="AQ646" s="40"/>
      <c r="AU646" s="28"/>
      <c r="AV646" s="28"/>
      <c r="AW646" s="28"/>
    </row>
    <row r="647" spans="43:49">
      <c r="AQ647" s="40"/>
      <c r="AU647" s="28"/>
      <c r="AV647" s="28"/>
      <c r="AW647" s="28"/>
    </row>
    <row r="648" spans="43:49">
      <c r="AQ648" s="40"/>
      <c r="AU648" s="28"/>
      <c r="AV648" s="28"/>
      <c r="AW648" s="28"/>
    </row>
    <row r="649" spans="43:49">
      <c r="AQ649" s="40"/>
      <c r="AU649" s="28"/>
      <c r="AV649" s="28"/>
      <c r="AW649" s="28"/>
    </row>
    <row r="650" spans="43:49">
      <c r="AQ650" s="40"/>
      <c r="AU650" s="28"/>
      <c r="AV650" s="28"/>
      <c r="AW650" s="28"/>
    </row>
    <row r="651" spans="43:49">
      <c r="AQ651" s="40"/>
      <c r="AU651" s="28"/>
      <c r="AV651" s="28"/>
      <c r="AW651" s="28"/>
    </row>
    <row r="652" spans="43:49">
      <c r="AQ652" s="40"/>
      <c r="AU652" s="28"/>
      <c r="AV652" s="28"/>
      <c r="AW652" s="28"/>
    </row>
    <row r="653" spans="43:49">
      <c r="AQ653" s="40"/>
      <c r="AU653" s="28"/>
      <c r="AV653" s="28"/>
      <c r="AW653" s="28"/>
    </row>
    <row r="654" spans="43:49">
      <c r="AQ654" s="40"/>
      <c r="AU654" s="28"/>
      <c r="AV654" s="28"/>
      <c r="AW654" s="28"/>
    </row>
    <row r="655" spans="43:49">
      <c r="AQ655" s="40"/>
      <c r="AU655" s="28"/>
      <c r="AV655" s="28"/>
      <c r="AW655" s="28"/>
    </row>
    <row r="656" spans="43:49">
      <c r="AQ656" s="40"/>
      <c r="AU656" s="28"/>
      <c r="AV656" s="28"/>
      <c r="AW656" s="28"/>
    </row>
    <row r="657" spans="43:49">
      <c r="AQ657" s="40"/>
      <c r="AU657" s="28"/>
      <c r="AV657" s="28"/>
      <c r="AW657" s="28"/>
    </row>
    <row r="658" spans="43:49">
      <c r="AQ658" s="40"/>
      <c r="AU658" s="28"/>
      <c r="AV658" s="28"/>
      <c r="AW658" s="28"/>
    </row>
    <row r="659" spans="43:49">
      <c r="AQ659" s="40"/>
      <c r="AU659" s="28"/>
      <c r="AV659" s="28"/>
      <c r="AW659" s="28"/>
    </row>
    <row r="660" spans="43:49">
      <c r="AQ660" s="40"/>
      <c r="AU660" s="28"/>
      <c r="AV660" s="28"/>
      <c r="AW660" s="28"/>
    </row>
    <row r="661" spans="43:49">
      <c r="AQ661" s="40"/>
      <c r="AU661" s="28"/>
      <c r="AV661" s="28"/>
      <c r="AW661" s="28"/>
    </row>
    <row r="662" spans="43:49">
      <c r="AQ662" s="40"/>
      <c r="AU662" s="28"/>
      <c r="AV662" s="28"/>
      <c r="AW662" s="28"/>
    </row>
    <row r="663" spans="43:49">
      <c r="AQ663" s="40"/>
      <c r="AU663" s="28"/>
      <c r="AV663" s="28"/>
      <c r="AW663" s="28"/>
    </row>
    <row r="664" spans="43:49">
      <c r="AQ664" s="40"/>
      <c r="AU664" s="28"/>
      <c r="AV664" s="28"/>
      <c r="AW664" s="28"/>
    </row>
    <row r="665" spans="43:49">
      <c r="AQ665" s="40"/>
      <c r="AU665" s="28"/>
      <c r="AV665" s="28"/>
      <c r="AW665" s="28"/>
    </row>
    <row r="666" spans="43:49">
      <c r="AQ666" s="40"/>
      <c r="AU666" s="28"/>
      <c r="AV666" s="28"/>
      <c r="AW666" s="28"/>
    </row>
    <row r="667" spans="43:49">
      <c r="AQ667" s="40"/>
      <c r="AU667" s="28"/>
      <c r="AV667" s="28"/>
      <c r="AW667" s="28"/>
    </row>
    <row r="668" spans="43:49">
      <c r="AQ668" s="40"/>
      <c r="AU668" s="28"/>
      <c r="AV668" s="28"/>
      <c r="AW668" s="28"/>
    </row>
    <row r="669" spans="43:49">
      <c r="AQ669" s="40"/>
      <c r="AU669" s="28"/>
      <c r="AV669" s="28"/>
      <c r="AW669" s="28"/>
    </row>
    <row r="670" spans="43:49">
      <c r="AQ670" s="40"/>
      <c r="AU670" s="28"/>
      <c r="AV670" s="28"/>
      <c r="AW670" s="28"/>
    </row>
    <row r="671" spans="43:49">
      <c r="AQ671" s="40"/>
      <c r="AU671" s="28"/>
      <c r="AV671" s="28"/>
      <c r="AW671" s="28"/>
    </row>
    <row r="672" spans="43:49">
      <c r="AQ672" s="40"/>
      <c r="AU672" s="28"/>
      <c r="AV672" s="28"/>
      <c r="AW672" s="28"/>
    </row>
    <row r="673" spans="43:49">
      <c r="AQ673" s="40"/>
      <c r="AU673" s="28"/>
      <c r="AV673" s="28"/>
      <c r="AW673" s="28"/>
    </row>
    <row r="674" spans="43:49">
      <c r="AQ674" s="40"/>
      <c r="AU674" s="28"/>
      <c r="AV674" s="28"/>
      <c r="AW674" s="28"/>
    </row>
    <row r="675" spans="43:49">
      <c r="AQ675" s="40"/>
      <c r="AU675" s="28"/>
      <c r="AV675" s="28"/>
      <c r="AW675" s="28"/>
    </row>
    <row r="676" spans="43:49">
      <c r="AQ676" s="40"/>
      <c r="AU676" s="28"/>
      <c r="AV676" s="28"/>
      <c r="AW676" s="28"/>
    </row>
    <row r="677" spans="43:49">
      <c r="AQ677" s="40"/>
      <c r="AU677" s="28"/>
      <c r="AV677" s="28"/>
      <c r="AW677" s="28"/>
    </row>
    <row r="678" spans="43:49">
      <c r="AQ678" s="40"/>
      <c r="AU678" s="28"/>
      <c r="AV678" s="28"/>
      <c r="AW678" s="28"/>
    </row>
    <row r="679" spans="43:49">
      <c r="AQ679" s="40"/>
      <c r="AU679" s="28"/>
      <c r="AV679" s="28"/>
      <c r="AW679" s="28"/>
    </row>
    <row r="680" spans="43:49">
      <c r="AQ680" s="40"/>
      <c r="AU680" s="28"/>
      <c r="AV680" s="28"/>
      <c r="AW680" s="28"/>
    </row>
    <row r="681" spans="43:49">
      <c r="AQ681" s="40"/>
      <c r="AU681" s="28"/>
      <c r="AV681" s="28"/>
      <c r="AW681" s="28"/>
    </row>
    <row r="682" spans="43:49">
      <c r="AQ682" s="40"/>
      <c r="AU682" s="28"/>
      <c r="AV682" s="28"/>
      <c r="AW682" s="28"/>
    </row>
    <row r="683" spans="43:49">
      <c r="AQ683" s="40"/>
      <c r="AU683" s="28"/>
      <c r="AV683" s="28"/>
      <c r="AW683" s="28"/>
    </row>
    <row r="684" spans="43:49">
      <c r="AQ684" s="40"/>
      <c r="AU684" s="28"/>
      <c r="AV684" s="28"/>
      <c r="AW684" s="28"/>
    </row>
    <row r="685" spans="43:49">
      <c r="AQ685" s="40"/>
      <c r="AU685" s="28"/>
      <c r="AV685" s="28"/>
      <c r="AW685" s="28"/>
    </row>
    <row r="686" spans="43:49">
      <c r="AQ686" s="40"/>
      <c r="AU686" s="28"/>
      <c r="AV686" s="28"/>
      <c r="AW686" s="28"/>
    </row>
    <row r="687" spans="43:49">
      <c r="AQ687" s="40"/>
      <c r="AU687" s="28"/>
      <c r="AV687" s="28"/>
      <c r="AW687" s="28"/>
    </row>
    <row r="688" spans="43:49">
      <c r="AQ688" s="40"/>
      <c r="AU688" s="28"/>
      <c r="AV688" s="28"/>
      <c r="AW688" s="28"/>
    </row>
    <row r="689" spans="43:49">
      <c r="AQ689" s="40"/>
      <c r="AU689" s="28"/>
      <c r="AV689" s="28"/>
      <c r="AW689" s="28"/>
    </row>
    <row r="690" spans="43:49">
      <c r="AQ690" s="40"/>
      <c r="AU690" s="28"/>
      <c r="AV690" s="28"/>
      <c r="AW690" s="28"/>
    </row>
    <row r="691" spans="43:49">
      <c r="AQ691" s="40"/>
      <c r="AU691" s="28"/>
      <c r="AV691" s="28"/>
      <c r="AW691" s="28"/>
    </row>
    <row r="692" spans="43:49">
      <c r="AQ692" s="40"/>
      <c r="AU692" s="28"/>
      <c r="AV692" s="28"/>
      <c r="AW692" s="28"/>
    </row>
    <row r="693" spans="43:49">
      <c r="AQ693" s="40"/>
      <c r="AU693" s="28"/>
      <c r="AV693" s="28"/>
      <c r="AW693" s="28"/>
    </row>
    <row r="694" spans="43:49">
      <c r="AQ694" s="40"/>
      <c r="AU694" s="28"/>
      <c r="AV694" s="28"/>
      <c r="AW694" s="28"/>
    </row>
    <row r="695" spans="43:49">
      <c r="AQ695" s="40"/>
      <c r="AU695" s="28"/>
      <c r="AV695" s="28"/>
      <c r="AW695" s="28"/>
    </row>
    <row r="696" spans="43:49">
      <c r="AQ696" s="40"/>
      <c r="AU696" s="28"/>
      <c r="AV696" s="28"/>
      <c r="AW696" s="28"/>
    </row>
    <row r="697" spans="43:49">
      <c r="AQ697" s="40"/>
      <c r="AU697" s="28"/>
      <c r="AV697" s="28"/>
      <c r="AW697" s="28"/>
    </row>
    <row r="698" spans="43:49">
      <c r="AQ698" s="40"/>
      <c r="AU698" s="28"/>
      <c r="AV698" s="28"/>
      <c r="AW698" s="28"/>
    </row>
    <row r="699" spans="43:49">
      <c r="AQ699" s="40"/>
      <c r="AU699" s="28"/>
      <c r="AV699" s="28"/>
      <c r="AW699" s="28"/>
    </row>
    <row r="700" spans="43:49">
      <c r="AQ700" s="40"/>
      <c r="AU700" s="28"/>
      <c r="AV700" s="28"/>
      <c r="AW700" s="28"/>
    </row>
    <row r="701" spans="43:49">
      <c r="AQ701" s="40"/>
      <c r="AU701" s="28"/>
      <c r="AV701" s="28"/>
      <c r="AW701" s="28"/>
    </row>
    <row r="702" spans="43:49">
      <c r="AQ702" s="40"/>
      <c r="AU702" s="28"/>
      <c r="AV702" s="28"/>
      <c r="AW702" s="28"/>
    </row>
    <row r="703" spans="43:49">
      <c r="AQ703" s="40"/>
      <c r="AU703" s="28"/>
      <c r="AV703" s="28"/>
      <c r="AW703" s="28"/>
    </row>
    <row r="704" spans="43:49">
      <c r="AQ704" s="40"/>
      <c r="AU704" s="28"/>
      <c r="AV704" s="28"/>
      <c r="AW704" s="28"/>
    </row>
    <row r="705" spans="43:49">
      <c r="AQ705" s="40"/>
      <c r="AU705" s="28"/>
      <c r="AV705" s="28"/>
      <c r="AW705" s="28"/>
    </row>
    <row r="706" spans="43:49">
      <c r="AQ706" s="40"/>
      <c r="AU706" s="28"/>
      <c r="AV706" s="28"/>
      <c r="AW706" s="28"/>
    </row>
    <row r="707" spans="43:49">
      <c r="AQ707" s="40"/>
      <c r="AU707" s="28"/>
      <c r="AV707" s="28"/>
      <c r="AW707" s="28"/>
    </row>
    <row r="708" spans="43:49">
      <c r="AQ708" s="40"/>
      <c r="AU708" s="28"/>
      <c r="AV708" s="28"/>
      <c r="AW708" s="28"/>
    </row>
    <row r="709" spans="43:49">
      <c r="AQ709" s="40"/>
      <c r="AU709" s="28"/>
      <c r="AV709" s="28"/>
      <c r="AW709" s="28"/>
    </row>
    <row r="710" spans="43:49">
      <c r="AQ710" s="40"/>
      <c r="AU710" s="28"/>
      <c r="AV710" s="28"/>
      <c r="AW710" s="28"/>
    </row>
    <row r="711" spans="43:49">
      <c r="AQ711" s="40"/>
      <c r="AU711" s="28"/>
      <c r="AV711" s="28"/>
      <c r="AW711" s="28"/>
    </row>
    <row r="712" spans="43:49">
      <c r="AQ712" s="40"/>
      <c r="AU712" s="28"/>
      <c r="AV712" s="28"/>
      <c r="AW712" s="28"/>
    </row>
    <row r="713" spans="43:49">
      <c r="AQ713" s="40"/>
      <c r="AU713" s="28"/>
      <c r="AV713" s="28"/>
      <c r="AW713" s="28"/>
    </row>
    <row r="714" spans="43:49">
      <c r="AQ714" s="40"/>
      <c r="AU714" s="28"/>
      <c r="AV714" s="28"/>
      <c r="AW714" s="28"/>
    </row>
    <row r="715" spans="43:49">
      <c r="AQ715" s="40"/>
      <c r="AU715" s="28"/>
      <c r="AV715" s="28"/>
      <c r="AW715" s="28"/>
    </row>
    <row r="716" spans="43:49">
      <c r="AQ716" s="40"/>
      <c r="AU716" s="28"/>
      <c r="AV716" s="28"/>
      <c r="AW716" s="28"/>
    </row>
    <row r="717" spans="43:49">
      <c r="AQ717" s="40"/>
      <c r="AU717" s="28"/>
      <c r="AV717" s="28"/>
      <c r="AW717" s="28"/>
    </row>
    <row r="718" spans="43:49">
      <c r="AQ718" s="40"/>
      <c r="AU718" s="28"/>
      <c r="AV718" s="28"/>
      <c r="AW718" s="28"/>
    </row>
    <row r="719" spans="43:49">
      <c r="AQ719" s="40"/>
      <c r="AU719" s="28"/>
      <c r="AV719" s="28"/>
      <c r="AW719" s="28"/>
    </row>
    <row r="720" spans="43:49">
      <c r="AQ720" s="40"/>
      <c r="AU720" s="28"/>
      <c r="AV720" s="28"/>
      <c r="AW720" s="28"/>
    </row>
    <row r="721" spans="43:49">
      <c r="AQ721" s="40"/>
      <c r="AU721" s="28"/>
      <c r="AV721" s="28"/>
      <c r="AW721" s="28"/>
    </row>
    <row r="722" spans="43:49">
      <c r="AQ722" s="40"/>
      <c r="AU722" s="28"/>
      <c r="AV722" s="28"/>
      <c r="AW722" s="28"/>
    </row>
    <row r="723" spans="43:49">
      <c r="AQ723" s="40"/>
      <c r="AU723" s="28"/>
      <c r="AV723" s="28"/>
      <c r="AW723" s="28"/>
    </row>
    <row r="724" spans="43:49">
      <c r="AQ724" s="40"/>
      <c r="AU724" s="28"/>
      <c r="AV724" s="28"/>
      <c r="AW724" s="28"/>
    </row>
    <row r="725" spans="43:49">
      <c r="AQ725" s="40"/>
      <c r="AU725" s="28"/>
      <c r="AV725" s="28"/>
      <c r="AW725" s="28"/>
    </row>
    <row r="726" spans="43:49">
      <c r="AQ726" s="40"/>
      <c r="AU726" s="28"/>
      <c r="AV726" s="28"/>
      <c r="AW726" s="28"/>
    </row>
    <row r="727" spans="43:49">
      <c r="AQ727" s="40"/>
      <c r="AU727" s="28"/>
      <c r="AV727" s="28"/>
      <c r="AW727" s="28"/>
    </row>
    <row r="728" spans="43:49">
      <c r="AQ728" s="40"/>
      <c r="AU728" s="28"/>
      <c r="AV728" s="28"/>
      <c r="AW728" s="28"/>
    </row>
    <row r="729" spans="43:49">
      <c r="AQ729" s="40"/>
      <c r="AU729" s="28"/>
      <c r="AV729" s="28"/>
      <c r="AW729" s="28"/>
    </row>
    <row r="730" spans="43:49">
      <c r="AQ730" s="40"/>
      <c r="AU730" s="28"/>
      <c r="AV730" s="28"/>
      <c r="AW730" s="28"/>
    </row>
    <row r="731" spans="43:49">
      <c r="AQ731" s="40"/>
      <c r="AU731" s="28"/>
      <c r="AV731" s="28"/>
      <c r="AW731" s="28"/>
    </row>
    <row r="732" spans="43:49">
      <c r="AQ732" s="40"/>
      <c r="AU732" s="28"/>
      <c r="AV732" s="28"/>
      <c r="AW732" s="28"/>
    </row>
    <row r="733" spans="43:49">
      <c r="AQ733" s="40"/>
      <c r="AU733" s="28"/>
      <c r="AV733" s="28"/>
      <c r="AW733" s="28"/>
    </row>
    <row r="734" spans="43:49">
      <c r="AQ734" s="40"/>
      <c r="AU734" s="28"/>
      <c r="AV734" s="28"/>
      <c r="AW734" s="28"/>
    </row>
    <row r="735" spans="43:49">
      <c r="AQ735" s="40"/>
      <c r="AU735" s="28"/>
      <c r="AV735" s="28"/>
      <c r="AW735" s="28"/>
    </row>
    <row r="736" spans="43:49">
      <c r="AQ736" s="40"/>
      <c r="AU736" s="28"/>
      <c r="AV736" s="28"/>
      <c r="AW736" s="28"/>
    </row>
    <row r="737" spans="43:49">
      <c r="AQ737" s="40"/>
      <c r="AU737" s="28"/>
      <c r="AV737" s="28"/>
      <c r="AW737" s="28"/>
    </row>
    <row r="738" spans="43:49">
      <c r="AQ738" s="40"/>
      <c r="AU738" s="28"/>
      <c r="AV738" s="28"/>
      <c r="AW738" s="28"/>
    </row>
    <row r="739" spans="43:49">
      <c r="AQ739" s="40"/>
      <c r="AU739" s="28"/>
      <c r="AV739" s="28"/>
      <c r="AW739" s="28"/>
    </row>
    <row r="740" spans="43:49">
      <c r="AQ740" s="40"/>
      <c r="AU740" s="28"/>
      <c r="AV740" s="28"/>
      <c r="AW740" s="28"/>
    </row>
    <row r="741" spans="43:49">
      <c r="AQ741" s="40"/>
      <c r="AU741" s="28"/>
      <c r="AV741" s="28"/>
      <c r="AW741" s="28"/>
    </row>
    <row r="742" spans="43:49">
      <c r="AQ742" s="40"/>
      <c r="AU742" s="28"/>
      <c r="AV742" s="28"/>
      <c r="AW742" s="28"/>
    </row>
    <row r="743" spans="43:49">
      <c r="AQ743" s="40"/>
      <c r="AU743" s="28"/>
      <c r="AV743" s="28"/>
      <c r="AW743" s="28"/>
    </row>
    <row r="744" spans="43:49">
      <c r="AQ744" s="40"/>
      <c r="AU744" s="28"/>
      <c r="AV744" s="28"/>
      <c r="AW744" s="28"/>
    </row>
    <row r="745" spans="43:49">
      <c r="AQ745" s="40"/>
      <c r="AU745" s="28"/>
      <c r="AV745" s="28"/>
      <c r="AW745" s="28"/>
    </row>
    <row r="746" spans="43:49">
      <c r="AQ746" s="40"/>
      <c r="AU746" s="28"/>
      <c r="AV746" s="28"/>
      <c r="AW746" s="28"/>
    </row>
    <row r="747" spans="43:49">
      <c r="AQ747" s="40"/>
      <c r="AU747" s="28"/>
      <c r="AV747" s="28"/>
      <c r="AW747" s="28"/>
    </row>
    <row r="748" spans="43:49">
      <c r="AQ748" s="40"/>
      <c r="AU748" s="28"/>
      <c r="AV748" s="28"/>
      <c r="AW748" s="28"/>
    </row>
    <row r="749" spans="43:49">
      <c r="AQ749" s="40"/>
      <c r="AU749" s="28"/>
      <c r="AV749" s="28"/>
      <c r="AW749" s="28"/>
    </row>
    <row r="750" spans="43:49">
      <c r="AQ750" s="40"/>
      <c r="AU750" s="28"/>
      <c r="AV750" s="28"/>
      <c r="AW750" s="28"/>
    </row>
    <row r="751" spans="43:49">
      <c r="AQ751" s="40"/>
      <c r="AU751" s="28"/>
      <c r="AV751" s="28"/>
      <c r="AW751" s="28"/>
    </row>
    <row r="752" spans="43:49">
      <c r="AQ752" s="40"/>
      <c r="AU752" s="28"/>
      <c r="AV752" s="28"/>
      <c r="AW752" s="28"/>
    </row>
    <row r="753" spans="43:49">
      <c r="AQ753" s="40"/>
      <c r="AU753" s="28"/>
      <c r="AV753" s="28"/>
      <c r="AW753" s="28"/>
    </row>
    <row r="754" spans="43:49">
      <c r="AQ754" s="40"/>
      <c r="AU754" s="28"/>
      <c r="AV754" s="28"/>
      <c r="AW754" s="28"/>
    </row>
    <row r="755" spans="43:49">
      <c r="AQ755" s="40"/>
      <c r="AU755" s="28"/>
      <c r="AV755" s="28"/>
      <c r="AW755" s="28"/>
    </row>
    <row r="756" spans="43:49">
      <c r="AQ756" s="40"/>
      <c r="AU756" s="28"/>
      <c r="AV756" s="28"/>
      <c r="AW756" s="28"/>
    </row>
    <row r="757" spans="43:49">
      <c r="AQ757" s="40"/>
      <c r="AU757" s="28"/>
      <c r="AV757" s="28"/>
      <c r="AW757" s="28"/>
    </row>
    <row r="758" spans="43:49">
      <c r="AQ758" s="40"/>
      <c r="AU758" s="28"/>
      <c r="AV758" s="28"/>
      <c r="AW758" s="28"/>
    </row>
    <row r="759" spans="43:49">
      <c r="AQ759" s="40"/>
      <c r="AU759" s="28"/>
      <c r="AV759" s="28"/>
      <c r="AW759" s="28"/>
    </row>
    <row r="760" spans="43:49">
      <c r="AQ760" s="40"/>
      <c r="AU760" s="28"/>
      <c r="AV760" s="28"/>
      <c r="AW760" s="28"/>
    </row>
    <row r="761" spans="43:49">
      <c r="AQ761" s="40"/>
      <c r="AU761" s="28"/>
      <c r="AV761" s="28"/>
      <c r="AW761" s="28"/>
    </row>
    <row r="762" spans="43:49">
      <c r="AQ762" s="40"/>
      <c r="AU762" s="28"/>
      <c r="AV762" s="28"/>
      <c r="AW762" s="28"/>
    </row>
    <row r="763" spans="43:49">
      <c r="AQ763" s="40"/>
      <c r="AU763" s="28"/>
      <c r="AV763" s="28"/>
      <c r="AW763" s="28"/>
    </row>
    <row r="764" spans="43:49">
      <c r="AQ764" s="40"/>
      <c r="AU764" s="28"/>
      <c r="AV764" s="28"/>
      <c r="AW764" s="28"/>
    </row>
    <row r="765" spans="43:49">
      <c r="AQ765" s="40"/>
      <c r="AU765" s="28"/>
      <c r="AV765" s="28"/>
      <c r="AW765" s="28"/>
    </row>
    <row r="766" spans="43:49">
      <c r="AQ766" s="40"/>
      <c r="AU766" s="28"/>
      <c r="AV766" s="28"/>
      <c r="AW766" s="28"/>
    </row>
    <row r="767" spans="43:49">
      <c r="AQ767" s="40"/>
      <c r="AU767" s="28"/>
      <c r="AV767" s="28"/>
      <c r="AW767" s="28"/>
    </row>
    <row r="768" spans="43:49">
      <c r="AQ768" s="40"/>
      <c r="AU768" s="28"/>
      <c r="AV768" s="28"/>
      <c r="AW768" s="28"/>
    </row>
    <row r="769" spans="43:49">
      <c r="AQ769" s="40"/>
      <c r="AU769" s="28"/>
      <c r="AV769" s="28"/>
      <c r="AW769" s="28"/>
    </row>
    <row r="770" spans="43:49">
      <c r="AQ770" s="40"/>
      <c r="AU770" s="28"/>
      <c r="AV770" s="28"/>
      <c r="AW770" s="28"/>
    </row>
    <row r="771" spans="43:49">
      <c r="AQ771" s="40"/>
      <c r="AU771" s="28"/>
      <c r="AV771" s="28"/>
      <c r="AW771" s="28"/>
    </row>
    <row r="772" spans="43:49">
      <c r="AQ772" s="40"/>
      <c r="AU772" s="28"/>
      <c r="AV772" s="28"/>
      <c r="AW772" s="28"/>
    </row>
    <row r="773" spans="43:49">
      <c r="AQ773" s="40"/>
      <c r="AU773" s="28"/>
      <c r="AV773" s="28"/>
      <c r="AW773" s="28"/>
    </row>
    <row r="774" spans="43:49">
      <c r="AQ774" s="40"/>
      <c r="AU774" s="28"/>
      <c r="AV774" s="28"/>
      <c r="AW774" s="28"/>
    </row>
    <row r="775" spans="43:49">
      <c r="AQ775" s="40"/>
      <c r="AU775" s="28"/>
      <c r="AV775" s="28"/>
      <c r="AW775" s="28"/>
    </row>
    <row r="776" spans="43:49">
      <c r="AQ776" s="40"/>
      <c r="AU776" s="28"/>
      <c r="AV776" s="28"/>
      <c r="AW776" s="28"/>
    </row>
    <row r="777" spans="43:49">
      <c r="AQ777" s="40"/>
      <c r="AU777" s="28"/>
      <c r="AV777" s="28"/>
      <c r="AW777" s="28"/>
    </row>
    <row r="778" spans="43:49">
      <c r="AQ778" s="40"/>
      <c r="AU778" s="28"/>
      <c r="AV778" s="28"/>
      <c r="AW778" s="28"/>
    </row>
    <row r="779" spans="43:49">
      <c r="AQ779" s="40"/>
      <c r="AU779" s="28"/>
      <c r="AV779" s="28"/>
      <c r="AW779" s="28"/>
    </row>
    <row r="780" spans="43:49">
      <c r="AQ780" s="40"/>
      <c r="AU780" s="28"/>
      <c r="AV780" s="28"/>
      <c r="AW780" s="28"/>
    </row>
    <row r="781" spans="43:49">
      <c r="AQ781" s="40"/>
      <c r="AU781" s="28"/>
      <c r="AV781" s="28"/>
      <c r="AW781" s="28"/>
    </row>
    <row r="782" spans="43:49">
      <c r="AQ782" s="40"/>
      <c r="AU782" s="28"/>
      <c r="AV782" s="28"/>
      <c r="AW782" s="28"/>
    </row>
    <row r="783" spans="43:49">
      <c r="AQ783" s="40"/>
      <c r="AU783" s="28"/>
      <c r="AV783" s="28"/>
      <c r="AW783" s="28"/>
    </row>
    <row r="784" spans="43:49">
      <c r="AQ784" s="40"/>
      <c r="AU784" s="28"/>
      <c r="AV784" s="28"/>
      <c r="AW784" s="28"/>
    </row>
    <row r="785" spans="43:49">
      <c r="AQ785" s="40"/>
      <c r="AU785" s="28"/>
      <c r="AV785" s="28"/>
      <c r="AW785" s="28"/>
    </row>
    <row r="786" spans="43:49">
      <c r="AQ786" s="40"/>
      <c r="AU786" s="28"/>
      <c r="AV786" s="28"/>
      <c r="AW786" s="28"/>
    </row>
    <row r="787" spans="43:49">
      <c r="AQ787" s="40"/>
      <c r="AU787" s="28"/>
      <c r="AV787" s="28"/>
      <c r="AW787" s="28"/>
    </row>
    <row r="788" spans="43:49">
      <c r="AQ788" s="40"/>
      <c r="AU788" s="28"/>
      <c r="AV788" s="28"/>
      <c r="AW788" s="28"/>
    </row>
    <row r="789" spans="43:49">
      <c r="AQ789" s="40"/>
      <c r="AU789" s="28"/>
      <c r="AV789" s="28"/>
      <c r="AW789" s="28"/>
    </row>
    <row r="790" spans="43:49">
      <c r="AQ790" s="40"/>
      <c r="AU790" s="28"/>
      <c r="AV790" s="28"/>
      <c r="AW790" s="28"/>
    </row>
    <row r="791" spans="43:49">
      <c r="AQ791" s="40"/>
      <c r="AU791" s="28"/>
      <c r="AV791" s="28"/>
      <c r="AW791" s="28"/>
    </row>
    <row r="792" spans="43:49">
      <c r="AQ792" s="40"/>
      <c r="AU792" s="28"/>
      <c r="AV792" s="28"/>
      <c r="AW792" s="28"/>
    </row>
    <row r="793" spans="43:49">
      <c r="AQ793" s="40"/>
      <c r="AU793" s="28"/>
      <c r="AV793" s="28"/>
      <c r="AW793" s="28"/>
    </row>
    <row r="794" spans="43:49">
      <c r="AQ794" s="40"/>
      <c r="AU794" s="28"/>
      <c r="AV794" s="28"/>
      <c r="AW794" s="28"/>
    </row>
    <row r="795" spans="43:49">
      <c r="AQ795" s="40"/>
      <c r="AU795" s="28"/>
      <c r="AV795" s="28"/>
      <c r="AW795" s="28"/>
    </row>
    <row r="796" spans="43:49">
      <c r="AQ796" s="40"/>
      <c r="AU796" s="28"/>
      <c r="AV796" s="28"/>
      <c r="AW796" s="28"/>
    </row>
    <row r="797" spans="43:49">
      <c r="AQ797" s="40"/>
      <c r="AU797" s="28"/>
      <c r="AV797" s="28"/>
      <c r="AW797" s="28"/>
    </row>
    <row r="798" spans="43:49">
      <c r="AQ798" s="40"/>
      <c r="AU798" s="28"/>
      <c r="AV798" s="28"/>
      <c r="AW798" s="28"/>
    </row>
    <row r="799" spans="43:49">
      <c r="AQ799" s="40"/>
      <c r="AU799" s="28"/>
      <c r="AV799" s="28"/>
      <c r="AW799" s="28"/>
    </row>
    <row r="800" spans="43:49">
      <c r="AQ800" s="40"/>
      <c r="AU800" s="28"/>
      <c r="AV800" s="28"/>
      <c r="AW800" s="28"/>
    </row>
    <row r="801" spans="43:49">
      <c r="AQ801" s="40"/>
      <c r="AU801" s="28"/>
      <c r="AV801" s="28"/>
      <c r="AW801" s="28"/>
    </row>
    <row r="802" spans="43:49">
      <c r="AQ802" s="40"/>
      <c r="AU802" s="28"/>
      <c r="AV802" s="28"/>
      <c r="AW802" s="28"/>
    </row>
    <row r="803" spans="43:49">
      <c r="AQ803" s="40"/>
      <c r="AU803" s="28"/>
      <c r="AV803" s="28"/>
      <c r="AW803" s="28"/>
    </row>
    <row r="804" spans="43:49">
      <c r="AQ804" s="40"/>
      <c r="AU804" s="28"/>
      <c r="AV804" s="28"/>
      <c r="AW804" s="28"/>
    </row>
    <row r="805" spans="43:49">
      <c r="AQ805" s="40"/>
      <c r="AU805" s="28"/>
      <c r="AV805" s="28"/>
      <c r="AW805" s="28"/>
    </row>
    <row r="806" spans="43:49">
      <c r="AQ806" s="40"/>
      <c r="AU806" s="28"/>
      <c r="AV806" s="28"/>
      <c r="AW806" s="28"/>
    </row>
    <row r="807" spans="43:49">
      <c r="AQ807" s="40"/>
      <c r="AU807" s="28"/>
      <c r="AV807" s="28"/>
      <c r="AW807" s="28"/>
    </row>
    <row r="808" spans="43:49">
      <c r="AQ808" s="40"/>
      <c r="AU808" s="28"/>
      <c r="AV808" s="28"/>
      <c r="AW808" s="28"/>
    </row>
    <row r="809" spans="43:49">
      <c r="AQ809" s="40"/>
      <c r="AU809" s="28"/>
      <c r="AV809" s="28"/>
      <c r="AW809" s="28"/>
    </row>
    <row r="810" spans="43:49">
      <c r="AQ810" s="40"/>
      <c r="AU810" s="28"/>
      <c r="AV810" s="28"/>
      <c r="AW810" s="28"/>
    </row>
    <row r="811" spans="43:49">
      <c r="AQ811" s="40"/>
      <c r="AU811" s="28"/>
      <c r="AV811" s="28"/>
      <c r="AW811" s="28"/>
    </row>
    <row r="812" spans="43:49">
      <c r="AQ812" s="40"/>
      <c r="AU812" s="28"/>
      <c r="AV812" s="28"/>
      <c r="AW812" s="28"/>
    </row>
    <row r="813" spans="43:49">
      <c r="AQ813" s="40"/>
      <c r="AU813" s="28"/>
      <c r="AV813" s="28"/>
      <c r="AW813" s="28"/>
    </row>
    <row r="814" spans="43:49">
      <c r="AQ814" s="40"/>
      <c r="AU814" s="28"/>
      <c r="AV814" s="28"/>
      <c r="AW814" s="28"/>
    </row>
    <row r="815" spans="43:49">
      <c r="AQ815" s="40"/>
      <c r="AU815" s="28"/>
      <c r="AV815" s="28"/>
      <c r="AW815" s="28"/>
    </row>
    <row r="816" spans="43:49">
      <c r="AQ816" s="40"/>
      <c r="AU816" s="28"/>
      <c r="AV816" s="28"/>
      <c r="AW816" s="28"/>
    </row>
    <row r="817" spans="43:49">
      <c r="AQ817" s="40"/>
      <c r="AU817" s="28"/>
      <c r="AV817" s="28"/>
      <c r="AW817" s="28"/>
    </row>
    <row r="818" spans="43:49">
      <c r="AQ818" s="40"/>
      <c r="AU818" s="28"/>
      <c r="AV818" s="28"/>
      <c r="AW818" s="28"/>
    </row>
    <row r="819" spans="43:49">
      <c r="AQ819" s="40"/>
      <c r="AU819" s="28"/>
      <c r="AV819" s="28"/>
      <c r="AW819" s="28"/>
    </row>
    <row r="820" spans="43:49">
      <c r="AQ820" s="40"/>
      <c r="AU820" s="28"/>
      <c r="AV820" s="28"/>
      <c r="AW820" s="28"/>
    </row>
    <row r="821" spans="43:49">
      <c r="AQ821" s="40"/>
      <c r="AU821" s="28"/>
      <c r="AV821" s="28"/>
      <c r="AW821" s="28"/>
    </row>
    <row r="822" spans="43:49">
      <c r="AQ822" s="40"/>
      <c r="AU822" s="28"/>
      <c r="AV822" s="28"/>
      <c r="AW822" s="28"/>
    </row>
    <row r="823" spans="43:49">
      <c r="AQ823" s="40"/>
      <c r="AU823" s="28"/>
      <c r="AV823" s="28"/>
      <c r="AW823" s="28"/>
    </row>
    <row r="824" spans="43:49">
      <c r="AQ824" s="40"/>
      <c r="AU824" s="28"/>
      <c r="AV824" s="28"/>
      <c r="AW824" s="28"/>
    </row>
    <row r="825" spans="43:49">
      <c r="AQ825" s="40"/>
      <c r="AU825" s="28"/>
      <c r="AV825" s="28"/>
      <c r="AW825" s="28"/>
    </row>
    <row r="826" spans="43:49">
      <c r="AQ826" s="40"/>
      <c r="AU826" s="28"/>
      <c r="AV826" s="28"/>
      <c r="AW826" s="28"/>
    </row>
    <row r="827" spans="43:49">
      <c r="AQ827" s="40"/>
      <c r="AU827" s="28"/>
      <c r="AV827" s="28"/>
      <c r="AW827" s="28"/>
    </row>
    <row r="828" spans="43:49">
      <c r="AQ828" s="40"/>
      <c r="AU828" s="28"/>
      <c r="AV828" s="28"/>
      <c r="AW828" s="28"/>
    </row>
    <row r="829" spans="43:49">
      <c r="AQ829" s="40"/>
      <c r="AU829" s="28"/>
      <c r="AV829" s="28"/>
      <c r="AW829" s="28"/>
    </row>
    <row r="830" spans="43:49">
      <c r="AQ830" s="40"/>
      <c r="AU830" s="28"/>
      <c r="AV830" s="28"/>
      <c r="AW830" s="28"/>
    </row>
    <row r="831" spans="43:49">
      <c r="AQ831" s="40"/>
      <c r="AU831" s="28"/>
      <c r="AV831" s="28"/>
      <c r="AW831" s="28"/>
    </row>
    <row r="832" spans="43:49">
      <c r="AQ832" s="40"/>
      <c r="AU832" s="28"/>
      <c r="AV832" s="28"/>
      <c r="AW832" s="28"/>
    </row>
    <row r="833" spans="43:49">
      <c r="AQ833" s="40"/>
      <c r="AU833" s="28"/>
      <c r="AV833" s="28"/>
      <c r="AW833" s="28"/>
    </row>
    <row r="834" spans="43:49">
      <c r="AQ834" s="40"/>
      <c r="AU834" s="28"/>
      <c r="AV834" s="28"/>
      <c r="AW834" s="28"/>
    </row>
    <row r="835" spans="43:49">
      <c r="AQ835" s="40"/>
      <c r="AU835" s="28"/>
      <c r="AV835" s="28"/>
      <c r="AW835" s="28"/>
    </row>
    <row r="836" spans="43:49">
      <c r="AQ836" s="40"/>
      <c r="AU836" s="28"/>
      <c r="AV836" s="28"/>
      <c r="AW836" s="28"/>
    </row>
    <row r="837" spans="43:49">
      <c r="AQ837" s="40"/>
      <c r="AU837" s="28"/>
      <c r="AV837" s="28"/>
      <c r="AW837" s="28"/>
    </row>
    <row r="838" spans="43:49">
      <c r="AQ838" s="40"/>
      <c r="AU838" s="28"/>
      <c r="AV838" s="28"/>
      <c r="AW838" s="28"/>
    </row>
    <row r="839" spans="43:49">
      <c r="AQ839" s="40"/>
      <c r="AU839" s="28"/>
      <c r="AV839" s="28"/>
      <c r="AW839" s="28"/>
    </row>
    <row r="840" spans="43:49">
      <c r="AQ840" s="40"/>
      <c r="AU840" s="28"/>
      <c r="AV840" s="28"/>
      <c r="AW840" s="28"/>
    </row>
    <row r="841" spans="43:49">
      <c r="AQ841" s="40"/>
      <c r="AU841" s="28"/>
      <c r="AV841" s="28"/>
      <c r="AW841" s="28"/>
    </row>
    <row r="842" spans="43:49">
      <c r="AQ842" s="40"/>
      <c r="AU842" s="28"/>
      <c r="AV842" s="28"/>
      <c r="AW842" s="28"/>
    </row>
    <row r="843" spans="43:49">
      <c r="AQ843" s="40"/>
      <c r="AU843" s="28"/>
      <c r="AV843" s="28"/>
      <c r="AW843" s="28"/>
    </row>
    <row r="844" spans="43:49">
      <c r="AQ844" s="40"/>
      <c r="AU844" s="28"/>
      <c r="AV844" s="28"/>
      <c r="AW844" s="28"/>
    </row>
    <row r="845" spans="43:49">
      <c r="AQ845" s="40"/>
      <c r="AU845" s="28"/>
      <c r="AV845" s="28"/>
      <c r="AW845" s="28"/>
    </row>
    <row r="846" spans="43:49">
      <c r="AQ846" s="40"/>
      <c r="AU846" s="28"/>
      <c r="AV846" s="28"/>
      <c r="AW846" s="28"/>
    </row>
    <row r="847" spans="43:49">
      <c r="AQ847" s="40"/>
      <c r="AU847" s="28"/>
      <c r="AV847" s="28"/>
      <c r="AW847" s="28"/>
    </row>
    <row r="848" spans="43:49">
      <c r="AQ848" s="40"/>
      <c r="AU848" s="28"/>
      <c r="AV848" s="28"/>
      <c r="AW848" s="28"/>
    </row>
    <row r="849" spans="43:49">
      <c r="AQ849" s="40"/>
      <c r="AU849" s="28"/>
      <c r="AV849" s="28"/>
      <c r="AW849" s="28"/>
    </row>
    <row r="850" spans="43:49">
      <c r="AQ850" s="40"/>
      <c r="AU850" s="28"/>
      <c r="AV850" s="28"/>
      <c r="AW850" s="28"/>
    </row>
    <row r="851" spans="43:49">
      <c r="AQ851" s="40"/>
      <c r="AU851" s="28"/>
      <c r="AV851" s="28"/>
      <c r="AW851" s="28"/>
    </row>
    <row r="852" spans="43:49">
      <c r="AQ852" s="40"/>
      <c r="AU852" s="28"/>
      <c r="AV852" s="28"/>
      <c r="AW852" s="28"/>
    </row>
    <row r="853" spans="43:49">
      <c r="AQ853" s="40"/>
      <c r="AU853" s="28"/>
      <c r="AV853" s="28"/>
      <c r="AW853" s="28"/>
    </row>
    <row r="854" spans="43:49">
      <c r="AQ854" s="40"/>
      <c r="AU854" s="28"/>
      <c r="AV854" s="28"/>
      <c r="AW854" s="28"/>
    </row>
    <row r="855" spans="43:49">
      <c r="AQ855" s="40"/>
      <c r="AU855" s="28"/>
      <c r="AV855" s="28"/>
      <c r="AW855" s="28"/>
    </row>
    <row r="856" spans="43:49">
      <c r="AQ856" s="40"/>
      <c r="AU856" s="28"/>
      <c r="AV856" s="28"/>
      <c r="AW856" s="28"/>
    </row>
    <row r="857" spans="43:49">
      <c r="AQ857" s="40"/>
      <c r="AU857" s="28"/>
      <c r="AV857" s="28"/>
      <c r="AW857" s="28"/>
    </row>
    <row r="858" spans="43:49">
      <c r="AQ858" s="40"/>
      <c r="AU858" s="28"/>
      <c r="AV858" s="28"/>
      <c r="AW858" s="28"/>
    </row>
    <row r="859" spans="43:49">
      <c r="AQ859" s="40"/>
      <c r="AU859" s="28"/>
      <c r="AV859" s="28"/>
      <c r="AW859" s="28"/>
    </row>
    <row r="860" spans="43:49">
      <c r="AQ860" s="40"/>
      <c r="AU860" s="28"/>
      <c r="AV860" s="28"/>
      <c r="AW860" s="28"/>
    </row>
    <row r="861" spans="43:49">
      <c r="AQ861" s="40"/>
      <c r="AU861" s="28"/>
      <c r="AV861" s="28"/>
      <c r="AW861" s="28"/>
    </row>
    <row r="862" spans="43:49">
      <c r="AQ862" s="40"/>
      <c r="AU862" s="28"/>
      <c r="AV862" s="28"/>
      <c r="AW862" s="28"/>
    </row>
    <row r="863" spans="43:49">
      <c r="AQ863" s="40"/>
      <c r="AU863" s="28"/>
      <c r="AV863" s="28"/>
      <c r="AW863" s="28"/>
    </row>
    <row r="864" spans="43:49">
      <c r="AQ864" s="40"/>
      <c r="AU864" s="28"/>
      <c r="AV864" s="28"/>
      <c r="AW864" s="28"/>
    </row>
    <row r="865" spans="43:49">
      <c r="AQ865" s="40"/>
      <c r="AU865" s="28"/>
      <c r="AV865" s="28"/>
      <c r="AW865" s="28"/>
    </row>
    <row r="866" spans="43:49">
      <c r="AQ866" s="40"/>
      <c r="AU866" s="28"/>
      <c r="AV866" s="28"/>
      <c r="AW866" s="28"/>
    </row>
    <row r="867" spans="43:49">
      <c r="AQ867" s="40"/>
      <c r="AU867" s="28"/>
      <c r="AV867" s="28"/>
      <c r="AW867" s="28"/>
    </row>
    <row r="868" spans="43:49">
      <c r="AQ868" s="40"/>
      <c r="AU868" s="28"/>
      <c r="AV868" s="28"/>
      <c r="AW868" s="28"/>
    </row>
    <row r="869" spans="43:49">
      <c r="AQ869" s="40"/>
      <c r="AU869" s="28"/>
      <c r="AV869" s="28"/>
      <c r="AW869" s="28"/>
    </row>
    <row r="870" spans="43:49">
      <c r="AQ870" s="40"/>
      <c r="AU870" s="28"/>
      <c r="AV870" s="28"/>
      <c r="AW870" s="28"/>
    </row>
    <row r="871" spans="43:49">
      <c r="AQ871" s="40"/>
      <c r="AU871" s="28"/>
      <c r="AV871" s="28"/>
      <c r="AW871" s="28"/>
    </row>
    <row r="872" spans="43:49">
      <c r="AQ872" s="40"/>
      <c r="AU872" s="28"/>
      <c r="AV872" s="28"/>
      <c r="AW872" s="28"/>
    </row>
    <row r="873" spans="43:49">
      <c r="AQ873" s="40"/>
      <c r="AU873" s="28"/>
      <c r="AV873" s="28"/>
      <c r="AW873" s="28"/>
    </row>
    <row r="874" spans="43:49">
      <c r="AQ874" s="40"/>
      <c r="AU874" s="28"/>
      <c r="AV874" s="28"/>
      <c r="AW874" s="28"/>
    </row>
    <row r="875" spans="43:49">
      <c r="AQ875" s="40"/>
      <c r="AU875" s="28"/>
      <c r="AV875" s="28"/>
      <c r="AW875" s="28"/>
    </row>
    <row r="876" spans="43:49">
      <c r="AQ876" s="40"/>
      <c r="AU876" s="28"/>
      <c r="AV876" s="28"/>
      <c r="AW876" s="28"/>
    </row>
    <row r="877" spans="43:49">
      <c r="AQ877" s="40"/>
      <c r="AU877" s="28"/>
      <c r="AV877" s="28"/>
      <c r="AW877" s="28"/>
    </row>
    <row r="878" spans="43:49">
      <c r="AQ878" s="40"/>
      <c r="AU878" s="28"/>
      <c r="AV878" s="28"/>
      <c r="AW878" s="28"/>
    </row>
    <row r="879" spans="43:49">
      <c r="AQ879" s="40"/>
      <c r="AU879" s="28"/>
      <c r="AV879" s="28"/>
      <c r="AW879" s="28"/>
    </row>
    <row r="880" spans="43:49">
      <c r="AQ880" s="40"/>
      <c r="AU880" s="28"/>
      <c r="AV880" s="28"/>
      <c r="AW880" s="28"/>
    </row>
    <row r="881" spans="43:49">
      <c r="AQ881" s="40"/>
      <c r="AU881" s="28"/>
      <c r="AV881" s="28"/>
      <c r="AW881" s="28"/>
    </row>
    <row r="882" spans="43:49">
      <c r="AQ882" s="40"/>
      <c r="AU882" s="28"/>
      <c r="AV882" s="28"/>
      <c r="AW882" s="28"/>
    </row>
    <row r="883" spans="43:49">
      <c r="AQ883" s="40"/>
      <c r="AU883" s="28"/>
      <c r="AV883" s="28"/>
      <c r="AW883" s="28"/>
    </row>
    <row r="884" spans="43:49">
      <c r="AQ884" s="40"/>
      <c r="AU884" s="28"/>
      <c r="AV884" s="28"/>
      <c r="AW884" s="28"/>
    </row>
    <row r="885" spans="43:49">
      <c r="AQ885" s="40"/>
      <c r="AU885" s="28"/>
      <c r="AV885" s="28"/>
      <c r="AW885" s="28"/>
    </row>
    <row r="886" spans="43:49">
      <c r="AQ886" s="40"/>
      <c r="AU886" s="28"/>
      <c r="AV886" s="28"/>
      <c r="AW886" s="28"/>
    </row>
    <row r="887" spans="43:49">
      <c r="AQ887" s="40"/>
      <c r="AU887" s="28"/>
      <c r="AV887" s="28"/>
      <c r="AW887" s="28"/>
    </row>
    <row r="888" spans="43:49">
      <c r="AQ888" s="40"/>
      <c r="AU888" s="28"/>
      <c r="AV888" s="28"/>
      <c r="AW888" s="28"/>
    </row>
    <row r="889" spans="43:49">
      <c r="AQ889" s="40"/>
      <c r="AU889" s="28"/>
      <c r="AV889" s="28"/>
      <c r="AW889" s="28"/>
    </row>
    <row r="890" spans="43:49">
      <c r="AQ890" s="40"/>
      <c r="AU890" s="28"/>
      <c r="AV890" s="28"/>
      <c r="AW890" s="28"/>
    </row>
    <row r="891" spans="43:49">
      <c r="AQ891" s="40"/>
      <c r="AU891" s="28"/>
      <c r="AV891" s="28"/>
      <c r="AW891" s="28"/>
    </row>
    <row r="892" spans="43:49">
      <c r="AQ892" s="40"/>
      <c r="AU892" s="28"/>
      <c r="AV892" s="28"/>
      <c r="AW892" s="28"/>
    </row>
    <row r="893" spans="43:49">
      <c r="AQ893" s="40"/>
      <c r="AU893" s="28"/>
      <c r="AV893" s="28"/>
      <c r="AW893" s="28"/>
    </row>
    <row r="894" spans="43:49">
      <c r="AQ894" s="40"/>
      <c r="AU894" s="28"/>
      <c r="AV894" s="28"/>
      <c r="AW894" s="28"/>
    </row>
    <row r="895" spans="43:49">
      <c r="AQ895" s="40"/>
      <c r="AU895" s="28"/>
      <c r="AV895" s="28"/>
      <c r="AW895" s="28"/>
    </row>
    <row r="896" spans="43:49">
      <c r="AQ896" s="40"/>
      <c r="AU896" s="28"/>
      <c r="AV896" s="28"/>
      <c r="AW896" s="28"/>
    </row>
    <row r="897" spans="43:49">
      <c r="AQ897" s="40"/>
      <c r="AU897" s="28"/>
      <c r="AV897" s="28"/>
      <c r="AW897" s="28"/>
    </row>
    <row r="898" spans="43:49">
      <c r="AQ898" s="40"/>
      <c r="AU898" s="28"/>
      <c r="AV898" s="28"/>
      <c r="AW898" s="28"/>
    </row>
    <row r="899" spans="43:49">
      <c r="AQ899" s="40"/>
      <c r="AU899" s="28"/>
      <c r="AV899" s="28"/>
      <c r="AW899" s="28"/>
    </row>
    <row r="900" spans="43:49">
      <c r="AQ900" s="40"/>
      <c r="AU900" s="28"/>
      <c r="AV900" s="28"/>
      <c r="AW900" s="28"/>
    </row>
    <row r="901" spans="43:49">
      <c r="AQ901" s="40"/>
      <c r="AU901" s="28"/>
      <c r="AV901" s="28"/>
      <c r="AW901" s="28"/>
    </row>
    <row r="902" spans="43:49">
      <c r="AQ902" s="40"/>
      <c r="AU902" s="28"/>
      <c r="AV902" s="28"/>
      <c r="AW902" s="28"/>
    </row>
    <row r="903" spans="43:49">
      <c r="AQ903" s="40"/>
      <c r="AU903" s="28"/>
      <c r="AV903" s="28"/>
      <c r="AW903" s="28"/>
    </row>
    <row r="904" spans="43:49">
      <c r="AQ904" s="40"/>
      <c r="AU904" s="28"/>
      <c r="AV904" s="28"/>
      <c r="AW904" s="28"/>
    </row>
    <row r="905" spans="43:49">
      <c r="AQ905" s="40"/>
      <c r="AU905" s="28"/>
      <c r="AV905" s="28"/>
      <c r="AW905" s="28"/>
    </row>
    <row r="906" spans="43:49">
      <c r="AQ906" s="40"/>
      <c r="AU906" s="28"/>
      <c r="AV906" s="28"/>
      <c r="AW906" s="28"/>
    </row>
    <row r="907" spans="43:49">
      <c r="AQ907" s="40"/>
      <c r="AU907" s="28"/>
      <c r="AV907" s="28"/>
      <c r="AW907" s="28"/>
    </row>
    <row r="908" spans="43:49">
      <c r="AQ908" s="40"/>
      <c r="AU908" s="28"/>
      <c r="AV908" s="28"/>
      <c r="AW908" s="28"/>
    </row>
    <row r="909" spans="43:49">
      <c r="AQ909" s="40"/>
      <c r="AU909" s="28"/>
      <c r="AV909" s="28"/>
      <c r="AW909" s="28"/>
    </row>
    <row r="910" spans="43:49">
      <c r="AQ910" s="40"/>
      <c r="AU910" s="28"/>
      <c r="AV910" s="28"/>
      <c r="AW910" s="28"/>
    </row>
    <row r="911" spans="43:49">
      <c r="AQ911" s="40"/>
      <c r="AU911" s="28"/>
      <c r="AV911" s="28"/>
      <c r="AW911" s="28"/>
    </row>
    <row r="912" spans="43:49">
      <c r="AQ912" s="40"/>
      <c r="AU912" s="28"/>
      <c r="AV912" s="28"/>
      <c r="AW912" s="28"/>
    </row>
    <row r="913" spans="43:49">
      <c r="AQ913" s="40"/>
      <c r="AU913" s="28"/>
      <c r="AV913" s="28"/>
      <c r="AW913" s="28"/>
    </row>
    <row r="914" spans="43:49">
      <c r="AQ914" s="40"/>
      <c r="AU914" s="28"/>
      <c r="AV914" s="28"/>
      <c r="AW914" s="28"/>
    </row>
    <row r="915" spans="43:49">
      <c r="AQ915" s="40"/>
      <c r="AU915" s="28"/>
      <c r="AV915" s="28"/>
      <c r="AW915" s="28"/>
    </row>
    <row r="916" spans="43:49">
      <c r="AQ916" s="40"/>
      <c r="AU916" s="28"/>
      <c r="AV916" s="28"/>
      <c r="AW916" s="28"/>
    </row>
    <row r="917" spans="43:49">
      <c r="AQ917" s="40"/>
      <c r="AU917" s="28"/>
      <c r="AV917" s="28"/>
      <c r="AW917" s="28"/>
    </row>
    <row r="918" spans="43:49">
      <c r="AQ918" s="40"/>
      <c r="AU918" s="28"/>
      <c r="AV918" s="28"/>
      <c r="AW918" s="28"/>
    </row>
    <row r="919" spans="43:49">
      <c r="AQ919" s="40"/>
      <c r="AU919" s="28"/>
      <c r="AV919" s="28"/>
      <c r="AW919" s="28"/>
    </row>
    <row r="920" spans="43:49">
      <c r="AQ920" s="40"/>
      <c r="AU920" s="28"/>
      <c r="AV920" s="28"/>
      <c r="AW920" s="28"/>
    </row>
    <row r="921" spans="43:49">
      <c r="AQ921" s="40"/>
      <c r="AU921" s="28"/>
      <c r="AV921" s="28"/>
      <c r="AW921" s="28"/>
    </row>
    <row r="922" spans="43:49">
      <c r="AQ922" s="40"/>
      <c r="AU922" s="28"/>
      <c r="AV922" s="28"/>
      <c r="AW922" s="28"/>
    </row>
    <row r="923" spans="43:49">
      <c r="AQ923" s="40"/>
      <c r="AU923" s="28"/>
      <c r="AV923" s="28"/>
      <c r="AW923" s="28"/>
    </row>
    <row r="924" spans="43:49">
      <c r="AQ924" s="40"/>
      <c r="AU924" s="28"/>
      <c r="AV924" s="28"/>
      <c r="AW924" s="28"/>
    </row>
    <row r="925" spans="43:49">
      <c r="AQ925" s="40"/>
      <c r="AU925" s="28"/>
      <c r="AV925" s="28"/>
      <c r="AW925" s="28"/>
    </row>
    <row r="926" spans="43:49">
      <c r="AQ926" s="40"/>
      <c r="AU926" s="28"/>
      <c r="AV926" s="28"/>
      <c r="AW926" s="28"/>
    </row>
    <row r="927" spans="43:49">
      <c r="AQ927" s="40"/>
      <c r="AU927" s="28"/>
      <c r="AV927" s="28"/>
      <c r="AW927" s="28"/>
    </row>
    <row r="928" spans="43:49">
      <c r="AQ928" s="40"/>
      <c r="AU928" s="28"/>
      <c r="AV928" s="28"/>
      <c r="AW928" s="28"/>
    </row>
    <row r="929" spans="43:49">
      <c r="AQ929" s="40"/>
      <c r="AU929" s="28"/>
      <c r="AV929" s="28"/>
      <c r="AW929" s="28"/>
    </row>
    <row r="930" spans="43:49">
      <c r="AQ930" s="40"/>
      <c r="AU930" s="28"/>
      <c r="AV930" s="28"/>
      <c r="AW930" s="28"/>
    </row>
    <row r="931" spans="43:49">
      <c r="AQ931" s="40"/>
      <c r="AU931" s="28"/>
      <c r="AV931" s="28"/>
      <c r="AW931" s="28"/>
    </row>
    <row r="932" spans="43:49">
      <c r="AQ932" s="40"/>
      <c r="AU932" s="28"/>
      <c r="AV932" s="28"/>
      <c r="AW932" s="28"/>
    </row>
    <row r="933" spans="43:49">
      <c r="AQ933" s="40"/>
      <c r="AU933" s="28"/>
      <c r="AV933" s="28"/>
      <c r="AW933" s="28"/>
    </row>
    <row r="934" spans="43:49">
      <c r="AQ934" s="40"/>
      <c r="AU934" s="28"/>
      <c r="AV934" s="28"/>
      <c r="AW934" s="28"/>
    </row>
    <row r="935" spans="43:49">
      <c r="AQ935" s="40"/>
      <c r="AU935" s="28"/>
      <c r="AV935" s="28"/>
      <c r="AW935" s="28"/>
    </row>
    <row r="936" spans="43:49">
      <c r="AQ936" s="40"/>
      <c r="AU936" s="28"/>
      <c r="AV936" s="28"/>
      <c r="AW936" s="28"/>
    </row>
    <row r="937" spans="43:49">
      <c r="AQ937" s="40"/>
      <c r="AU937" s="28"/>
      <c r="AV937" s="28"/>
      <c r="AW937" s="28"/>
    </row>
    <row r="938" spans="43:49">
      <c r="AQ938" s="40"/>
      <c r="AU938" s="28"/>
      <c r="AV938" s="28"/>
      <c r="AW938" s="28"/>
    </row>
    <row r="939" spans="43:49">
      <c r="AQ939" s="40"/>
      <c r="AU939" s="28"/>
      <c r="AV939" s="28"/>
      <c r="AW939" s="28"/>
    </row>
    <row r="940" spans="43:49">
      <c r="AQ940" s="40"/>
      <c r="AU940" s="28"/>
      <c r="AV940" s="28"/>
      <c r="AW940" s="28"/>
    </row>
    <row r="941" spans="43:49">
      <c r="AQ941" s="40"/>
      <c r="AU941" s="28"/>
      <c r="AV941" s="28"/>
      <c r="AW941" s="28"/>
    </row>
    <row r="942" spans="43:49">
      <c r="AQ942" s="40"/>
      <c r="AU942" s="28"/>
      <c r="AV942" s="28"/>
      <c r="AW942" s="28"/>
    </row>
    <row r="943" spans="43:49">
      <c r="AQ943" s="40"/>
      <c r="AU943" s="28"/>
      <c r="AV943" s="28"/>
      <c r="AW943" s="28"/>
    </row>
    <row r="944" spans="43:49">
      <c r="AQ944" s="40"/>
      <c r="AU944" s="28"/>
      <c r="AV944" s="28"/>
      <c r="AW944" s="28"/>
    </row>
    <row r="945" spans="43:49">
      <c r="AQ945" s="40"/>
      <c r="AU945" s="28"/>
      <c r="AV945" s="28"/>
      <c r="AW945" s="28"/>
    </row>
    <row r="946" spans="43:49">
      <c r="AQ946" s="40"/>
      <c r="AU946" s="28"/>
      <c r="AV946" s="28"/>
      <c r="AW946" s="28"/>
    </row>
    <row r="947" spans="43:49">
      <c r="AQ947" s="40"/>
      <c r="AU947" s="28"/>
      <c r="AV947" s="28"/>
      <c r="AW947" s="28"/>
    </row>
    <row r="948" spans="43:49">
      <c r="AQ948" s="40"/>
      <c r="AU948" s="28"/>
      <c r="AV948" s="28"/>
      <c r="AW948" s="28"/>
    </row>
    <row r="949" spans="43:49">
      <c r="AQ949" s="40"/>
      <c r="AU949" s="28"/>
      <c r="AV949" s="28"/>
      <c r="AW949" s="28"/>
    </row>
    <row r="950" spans="43:49">
      <c r="AQ950" s="40"/>
      <c r="AU950" s="28"/>
      <c r="AV950" s="28"/>
      <c r="AW950" s="28"/>
    </row>
    <row r="951" spans="43:49">
      <c r="AQ951" s="40"/>
      <c r="AU951" s="28"/>
      <c r="AV951" s="28"/>
      <c r="AW951" s="28"/>
    </row>
    <row r="952" spans="43:49">
      <c r="AQ952" s="40"/>
      <c r="AU952" s="28"/>
      <c r="AV952" s="28"/>
      <c r="AW952" s="28"/>
    </row>
    <row r="953" spans="43:49">
      <c r="AQ953" s="40"/>
      <c r="AU953" s="28"/>
      <c r="AV953" s="28"/>
      <c r="AW953" s="28"/>
    </row>
    <row r="954" spans="43:49">
      <c r="AQ954" s="40"/>
      <c r="AU954" s="28"/>
      <c r="AV954" s="28"/>
      <c r="AW954" s="28"/>
    </row>
    <row r="955" spans="43:49">
      <c r="AQ955" s="40"/>
      <c r="AU955" s="28"/>
      <c r="AV955" s="28"/>
      <c r="AW955" s="28"/>
    </row>
    <row r="956" spans="43:49">
      <c r="AQ956" s="40"/>
      <c r="AU956" s="28"/>
      <c r="AV956" s="28"/>
      <c r="AW956" s="28"/>
    </row>
    <row r="957" spans="43:49">
      <c r="AQ957" s="40"/>
      <c r="AU957" s="28"/>
      <c r="AV957" s="28"/>
      <c r="AW957" s="28"/>
    </row>
    <row r="958" spans="43:49">
      <c r="AQ958" s="40"/>
      <c r="AU958" s="28"/>
      <c r="AV958" s="28"/>
      <c r="AW958" s="28"/>
    </row>
    <row r="959" spans="43:49">
      <c r="AQ959" s="40"/>
      <c r="AU959" s="28"/>
      <c r="AV959" s="28"/>
      <c r="AW959" s="28"/>
    </row>
    <row r="960" spans="43:49">
      <c r="AQ960" s="40"/>
      <c r="AU960" s="28"/>
      <c r="AV960" s="28"/>
      <c r="AW960" s="28"/>
    </row>
    <row r="961" spans="43:49">
      <c r="AQ961" s="40"/>
      <c r="AU961" s="28"/>
      <c r="AV961" s="28"/>
      <c r="AW961" s="28"/>
    </row>
    <row r="962" spans="43:49">
      <c r="AQ962" s="40"/>
      <c r="AU962" s="28"/>
      <c r="AV962" s="28"/>
      <c r="AW962" s="28"/>
    </row>
    <row r="963" spans="43:49">
      <c r="AQ963" s="40"/>
      <c r="AU963" s="28"/>
      <c r="AV963" s="28"/>
      <c r="AW963" s="28"/>
    </row>
    <row r="964" spans="43:49">
      <c r="AQ964" s="40"/>
      <c r="AU964" s="28"/>
      <c r="AV964" s="28"/>
      <c r="AW964" s="28"/>
    </row>
  </sheetData>
  <mergeCells count="2">
    <mergeCell ref="AQ4:AS4"/>
    <mergeCell ref="L8:Q8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8B316D60-E9EE-431F-9929-D5300CE11F49}">
            <xm:f>'SPESE MENSILI MACCHINA'!$C$1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AQ337:AQ964 AQ6:AQ334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3C03-ECC3-40E1-96EC-2DE107D17184}">
  <sheetPr codeName="Foglio5">
    <pageSetUpPr fitToPage="1"/>
  </sheetPr>
  <dimension ref="B2:AT267"/>
  <sheetViews>
    <sheetView showGridLines="0" zoomScale="85" zoomScaleNormal="85" workbookViewId="0">
      <pane xSplit="3" ySplit="2" topLeftCell="P54" activePane="bottomRight" state="frozen"/>
      <selection pane="topRight" activeCell="C1" sqref="C1"/>
      <selection pane="bottomLeft" activeCell="A13" sqref="A13"/>
      <selection pane="bottomRight" activeCell="S102" sqref="S102"/>
    </sheetView>
  </sheetViews>
  <sheetFormatPr defaultColWidth="9.140625" defaultRowHeight="15" outlineLevelRow="1" outlineLevelCol="1"/>
  <cols>
    <col min="1" max="1" width="3.28515625" style="9" customWidth="1"/>
    <col min="2" max="2" width="36.85546875" style="9" customWidth="1"/>
    <col min="3" max="3" width="11.28515625" style="9" bestFit="1" customWidth="1"/>
    <col min="4" max="4" width="33.140625" style="9" hidden="1" customWidth="1"/>
    <col min="5" max="5" width="3" style="9" hidden="1" customWidth="1"/>
    <col min="6" max="6" width="2.85546875" style="9" customWidth="1"/>
    <col min="7" max="7" width="27.85546875" style="9" bestFit="1" customWidth="1"/>
    <col min="8" max="12" width="20.7109375" style="9" customWidth="1"/>
    <col min="13" max="13" width="3.42578125" style="9" customWidth="1"/>
    <col min="14" max="18" width="20.7109375" style="9" customWidth="1"/>
    <col min="19" max="19" width="20.7109375" style="76" customWidth="1"/>
    <col min="20" max="21" width="20.7109375" style="9" customWidth="1"/>
    <col min="22" max="22" width="22.7109375" style="9" bestFit="1" customWidth="1"/>
    <col min="23" max="23" width="27.85546875" style="9" bestFit="1" customWidth="1" outlineLevel="1"/>
    <col min="24" max="46" width="14.140625" style="9" customWidth="1" outlineLevel="1"/>
    <col min="47" max="48" width="14.140625" style="9" customWidth="1"/>
    <col min="49" max="103" width="13.7109375" style="9" bestFit="1" customWidth="1"/>
    <col min="104" max="246" width="12.5703125" style="9" bestFit="1" customWidth="1"/>
    <col min="247" max="260" width="11.5703125" style="9" bestFit="1" customWidth="1"/>
    <col min="261" max="261" width="9.7109375" style="9" bestFit="1" customWidth="1"/>
    <col min="262" max="262" width="8.7109375" style="9" bestFit="1" customWidth="1"/>
    <col min="263" max="16384" width="9.140625" style="9"/>
  </cols>
  <sheetData>
    <row r="2" spans="2:24" ht="21">
      <c r="B2" s="90">
        <f>BILANCIO!B2</f>
        <v>46296</v>
      </c>
      <c r="R2" s="639"/>
      <c r="W2" s="1471"/>
      <c r="X2" s="1471"/>
    </row>
    <row r="3" spans="2:24">
      <c r="F3" s="21"/>
      <c r="G3" s="37"/>
      <c r="H3" s="37"/>
      <c r="J3" s="37"/>
      <c r="K3" s="31"/>
    </row>
    <row r="4" spans="2:24" ht="36.75" customHeight="1">
      <c r="B4" s="764" t="s">
        <v>807</v>
      </c>
      <c r="C4" s="788">
        <f>L10+V10</f>
        <v>1155.1110000000001</v>
      </c>
      <c r="D4" s="923"/>
      <c r="E4" s="923"/>
      <c r="G4" s="958" t="s">
        <v>808</v>
      </c>
      <c r="H4" s="762" t="s">
        <v>809</v>
      </c>
      <c r="I4" s="763" t="s">
        <v>809</v>
      </c>
      <c r="J4" s="764" t="s">
        <v>723</v>
      </c>
      <c r="K4" s="763" t="s">
        <v>810</v>
      </c>
      <c r="L4" s="1473" t="s">
        <v>794</v>
      </c>
      <c r="M4" s="770"/>
      <c r="N4" s="762"/>
      <c r="O4" s="763" t="s">
        <v>99</v>
      </c>
      <c r="P4" s="762"/>
      <c r="Q4" s="763" t="s">
        <v>99</v>
      </c>
      <c r="R4" s="764"/>
      <c r="S4" s="763" t="s">
        <v>811</v>
      </c>
      <c r="T4" s="762"/>
      <c r="U4" s="772" t="s">
        <v>99</v>
      </c>
      <c r="V4" s="1473" t="s">
        <v>794</v>
      </c>
      <c r="W4" s="958" t="s">
        <v>808</v>
      </c>
    </row>
    <row r="5" spans="2:24" ht="36.75" customHeight="1">
      <c r="B5" s="764" t="s">
        <v>812</v>
      </c>
      <c r="C5" s="788">
        <f>H10+I10</f>
        <v>674.21100000000001</v>
      </c>
      <c r="D5" s="923"/>
      <c r="E5" s="923"/>
      <c r="G5" s="958" t="s">
        <v>813</v>
      </c>
      <c r="H5" s="762" t="s">
        <v>781</v>
      </c>
      <c r="I5" s="763" t="s">
        <v>781</v>
      </c>
      <c r="J5" s="764" t="s">
        <v>814</v>
      </c>
      <c r="K5" s="763" t="s">
        <v>814</v>
      </c>
      <c r="L5" s="1474"/>
      <c r="M5" s="770"/>
      <c r="N5" s="764"/>
      <c r="O5" s="763" t="s">
        <v>815</v>
      </c>
      <c r="P5" s="764"/>
      <c r="Q5" s="763" t="s">
        <v>815</v>
      </c>
      <c r="R5" s="764"/>
      <c r="S5" s="763" t="s">
        <v>815</v>
      </c>
      <c r="T5" s="762"/>
      <c r="U5" s="772" t="s">
        <v>815</v>
      </c>
      <c r="V5" s="1474"/>
      <c r="W5" s="958" t="s">
        <v>813</v>
      </c>
    </row>
    <row r="6" spans="2:24" s="91" customFormat="1" ht="39" customHeight="1">
      <c r="B6" s="764" t="s">
        <v>816</v>
      </c>
      <c r="C6" s="789">
        <f>J10+K10</f>
        <v>268.5</v>
      </c>
      <c r="D6" s="924"/>
      <c r="E6" s="924"/>
      <c r="G6" s="959" t="s">
        <v>817</v>
      </c>
      <c r="H6" s="765" t="s">
        <v>818</v>
      </c>
      <c r="I6" s="766" t="s">
        <v>819</v>
      </c>
      <c r="J6" s="767" t="s">
        <v>820</v>
      </c>
      <c r="K6" s="766" t="s">
        <v>821</v>
      </c>
      <c r="L6" s="1475"/>
      <c r="M6" s="771"/>
      <c r="N6" s="767"/>
      <c r="O6" s="766" t="s">
        <v>1317</v>
      </c>
      <c r="P6" s="767"/>
      <c r="Q6" s="766" t="s">
        <v>1356</v>
      </c>
      <c r="R6" s="767"/>
      <c r="S6" s="766" t="s">
        <v>287</v>
      </c>
      <c r="T6" s="765"/>
      <c r="U6" s="773" t="s">
        <v>1344</v>
      </c>
      <c r="V6" s="1475"/>
      <c r="W6" s="959" t="s">
        <v>817</v>
      </c>
    </row>
    <row r="7" spans="2:24">
      <c r="B7" s="787" t="s">
        <v>822</v>
      </c>
      <c r="C7" s="788">
        <f>V10</f>
        <v>212.4</v>
      </c>
      <c r="D7" s="923"/>
      <c r="E7" s="923"/>
      <c r="G7" s="751" t="s">
        <v>86</v>
      </c>
      <c r="H7" s="753">
        <v>629.71100000000001</v>
      </c>
      <c r="I7" s="729">
        <v>44.5</v>
      </c>
      <c r="J7" s="728">
        <v>183</v>
      </c>
      <c r="K7" s="729">
        <v>80.5</v>
      </c>
      <c r="L7" s="749">
        <f>SUM(H7:K7)</f>
        <v>937.71100000000001</v>
      </c>
      <c r="M7" s="770"/>
      <c r="N7" s="753"/>
      <c r="O7" s="729">
        <v>73.400000000000006</v>
      </c>
      <c r="P7" s="734"/>
      <c r="Q7" s="729">
        <v>37.6</v>
      </c>
      <c r="R7" s="728"/>
      <c r="S7" s="729">
        <v>50.65</v>
      </c>
      <c r="T7" s="728"/>
      <c r="U7" s="776">
        <v>45.75</v>
      </c>
      <c r="V7" s="749">
        <f>SUM(N7:U7)</f>
        <v>207.4</v>
      </c>
      <c r="W7" s="960" t="s">
        <v>86</v>
      </c>
    </row>
    <row r="8" spans="2:24">
      <c r="G8" s="751" t="s">
        <v>823</v>
      </c>
      <c r="H8" s="554"/>
      <c r="I8" s="731"/>
      <c r="J8" s="242">
        <v>2.5</v>
      </c>
      <c r="K8" s="731">
        <v>2.5</v>
      </c>
      <c r="L8" s="749"/>
      <c r="M8" s="770"/>
      <c r="N8" s="554"/>
      <c r="O8" s="731"/>
      <c r="P8" s="242"/>
      <c r="Q8" s="731">
        <v>2.5</v>
      </c>
      <c r="R8" s="242"/>
      <c r="S8" s="731">
        <v>2.5</v>
      </c>
      <c r="T8" s="242"/>
      <c r="U8" s="777"/>
      <c r="V8" s="749"/>
      <c r="W8" s="960" t="s">
        <v>823</v>
      </c>
    </row>
    <row r="9" spans="2:24" ht="20.25" customHeight="1">
      <c r="G9" s="759" t="s">
        <v>824</v>
      </c>
      <c r="H9" s="554">
        <f>H7+H8</f>
        <v>629.71100000000001</v>
      </c>
      <c r="I9" s="731">
        <f t="shared" ref="I9:K9" si="0">I7+I8</f>
        <v>44.5</v>
      </c>
      <c r="J9" s="242">
        <f t="shared" si="0"/>
        <v>185.5</v>
      </c>
      <c r="K9" s="731">
        <f t="shared" si="0"/>
        <v>83</v>
      </c>
      <c r="L9" s="749">
        <f>SUM(H9:K9)</f>
        <v>942.71100000000001</v>
      </c>
      <c r="M9" s="770"/>
      <c r="N9" s="554">
        <f>N7+N8</f>
        <v>0</v>
      </c>
      <c r="O9" s="731">
        <f t="shared" ref="O9" si="1">O7+O8</f>
        <v>73.400000000000006</v>
      </c>
      <c r="P9" s="242">
        <f t="shared" ref="P9" si="2">P7+P8</f>
        <v>0</v>
      </c>
      <c r="Q9" s="731">
        <f t="shared" ref="Q9:S9" si="3">Q7+Q8</f>
        <v>40.1</v>
      </c>
      <c r="R9" s="242">
        <f t="shared" si="3"/>
        <v>0</v>
      </c>
      <c r="S9" s="731">
        <f t="shared" si="3"/>
        <v>53.15</v>
      </c>
      <c r="T9" s="242">
        <f t="shared" ref="T9" si="4">T7+T8</f>
        <v>0</v>
      </c>
      <c r="U9" s="777">
        <f t="shared" ref="U9" si="5">U7+U8</f>
        <v>45.75</v>
      </c>
      <c r="V9" s="749">
        <f>SUM(N9:U9)</f>
        <v>212.4</v>
      </c>
      <c r="W9" s="960" t="s">
        <v>824</v>
      </c>
    </row>
    <row r="10" spans="2:24">
      <c r="G10" s="759" t="s">
        <v>825</v>
      </c>
      <c r="H10" s="554">
        <f>IF(H24&gt;0,H9,0)</f>
        <v>629.71100000000001</v>
      </c>
      <c r="I10" s="731">
        <f t="shared" ref="I10:K10" si="6">IF(I24&gt;0,I9,0)</f>
        <v>44.5</v>
      </c>
      <c r="J10" s="242">
        <f t="shared" si="6"/>
        <v>185.5</v>
      </c>
      <c r="K10" s="731">
        <f t="shared" si="6"/>
        <v>83</v>
      </c>
      <c r="L10" s="749">
        <f>SUM(H10:K10)</f>
        <v>942.71100000000001</v>
      </c>
      <c r="M10" s="770"/>
      <c r="N10" s="554">
        <f>IF(N24&gt;0,N9,0)</f>
        <v>0</v>
      </c>
      <c r="O10" s="731">
        <f t="shared" ref="O10" si="7">IF(O24&gt;0,O9,0)</f>
        <v>73.400000000000006</v>
      </c>
      <c r="P10" s="242">
        <f t="shared" ref="P10" si="8">IF(P24&gt;0,P9,0)</f>
        <v>0</v>
      </c>
      <c r="Q10" s="731">
        <f t="shared" ref="Q10:R10" si="9">IF(Q24&gt;0,Q9,0)</f>
        <v>40.1</v>
      </c>
      <c r="R10" s="242">
        <f t="shared" si="9"/>
        <v>0</v>
      </c>
      <c r="S10" s="731">
        <f t="shared" ref="S10" si="10">IF(S24&gt;0,S9,0)</f>
        <v>53.15</v>
      </c>
      <c r="T10" s="242">
        <f t="shared" ref="T10" si="11">IF(T24&gt;0,T9,0)</f>
        <v>0</v>
      </c>
      <c r="U10" s="777">
        <f t="shared" ref="U10" si="12">IF(U24&gt;0,U9,0)</f>
        <v>45.75</v>
      </c>
      <c r="V10" s="749">
        <f>SUM(N10:U10)</f>
        <v>212.4</v>
      </c>
      <c r="W10" s="960" t="s">
        <v>825</v>
      </c>
    </row>
    <row r="11" spans="2:24">
      <c r="G11" s="751" t="s">
        <v>826</v>
      </c>
      <c r="H11" s="752">
        <v>240</v>
      </c>
      <c r="I11" s="726">
        <v>120</v>
      </c>
      <c r="J11" s="543">
        <f>COUNTA(J28:J267)</f>
        <v>120</v>
      </c>
      <c r="K11" s="726">
        <f>COUNTA(K28:K267)</f>
        <v>96</v>
      </c>
      <c r="L11" s="748"/>
      <c r="M11" s="770"/>
      <c r="N11" s="752"/>
      <c r="O11" s="726">
        <v>5</v>
      </c>
      <c r="P11" s="543"/>
      <c r="Q11" s="726">
        <v>5</v>
      </c>
      <c r="R11" s="543"/>
      <c r="S11" s="726">
        <v>6</v>
      </c>
      <c r="T11" s="543">
        <v>6</v>
      </c>
      <c r="U11" s="778">
        <v>12</v>
      </c>
      <c r="V11" s="748"/>
      <c r="W11" s="960" t="s">
        <v>826</v>
      </c>
    </row>
    <row r="12" spans="2:24">
      <c r="G12" s="759" t="s">
        <v>827</v>
      </c>
      <c r="H12" s="554">
        <v>150500.93</v>
      </c>
      <c r="I12" s="731">
        <f>I7*I11</f>
        <v>5340</v>
      </c>
      <c r="J12" s="242">
        <f>(J7*J11)-2</f>
        <v>21958</v>
      </c>
      <c r="K12" s="731">
        <v>7681</v>
      </c>
      <c r="L12" s="749"/>
      <c r="M12" s="770"/>
      <c r="N12" s="554">
        <f>N7*N11</f>
        <v>0</v>
      </c>
      <c r="O12" s="731">
        <f>(O7*O11)+26.9</f>
        <v>393.9</v>
      </c>
      <c r="P12" s="242">
        <f>P11*P7</f>
        <v>0</v>
      </c>
      <c r="Q12" s="731">
        <f>Q11*Q7</f>
        <v>188</v>
      </c>
      <c r="R12" s="242">
        <f>R11*R7</f>
        <v>0</v>
      </c>
      <c r="S12" s="731">
        <f t="shared" ref="S12:U12" si="13">S11*S7</f>
        <v>303.89999999999998</v>
      </c>
      <c r="T12" s="242">
        <f t="shared" si="13"/>
        <v>0</v>
      </c>
      <c r="U12" s="777">
        <f t="shared" si="13"/>
        <v>549</v>
      </c>
      <c r="V12" s="749">
        <f>SUM(N12:U12)</f>
        <v>1434.8</v>
      </c>
      <c r="W12" s="960" t="s">
        <v>827</v>
      </c>
    </row>
    <row r="13" spans="2:24">
      <c r="G13" s="751" t="s">
        <v>828</v>
      </c>
      <c r="H13" s="554">
        <v>128700</v>
      </c>
      <c r="I13" s="731">
        <v>4500</v>
      </c>
      <c r="J13" s="242">
        <v>14966.52</v>
      </c>
      <c r="K13" s="731">
        <v>5500</v>
      </c>
      <c r="L13" s="749">
        <f>SUM(H13:K13)</f>
        <v>153666.51999999999</v>
      </c>
      <c r="M13" s="770"/>
      <c r="N13" s="554"/>
      <c r="O13" s="731">
        <v>393.9</v>
      </c>
      <c r="P13" s="242"/>
      <c r="Q13" s="731">
        <v>181.41</v>
      </c>
      <c r="R13" s="242"/>
      <c r="S13" s="731">
        <v>291.45</v>
      </c>
      <c r="T13" s="242"/>
      <c r="U13" s="777">
        <v>549</v>
      </c>
      <c r="V13" s="749">
        <f>SUM(N13:U13)</f>
        <v>1415.76</v>
      </c>
      <c r="W13" s="960" t="s">
        <v>828</v>
      </c>
    </row>
    <row r="14" spans="2:24">
      <c r="G14" s="751" t="s">
        <v>829</v>
      </c>
      <c r="H14" s="554">
        <f t="shared" ref="H14:K14" si="14">H12-H13</f>
        <v>21800.929999999993</v>
      </c>
      <c r="I14" s="731">
        <f t="shared" si="14"/>
        <v>840</v>
      </c>
      <c r="J14" s="242">
        <f t="shared" si="14"/>
        <v>6991.48</v>
      </c>
      <c r="K14" s="731">
        <f t="shared" si="14"/>
        <v>2181</v>
      </c>
      <c r="L14" s="749">
        <f>SUM(H14:K14)</f>
        <v>31813.409999999993</v>
      </c>
      <c r="M14" s="770"/>
      <c r="N14" s="554">
        <f t="shared" ref="N14:U14" si="15">N12-N13</f>
        <v>0</v>
      </c>
      <c r="O14" s="731">
        <f t="shared" si="15"/>
        <v>0</v>
      </c>
      <c r="P14" s="242">
        <f t="shared" si="15"/>
        <v>0</v>
      </c>
      <c r="Q14" s="731">
        <f t="shared" si="15"/>
        <v>6.5900000000000034</v>
      </c>
      <c r="R14" s="242">
        <f t="shared" si="15"/>
        <v>0</v>
      </c>
      <c r="S14" s="731">
        <f t="shared" si="15"/>
        <v>12.449999999999989</v>
      </c>
      <c r="T14" s="242">
        <f t="shared" si="15"/>
        <v>0</v>
      </c>
      <c r="U14" s="777">
        <f t="shared" si="15"/>
        <v>0</v>
      </c>
      <c r="V14" s="749">
        <f>SUM(N14:U14)</f>
        <v>19.039999999999992</v>
      </c>
      <c r="W14" s="960" t="s">
        <v>829</v>
      </c>
    </row>
    <row r="15" spans="2:24">
      <c r="G15" s="751" t="s">
        <v>830</v>
      </c>
      <c r="H15" s="754">
        <f t="shared" ref="H15:K15" si="16">H14/H13</f>
        <v>0.16939339549339544</v>
      </c>
      <c r="I15" s="733">
        <f t="shared" si="16"/>
        <v>0.18666666666666668</v>
      </c>
      <c r="J15" s="732">
        <f t="shared" si="16"/>
        <v>0.46714132610653641</v>
      </c>
      <c r="K15" s="733">
        <f t="shared" si="16"/>
        <v>0.39654545454545453</v>
      </c>
      <c r="L15" s="750"/>
      <c r="M15" s="770"/>
      <c r="N15" s="754" t="str">
        <f>IFERROR(N14/N13,"")</f>
        <v/>
      </c>
      <c r="O15" s="733">
        <f t="shared" ref="O15:U15" si="17">IFERROR(O14/O13,"")</f>
        <v>0</v>
      </c>
      <c r="P15" s="937" t="str">
        <f t="shared" si="17"/>
        <v/>
      </c>
      <c r="Q15" s="733">
        <f t="shared" si="17"/>
        <v>3.6326553111735868E-2</v>
      </c>
      <c r="R15" s="732" t="str">
        <f t="shared" si="17"/>
        <v/>
      </c>
      <c r="S15" s="733">
        <f t="shared" si="17"/>
        <v>4.2717447246525951E-2</v>
      </c>
      <c r="T15" s="732" t="str">
        <f t="shared" si="17"/>
        <v/>
      </c>
      <c r="U15" s="779">
        <f t="shared" si="17"/>
        <v>0</v>
      </c>
      <c r="V15" s="750">
        <f>V14/V12</f>
        <v>1.3270142180094781E-2</v>
      </c>
      <c r="W15" s="960" t="s">
        <v>830</v>
      </c>
    </row>
    <row r="16" spans="2:24">
      <c r="G16" s="751" t="s">
        <v>831</v>
      </c>
      <c r="H16" s="757">
        <f>(H23+H24)/12</f>
        <v>20</v>
      </c>
      <c r="I16" s="741">
        <f t="shared" ref="I16:K16" si="18">(I23+I24)/12</f>
        <v>10</v>
      </c>
      <c r="J16" s="740">
        <f t="shared" si="18"/>
        <v>10</v>
      </c>
      <c r="K16" s="741">
        <f t="shared" si="18"/>
        <v>8</v>
      </c>
      <c r="L16" s="748"/>
      <c r="M16" s="770"/>
      <c r="N16" s="938">
        <f t="shared" ref="N16:U16" si="19">(N23+N24)/12</f>
        <v>0</v>
      </c>
      <c r="O16" s="774">
        <f t="shared" si="19"/>
        <v>0.41666666666666669</v>
      </c>
      <c r="P16" s="775">
        <f t="shared" si="19"/>
        <v>0</v>
      </c>
      <c r="Q16" s="774">
        <f t="shared" si="19"/>
        <v>0.41666666666666669</v>
      </c>
      <c r="R16" s="775">
        <f t="shared" ref="R16" si="20">(R23+R24)/12</f>
        <v>0</v>
      </c>
      <c r="S16" s="774">
        <f t="shared" si="19"/>
        <v>0.5</v>
      </c>
      <c r="T16" s="775">
        <f t="shared" si="19"/>
        <v>0</v>
      </c>
      <c r="U16" s="780">
        <f t="shared" si="19"/>
        <v>1</v>
      </c>
      <c r="V16" s="748"/>
      <c r="W16" s="960" t="s">
        <v>831</v>
      </c>
    </row>
    <row r="17" spans="2:23">
      <c r="G17" s="751" t="s">
        <v>832</v>
      </c>
      <c r="H17" s="753">
        <f t="shared" ref="H17:K17" si="21">((H23)*H7)+H20</f>
        <v>44709.481</v>
      </c>
      <c r="I17" s="729">
        <f t="shared" si="21"/>
        <v>3159.5</v>
      </c>
      <c r="J17" s="728">
        <f t="shared" si="21"/>
        <v>10248</v>
      </c>
      <c r="K17" s="729">
        <f t="shared" si="21"/>
        <v>4347</v>
      </c>
      <c r="L17" s="749">
        <f>SUM(H17:K17)</f>
        <v>62463.981</v>
      </c>
      <c r="M17" s="770"/>
      <c r="N17" s="753">
        <f t="shared" ref="N17:U17" si="22">((N23)*N7)+N20</f>
        <v>0</v>
      </c>
      <c r="O17" s="729">
        <f t="shared" si="22"/>
        <v>293.60000000000002</v>
      </c>
      <c r="P17" s="734">
        <f t="shared" si="22"/>
        <v>0</v>
      </c>
      <c r="Q17" s="729">
        <f>((Q23)*Q7)+Q20</f>
        <v>75.2</v>
      </c>
      <c r="R17" s="728">
        <f t="shared" si="22"/>
        <v>0</v>
      </c>
      <c r="S17" s="729">
        <f t="shared" si="22"/>
        <v>101.3</v>
      </c>
      <c r="T17" s="728">
        <f t="shared" si="22"/>
        <v>0</v>
      </c>
      <c r="U17" s="776">
        <f t="shared" si="22"/>
        <v>137.25</v>
      </c>
      <c r="V17" s="749">
        <f>SUM(N17:U17)</f>
        <v>607.35</v>
      </c>
      <c r="W17" s="960" t="s">
        <v>832</v>
      </c>
    </row>
    <row r="18" spans="2:23">
      <c r="B18" s="761"/>
      <c r="C18" s="725"/>
      <c r="D18" s="725"/>
      <c r="E18" s="725"/>
      <c r="G18" s="751" t="s">
        <v>833</v>
      </c>
      <c r="H18" s="753">
        <f>(H12-H17)</f>
        <v>105791.44899999999</v>
      </c>
      <c r="I18" s="729">
        <f t="shared" ref="I18:K18" si="23">(I12-I17)</f>
        <v>2180.5</v>
      </c>
      <c r="J18" s="728">
        <f t="shared" si="23"/>
        <v>11710</v>
      </c>
      <c r="K18" s="729">
        <f t="shared" si="23"/>
        <v>3334</v>
      </c>
      <c r="L18" s="749">
        <f>SUM(H18:K18)</f>
        <v>123015.94899999999</v>
      </c>
      <c r="M18" s="770"/>
      <c r="N18" s="753">
        <f t="shared" ref="N18:O18" si="24">(N12-N17)</f>
        <v>0</v>
      </c>
      <c r="O18" s="729">
        <f t="shared" si="24"/>
        <v>100.29999999999995</v>
      </c>
      <c r="P18" s="734">
        <f t="shared" ref="P18" si="25">(P12-P17)</f>
        <v>0</v>
      </c>
      <c r="Q18" s="729">
        <f t="shared" ref="Q18:S18" si="26">(Q12-Q17)</f>
        <v>112.8</v>
      </c>
      <c r="R18" s="728">
        <f t="shared" ref="R18" si="27">(R12-R17)</f>
        <v>0</v>
      </c>
      <c r="S18" s="729">
        <f t="shared" si="26"/>
        <v>202.59999999999997</v>
      </c>
      <c r="T18" s="728">
        <f t="shared" ref="T18" si="28">(T12-T17)</f>
        <v>0</v>
      </c>
      <c r="U18" s="776">
        <f t="shared" ref="U18" si="29">(U12-U17)</f>
        <v>411.75</v>
      </c>
      <c r="V18" s="749">
        <f>SUM(N18:U18)</f>
        <v>827.44999999999993</v>
      </c>
      <c r="W18" s="960" t="s">
        <v>833</v>
      </c>
    </row>
    <row r="19" spans="2:23">
      <c r="G19" s="751" t="s">
        <v>834</v>
      </c>
      <c r="H19" s="755">
        <f t="shared" ref="H19:K19" si="30">(H20/H9)/12</f>
        <v>0</v>
      </c>
      <c r="I19" s="736">
        <f t="shared" si="30"/>
        <v>0</v>
      </c>
      <c r="J19" s="735">
        <f t="shared" si="30"/>
        <v>0</v>
      </c>
      <c r="K19" s="736">
        <f t="shared" si="30"/>
        <v>0</v>
      </c>
      <c r="L19" s="749"/>
      <c r="M19" s="770"/>
      <c r="N19" s="755" t="str">
        <f>IFERROR((N20/N9)/12,"")</f>
        <v/>
      </c>
      <c r="O19" s="736">
        <f t="shared" ref="O19:U19" si="31">IFERROR((O20/O9)/12,"")</f>
        <v>0</v>
      </c>
      <c r="P19" s="737" t="str">
        <f t="shared" si="31"/>
        <v/>
      </c>
      <c r="Q19" s="736">
        <f t="shared" si="31"/>
        <v>0</v>
      </c>
      <c r="R19" s="735" t="str">
        <f t="shared" si="31"/>
        <v/>
      </c>
      <c r="S19" s="736">
        <f>IFERROR((S20/S9)/12,"")</f>
        <v>0</v>
      </c>
      <c r="T19" s="735" t="str">
        <f t="shared" si="31"/>
        <v/>
      </c>
      <c r="U19" s="781">
        <f t="shared" si="31"/>
        <v>0</v>
      </c>
      <c r="V19" s="749"/>
      <c r="W19" s="960" t="s">
        <v>834</v>
      </c>
    </row>
    <row r="20" spans="2:23">
      <c r="B20" s="49"/>
      <c r="C20" s="37"/>
      <c r="D20" s="37"/>
      <c r="E20" s="37"/>
      <c r="G20" s="751" t="s">
        <v>835</v>
      </c>
      <c r="H20" s="753"/>
      <c r="I20" s="729"/>
      <c r="J20" s="728"/>
      <c r="K20" s="729"/>
      <c r="L20" s="748"/>
      <c r="M20" s="770"/>
      <c r="N20" s="753"/>
      <c r="O20" s="729"/>
      <c r="P20" s="734"/>
      <c r="Q20" s="729"/>
      <c r="R20" s="728"/>
      <c r="S20" s="729"/>
      <c r="T20" s="728"/>
      <c r="U20" s="776"/>
      <c r="V20" s="748"/>
      <c r="W20" s="960" t="s">
        <v>835</v>
      </c>
    </row>
    <row r="21" spans="2:23">
      <c r="G21" s="751" t="s">
        <v>836</v>
      </c>
      <c r="H21" s="753" t="str">
        <f t="shared" ref="H21:K21" si="32">IF(H20&gt;0,(H12-H17)+((H11-H23)*H8),"")</f>
        <v/>
      </c>
      <c r="I21" s="729" t="str">
        <f t="shared" si="32"/>
        <v/>
      </c>
      <c r="J21" s="728" t="str">
        <f t="shared" si="32"/>
        <v/>
      </c>
      <c r="K21" s="729" t="str">
        <f t="shared" si="32"/>
        <v/>
      </c>
      <c r="L21" s="749"/>
      <c r="M21" s="770"/>
      <c r="N21" s="753" t="str">
        <f t="shared" ref="N21:U21" si="33">IF(N20&gt;0,(N12-N17)+((N11-N23)*N8),"")</f>
        <v/>
      </c>
      <c r="O21" s="729" t="str">
        <f t="shared" si="33"/>
        <v/>
      </c>
      <c r="P21" s="734" t="str">
        <f t="shared" si="33"/>
        <v/>
      </c>
      <c r="Q21" s="729" t="str">
        <f t="shared" si="33"/>
        <v/>
      </c>
      <c r="R21" s="728" t="str">
        <f t="shared" si="33"/>
        <v/>
      </c>
      <c r="S21" s="729" t="str">
        <f t="shared" si="33"/>
        <v/>
      </c>
      <c r="T21" s="728" t="str">
        <f t="shared" si="33"/>
        <v/>
      </c>
      <c r="U21" s="776" t="str">
        <f t="shared" si="33"/>
        <v/>
      </c>
      <c r="V21" s="749"/>
      <c r="W21" s="960" t="s">
        <v>836</v>
      </c>
    </row>
    <row r="22" spans="2:23">
      <c r="G22" s="751" t="s">
        <v>837</v>
      </c>
      <c r="H22" s="753"/>
      <c r="I22" s="729"/>
      <c r="J22" s="728">
        <f t="shared" ref="J22" si="34">J8*(J23+J24)</f>
        <v>300</v>
      </c>
      <c r="K22" s="729">
        <f>K11*K8</f>
        <v>240</v>
      </c>
      <c r="L22" s="749">
        <f>SUM(H22:K22)</f>
        <v>540</v>
      </c>
      <c r="M22" s="770"/>
      <c r="N22" s="753"/>
      <c r="O22" s="729"/>
      <c r="P22" s="734">
        <f t="shared" ref="P22:U22" si="35">P8*(P23+P24)</f>
        <v>0</v>
      </c>
      <c r="Q22" s="729">
        <f t="shared" si="35"/>
        <v>12.5</v>
      </c>
      <c r="R22" s="728">
        <f t="shared" si="35"/>
        <v>0</v>
      </c>
      <c r="S22" s="729">
        <f t="shared" si="35"/>
        <v>15</v>
      </c>
      <c r="T22" s="728">
        <f t="shared" si="35"/>
        <v>0</v>
      </c>
      <c r="U22" s="776">
        <f t="shared" si="35"/>
        <v>0</v>
      </c>
      <c r="V22" s="749">
        <f>SUM(N22:U22)</f>
        <v>27.5</v>
      </c>
      <c r="W22" s="960" t="s">
        <v>837</v>
      </c>
    </row>
    <row r="23" spans="2:23">
      <c r="G23" s="751" t="s">
        <v>838</v>
      </c>
      <c r="H23" s="755">
        <f>IF(H20,COUNTIFS(G28:G267,"&lt;"&amp;$B$2,H28:H267,"&gt;0")-1,COUNTIFS(G28:G267,"&lt;"&amp;$B$2,H28:H267,"&gt;0"))</f>
        <v>71</v>
      </c>
      <c r="I23" s="736">
        <f>IF(I20,COUNTIFS(G28:G267,"&lt;"&amp;$B$2,I28:I267,"&gt;0")-1,COUNTIFS(G28:G267,"&lt;"&amp;$B$2,I28:I267,"&gt;0"))</f>
        <v>71</v>
      </c>
      <c r="J23" s="735">
        <f>IF(J20,COUNTIFS(G28:G267,"&lt;"&amp;$B$2,J28:J267,"&gt;0")-1,COUNTIFS(G28:G267,"&lt;"&amp;$B$2,J28:J267,"&gt;0"))</f>
        <v>56</v>
      </c>
      <c r="K23" s="736">
        <f>IF(K20,COUNTIFS(G28:G267,"&lt;"&amp;$B$2,K28:K267,"&gt;0")-1,COUNTIFS(G28:G267,"&lt;"&amp;$B$2,K28:K267,"&gt;0"))</f>
        <v>54</v>
      </c>
      <c r="L23" s="748"/>
      <c r="M23" s="770"/>
      <c r="N23" s="964">
        <f t="shared" ref="N23:U23" si="36">IF(N20,COUNTIFS($G28:$G267,"&lt;"&amp;$B$2,N28:N267,"&gt;0")-1,COUNTIFS($G28:$G267,"&lt;"&amp;$B$2,N28:N267,"&gt;0"))</f>
        <v>0</v>
      </c>
      <c r="O23" s="965">
        <f t="shared" si="36"/>
        <v>4</v>
      </c>
      <c r="P23" s="966">
        <f t="shared" si="36"/>
        <v>0</v>
      </c>
      <c r="Q23" s="965">
        <f>IF(Q20,COUNTIFS($G28:$G267,"&lt;"&amp;$B$2,Q28:Q267,"&gt;0")-1,COUNTIFS($G28:$G267,"&lt;"&amp;$B$2,Q28:Q267,"&gt;0"))</f>
        <v>2</v>
      </c>
      <c r="R23" s="967">
        <f t="shared" si="36"/>
        <v>0</v>
      </c>
      <c r="S23" s="965">
        <f t="shared" si="36"/>
        <v>2</v>
      </c>
      <c r="T23" s="735">
        <f t="shared" si="36"/>
        <v>0</v>
      </c>
      <c r="U23" s="782">
        <f t="shared" si="36"/>
        <v>3</v>
      </c>
      <c r="V23" s="748"/>
      <c r="W23" s="960" t="s">
        <v>838</v>
      </c>
    </row>
    <row r="24" spans="2:23">
      <c r="C24" s="21"/>
      <c r="D24" s="21"/>
      <c r="E24" s="21"/>
      <c r="G24" s="751" t="s">
        <v>839</v>
      </c>
      <c r="H24" s="756">
        <f>IF(H20&lt;&gt;"",0,H11-H23)</f>
        <v>169</v>
      </c>
      <c r="I24" s="739">
        <f>IF(I20&lt;&gt;"",0,I11-I23)</f>
        <v>49</v>
      </c>
      <c r="J24" s="738">
        <f>IF(J20&lt;&gt;"",0,J11-J23)</f>
        <v>64</v>
      </c>
      <c r="K24" s="739">
        <f>IF(K20&lt;&gt;"",0,K11-K23)</f>
        <v>42</v>
      </c>
      <c r="L24" s="748"/>
      <c r="M24" s="770"/>
      <c r="N24" s="756">
        <f>IF(N20&lt;&gt;"",0,COUNTA(N28:N267)-N23)</f>
        <v>0</v>
      </c>
      <c r="O24" s="739">
        <f t="shared" ref="O24" si="37">IF(O20&lt;&gt;"",0,COUNTA(O28:O267)-O23)</f>
        <v>1</v>
      </c>
      <c r="P24" s="738">
        <f t="shared" ref="P24" si="38">IF(P20&lt;&gt;"",0,COUNTA(P28:P267)-P23)</f>
        <v>0</v>
      </c>
      <c r="Q24" s="739">
        <f t="shared" ref="Q24:S24" si="39">IF(Q20&lt;&gt;"",0,COUNTA(Q28:Q267)-Q23)</f>
        <v>3</v>
      </c>
      <c r="R24" s="738">
        <f t="shared" ref="R24" si="40">IF(R20&lt;&gt;"",0,COUNTA(R28:R267)-R23)</f>
        <v>0</v>
      </c>
      <c r="S24" s="739">
        <f t="shared" si="39"/>
        <v>4</v>
      </c>
      <c r="T24" s="738">
        <f t="shared" ref="T24" si="41">IF(T20&lt;&gt;"",0,COUNTA(T28:T267)-T23)</f>
        <v>0</v>
      </c>
      <c r="U24" s="783">
        <f t="shared" ref="U24" si="42">IF(U20&lt;&gt;"",0,COUNTA(U28:U267)-U23)</f>
        <v>9</v>
      </c>
      <c r="V24" s="748"/>
      <c r="W24" s="960" t="s">
        <v>839</v>
      </c>
    </row>
    <row r="25" spans="2:23">
      <c r="C25" s="21"/>
      <c r="D25" s="21"/>
      <c r="E25" s="21"/>
      <c r="G25" s="751" t="s">
        <v>840</v>
      </c>
      <c r="H25" s="756">
        <f t="shared" ref="H25:K25" si="43">H24/12</f>
        <v>14.083333333333334</v>
      </c>
      <c r="I25" s="739">
        <f t="shared" si="43"/>
        <v>4.083333333333333</v>
      </c>
      <c r="J25" s="738">
        <f t="shared" si="43"/>
        <v>5.333333333333333</v>
      </c>
      <c r="K25" s="739">
        <f t="shared" si="43"/>
        <v>3.5</v>
      </c>
      <c r="L25" s="748"/>
      <c r="M25" s="770"/>
      <c r="N25" s="757">
        <f t="shared" ref="N25:U25" si="44">N24/12</f>
        <v>0</v>
      </c>
      <c r="O25" s="741">
        <f t="shared" si="44"/>
        <v>8.3333333333333329E-2</v>
      </c>
      <c r="P25" s="740">
        <f t="shared" si="44"/>
        <v>0</v>
      </c>
      <c r="Q25" s="741">
        <f t="shared" si="44"/>
        <v>0.25</v>
      </c>
      <c r="R25" s="740">
        <f t="shared" si="44"/>
        <v>0</v>
      </c>
      <c r="S25" s="741">
        <f t="shared" si="44"/>
        <v>0.33333333333333331</v>
      </c>
      <c r="T25" s="738">
        <f t="shared" si="44"/>
        <v>0</v>
      </c>
      <c r="U25" s="783">
        <f t="shared" si="44"/>
        <v>0.75</v>
      </c>
      <c r="V25" s="748"/>
      <c r="W25" s="960" t="s">
        <v>841</v>
      </c>
    </row>
    <row r="26" spans="2:23">
      <c r="C26" s="37"/>
      <c r="D26" s="37"/>
      <c r="E26" s="37"/>
      <c r="G26" s="751"/>
      <c r="H26" s="757"/>
      <c r="I26" s="741"/>
      <c r="J26" s="740"/>
      <c r="K26" s="741"/>
      <c r="L26" s="748"/>
      <c r="M26" s="770"/>
      <c r="N26" s="757"/>
      <c r="O26" s="741"/>
      <c r="P26" s="740"/>
      <c r="Q26" s="741"/>
      <c r="R26" s="740"/>
      <c r="S26" s="741"/>
      <c r="T26" s="740"/>
      <c r="U26" s="784"/>
      <c r="V26" s="748"/>
      <c r="W26" s="960"/>
    </row>
    <row r="27" spans="2:23" ht="26.25" customHeight="1" thickBot="1">
      <c r="G27" s="760" t="s">
        <v>69</v>
      </c>
      <c r="H27" s="1472" t="s">
        <v>842</v>
      </c>
      <c r="I27" s="1472"/>
      <c r="J27" s="1472"/>
      <c r="K27" s="1472"/>
      <c r="L27" s="747" t="s">
        <v>843</v>
      </c>
      <c r="M27" s="770"/>
      <c r="N27" s="1472" t="s">
        <v>842</v>
      </c>
      <c r="O27" s="1472"/>
      <c r="P27" s="1472"/>
      <c r="Q27" s="1472"/>
      <c r="R27" s="1472"/>
      <c r="S27" s="1472"/>
      <c r="T27" s="1472"/>
      <c r="U27" s="1476"/>
      <c r="V27" s="747" t="s">
        <v>843</v>
      </c>
      <c r="W27" s="961" t="s">
        <v>69</v>
      </c>
    </row>
    <row r="28" spans="2:23" ht="15.75" outlineLevel="1" thickTop="1">
      <c r="D28" s="9" t="b">
        <f>IF($B$2=G28,TRUE,FALSE)</f>
        <v>0</v>
      </c>
      <c r="E28" s="9">
        <f>IF(G28&lt;=$B$2,1,0)</f>
        <v>1</v>
      </c>
      <c r="G28" s="956">
        <v>44136</v>
      </c>
      <c r="H28" s="758">
        <f>H12</f>
        <v>150500.93</v>
      </c>
      <c r="I28" s="742">
        <f>I12-31.13</f>
        <v>5308.87</v>
      </c>
      <c r="J28" s="534"/>
      <c r="K28" s="743"/>
      <c r="L28" s="745">
        <f t="shared" ref="L28:L91" si="45">SUM(H28:K28)</f>
        <v>155809.79999999999</v>
      </c>
      <c r="M28" s="770"/>
      <c r="N28" s="758"/>
      <c r="O28" s="742"/>
      <c r="P28" s="534"/>
      <c r="Q28" s="743"/>
      <c r="R28" s="534"/>
      <c r="S28" s="935"/>
      <c r="T28" s="744"/>
      <c r="U28" s="785"/>
      <c r="V28" s="745">
        <f>SUM(N28:U28)</f>
        <v>0</v>
      </c>
      <c r="W28" s="962">
        <v>44136</v>
      </c>
    </row>
    <row r="29" spans="2:23" outlineLevel="1">
      <c r="D29" s="9" t="b">
        <f t="shared" ref="D29:D92" si="46">IF($B$2=G29,TRUE,FALSE)</f>
        <v>0</v>
      </c>
      <c r="E29" s="9">
        <f t="shared" ref="E29:E92" si="47">IF(G29&lt;=$B$2,1,0)</f>
        <v>1</v>
      </c>
      <c r="G29" s="957">
        <v>44166</v>
      </c>
      <c r="H29" s="554">
        <f t="shared" ref="H29:H92" si="48">H28-$H$7</f>
        <v>149871.21899999998</v>
      </c>
      <c r="I29" s="731">
        <f>I28-I7</f>
        <v>5264.37</v>
      </c>
      <c r="J29" s="543"/>
      <c r="K29" s="726"/>
      <c r="L29" s="746">
        <f t="shared" si="45"/>
        <v>155135.58899999998</v>
      </c>
      <c r="M29" s="770"/>
      <c r="N29" s="554"/>
      <c r="O29" s="731"/>
      <c r="P29" s="543"/>
      <c r="Q29" s="726"/>
      <c r="R29" s="543"/>
      <c r="S29" s="727"/>
      <c r="T29" s="728"/>
      <c r="U29" s="778"/>
      <c r="V29" s="746">
        <f t="shared" ref="V29:V92" si="49">SUM(N29:U29)</f>
        <v>0</v>
      </c>
      <c r="W29" s="963">
        <v>44166</v>
      </c>
    </row>
    <row r="30" spans="2:23" outlineLevel="1">
      <c r="D30" s="9" t="b">
        <f t="shared" si="46"/>
        <v>0</v>
      </c>
      <c r="E30" s="9">
        <f t="shared" si="47"/>
        <v>1</v>
      </c>
      <c r="G30" s="957">
        <v>44197</v>
      </c>
      <c r="H30" s="554">
        <f t="shared" si="48"/>
        <v>149241.50799999997</v>
      </c>
      <c r="I30" s="729">
        <f>I29-I7</f>
        <v>5219.87</v>
      </c>
      <c r="J30" s="728"/>
      <c r="K30" s="729"/>
      <c r="L30" s="746">
        <f t="shared" si="45"/>
        <v>154461.37799999997</v>
      </c>
      <c r="M30" s="770"/>
      <c r="N30" s="554"/>
      <c r="O30" s="729"/>
      <c r="P30" s="728"/>
      <c r="Q30" s="729"/>
      <c r="R30" s="728"/>
      <c r="S30" s="730"/>
      <c r="T30" s="728"/>
      <c r="U30" s="776"/>
      <c r="V30" s="746">
        <f t="shared" si="49"/>
        <v>0</v>
      </c>
      <c r="W30" s="963">
        <v>44197</v>
      </c>
    </row>
    <row r="31" spans="2:23" outlineLevel="1">
      <c r="D31" s="9" t="b">
        <f t="shared" si="46"/>
        <v>0</v>
      </c>
      <c r="E31" s="9">
        <f t="shared" si="47"/>
        <v>1</v>
      </c>
      <c r="G31" s="957">
        <v>44228</v>
      </c>
      <c r="H31" s="554">
        <f t="shared" si="48"/>
        <v>148611.79699999996</v>
      </c>
      <c r="I31" s="729">
        <f t="shared" ref="I31:I62" si="50">I30-$I$7</f>
        <v>5175.37</v>
      </c>
      <c r="J31" s="728"/>
      <c r="K31" s="729"/>
      <c r="L31" s="746">
        <f t="shared" si="45"/>
        <v>153787.16699999996</v>
      </c>
      <c r="M31" s="770"/>
      <c r="N31" s="554"/>
      <c r="O31" s="729"/>
      <c r="P31" s="728"/>
      <c r="Q31" s="729"/>
      <c r="R31" s="728"/>
      <c r="S31" s="730"/>
      <c r="T31" s="728"/>
      <c r="U31" s="776"/>
      <c r="V31" s="746">
        <f t="shared" si="49"/>
        <v>0</v>
      </c>
      <c r="W31" s="963">
        <v>44228</v>
      </c>
    </row>
    <row r="32" spans="2:23" outlineLevel="1">
      <c r="D32" s="9" t="b">
        <f t="shared" si="46"/>
        <v>0</v>
      </c>
      <c r="E32" s="9">
        <f t="shared" si="47"/>
        <v>1</v>
      </c>
      <c r="G32" s="957">
        <v>44256</v>
      </c>
      <c r="H32" s="554">
        <f t="shared" si="48"/>
        <v>147982.08599999995</v>
      </c>
      <c r="I32" s="729">
        <f t="shared" si="50"/>
        <v>5130.87</v>
      </c>
      <c r="J32" s="728"/>
      <c r="K32" s="729"/>
      <c r="L32" s="746">
        <f t="shared" si="45"/>
        <v>153112.95599999995</v>
      </c>
      <c r="M32" s="770"/>
      <c r="N32" s="554"/>
      <c r="O32" s="729"/>
      <c r="P32" s="728"/>
      <c r="Q32" s="729"/>
      <c r="R32" s="728"/>
      <c r="S32" s="730"/>
      <c r="T32" s="728"/>
      <c r="U32" s="776"/>
      <c r="V32" s="746">
        <f t="shared" si="49"/>
        <v>0</v>
      </c>
      <c r="W32" s="963">
        <v>44256</v>
      </c>
    </row>
    <row r="33" spans="4:23" outlineLevel="1">
      <c r="D33" s="9" t="b">
        <f t="shared" si="46"/>
        <v>0</v>
      </c>
      <c r="E33" s="9">
        <f t="shared" si="47"/>
        <v>1</v>
      </c>
      <c r="G33" s="957">
        <v>44287</v>
      </c>
      <c r="H33" s="554">
        <f t="shared" si="48"/>
        <v>147352.37499999994</v>
      </c>
      <c r="I33" s="729">
        <f t="shared" si="50"/>
        <v>5086.37</v>
      </c>
      <c r="J33" s="728"/>
      <c r="K33" s="729"/>
      <c r="L33" s="746">
        <f t="shared" si="45"/>
        <v>152438.74499999994</v>
      </c>
      <c r="M33" s="770"/>
      <c r="N33" s="554"/>
      <c r="O33" s="729"/>
      <c r="P33" s="728"/>
      <c r="Q33" s="729"/>
      <c r="R33" s="728"/>
      <c r="S33" s="730"/>
      <c r="T33" s="728"/>
      <c r="U33" s="776"/>
      <c r="V33" s="746">
        <f t="shared" si="49"/>
        <v>0</v>
      </c>
      <c r="W33" s="963">
        <v>44287</v>
      </c>
    </row>
    <row r="34" spans="4:23" outlineLevel="1">
      <c r="D34" s="9" t="b">
        <f t="shared" si="46"/>
        <v>0</v>
      </c>
      <c r="E34" s="9">
        <f t="shared" si="47"/>
        <v>1</v>
      </c>
      <c r="G34" s="957">
        <v>44317</v>
      </c>
      <c r="H34" s="554">
        <f t="shared" si="48"/>
        <v>146722.66399999993</v>
      </c>
      <c r="I34" s="729">
        <f t="shared" si="50"/>
        <v>5041.87</v>
      </c>
      <c r="J34" s="728"/>
      <c r="K34" s="729"/>
      <c r="L34" s="746">
        <f t="shared" si="45"/>
        <v>151764.53399999993</v>
      </c>
      <c r="M34" s="770"/>
      <c r="N34" s="554"/>
      <c r="O34" s="729"/>
      <c r="P34" s="728"/>
      <c r="Q34" s="729"/>
      <c r="R34" s="728"/>
      <c r="S34" s="730"/>
      <c r="T34" s="728"/>
      <c r="U34" s="776"/>
      <c r="V34" s="746">
        <f t="shared" si="49"/>
        <v>0</v>
      </c>
      <c r="W34" s="963">
        <v>44317</v>
      </c>
    </row>
    <row r="35" spans="4:23" outlineLevel="1">
      <c r="D35" s="9" t="b">
        <f t="shared" si="46"/>
        <v>0</v>
      </c>
      <c r="E35" s="9">
        <f t="shared" si="47"/>
        <v>1</v>
      </c>
      <c r="G35" s="957">
        <v>44348</v>
      </c>
      <c r="H35" s="554">
        <f t="shared" si="48"/>
        <v>146092.95299999992</v>
      </c>
      <c r="I35" s="729">
        <f t="shared" si="50"/>
        <v>4997.37</v>
      </c>
      <c r="J35" s="728"/>
      <c r="K35" s="729"/>
      <c r="L35" s="746">
        <f t="shared" si="45"/>
        <v>151090.32299999992</v>
      </c>
      <c r="M35" s="770"/>
      <c r="N35" s="554"/>
      <c r="O35" s="729"/>
      <c r="P35" s="728"/>
      <c r="Q35" s="729"/>
      <c r="R35" s="728"/>
      <c r="S35" s="730"/>
      <c r="T35" s="728"/>
      <c r="U35" s="776"/>
      <c r="V35" s="746">
        <f t="shared" si="49"/>
        <v>0</v>
      </c>
      <c r="W35" s="963">
        <v>44348</v>
      </c>
    </row>
    <row r="36" spans="4:23" outlineLevel="1">
      <c r="D36" s="9" t="b">
        <f t="shared" si="46"/>
        <v>0</v>
      </c>
      <c r="E36" s="9">
        <f t="shared" si="47"/>
        <v>1</v>
      </c>
      <c r="G36" s="957">
        <v>44378</v>
      </c>
      <c r="H36" s="554">
        <f t="shared" si="48"/>
        <v>145463.24199999991</v>
      </c>
      <c r="I36" s="729">
        <f t="shared" si="50"/>
        <v>4952.87</v>
      </c>
      <c r="J36" s="728"/>
      <c r="K36" s="729"/>
      <c r="L36" s="746">
        <f t="shared" si="45"/>
        <v>150416.11199999991</v>
      </c>
      <c r="M36" s="770"/>
      <c r="N36" s="554"/>
      <c r="O36" s="729"/>
      <c r="P36" s="728"/>
      <c r="Q36" s="729"/>
      <c r="R36" s="728"/>
      <c r="S36" s="730"/>
      <c r="T36" s="728"/>
      <c r="U36" s="776"/>
      <c r="V36" s="746">
        <f t="shared" si="49"/>
        <v>0</v>
      </c>
      <c r="W36" s="963">
        <v>44378</v>
      </c>
    </row>
    <row r="37" spans="4:23" outlineLevel="1">
      <c r="D37" s="9" t="b">
        <f t="shared" si="46"/>
        <v>0</v>
      </c>
      <c r="E37" s="9">
        <f t="shared" si="47"/>
        <v>1</v>
      </c>
      <c r="G37" s="957">
        <v>44409</v>
      </c>
      <c r="H37" s="554">
        <f t="shared" si="48"/>
        <v>144833.5309999999</v>
      </c>
      <c r="I37" s="729">
        <f t="shared" si="50"/>
        <v>4908.37</v>
      </c>
      <c r="J37" s="728"/>
      <c r="K37" s="729"/>
      <c r="L37" s="746">
        <f t="shared" si="45"/>
        <v>149741.9009999999</v>
      </c>
      <c r="M37" s="770"/>
      <c r="N37" s="554"/>
      <c r="O37" s="729"/>
      <c r="P37" s="728"/>
      <c r="Q37" s="729"/>
      <c r="R37" s="728"/>
      <c r="S37" s="730"/>
      <c r="T37" s="728"/>
      <c r="U37" s="776"/>
      <c r="V37" s="746">
        <f t="shared" si="49"/>
        <v>0</v>
      </c>
      <c r="W37" s="963">
        <v>44409</v>
      </c>
    </row>
    <row r="38" spans="4:23" outlineLevel="1">
      <c r="D38" s="9" t="b">
        <f t="shared" si="46"/>
        <v>0</v>
      </c>
      <c r="E38" s="9">
        <f t="shared" si="47"/>
        <v>1</v>
      </c>
      <c r="G38" s="957">
        <v>44440</v>
      </c>
      <c r="H38" s="554">
        <f t="shared" si="48"/>
        <v>144203.81999999989</v>
      </c>
      <c r="I38" s="729">
        <f t="shared" si="50"/>
        <v>4863.87</v>
      </c>
      <c r="J38" s="728"/>
      <c r="K38" s="729"/>
      <c r="L38" s="746">
        <f t="shared" si="45"/>
        <v>149067.68999999989</v>
      </c>
      <c r="M38" s="770"/>
      <c r="N38" s="554"/>
      <c r="O38" s="729"/>
      <c r="P38" s="728"/>
      <c r="Q38" s="729"/>
      <c r="R38" s="728"/>
      <c r="S38" s="730"/>
      <c r="T38" s="728"/>
      <c r="U38" s="776"/>
      <c r="V38" s="746">
        <f t="shared" si="49"/>
        <v>0</v>
      </c>
      <c r="W38" s="963">
        <v>44440</v>
      </c>
    </row>
    <row r="39" spans="4:23" outlineLevel="1">
      <c r="D39" s="9" t="b">
        <f t="shared" si="46"/>
        <v>0</v>
      </c>
      <c r="E39" s="9">
        <f t="shared" si="47"/>
        <v>1</v>
      </c>
      <c r="G39" s="957">
        <v>44470</v>
      </c>
      <c r="H39" s="554">
        <f t="shared" si="48"/>
        <v>143574.10899999988</v>
      </c>
      <c r="I39" s="729">
        <f t="shared" si="50"/>
        <v>4819.37</v>
      </c>
      <c r="J39" s="728"/>
      <c r="K39" s="729"/>
      <c r="L39" s="746">
        <f t="shared" si="45"/>
        <v>148393.47899999988</v>
      </c>
      <c r="M39" s="770"/>
      <c r="N39" s="554"/>
      <c r="O39" s="729"/>
      <c r="P39" s="728"/>
      <c r="Q39" s="729"/>
      <c r="R39" s="728"/>
      <c r="S39" s="730"/>
      <c r="T39" s="728"/>
      <c r="U39" s="776"/>
      <c r="V39" s="746">
        <f t="shared" si="49"/>
        <v>0</v>
      </c>
      <c r="W39" s="963">
        <v>44470</v>
      </c>
    </row>
    <row r="40" spans="4:23" outlineLevel="1">
      <c r="D40" s="9" t="b">
        <f t="shared" si="46"/>
        <v>0</v>
      </c>
      <c r="E40" s="9">
        <f t="shared" si="47"/>
        <v>1</v>
      </c>
      <c r="G40" s="957">
        <v>44501</v>
      </c>
      <c r="H40" s="554">
        <f t="shared" si="48"/>
        <v>142944.39799999987</v>
      </c>
      <c r="I40" s="729">
        <f t="shared" si="50"/>
        <v>4774.87</v>
      </c>
      <c r="J40" s="728"/>
      <c r="K40" s="729"/>
      <c r="L40" s="746">
        <f t="shared" si="45"/>
        <v>147719.26799999987</v>
      </c>
      <c r="M40" s="770"/>
      <c r="N40" s="554"/>
      <c r="O40" s="729"/>
      <c r="P40" s="728"/>
      <c r="Q40" s="729"/>
      <c r="R40" s="728"/>
      <c r="S40" s="730"/>
      <c r="T40" s="728"/>
      <c r="U40" s="776"/>
      <c r="V40" s="746">
        <f t="shared" si="49"/>
        <v>0</v>
      </c>
      <c r="W40" s="963">
        <v>44501</v>
      </c>
    </row>
    <row r="41" spans="4:23" outlineLevel="1">
      <c r="D41" s="9" t="b">
        <f t="shared" si="46"/>
        <v>0</v>
      </c>
      <c r="E41" s="9">
        <f t="shared" si="47"/>
        <v>1</v>
      </c>
      <c r="G41" s="957">
        <v>44531</v>
      </c>
      <c r="H41" s="554">
        <f t="shared" si="48"/>
        <v>142314.68699999986</v>
      </c>
      <c r="I41" s="729">
        <f t="shared" si="50"/>
        <v>4730.37</v>
      </c>
      <c r="J41" s="728"/>
      <c r="K41" s="729"/>
      <c r="L41" s="746">
        <f t="shared" si="45"/>
        <v>147045.05699999986</v>
      </c>
      <c r="M41" s="770"/>
      <c r="N41" s="554"/>
      <c r="O41" s="729"/>
      <c r="P41" s="728"/>
      <c r="Q41" s="729"/>
      <c r="R41" s="728"/>
      <c r="S41" s="730"/>
      <c r="T41" s="728"/>
      <c r="U41" s="776"/>
      <c r="V41" s="746">
        <f t="shared" si="49"/>
        <v>0</v>
      </c>
      <c r="W41" s="963">
        <v>44531</v>
      </c>
    </row>
    <row r="42" spans="4:23" outlineLevel="1">
      <c r="D42" s="9" t="b">
        <f t="shared" si="46"/>
        <v>0</v>
      </c>
      <c r="E42" s="9">
        <f t="shared" si="47"/>
        <v>1</v>
      </c>
      <c r="G42" s="957">
        <v>44562</v>
      </c>
      <c r="H42" s="554">
        <f t="shared" si="48"/>
        <v>141684.97599999985</v>
      </c>
      <c r="I42" s="729">
        <f t="shared" si="50"/>
        <v>4685.87</v>
      </c>
      <c r="J42" s="728"/>
      <c r="K42" s="729"/>
      <c r="L42" s="746">
        <f t="shared" si="45"/>
        <v>146370.84599999984</v>
      </c>
      <c r="M42" s="770"/>
      <c r="N42" s="554"/>
      <c r="O42" s="729"/>
      <c r="P42" s="728"/>
      <c r="Q42" s="729"/>
      <c r="R42" s="728"/>
      <c r="S42" s="730"/>
      <c r="T42" s="728"/>
      <c r="U42" s="776"/>
      <c r="V42" s="746">
        <f t="shared" si="49"/>
        <v>0</v>
      </c>
      <c r="W42" s="963">
        <v>44562</v>
      </c>
    </row>
    <row r="43" spans="4:23" outlineLevel="1">
      <c r="D43" s="9" t="b">
        <f t="shared" si="46"/>
        <v>0</v>
      </c>
      <c r="E43" s="9">
        <f t="shared" si="47"/>
        <v>1</v>
      </c>
      <c r="G43" s="957">
        <v>44593</v>
      </c>
      <c r="H43" s="554">
        <f t="shared" si="48"/>
        <v>141055.26499999984</v>
      </c>
      <c r="I43" s="729">
        <f t="shared" si="50"/>
        <v>4641.37</v>
      </c>
      <c r="J43" s="728">
        <f>J44+185.5+16</f>
        <v>22325.75</v>
      </c>
      <c r="K43" s="729"/>
      <c r="L43" s="746">
        <f t="shared" si="45"/>
        <v>168022.38499999983</v>
      </c>
      <c r="M43" s="770"/>
      <c r="N43" s="554"/>
      <c r="O43" s="729"/>
      <c r="P43" s="728"/>
      <c r="Q43" s="729"/>
      <c r="R43" s="728"/>
      <c r="S43" s="730"/>
      <c r="T43" s="728"/>
      <c r="U43" s="776"/>
      <c r="V43" s="746">
        <f t="shared" si="49"/>
        <v>0</v>
      </c>
      <c r="W43" s="963">
        <v>44593</v>
      </c>
    </row>
    <row r="44" spans="4:23" outlineLevel="1">
      <c r="D44" s="9" t="b">
        <f t="shared" si="46"/>
        <v>0</v>
      </c>
      <c r="E44" s="9">
        <f t="shared" si="47"/>
        <v>1</v>
      </c>
      <c r="G44" s="957">
        <v>44621</v>
      </c>
      <c r="H44" s="554">
        <f t="shared" si="48"/>
        <v>140425.55399999983</v>
      </c>
      <c r="I44" s="729">
        <f t="shared" si="50"/>
        <v>4596.87</v>
      </c>
      <c r="J44" s="728">
        <v>22124.25</v>
      </c>
      <c r="K44" s="729"/>
      <c r="L44" s="746">
        <f t="shared" si="45"/>
        <v>167146.67399999982</v>
      </c>
      <c r="M44" s="770"/>
      <c r="N44" s="554"/>
      <c r="O44" s="729"/>
      <c r="P44" s="728"/>
      <c r="Q44" s="729"/>
      <c r="R44" s="728"/>
      <c r="S44" s="730"/>
      <c r="T44" s="728"/>
      <c r="U44" s="776"/>
      <c r="V44" s="746">
        <f t="shared" si="49"/>
        <v>0</v>
      </c>
      <c r="W44" s="963">
        <v>44621</v>
      </c>
    </row>
    <row r="45" spans="4:23" outlineLevel="1">
      <c r="D45" s="9" t="b">
        <f t="shared" si="46"/>
        <v>0</v>
      </c>
      <c r="E45" s="9">
        <f t="shared" si="47"/>
        <v>1</v>
      </c>
      <c r="G45" s="957">
        <v>44652</v>
      </c>
      <c r="H45" s="554">
        <f t="shared" si="48"/>
        <v>139795.84299999982</v>
      </c>
      <c r="I45" s="729">
        <f t="shared" si="50"/>
        <v>4552.37</v>
      </c>
      <c r="J45" s="728">
        <v>21938.5</v>
      </c>
      <c r="K45" s="729">
        <v>7697.05</v>
      </c>
      <c r="L45" s="746">
        <f t="shared" si="45"/>
        <v>173983.7629999998</v>
      </c>
      <c r="M45" s="770"/>
      <c r="N45" s="554"/>
      <c r="O45" s="729"/>
      <c r="P45" s="728"/>
      <c r="Q45" s="729"/>
      <c r="R45" s="728"/>
      <c r="S45" s="730"/>
      <c r="T45" s="728"/>
      <c r="U45" s="776"/>
      <c r="V45" s="746">
        <f t="shared" si="49"/>
        <v>0</v>
      </c>
      <c r="W45" s="963">
        <v>44652</v>
      </c>
    </row>
    <row r="46" spans="4:23" outlineLevel="1">
      <c r="D46" s="9" t="b">
        <f t="shared" si="46"/>
        <v>0</v>
      </c>
      <c r="E46" s="9">
        <f t="shared" si="47"/>
        <v>1</v>
      </c>
      <c r="G46" s="957">
        <v>44682</v>
      </c>
      <c r="H46" s="554">
        <f t="shared" si="48"/>
        <v>139166.13199999981</v>
      </c>
      <c r="I46" s="729">
        <f t="shared" si="50"/>
        <v>4507.87</v>
      </c>
      <c r="J46" s="728">
        <v>21750.75</v>
      </c>
      <c r="K46" s="729">
        <v>7616.55</v>
      </c>
      <c r="L46" s="746">
        <f t="shared" si="45"/>
        <v>173041.30199999979</v>
      </c>
      <c r="M46" s="770"/>
      <c r="N46" s="554"/>
      <c r="O46" s="729"/>
      <c r="P46" s="728"/>
      <c r="Q46" s="729"/>
      <c r="R46" s="728"/>
      <c r="S46" s="730"/>
      <c r="T46" s="728"/>
      <c r="U46" s="776"/>
      <c r="V46" s="746">
        <f t="shared" si="49"/>
        <v>0</v>
      </c>
      <c r="W46" s="963">
        <v>44682</v>
      </c>
    </row>
    <row r="47" spans="4:23" outlineLevel="1">
      <c r="D47" s="9" t="b">
        <f t="shared" si="46"/>
        <v>0</v>
      </c>
      <c r="E47" s="9">
        <f t="shared" si="47"/>
        <v>1</v>
      </c>
      <c r="G47" s="957">
        <v>44713</v>
      </c>
      <c r="H47" s="554">
        <f t="shared" si="48"/>
        <v>138536.4209999998</v>
      </c>
      <c r="I47" s="729">
        <f t="shared" si="50"/>
        <v>4463.37</v>
      </c>
      <c r="J47" s="728">
        <v>21565</v>
      </c>
      <c r="K47" s="729">
        <v>7536.05</v>
      </c>
      <c r="L47" s="746">
        <f t="shared" si="45"/>
        <v>172100.84099999978</v>
      </c>
      <c r="M47" s="770"/>
      <c r="N47" s="554"/>
      <c r="O47" s="729"/>
      <c r="P47" s="728"/>
      <c r="Q47" s="729"/>
      <c r="R47" s="728"/>
      <c r="S47" s="730"/>
      <c r="T47" s="728"/>
      <c r="U47" s="776"/>
      <c r="V47" s="746">
        <f t="shared" si="49"/>
        <v>0</v>
      </c>
      <c r="W47" s="963">
        <v>44713</v>
      </c>
    </row>
    <row r="48" spans="4:23" outlineLevel="1">
      <c r="D48" s="9" t="b">
        <f t="shared" si="46"/>
        <v>0</v>
      </c>
      <c r="E48" s="9">
        <f t="shared" si="47"/>
        <v>1</v>
      </c>
      <c r="G48" s="957">
        <v>44743</v>
      </c>
      <c r="H48" s="554">
        <f t="shared" si="48"/>
        <v>137906.70999999979</v>
      </c>
      <c r="I48" s="729">
        <f t="shared" si="50"/>
        <v>4418.87</v>
      </c>
      <c r="J48" s="728">
        <v>21379.25</v>
      </c>
      <c r="K48" s="729">
        <v>7455.55</v>
      </c>
      <c r="L48" s="746">
        <f t="shared" si="45"/>
        <v>171160.37999999977</v>
      </c>
      <c r="M48" s="770"/>
      <c r="N48" s="554"/>
      <c r="O48" s="729"/>
      <c r="P48" s="728"/>
      <c r="Q48" s="729"/>
      <c r="R48" s="728"/>
      <c r="S48" s="730"/>
      <c r="T48" s="728"/>
      <c r="U48" s="776"/>
      <c r="V48" s="746">
        <f t="shared" si="49"/>
        <v>0</v>
      </c>
      <c r="W48" s="963">
        <v>44743</v>
      </c>
    </row>
    <row r="49" spans="4:23" outlineLevel="1">
      <c r="D49" s="9" t="b">
        <f t="shared" si="46"/>
        <v>0</v>
      </c>
      <c r="E49" s="9">
        <f t="shared" si="47"/>
        <v>1</v>
      </c>
      <c r="G49" s="957">
        <v>44774</v>
      </c>
      <c r="H49" s="554">
        <f t="shared" si="48"/>
        <v>137276.99899999978</v>
      </c>
      <c r="I49" s="729">
        <f t="shared" si="50"/>
        <v>4374.37</v>
      </c>
      <c r="J49" s="728">
        <v>21193.5</v>
      </c>
      <c r="K49" s="729">
        <v>7375.05</v>
      </c>
      <c r="L49" s="746">
        <f t="shared" si="45"/>
        <v>170219.91899999976</v>
      </c>
      <c r="M49" s="770"/>
      <c r="N49" s="554"/>
      <c r="O49" s="729"/>
      <c r="P49" s="728"/>
      <c r="Q49" s="729"/>
      <c r="R49" s="728"/>
      <c r="S49" s="730"/>
      <c r="T49" s="728"/>
      <c r="U49" s="776"/>
      <c r="V49" s="746">
        <f t="shared" si="49"/>
        <v>0</v>
      </c>
      <c r="W49" s="963">
        <v>44774</v>
      </c>
    </row>
    <row r="50" spans="4:23" outlineLevel="1">
      <c r="D50" s="9" t="b">
        <f t="shared" si="46"/>
        <v>0</v>
      </c>
      <c r="E50" s="9">
        <f t="shared" si="47"/>
        <v>1</v>
      </c>
      <c r="G50" s="957">
        <v>44805</v>
      </c>
      <c r="H50" s="554">
        <f t="shared" si="48"/>
        <v>136647.28799999977</v>
      </c>
      <c r="I50" s="729">
        <f t="shared" si="50"/>
        <v>4329.87</v>
      </c>
      <c r="J50" s="728">
        <v>21007.75</v>
      </c>
      <c r="K50" s="729">
        <v>7294.55</v>
      </c>
      <c r="L50" s="746">
        <f t="shared" si="45"/>
        <v>169279.45799999975</v>
      </c>
      <c r="M50" s="770"/>
      <c r="N50" s="554"/>
      <c r="O50" s="729"/>
      <c r="P50" s="728"/>
      <c r="Q50" s="729"/>
      <c r="R50" s="728"/>
      <c r="S50" s="730"/>
      <c r="T50" s="728"/>
      <c r="U50" s="776"/>
      <c r="V50" s="746">
        <f t="shared" si="49"/>
        <v>0</v>
      </c>
      <c r="W50" s="963">
        <v>44805</v>
      </c>
    </row>
    <row r="51" spans="4:23" outlineLevel="1">
      <c r="D51" s="9" t="b">
        <f t="shared" si="46"/>
        <v>0</v>
      </c>
      <c r="E51" s="9">
        <f t="shared" si="47"/>
        <v>1</v>
      </c>
      <c r="G51" s="957">
        <v>44835</v>
      </c>
      <c r="H51" s="554">
        <f t="shared" si="48"/>
        <v>136017.57699999976</v>
      </c>
      <c r="I51" s="729">
        <f t="shared" si="50"/>
        <v>4285.37</v>
      </c>
      <c r="J51" s="728">
        <v>20822</v>
      </c>
      <c r="K51" s="729">
        <v>7214.05</v>
      </c>
      <c r="L51" s="746">
        <f t="shared" si="45"/>
        <v>168338.99699999974</v>
      </c>
      <c r="M51" s="770"/>
      <c r="N51" s="554"/>
      <c r="O51" s="729"/>
      <c r="P51" s="728"/>
      <c r="Q51" s="729"/>
      <c r="R51" s="728"/>
      <c r="S51" s="730"/>
      <c r="T51" s="728"/>
      <c r="U51" s="776"/>
      <c r="V51" s="746">
        <f t="shared" si="49"/>
        <v>0</v>
      </c>
      <c r="W51" s="963">
        <v>44835</v>
      </c>
    </row>
    <row r="52" spans="4:23" outlineLevel="1">
      <c r="D52" s="9" t="b">
        <f t="shared" si="46"/>
        <v>0</v>
      </c>
      <c r="E52" s="9">
        <f t="shared" si="47"/>
        <v>1</v>
      </c>
      <c r="G52" s="957">
        <v>44866</v>
      </c>
      <c r="H52" s="554">
        <f t="shared" si="48"/>
        <v>135387.86599999975</v>
      </c>
      <c r="I52" s="729">
        <f t="shared" si="50"/>
        <v>4240.87</v>
      </c>
      <c r="J52" s="728">
        <v>20636.25</v>
      </c>
      <c r="K52" s="729">
        <v>7133.55</v>
      </c>
      <c r="L52" s="746">
        <f t="shared" si="45"/>
        <v>167398.53599999973</v>
      </c>
      <c r="M52" s="770"/>
      <c r="N52" s="554"/>
      <c r="O52" s="729"/>
      <c r="P52" s="728"/>
      <c r="Q52" s="729"/>
      <c r="R52" s="728"/>
      <c r="S52" s="730"/>
      <c r="T52" s="728"/>
      <c r="U52" s="776"/>
      <c r="V52" s="746">
        <f t="shared" si="49"/>
        <v>0</v>
      </c>
      <c r="W52" s="963">
        <v>44866</v>
      </c>
    </row>
    <row r="53" spans="4:23" outlineLevel="1">
      <c r="D53" s="9" t="b">
        <f t="shared" si="46"/>
        <v>0</v>
      </c>
      <c r="E53" s="9">
        <f t="shared" si="47"/>
        <v>1</v>
      </c>
      <c r="G53" s="957">
        <v>44896</v>
      </c>
      <c r="H53" s="554">
        <f t="shared" si="48"/>
        <v>134758.15499999974</v>
      </c>
      <c r="I53" s="729">
        <f t="shared" si="50"/>
        <v>4196.37</v>
      </c>
      <c r="J53" s="728">
        <v>20450.5</v>
      </c>
      <c r="K53" s="729">
        <v>7053.05</v>
      </c>
      <c r="L53" s="746">
        <f t="shared" si="45"/>
        <v>166458.07499999972</v>
      </c>
      <c r="M53" s="770"/>
      <c r="N53" s="554"/>
      <c r="O53" s="729"/>
      <c r="P53" s="728"/>
      <c r="Q53" s="729"/>
      <c r="R53" s="728"/>
      <c r="S53" s="730"/>
      <c r="T53" s="728"/>
      <c r="U53" s="776"/>
      <c r="V53" s="746">
        <f t="shared" si="49"/>
        <v>0</v>
      </c>
      <c r="W53" s="963">
        <v>44896</v>
      </c>
    </row>
    <row r="54" spans="4:23" outlineLevel="1">
      <c r="D54" s="9" t="b">
        <f t="shared" si="46"/>
        <v>0</v>
      </c>
      <c r="E54" s="9">
        <f t="shared" si="47"/>
        <v>1</v>
      </c>
      <c r="G54" s="957">
        <v>44927</v>
      </c>
      <c r="H54" s="554">
        <f t="shared" si="48"/>
        <v>134128.44399999973</v>
      </c>
      <c r="I54" s="729">
        <f t="shared" si="50"/>
        <v>4151.87</v>
      </c>
      <c r="J54" s="728">
        <v>20264.75</v>
      </c>
      <c r="K54" s="729">
        <v>6972.55</v>
      </c>
      <c r="L54" s="746">
        <f t="shared" si="45"/>
        <v>165517.61399999971</v>
      </c>
      <c r="M54" s="770"/>
      <c r="N54" s="554"/>
      <c r="O54" s="729"/>
      <c r="P54" s="728"/>
      <c r="Q54" s="729"/>
      <c r="R54" s="728"/>
      <c r="S54" s="730"/>
      <c r="T54" s="728"/>
      <c r="U54" s="776"/>
      <c r="V54" s="746">
        <f t="shared" si="49"/>
        <v>0</v>
      </c>
      <c r="W54" s="963">
        <v>44927</v>
      </c>
    </row>
    <row r="55" spans="4:23" outlineLevel="1">
      <c r="D55" s="9" t="b">
        <f t="shared" si="46"/>
        <v>0</v>
      </c>
      <c r="E55" s="9">
        <f t="shared" si="47"/>
        <v>1</v>
      </c>
      <c r="G55" s="957">
        <v>44958</v>
      </c>
      <c r="H55" s="554">
        <f t="shared" si="48"/>
        <v>133498.73299999972</v>
      </c>
      <c r="I55" s="729">
        <f t="shared" si="50"/>
        <v>4107.37</v>
      </c>
      <c r="J55" s="728">
        <v>20079</v>
      </c>
      <c r="K55" s="729">
        <v>6892.05</v>
      </c>
      <c r="L55" s="746">
        <f t="shared" si="45"/>
        <v>164577.1529999997</v>
      </c>
      <c r="M55" s="770"/>
      <c r="N55" s="554"/>
      <c r="O55" s="729"/>
      <c r="P55" s="728"/>
      <c r="Q55" s="729"/>
      <c r="R55" s="728"/>
      <c r="S55" s="730"/>
      <c r="T55" s="728"/>
      <c r="U55" s="776"/>
      <c r="V55" s="746">
        <f t="shared" si="49"/>
        <v>0</v>
      </c>
      <c r="W55" s="963">
        <v>44958</v>
      </c>
    </row>
    <row r="56" spans="4:23" outlineLevel="1">
      <c r="D56" s="9" t="b">
        <f t="shared" si="46"/>
        <v>0</v>
      </c>
      <c r="E56" s="9">
        <f t="shared" si="47"/>
        <v>1</v>
      </c>
      <c r="G56" s="957">
        <v>44986</v>
      </c>
      <c r="H56" s="554">
        <f t="shared" si="48"/>
        <v>132869.02199999971</v>
      </c>
      <c r="I56" s="729">
        <f t="shared" si="50"/>
        <v>4062.87</v>
      </c>
      <c r="J56" s="728">
        <v>19893.25</v>
      </c>
      <c r="K56" s="729">
        <v>6811.55</v>
      </c>
      <c r="L56" s="746">
        <f t="shared" si="45"/>
        <v>163636.69199999969</v>
      </c>
      <c r="M56" s="770"/>
      <c r="N56" s="554"/>
      <c r="O56" s="729"/>
      <c r="P56" s="728"/>
      <c r="Q56" s="729"/>
      <c r="R56" s="728"/>
      <c r="S56" s="730"/>
      <c r="T56" s="728"/>
      <c r="U56" s="776"/>
      <c r="V56" s="746">
        <f t="shared" si="49"/>
        <v>0</v>
      </c>
      <c r="W56" s="963">
        <v>44986</v>
      </c>
    </row>
    <row r="57" spans="4:23" outlineLevel="1">
      <c r="D57" s="9" t="b">
        <f t="shared" si="46"/>
        <v>0</v>
      </c>
      <c r="E57" s="9">
        <f t="shared" si="47"/>
        <v>1</v>
      </c>
      <c r="G57" s="957">
        <v>45017</v>
      </c>
      <c r="H57" s="554">
        <f t="shared" si="48"/>
        <v>132239.3109999997</v>
      </c>
      <c r="I57" s="729">
        <f t="shared" si="50"/>
        <v>4018.37</v>
      </c>
      <c r="J57" s="728">
        <v>19707.5</v>
      </c>
      <c r="K57" s="729">
        <v>6729.05</v>
      </c>
      <c r="L57" s="746">
        <f t="shared" si="45"/>
        <v>162694.23099999968</v>
      </c>
      <c r="M57" s="770"/>
      <c r="N57" s="554"/>
      <c r="O57" s="729"/>
      <c r="P57" s="728"/>
      <c r="Q57" s="729"/>
      <c r="R57" s="728"/>
      <c r="S57" s="730"/>
      <c r="T57" s="728"/>
      <c r="U57" s="776"/>
      <c r="V57" s="746">
        <f t="shared" si="49"/>
        <v>0</v>
      </c>
      <c r="W57" s="963">
        <v>45017</v>
      </c>
    </row>
    <row r="58" spans="4:23" outlineLevel="1">
      <c r="D58" s="9" t="b">
        <f t="shared" si="46"/>
        <v>0</v>
      </c>
      <c r="E58" s="9">
        <f t="shared" si="47"/>
        <v>1</v>
      </c>
      <c r="G58" s="957">
        <v>45047</v>
      </c>
      <c r="H58" s="554">
        <f t="shared" si="48"/>
        <v>131609.59999999969</v>
      </c>
      <c r="I58" s="729">
        <f t="shared" si="50"/>
        <v>3973.87</v>
      </c>
      <c r="J58" s="728">
        <v>19519.75</v>
      </c>
      <c r="K58" s="729">
        <v>6648.55</v>
      </c>
      <c r="L58" s="746">
        <f t="shared" si="45"/>
        <v>161751.76999999967</v>
      </c>
      <c r="M58" s="770"/>
      <c r="N58" s="554"/>
      <c r="O58" s="729"/>
      <c r="P58" s="728"/>
      <c r="Q58" s="729"/>
      <c r="R58" s="728"/>
      <c r="S58" s="730"/>
      <c r="T58" s="728"/>
      <c r="U58" s="776"/>
      <c r="V58" s="746">
        <f t="shared" si="49"/>
        <v>0</v>
      </c>
      <c r="W58" s="963">
        <v>45047</v>
      </c>
    </row>
    <row r="59" spans="4:23" outlineLevel="1">
      <c r="D59" s="9" t="b">
        <f t="shared" si="46"/>
        <v>0</v>
      </c>
      <c r="E59" s="9">
        <f t="shared" si="47"/>
        <v>1</v>
      </c>
      <c r="G59" s="957">
        <v>45078</v>
      </c>
      <c r="H59" s="554">
        <f t="shared" si="48"/>
        <v>130979.88899999969</v>
      </c>
      <c r="I59" s="729">
        <f t="shared" si="50"/>
        <v>3929.37</v>
      </c>
      <c r="J59" s="728">
        <v>19334</v>
      </c>
      <c r="K59" s="729">
        <v>6568.05</v>
      </c>
      <c r="L59" s="746">
        <f t="shared" si="45"/>
        <v>160811.30899999969</v>
      </c>
      <c r="M59" s="770"/>
      <c r="N59" s="554"/>
      <c r="O59" s="729"/>
      <c r="P59" s="728"/>
      <c r="Q59" s="729"/>
      <c r="R59" s="728"/>
      <c r="S59" s="730"/>
      <c r="T59" s="728"/>
      <c r="U59" s="776"/>
      <c r="V59" s="746">
        <f t="shared" si="49"/>
        <v>0</v>
      </c>
      <c r="W59" s="963">
        <v>45078</v>
      </c>
    </row>
    <row r="60" spans="4:23" outlineLevel="1">
      <c r="D60" s="9" t="b">
        <f t="shared" si="46"/>
        <v>0</v>
      </c>
      <c r="E60" s="9">
        <f t="shared" si="47"/>
        <v>1</v>
      </c>
      <c r="G60" s="957">
        <v>45108</v>
      </c>
      <c r="H60" s="554">
        <f t="shared" si="48"/>
        <v>130350.17799999969</v>
      </c>
      <c r="I60" s="729">
        <f t="shared" si="50"/>
        <v>3884.87</v>
      </c>
      <c r="J60" s="728">
        <v>19148.25</v>
      </c>
      <c r="K60" s="729">
        <v>6487.55</v>
      </c>
      <c r="L60" s="746">
        <f t="shared" si="45"/>
        <v>159870.84799999968</v>
      </c>
      <c r="M60" s="770"/>
      <c r="N60" s="554"/>
      <c r="O60" s="729"/>
      <c r="P60" s="728"/>
      <c r="Q60" s="729"/>
      <c r="R60" s="728"/>
      <c r="S60" s="730"/>
      <c r="T60" s="728"/>
      <c r="U60" s="776"/>
      <c r="V60" s="746">
        <f t="shared" si="49"/>
        <v>0</v>
      </c>
      <c r="W60" s="963">
        <v>45108</v>
      </c>
    </row>
    <row r="61" spans="4:23" outlineLevel="1">
      <c r="D61" s="9" t="b">
        <f t="shared" si="46"/>
        <v>0</v>
      </c>
      <c r="E61" s="9">
        <f t="shared" si="47"/>
        <v>1</v>
      </c>
      <c r="G61" s="957">
        <v>45139</v>
      </c>
      <c r="H61" s="554">
        <f t="shared" si="48"/>
        <v>129720.4669999997</v>
      </c>
      <c r="I61" s="729">
        <f t="shared" si="50"/>
        <v>3840.37</v>
      </c>
      <c r="J61" s="728">
        <v>18962.5</v>
      </c>
      <c r="K61" s="729">
        <v>6407.05</v>
      </c>
      <c r="L61" s="746">
        <f t="shared" si="45"/>
        <v>158930.3869999997</v>
      </c>
      <c r="M61" s="770"/>
      <c r="N61" s="554"/>
      <c r="O61" s="729"/>
      <c r="P61" s="728"/>
      <c r="Q61" s="729"/>
      <c r="R61" s="728"/>
      <c r="S61" s="730"/>
      <c r="T61" s="728"/>
      <c r="U61" s="776"/>
      <c r="V61" s="746">
        <f t="shared" si="49"/>
        <v>0</v>
      </c>
      <c r="W61" s="963">
        <v>45139</v>
      </c>
    </row>
    <row r="62" spans="4:23" outlineLevel="1">
      <c r="D62" s="9" t="b">
        <f t="shared" si="46"/>
        <v>0</v>
      </c>
      <c r="E62" s="9">
        <f t="shared" si="47"/>
        <v>1</v>
      </c>
      <c r="G62" s="957">
        <v>45170</v>
      </c>
      <c r="H62" s="554">
        <f t="shared" si="48"/>
        <v>129090.7559999997</v>
      </c>
      <c r="I62" s="729">
        <f t="shared" si="50"/>
        <v>3795.87</v>
      </c>
      <c r="J62" s="728">
        <v>18776.75</v>
      </c>
      <c r="K62" s="729">
        <v>6326.55</v>
      </c>
      <c r="L62" s="746">
        <f t="shared" si="45"/>
        <v>157989.92599999969</v>
      </c>
      <c r="M62" s="770"/>
      <c r="N62" s="554"/>
      <c r="O62" s="729"/>
      <c r="P62" s="728"/>
      <c r="Q62" s="729"/>
      <c r="R62" s="728"/>
      <c r="S62" s="730"/>
      <c r="T62" s="728"/>
      <c r="U62" s="776"/>
      <c r="V62" s="746">
        <f t="shared" si="49"/>
        <v>0</v>
      </c>
      <c r="W62" s="963">
        <v>45170</v>
      </c>
    </row>
    <row r="63" spans="4:23" outlineLevel="1">
      <c r="D63" s="9" t="b">
        <f t="shared" si="46"/>
        <v>0</v>
      </c>
      <c r="E63" s="9">
        <f t="shared" si="47"/>
        <v>1</v>
      </c>
      <c r="G63" s="957">
        <v>45200</v>
      </c>
      <c r="H63" s="554">
        <f t="shared" si="48"/>
        <v>128461.04499999971</v>
      </c>
      <c r="I63" s="729">
        <f t="shared" ref="I63:I94" si="51">I62-$I$7</f>
        <v>3751.37</v>
      </c>
      <c r="J63" s="728">
        <v>18591</v>
      </c>
      <c r="K63" s="729">
        <v>6246.05</v>
      </c>
      <c r="L63" s="746">
        <f t="shared" si="45"/>
        <v>157049.46499999971</v>
      </c>
      <c r="M63" s="770"/>
      <c r="N63" s="554"/>
      <c r="O63" s="729"/>
      <c r="P63" s="728"/>
      <c r="Q63" s="729"/>
      <c r="R63" s="728"/>
      <c r="S63" s="730"/>
      <c r="T63" s="728"/>
      <c r="U63" s="776"/>
      <c r="V63" s="746">
        <f t="shared" si="49"/>
        <v>0</v>
      </c>
      <c r="W63" s="963">
        <v>45200</v>
      </c>
    </row>
    <row r="64" spans="4:23" outlineLevel="1">
      <c r="D64" s="9" t="b">
        <f t="shared" si="46"/>
        <v>0</v>
      </c>
      <c r="E64" s="9">
        <f t="shared" si="47"/>
        <v>1</v>
      </c>
      <c r="G64" s="957">
        <v>45231</v>
      </c>
      <c r="H64" s="554">
        <f t="shared" si="48"/>
        <v>127831.33399999971</v>
      </c>
      <c r="I64" s="729">
        <f t="shared" si="51"/>
        <v>3706.87</v>
      </c>
      <c r="J64" s="728">
        <v>18405.25</v>
      </c>
      <c r="K64" s="729">
        <v>6165.55</v>
      </c>
      <c r="L64" s="746">
        <f t="shared" si="45"/>
        <v>156109.0039999997</v>
      </c>
      <c r="M64" s="770"/>
      <c r="N64" s="554"/>
      <c r="O64" s="729"/>
      <c r="P64" s="728"/>
      <c r="Q64" s="729"/>
      <c r="R64" s="728"/>
      <c r="S64" s="730"/>
      <c r="T64" s="728"/>
      <c r="U64" s="776"/>
      <c r="V64" s="746">
        <f t="shared" si="49"/>
        <v>0</v>
      </c>
      <c r="W64" s="963">
        <v>45231</v>
      </c>
    </row>
    <row r="65" spans="4:23" outlineLevel="1">
      <c r="D65" s="9" t="b">
        <f t="shared" si="46"/>
        <v>0</v>
      </c>
      <c r="E65" s="9">
        <f t="shared" si="47"/>
        <v>1</v>
      </c>
      <c r="G65" s="957">
        <v>45261</v>
      </c>
      <c r="H65" s="554">
        <f t="shared" si="48"/>
        <v>127201.62299999972</v>
      </c>
      <c r="I65" s="729">
        <f t="shared" si="51"/>
        <v>3662.37</v>
      </c>
      <c r="J65" s="728">
        <v>18219.5</v>
      </c>
      <c r="K65" s="729">
        <v>6085.05</v>
      </c>
      <c r="L65" s="746">
        <f t="shared" si="45"/>
        <v>155168.54299999971</v>
      </c>
      <c r="M65" s="770"/>
      <c r="N65" s="554"/>
      <c r="O65" s="729"/>
      <c r="P65" s="728"/>
      <c r="Q65" s="729"/>
      <c r="R65" s="728"/>
      <c r="S65" s="730"/>
      <c r="T65" s="728"/>
      <c r="U65" s="776"/>
      <c r="V65" s="746">
        <f t="shared" si="49"/>
        <v>0</v>
      </c>
      <c r="W65" s="963">
        <v>45261</v>
      </c>
    </row>
    <row r="66" spans="4:23" outlineLevel="1">
      <c r="D66" s="9" t="b">
        <f t="shared" si="46"/>
        <v>0</v>
      </c>
      <c r="E66" s="9">
        <f t="shared" si="47"/>
        <v>1</v>
      </c>
      <c r="G66" s="957">
        <v>45292</v>
      </c>
      <c r="H66" s="554">
        <f t="shared" si="48"/>
        <v>126571.91199999972</v>
      </c>
      <c r="I66" s="729">
        <f t="shared" si="51"/>
        <v>3617.87</v>
      </c>
      <c r="J66" s="728">
        <v>18033.75</v>
      </c>
      <c r="K66" s="729">
        <v>6004.55</v>
      </c>
      <c r="L66" s="746">
        <f t="shared" si="45"/>
        <v>154228.0819999997</v>
      </c>
      <c r="M66" s="770"/>
      <c r="N66" s="554"/>
      <c r="O66" s="729"/>
      <c r="P66" s="728"/>
      <c r="Q66" s="729"/>
      <c r="R66" s="728"/>
      <c r="S66" s="730"/>
      <c r="T66" s="728"/>
      <c r="U66" s="776"/>
      <c r="V66" s="746">
        <f t="shared" si="49"/>
        <v>0</v>
      </c>
      <c r="W66" s="963">
        <v>45292</v>
      </c>
    </row>
    <row r="67" spans="4:23" outlineLevel="1">
      <c r="D67" s="9" t="b">
        <f t="shared" si="46"/>
        <v>0</v>
      </c>
      <c r="E67" s="9">
        <f t="shared" si="47"/>
        <v>1</v>
      </c>
      <c r="G67" s="957">
        <v>45323</v>
      </c>
      <c r="H67" s="554">
        <f t="shared" si="48"/>
        <v>125942.20099999972</v>
      </c>
      <c r="I67" s="729">
        <f t="shared" si="51"/>
        <v>3573.37</v>
      </c>
      <c r="J67" s="728">
        <v>17848</v>
      </c>
      <c r="K67" s="729">
        <v>5924.05</v>
      </c>
      <c r="L67" s="746">
        <f t="shared" si="45"/>
        <v>153287.62099999969</v>
      </c>
      <c r="M67" s="770"/>
      <c r="N67" s="554"/>
      <c r="O67" s="729"/>
      <c r="P67" s="728"/>
      <c r="Q67" s="729"/>
      <c r="R67" s="728"/>
      <c r="S67" s="730"/>
      <c r="T67" s="728"/>
      <c r="U67" s="776"/>
      <c r="V67" s="746">
        <f t="shared" si="49"/>
        <v>0</v>
      </c>
      <c r="W67" s="963">
        <v>45323</v>
      </c>
    </row>
    <row r="68" spans="4:23" outlineLevel="1">
      <c r="D68" s="9" t="b">
        <f t="shared" si="46"/>
        <v>0</v>
      </c>
      <c r="E68" s="9">
        <f t="shared" si="47"/>
        <v>1</v>
      </c>
      <c r="G68" s="957">
        <v>45352</v>
      </c>
      <c r="H68" s="554">
        <f t="shared" si="48"/>
        <v>125312.48999999973</v>
      </c>
      <c r="I68" s="729">
        <f t="shared" si="51"/>
        <v>3528.87</v>
      </c>
      <c r="J68" s="728">
        <v>17662.25</v>
      </c>
      <c r="K68" s="729">
        <v>5843.55</v>
      </c>
      <c r="L68" s="746">
        <f t="shared" si="45"/>
        <v>152347.15999999971</v>
      </c>
      <c r="M68" s="770"/>
      <c r="N68" s="554"/>
      <c r="O68" s="729"/>
      <c r="P68" s="728"/>
      <c r="Q68" s="729"/>
      <c r="R68" s="728"/>
      <c r="S68" s="730"/>
      <c r="T68" s="728"/>
      <c r="U68" s="776"/>
      <c r="V68" s="746">
        <f t="shared" si="49"/>
        <v>0</v>
      </c>
      <c r="W68" s="963">
        <v>45352</v>
      </c>
    </row>
    <row r="69" spans="4:23" outlineLevel="1">
      <c r="D69" s="9" t="b">
        <f t="shared" si="46"/>
        <v>0</v>
      </c>
      <c r="E69" s="9">
        <f t="shared" si="47"/>
        <v>1</v>
      </c>
      <c r="G69" s="957">
        <v>45383</v>
      </c>
      <c r="H69" s="554">
        <f t="shared" si="48"/>
        <v>124682.77899999973</v>
      </c>
      <c r="I69" s="729">
        <f t="shared" si="51"/>
        <v>3484.37</v>
      </c>
      <c r="J69" s="728">
        <v>17476.5</v>
      </c>
      <c r="K69" s="729">
        <v>5761.05</v>
      </c>
      <c r="L69" s="746">
        <f t="shared" si="45"/>
        <v>151404.69899999973</v>
      </c>
      <c r="M69" s="770"/>
      <c r="N69" s="554"/>
      <c r="O69" s="729"/>
      <c r="P69" s="728"/>
      <c r="Q69" s="729"/>
      <c r="R69" s="728"/>
      <c r="S69" s="730"/>
      <c r="T69" s="728"/>
      <c r="U69" s="776"/>
      <c r="V69" s="746">
        <f t="shared" si="49"/>
        <v>0</v>
      </c>
      <c r="W69" s="963">
        <v>45383</v>
      </c>
    </row>
    <row r="70" spans="4:23" outlineLevel="1">
      <c r="D70" s="9" t="b">
        <f t="shared" si="46"/>
        <v>0</v>
      </c>
      <c r="E70" s="9">
        <f t="shared" si="47"/>
        <v>1</v>
      </c>
      <c r="G70" s="957">
        <v>45413</v>
      </c>
      <c r="H70" s="554">
        <f t="shared" si="48"/>
        <v>124053.06799999974</v>
      </c>
      <c r="I70" s="729">
        <f t="shared" si="51"/>
        <v>3439.87</v>
      </c>
      <c r="J70" s="728">
        <v>17288.75</v>
      </c>
      <c r="K70" s="729">
        <v>5680.55</v>
      </c>
      <c r="L70" s="746">
        <f t="shared" si="45"/>
        <v>150462.23799999972</v>
      </c>
      <c r="M70" s="770"/>
      <c r="N70" s="554"/>
      <c r="O70" s="729"/>
      <c r="P70" s="728"/>
      <c r="Q70" s="729"/>
      <c r="R70" s="728"/>
      <c r="S70" s="730"/>
      <c r="T70" s="728"/>
      <c r="U70" s="776"/>
      <c r="V70" s="746">
        <f t="shared" si="49"/>
        <v>0</v>
      </c>
      <c r="W70" s="963">
        <v>45413</v>
      </c>
    </row>
    <row r="71" spans="4:23" outlineLevel="1">
      <c r="D71" s="9" t="b">
        <f t="shared" si="46"/>
        <v>0</v>
      </c>
      <c r="E71" s="9">
        <f t="shared" si="47"/>
        <v>1</v>
      </c>
      <c r="G71" s="957">
        <v>45444</v>
      </c>
      <c r="H71" s="554">
        <f t="shared" si="48"/>
        <v>123423.35699999974</v>
      </c>
      <c r="I71" s="729">
        <f t="shared" si="51"/>
        <v>3395.37</v>
      </c>
      <c r="J71" s="728">
        <v>17103</v>
      </c>
      <c r="K71" s="729">
        <v>5600.05</v>
      </c>
      <c r="L71" s="746">
        <f t="shared" si="45"/>
        <v>149521.77699999971</v>
      </c>
      <c r="M71" s="770"/>
      <c r="N71" s="554"/>
      <c r="O71" s="729"/>
      <c r="P71" s="728"/>
      <c r="Q71" s="729"/>
      <c r="R71" s="728"/>
      <c r="S71" s="730"/>
      <c r="T71" s="728"/>
      <c r="U71" s="776"/>
      <c r="V71" s="746">
        <f t="shared" si="49"/>
        <v>0</v>
      </c>
      <c r="W71" s="963">
        <v>45444</v>
      </c>
    </row>
    <row r="72" spans="4:23" outlineLevel="1">
      <c r="D72" s="9" t="b">
        <f t="shared" si="46"/>
        <v>0</v>
      </c>
      <c r="E72" s="9">
        <f t="shared" si="47"/>
        <v>1</v>
      </c>
      <c r="G72" s="957">
        <v>45474</v>
      </c>
      <c r="H72" s="554">
        <f t="shared" si="48"/>
        <v>122793.64599999975</v>
      </c>
      <c r="I72" s="729">
        <f t="shared" si="51"/>
        <v>3350.87</v>
      </c>
      <c r="J72" s="728">
        <v>16917.25</v>
      </c>
      <c r="K72" s="729">
        <v>5519.55</v>
      </c>
      <c r="L72" s="746">
        <f t="shared" si="45"/>
        <v>148581.31599999973</v>
      </c>
      <c r="M72" s="770"/>
      <c r="N72" s="554"/>
      <c r="O72" s="729"/>
      <c r="P72" s="728"/>
      <c r="Q72" s="729"/>
      <c r="R72" s="728"/>
      <c r="S72" s="730"/>
      <c r="T72" s="728"/>
      <c r="U72" s="776"/>
      <c r="V72" s="746">
        <f t="shared" si="49"/>
        <v>0</v>
      </c>
      <c r="W72" s="963">
        <v>45474</v>
      </c>
    </row>
    <row r="73" spans="4:23" outlineLevel="1">
      <c r="D73" s="9" t="b">
        <f t="shared" si="46"/>
        <v>0</v>
      </c>
      <c r="E73" s="9">
        <f t="shared" si="47"/>
        <v>1</v>
      </c>
      <c r="G73" s="957">
        <v>45505</v>
      </c>
      <c r="H73" s="554">
        <f t="shared" si="48"/>
        <v>122163.93499999975</v>
      </c>
      <c r="I73" s="729">
        <f t="shared" si="51"/>
        <v>3306.37</v>
      </c>
      <c r="J73" s="728">
        <v>16731.5</v>
      </c>
      <c r="K73" s="729">
        <v>5439.05</v>
      </c>
      <c r="L73" s="746">
        <f t="shared" si="45"/>
        <v>147640.85499999975</v>
      </c>
      <c r="M73" s="770"/>
      <c r="N73" s="554"/>
      <c r="O73" s="729"/>
      <c r="P73" s="728"/>
      <c r="Q73" s="729"/>
      <c r="R73" s="728"/>
      <c r="S73" s="730"/>
      <c r="T73" s="728"/>
      <c r="U73" s="776"/>
      <c r="V73" s="746">
        <f t="shared" si="49"/>
        <v>0</v>
      </c>
      <c r="W73" s="963">
        <v>45505</v>
      </c>
    </row>
    <row r="74" spans="4:23" outlineLevel="1">
      <c r="D74" s="9" t="b">
        <f t="shared" si="46"/>
        <v>0</v>
      </c>
      <c r="E74" s="9">
        <f t="shared" si="47"/>
        <v>1</v>
      </c>
      <c r="G74" s="957">
        <v>45536</v>
      </c>
      <c r="H74" s="554">
        <f t="shared" si="48"/>
        <v>121534.22399999975</v>
      </c>
      <c r="I74" s="729">
        <f t="shared" si="51"/>
        <v>3261.87</v>
      </c>
      <c r="J74" s="728">
        <v>16545.75</v>
      </c>
      <c r="K74" s="729">
        <v>5358.55</v>
      </c>
      <c r="L74" s="746">
        <f t="shared" si="45"/>
        <v>146700.39399999974</v>
      </c>
      <c r="M74" s="770"/>
      <c r="N74" s="554"/>
      <c r="O74" s="729"/>
      <c r="P74" s="728"/>
      <c r="Q74" s="729"/>
      <c r="R74" s="728"/>
      <c r="S74" s="730"/>
      <c r="T74" s="728"/>
      <c r="U74" s="776"/>
      <c r="V74" s="746">
        <f t="shared" si="49"/>
        <v>0</v>
      </c>
      <c r="W74" s="963">
        <v>45536</v>
      </c>
    </row>
    <row r="75" spans="4:23" outlineLevel="1">
      <c r="D75" s="9" t="b">
        <f t="shared" si="46"/>
        <v>0</v>
      </c>
      <c r="E75" s="9">
        <f t="shared" si="47"/>
        <v>1</v>
      </c>
      <c r="G75" s="957">
        <v>45566</v>
      </c>
      <c r="H75" s="554">
        <f t="shared" si="48"/>
        <v>120904.51299999976</v>
      </c>
      <c r="I75" s="729">
        <f t="shared" si="51"/>
        <v>3217.37</v>
      </c>
      <c r="J75" s="728">
        <v>16360</v>
      </c>
      <c r="K75" s="729">
        <v>5278.05</v>
      </c>
      <c r="L75" s="746">
        <f t="shared" si="45"/>
        <v>145759.93299999973</v>
      </c>
      <c r="M75" s="770"/>
      <c r="N75" s="554"/>
      <c r="O75" s="729"/>
      <c r="P75" s="728"/>
      <c r="Q75" s="729"/>
      <c r="R75" s="728"/>
      <c r="S75" s="730"/>
      <c r="T75" s="728"/>
      <c r="U75" s="776"/>
      <c r="V75" s="746">
        <f t="shared" si="49"/>
        <v>0</v>
      </c>
      <c r="W75" s="963">
        <v>45566</v>
      </c>
    </row>
    <row r="76" spans="4:23" outlineLevel="1">
      <c r="D76" s="9" t="b">
        <f t="shared" si="46"/>
        <v>0</v>
      </c>
      <c r="E76" s="9">
        <f t="shared" si="47"/>
        <v>1</v>
      </c>
      <c r="G76" s="957">
        <v>45597</v>
      </c>
      <c r="H76" s="554">
        <f t="shared" si="48"/>
        <v>120274.80199999976</v>
      </c>
      <c r="I76" s="729">
        <f t="shared" si="51"/>
        <v>3172.87</v>
      </c>
      <c r="J76" s="728">
        <v>16174.25</v>
      </c>
      <c r="K76" s="729">
        <v>5197.55</v>
      </c>
      <c r="L76" s="746">
        <f t="shared" si="45"/>
        <v>144819.47199999975</v>
      </c>
      <c r="M76" s="770"/>
      <c r="N76" s="554"/>
      <c r="O76" s="729"/>
      <c r="P76" s="728"/>
      <c r="Q76" s="729"/>
      <c r="R76" s="728"/>
      <c r="S76" s="730"/>
      <c r="T76" s="728"/>
      <c r="U76" s="776"/>
      <c r="V76" s="746">
        <f t="shared" si="49"/>
        <v>0</v>
      </c>
      <c r="W76" s="963">
        <v>45597</v>
      </c>
    </row>
    <row r="77" spans="4:23">
      <c r="D77" s="9" t="b">
        <f t="shared" si="46"/>
        <v>0</v>
      </c>
      <c r="E77" s="9">
        <f t="shared" si="47"/>
        <v>1</v>
      </c>
      <c r="G77" s="957">
        <v>45627</v>
      </c>
      <c r="H77" s="554">
        <f t="shared" si="48"/>
        <v>119645.09099999977</v>
      </c>
      <c r="I77" s="729">
        <f t="shared" si="51"/>
        <v>3128.37</v>
      </c>
      <c r="J77" s="728">
        <v>15988.5</v>
      </c>
      <c r="K77" s="729">
        <v>5117.05</v>
      </c>
      <c r="L77" s="746">
        <f t="shared" si="45"/>
        <v>143879.01099999977</v>
      </c>
      <c r="M77" s="770"/>
      <c r="N77" s="554"/>
      <c r="O77" s="729"/>
      <c r="P77" s="728"/>
      <c r="Q77" s="729"/>
      <c r="R77" s="728"/>
      <c r="S77" s="730"/>
      <c r="T77" s="728"/>
      <c r="U77" s="776"/>
      <c r="V77" s="746">
        <f t="shared" si="49"/>
        <v>0</v>
      </c>
      <c r="W77" s="963">
        <v>45627</v>
      </c>
    </row>
    <row r="78" spans="4:23">
      <c r="D78" s="9" t="b">
        <f t="shared" si="46"/>
        <v>0</v>
      </c>
      <c r="E78" s="9">
        <f t="shared" si="47"/>
        <v>1</v>
      </c>
      <c r="G78" s="957">
        <v>45658</v>
      </c>
      <c r="H78" s="554">
        <f t="shared" si="48"/>
        <v>119015.37999999977</v>
      </c>
      <c r="I78" s="729">
        <f t="shared" si="51"/>
        <v>3083.87</v>
      </c>
      <c r="J78" s="728">
        <v>15802.75</v>
      </c>
      <c r="K78" s="729">
        <v>5036.55</v>
      </c>
      <c r="L78" s="746">
        <f t="shared" si="45"/>
        <v>142938.54999999976</v>
      </c>
      <c r="M78" s="770"/>
      <c r="N78" s="554"/>
      <c r="O78" s="729"/>
      <c r="P78" s="768"/>
      <c r="Q78" s="729"/>
      <c r="R78" s="728"/>
      <c r="S78" s="730"/>
      <c r="T78" s="728"/>
      <c r="U78" s="776"/>
      <c r="V78" s="746">
        <f t="shared" si="49"/>
        <v>0</v>
      </c>
      <c r="W78" s="963">
        <v>45658</v>
      </c>
    </row>
    <row r="79" spans="4:23">
      <c r="D79" s="9" t="b">
        <f t="shared" si="46"/>
        <v>0</v>
      </c>
      <c r="E79" s="9">
        <f t="shared" si="47"/>
        <v>1</v>
      </c>
      <c r="G79" s="957">
        <v>45689</v>
      </c>
      <c r="H79" s="554">
        <f t="shared" si="48"/>
        <v>118385.66899999978</v>
      </c>
      <c r="I79" s="729">
        <f t="shared" si="51"/>
        <v>3039.37</v>
      </c>
      <c r="J79" s="728">
        <v>15617</v>
      </c>
      <c r="K79" s="729">
        <v>4956.05</v>
      </c>
      <c r="L79" s="746">
        <f t="shared" si="45"/>
        <v>141998.08899999975</v>
      </c>
      <c r="M79" s="770"/>
      <c r="N79" s="554"/>
      <c r="O79" s="729"/>
      <c r="P79" s="728"/>
      <c r="Q79" s="729"/>
      <c r="R79" s="728"/>
      <c r="S79" s="730"/>
      <c r="T79" s="728"/>
      <c r="U79" s="776"/>
      <c r="V79" s="746">
        <f t="shared" si="49"/>
        <v>0</v>
      </c>
      <c r="W79" s="963">
        <v>45689</v>
      </c>
    </row>
    <row r="80" spans="4:23">
      <c r="D80" s="9" t="b">
        <f t="shared" si="46"/>
        <v>0</v>
      </c>
      <c r="E80" s="9">
        <f t="shared" si="47"/>
        <v>1</v>
      </c>
      <c r="G80" s="957">
        <v>45717</v>
      </c>
      <c r="H80" s="554">
        <f t="shared" si="48"/>
        <v>117755.95799999978</v>
      </c>
      <c r="I80" s="729">
        <f t="shared" si="51"/>
        <v>2994.87</v>
      </c>
      <c r="J80" s="728">
        <v>15431.25</v>
      </c>
      <c r="K80" s="729">
        <v>4875.55</v>
      </c>
      <c r="L80" s="746">
        <f t="shared" si="45"/>
        <v>141057.62799999976</v>
      </c>
      <c r="M80" s="770"/>
      <c r="N80" s="554"/>
      <c r="O80" s="769"/>
      <c r="P80" s="728"/>
      <c r="Q80" s="729"/>
      <c r="R80" s="728"/>
      <c r="S80" s="730"/>
      <c r="T80" s="728"/>
      <c r="U80" s="776"/>
      <c r="V80" s="746">
        <f t="shared" si="49"/>
        <v>0</v>
      </c>
      <c r="W80" s="963">
        <v>45717</v>
      </c>
    </row>
    <row r="81" spans="4:23">
      <c r="D81" s="9" t="b">
        <f t="shared" si="46"/>
        <v>0</v>
      </c>
      <c r="E81" s="9">
        <f t="shared" si="47"/>
        <v>1</v>
      </c>
      <c r="G81" s="957">
        <v>45748</v>
      </c>
      <c r="H81" s="554">
        <f t="shared" si="48"/>
        <v>117126.24699999978</v>
      </c>
      <c r="I81" s="729">
        <f t="shared" si="51"/>
        <v>2950.37</v>
      </c>
      <c r="J81" s="728">
        <v>15245.5</v>
      </c>
      <c r="K81" s="729">
        <v>4793.05</v>
      </c>
      <c r="L81" s="746">
        <f t="shared" si="45"/>
        <v>140115.16699999978</v>
      </c>
      <c r="M81" s="770"/>
      <c r="N81" s="554"/>
      <c r="O81" s="729"/>
      <c r="P81" s="728"/>
      <c r="Q81" s="729"/>
      <c r="R81" s="728"/>
      <c r="S81" s="730"/>
      <c r="T81" s="728"/>
      <c r="U81" s="776"/>
      <c r="V81" s="746">
        <f t="shared" si="49"/>
        <v>0</v>
      </c>
      <c r="W81" s="963">
        <v>45748</v>
      </c>
    </row>
    <row r="82" spans="4:23">
      <c r="D82" s="9" t="b">
        <f t="shared" si="46"/>
        <v>0</v>
      </c>
      <c r="E82" s="9">
        <f t="shared" si="47"/>
        <v>1</v>
      </c>
      <c r="G82" s="957">
        <v>45778</v>
      </c>
      <c r="H82" s="554">
        <f t="shared" si="48"/>
        <v>116496.53599999979</v>
      </c>
      <c r="I82" s="729">
        <f t="shared" si="51"/>
        <v>2905.87</v>
      </c>
      <c r="J82" s="728">
        <v>15057.75</v>
      </c>
      <c r="K82" s="729">
        <v>4712.55</v>
      </c>
      <c r="L82" s="746">
        <f t="shared" si="45"/>
        <v>139172.70599999977</v>
      </c>
      <c r="M82" s="770"/>
      <c r="N82" s="554"/>
      <c r="O82" s="729"/>
      <c r="P82" s="728"/>
      <c r="Q82" s="729"/>
      <c r="R82" s="728"/>
      <c r="S82" s="730"/>
      <c r="T82" s="728"/>
      <c r="U82" s="776"/>
      <c r="V82" s="746">
        <f t="shared" si="49"/>
        <v>0</v>
      </c>
      <c r="W82" s="963">
        <v>45778</v>
      </c>
    </row>
    <row r="83" spans="4:23">
      <c r="D83" s="9" t="b">
        <f t="shared" si="46"/>
        <v>0</v>
      </c>
      <c r="E83" s="9">
        <f t="shared" si="47"/>
        <v>1</v>
      </c>
      <c r="G83" s="957">
        <v>45809</v>
      </c>
      <c r="H83" s="554">
        <f t="shared" si="48"/>
        <v>115866.82499999979</v>
      </c>
      <c r="I83" s="729">
        <f t="shared" si="51"/>
        <v>2861.37</v>
      </c>
      <c r="J83" s="728">
        <v>14872</v>
      </c>
      <c r="K83" s="729">
        <v>4632.05</v>
      </c>
      <c r="L83" s="746">
        <f t="shared" si="45"/>
        <v>138232.24499999976</v>
      </c>
      <c r="M83" s="770"/>
      <c r="N83" s="554"/>
      <c r="O83" s="729"/>
      <c r="P83" s="728"/>
      <c r="Q83" s="729"/>
      <c r="R83" s="728"/>
      <c r="S83" s="730"/>
      <c r="T83" s="728"/>
      <c r="U83" s="776"/>
      <c r="V83" s="746">
        <f t="shared" si="49"/>
        <v>0</v>
      </c>
      <c r="W83" s="963">
        <v>45809</v>
      </c>
    </row>
    <row r="84" spans="4:23">
      <c r="D84" s="9" t="b">
        <f t="shared" si="46"/>
        <v>0</v>
      </c>
      <c r="E84" s="9">
        <f t="shared" si="47"/>
        <v>1</v>
      </c>
      <c r="G84" s="957">
        <v>45839</v>
      </c>
      <c r="H84" s="554">
        <f t="shared" si="48"/>
        <v>115237.1139999998</v>
      </c>
      <c r="I84" s="729">
        <f t="shared" si="51"/>
        <v>2816.87</v>
      </c>
      <c r="J84" s="728">
        <v>14686.25</v>
      </c>
      <c r="K84" s="729">
        <v>4551.55</v>
      </c>
      <c r="L84" s="746">
        <f t="shared" si="45"/>
        <v>137291.78399999978</v>
      </c>
      <c r="M84" s="770"/>
      <c r="N84" s="554"/>
      <c r="O84" s="729"/>
      <c r="P84" s="728"/>
      <c r="Q84" s="729"/>
      <c r="R84" s="728"/>
      <c r="S84" s="730"/>
      <c r="T84" s="728"/>
      <c r="U84" s="776"/>
      <c r="V84" s="746">
        <f t="shared" si="49"/>
        <v>0</v>
      </c>
      <c r="W84" s="963">
        <v>45839</v>
      </c>
    </row>
    <row r="85" spans="4:23">
      <c r="D85" s="9" t="b">
        <f t="shared" si="46"/>
        <v>0</v>
      </c>
      <c r="E85" s="9">
        <f t="shared" si="47"/>
        <v>1</v>
      </c>
      <c r="G85" s="957">
        <v>45870</v>
      </c>
      <c r="H85" s="554">
        <f t="shared" si="48"/>
        <v>114607.4029999998</v>
      </c>
      <c r="I85" s="729">
        <f t="shared" si="51"/>
        <v>2772.37</v>
      </c>
      <c r="J85" s="728">
        <v>14500.5</v>
      </c>
      <c r="K85" s="729">
        <v>4471.05</v>
      </c>
      <c r="L85" s="746">
        <f t="shared" si="45"/>
        <v>136351.3229999998</v>
      </c>
      <c r="M85" s="770"/>
      <c r="N85" s="554"/>
      <c r="O85" s="729"/>
      <c r="P85" s="728"/>
      <c r="Q85" s="729"/>
      <c r="R85" s="728"/>
      <c r="S85" s="730"/>
      <c r="T85" s="728"/>
      <c r="U85" s="776"/>
      <c r="V85" s="746">
        <f t="shared" si="49"/>
        <v>0</v>
      </c>
      <c r="W85" s="963">
        <v>45870</v>
      </c>
    </row>
    <row r="86" spans="4:23">
      <c r="D86" s="9" t="b">
        <f t="shared" si="46"/>
        <v>0</v>
      </c>
      <c r="E86" s="9">
        <f t="shared" si="47"/>
        <v>1</v>
      </c>
      <c r="G86" s="957">
        <v>45901</v>
      </c>
      <c r="H86" s="554">
        <f t="shared" si="48"/>
        <v>113977.69199999981</v>
      </c>
      <c r="I86" s="729">
        <f t="shared" si="51"/>
        <v>2727.87</v>
      </c>
      <c r="J86" s="728">
        <v>14314.75</v>
      </c>
      <c r="K86" s="729">
        <v>4390.55</v>
      </c>
      <c r="L86" s="746">
        <f t="shared" si="45"/>
        <v>135410.86199999979</v>
      </c>
      <c r="M86" s="770"/>
      <c r="N86" s="554"/>
      <c r="O86" s="729"/>
      <c r="P86" s="728"/>
      <c r="Q86" s="729"/>
      <c r="R86" s="728"/>
      <c r="S86" s="729"/>
      <c r="T86" s="728"/>
      <c r="U86" s="776"/>
      <c r="V86" s="746">
        <f t="shared" si="49"/>
        <v>0</v>
      </c>
      <c r="W86" s="963">
        <v>45901</v>
      </c>
    </row>
    <row r="87" spans="4:23">
      <c r="D87" s="9" t="b">
        <f t="shared" si="46"/>
        <v>0</v>
      </c>
      <c r="E87" s="9">
        <f t="shared" si="47"/>
        <v>1</v>
      </c>
      <c r="G87" s="957">
        <v>45931</v>
      </c>
      <c r="H87" s="554">
        <f t="shared" si="48"/>
        <v>113347.98099999981</v>
      </c>
      <c r="I87" s="729">
        <f t="shared" si="51"/>
        <v>2683.37</v>
      </c>
      <c r="J87" s="728">
        <v>14129</v>
      </c>
      <c r="K87" s="729">
        <v>4310.05</v>
      </c>
      <c r="L87" s="746">
        <f t="shared" si="45"/>
        <v>134470.40099999981</v>
      </c>
      <c r="M87" s="770"/>
      <c r="N87" s="554"/>
      <c r="O87" s="729"/>
      <c r="P87" s="728"/>
      <c r="Q87" s="729"/>
      <c r="R87" s="728"/>
      <c r="S87" s="729"/>
      <c r="T87" s="728"/>
      <c r="U87" s="776"/>
      <c r="V87" s="746">
        <f t="shared" si="49"/>
        <v>0</v>
      </c>
      <c r="W87" s="963">
        <v>45931</v>
      </c>
    </row>
    <row r="88" spans="4:23">
      <c r="D88" s="9" t="b">
        <f t="shared" si="46"/>
        <v>0</v>
      </c>
      <c r="E88" s="9">
        <f t="shared" si="47"/>
        <v>1</v>
      </c>
      <c r="G88" s="957">
        <v>45962</v>
      </c>
      <c r="H88" s="554">
        <f t="shared" si="48"/>
        <v>112718.26999999981</v>
      </c>
      <c r="I88" s="729">
        <f t="shared" si="51"/>
        <v>2638.87</v>
      </c>
      <c r="J88" s="728">
        <v>13943.25</v>
      </c>
      <c r="K88" s="729">
        <v>4229.55</v>
      </c>
      <c r="L88" s="746">
        <f t="shared" si="45"/>
        <v>133529.9399999998</v>
      </c>
      <c r="M88" s="770"/>
      <c r="N88" s="554"/>
      <c r="O88" s="729"/>
      <c r="P88" s="728"/>
      <c r="Q88" s="729"/>
      <c r="R88" s="728"/>
      <c r="S88" s="729"/>
      <c r="T88" s="728"/>
      <c r="U88" s="776"/>
      <c r="V88" s="746">
        <f t="shared" si="49"/>
        <v>0</v>
      </c>
      <c r="W88" s="963">
        <v>45962</v>
      </c>
    </row>
    <row r="89" spans="4:23">
      <c r="D89" s="9" t="b">
        <f t="shared" si="46"/>
        <v>0</v>
      </c>
      <c r="E89" s="9">
        <f t="shared" si="47"/>
        <v>1</v>
      </c>
      <c r="G89" s="957">
        <v>45992</v>
      </c>
      <c r="H89" s="554">
        <f t="shared" si="48"/>
        <v>112088.55899999982</v>
      </c>
      <c r="I89" s="729">
        <f t="shared" si="51"/>
        <v>2594.37</v>
      </c>
      <c r="J89" s="728">
        <v>13757.5</v>
      </c>
      <c r="K89" s="729">
        <v>4149.05</v>
      </c>
      <c r="L89" s="746">
        <f t="shared" si="45"/>
        <v>132589.47899999982</v>
      </c>
      <c r="M89" s="770"/>
      <c r="N89" s="554"/>
      <c r="O89" s="729"/>
      <c r="P89" s="728"/>
      <c r="Q89" s="729"/>
      <c r="R89" s="728"/>
      <c r="S89" s="729"/>
      <c r="T89" s="728"/>
      <c r="U89" s="776"/>
      <c r="V89" s="746">
        <f t="shared" si="49"/>
        <v>0</v>
      </c>
      <c r="W89" s="963">
        <v>45992</v>
      </c>
    </row>
    <row r="90" spans="4:23">
      <c r="D90" s="9" t="b">
        <f t="shared" si="46"/>
        <v>0</v>
      </c>
      <c r="E90" s="9">
        <f t="shared" si="47"/>
        <v>1</v>
      </c>
      <c r="G90" s="957">
        <v>46023</v>
      </c>
      <c r="H90" s="554">
        <f t="shared" si="48"/>
        <v>111458.84799999982</v>
      </c>
      <c r="I90" s="729">
        <f t="shared" si="51"/>
        <v>2549.87</v>
      </c>
      <c r="J90" s="728">
        <v>13571.75</v>
      </c>
      <c r="K90" s="729">
        <v>4068.55</v>
      </c>
      <c r="L90" s="746">
        <f t="shared" si="45"/>
        <v>131649.01799999981</v>
      </c>
      <c r="M90" s="770"/>
      <c r="N90" s="554"/>
      <c r="O90" s="729"/>
      <c r="P90" s="728"/>
      <c r="Q90" s="729"/>
      <c r="R90" s="728"/>
      <c r="S90" s="729"/>
      <c r="T90" s="728"/>
      <c r="U90" s="776"/>
      <c r="V90" s="746">
        <f t="shared" si="49"/>
        <v>0</v>
      </c>
      <c r="W90" s="963">
        <v>46023</v>
      </c>
    </row>
    <row r="91" spans="4:23">
      <c r="D91" s="9" t="b">
        <f t="shared" si="46"/>
        <v>0</v>
      </c>
      <c r="E91" s="9">
        <f t="shared" si="47"/>
        <v>1</v>
      </c>
      <c r="G91" s="957">
        <v>46054</v>
      </c>
      <c r="H91" s="554">
        <f t="shared" si="48"/>
        <v>110829.13699999983</v>
      </c>
      <c r="I91" s="729">
        <f t="shared" si="51"/>
        <v>2505.37</v>
      </c>
      <c r="J91" s="728">
        <v>13386</v>
      </c>
      <c r="K91" s="729">
        <v>3988.05</v>
      </c>
      <c r="L91" s="746">
        <f t="shared" si="45"/>
        <v>130708.55699999983</v>
      </c>
      <c r="M91" s="770"/>
      <c r="N91" s="554"/>
      <c r="O91" s="729"/>
      <c r="P91" s="728"/>
      <c r="Q91" s="729"/>
      <c r="R91" s="728"/>
      <c r="S91" s="729"/>
      <c r="T91" s="728"/>
      <c r="U91" s="776"/>
      <c r="V91" s="746">
        <f t="shared" si="49"/>
        <v>0</v>
      </c>
      <c r="W91" s="963">
        <v>46054</v>
      </c>
    </row>
    <row r="92" spans="4:23">
      <c r="D92" s="9" t="b">
        <f t="shared" si="46"/>
        <v>0</v>
      </c>
      <c r="E92" s="9">
        <f t="shared" si="47"/>
        <v>1</v>
      </c>
      <c r="G92" s="957">
        <v>46082</v>
      </c>
      <c r="H92" s="554">
        <f t="shared" si="48"/>
        <v>110199.42599999983</v>
      </c>
      <c r="I92" s="729">
        <f t="shared" si="51"/>
        <v>2460.87</v>
      </c>
      <c r="J92" s="728">
        <v>13200.25</v>
      </c>
      <c r="K92" s="729">
        <v>3907.55</v>
      </c>
      <c r="L92" s="746">
        <f t="shared" ref="L92:L155" si="52">SUM(H92:K92)</f>
        <v>129768.09599999983</v>
      </c>
      <c r="M92" s="770"/>
      <c r="N92" s="554"/>
      <c r="O92" s="1457"/>
      <c r="P92" s="728"/>
      <c r="Q92" s="729"/>
      <c r="R92" s="753"/>
      <c r="S92" s="729"/>
      <c r="T92" s="728"/>
      <c r="U92" s="776"/>
      <c r="V92" s="746">
        <f t="shared" si="49"/>
        <v>0</v>
      </c>
      <c r="W92" s="963">
        <v>46082</v>
      </c>
    </row>
    <row r="93" spans="4:23">
      <c r="D93" s="9" t="b">
        <f t="shared" ref="D93:D156" si="53">IF($B$2=G93,TRUE,FALSE)</f>
        <v>0</v>
      </c>
      <c r="E93" s="9">
        <f t="shared" ref="E93:E156" si="54">IF(G93&lt;=$B$2,1,0)</f>
        <v>1</v>
      </c>
      <c r="G93" s="957">
        <v>46113</v>
      </c>
      <c r="H93" s="554">
        <f t="shared" ref="H93:H156" si="55">H92-$H$7</f>
        <v>109569.71499999984</v>
      </c>
      <c r="I93" s="729">
        <f t="shared" si="51"/>
        <v>2416.37</v>
      </c>
      <c r="J93" s="728">
        <v>13014.5</v>
      </c>
      <c r="K93" s="729">
        <v>3825.05</v>
      </c>
      <c r="L93" s="746">
        <f t="shared" si="52"/>
        <v>128825.63499999983</v>
      </c>
      <c r="M93" s="770"/>
      <c r="N93" s="554"/>
      <c r="O93" s="1457"/>
      <c r="P93" s="728"/>
      <c r="Q93" s="729"/>
      <c r="R93" s="753"/>
      <c r="S93" s="729"/>
      <c r="T93" s="728"/>
      <c r="U93" s="776"/>
      <c r="V93" s="746">
        <f t="shared" ref="V93:V156" si="56">SUM(N93:U93)</f>
        <v>0</v>
      </c>
      <c r="W93" s="963">
        <v>46113</v>
      </c>
    </row>
    <row r="94" spans="4:23">
      <c r="D94" s="9" t="b">
        <f t="shared" si="53"/>
        <v>0</v>
      </c>
      <c r="E94" s="9">
        <f t="shared" si="54"/>
        <v>1</v>
      </c>
      <c r="G94" s="957">
        <v>46143</v>
      </c>
      <c r="H94" s="554">
        <f t="shared" si="55"/>
        <v>108940.00399999984</v>
      </c>
      <c r="I94" s="729">
        <f t="shared" si="51"/>
        <v>2371.87</v>
      </c>
      <c r="J94" s="728">
        <v>12826.75</v>
      </c>
      <c r="K94" s="729">
        <v>3744.55</v>
      </c>
      <c r="L94" s="746">
        <f t="shared" si="52"/>
        <v>127883.17399999984</v>
      </c>
      <c r="M94" s="770"/>
      <c r="N94" s="554"/>
      <c r="O94" s="1457"/>
      <c r="P94" s="728"/>
      <c r="Q94" s="729"/>
      <c r="R94" s="753"/>
      <c r="S94" s="729"/>
      <c r="T94" s="728"/>
      <c r="U94" s="776"/>
      <c r="V94" s="746">
        <f t="shared" si="56"/>
        <v>0</v>
      </c>
      <c r="W94" s="963">
        <v>46143</v>
      </c>
    </row>
    <row r="95" spans="4:23">
      <c r="D95" s="9" t="b">
        <f t="shared" si="53"/>
        <v>0</v>
      </c>
      <c r="E95" s="9">
        <f t="shared" si="54"/>
        <v>1</v>
      </c>
      <c r="G95" s="957">
        <v>46174</v>
      </c>
      <c r="H95" s="554">
        <f t="shared" si="55"/>
        <v>108310.29299999985</v>
      </c>
      <c r="I95" s="729">
        <f t="shared" ref="I95:I126" si="57">I94-$I$7</f>
        <v>2327.37</v>
      </c>
      <c r="J95" s="728">
        <v>12641</v>
      </c>
      <c r="K95" s="729">
        <v>3664.05</v>
      </c>
      <c r="L95" s="746">
        <f t="shared" si="52"/>
        <v>126942.71299999984</v>
      </c>
      <c r="M95" s="265"/>
      <c r="N95" s="554"/>
      <c r="O95" s="1458">
        <v>98.7</v>
      </c>
      <c r="P95" s="728"/>
      <c r="Q95" s="729"/>
      <c r="R95" s="753"/>
      <c r="S95" s="1455"/>
      <c r="T95" s="728"/>
      <c r="U95" s="1456"/>
      <c r="V95" s="746">
        <f t="shared" si="56"/>
        <v>98.7</v>
      </c>
      <c r="W95" s="963">
        <v>46174</v>
      </c>
    </row>
    <row r="96" spans="4:23">
      <c r="D96" s="9" t="b">
        <f t="shared" si="53"/>
        <v>0</v>
      </c>
      <c r="E96" s="9">
        <f t="shared" si="54"/>
        <v>1</v>
      </c>
      <c r="G96" s="957">
        <v>46204</v>
      </c>
      <c r="H96" s="554">
        <f t="shared" si="55"/>
        <v>107680.58199999985</v>
      </c>
      <c r="I96" s="729">
        <f t="shared" si="57"/>
        <v>2282.87</v>
      </c>
      <c r="J96" s="728">
        <v>12455.25</v>
      </c>
      <c r="K96" s="729">
        <v>3583.55</v>
      </c>
      <c r="L96" s="746">
        <f t="shared" si="52"/>
        <v>126002.25199999985</v>
      </c>
      <c r="M96" s="770"/>
      <c r="N96" s="554"/>
      <c r="O96" s="1457">
        <v>73.8</v>
      </c>
      <c r="P96" s="728"/>
      <c r="Q96" s="729"/>
      <c r="R96" s="753"/>
      <c r="S96" s="730"/>
      <c r="T96" s="728"/>
      <c r="U96" s="776">
        <v>45.75</v>
      </c>
      <c r="V96" s="746">
        <f t="shared" si="56"/>
        <v>119.55</v>
      </c>
      <c r="W96" s="963">
        <v>46204</v>
      </c>
    </row>
    <row r="97" spans="4:23">
      <c r="D97" s="9" t="b">
        <f t="shared" si="53"/>
        <v>0</v>
      </c>
      <c r="E97" s="9">
        <f t="shared" si="54"/>
        <v>1</v>
      </c>
      <c r="G97" s="957">
        <v>46235</v>
      </c>
      <c r="H97" s="554">
        <f t="shared" si="55"/>
        <v>107050.87099999985</v>
      </c>
      <c r="I97" s="729">
        <f t="shared" si="57"/>
        <v>2238.37</v>
      </c>
      <c r="J97" s="728">
        <v>12269.5</v>
      </c>
      <c r="K97" s="729">
        <v>3503.05</v>
      </c>
      <c r="L97" s="746">
        <f t="shared" si="52"/>
        <v>125061.79099999985</v>
      </c>
      <c r="M97" s="770"/>
      <c r="N97" s="554"/>
      <c r="O97" s="729">
        <v>73.8</v>
      </c>
      <c r="P97" s="728"/>
      <c r="Q97" s="729">
        <v>37.6</v>
      </c>
      <c r="R97" s="728"/>
      <c r="S97" s="729">
        <v>50.65</v>
      </c>
      <c r="T97" s="728"/>
      <c r="U97" s="776">
        <v>45.75</v>
      </c>
      <c r="V97" s="746">
        <f t="shared" si="56"/>
        <v>207.8</v>
      </c>
      <c r="W97" s="963">
        <v>46235</v>
      </c>
    </row>
    <row r="98" spans="4:23">
      <c r="D98" s="9" t="b">
        <f t="shared" si="53"/>
        <v>0</v>
      </c>
      <c r="E98" s="9">
        <f t="shared" si="54"/>
        <v>1</v>
      </c>
      <c r="G98" s="957">
        <v>46266</v>
      </c>
      <c r="H98" s="554">
        <f t="shared" si="55"/>
        <v>106421.15999999986</v>
      </c>
      <c r="I98" s="729">
        <f t="shared" si="57"/>
        <v>2193.87</v>
      </c>
      <c r="J98" s="728">
        <v>12083.75</v>
      </c>
      <c r="K98" s="729">
        <v>3422.55</v>
      </c>
      <c r="L98" s="746">
        <f t="shared" si="52"/>
        <v>124121.32999999986</v>
      </c>
      <c r="M98" s="770"/>
      <c r="N98" s="554"/>
      <c r="O98" s="729">
        <v>73.8</v>
      </c>
      <c r="P98" s="728"/>
      <c r="Q98" s="729">
        <v>37.6</v>
      </c>
      <c r="R98" s="728"/>
      <c r="S98" s="729">
        <v>50.65</v>
      </c>
      <c r="T98" s="728"/>
      <c r="U98" s="776">
        <v>45.75</v>
      </c>
      <c r="V98" s="746">
        <f t="shared" si="56"/>
        <v>207.8</v>
      </c>
      <c r="W98" s="963">
        <v>46266</v>
      </c>
    </row>
    <row r="99" spans="4:23" ht="15.75" thickBot="1">
      <c r="D99" s="9" t="b">
        <f t="shared" si="53"/>
        <v>1</v>
      </c>
      <c r="E99" s="9">
        <f t="shared" si="54"/>
        <v>1</v>
      </c>
      <c r="G99" s="957">
        <v>46296</v>
      </c>
      <c r="H99" s="554">
        <f t="shared" si="55"/>
        <v>105791.44899999986</v>
      </c>
      <c r="I99" s="729">
        <f t="shared" si="57"/>
        <v>2149.37</v>
      </c>
      <c r="J99" s="728">
        <v>11898</v>
      </c>
      <c r="K99" s="729">
        <v>3342.05</v>
      </c>
      <c r="L99" s="746">
        <f t="shared" si="52"/>
        <v>123180.86899999986</v>
      </c>
      <c r="M99" s="770"/>
      <c r="N99" s="554"/>
      <c r="O99" s="1043">
        <v>73.8</v>
      </c>
      <c r="P99" s="728"/>
      <c r="Q99" s="729">
        <v>37.6</v>
      </c>
      <c r="R99" s="728"/>
      <c r="S99" s="729">
        <v>50.65</v>
      </c>
      <c r="T99" s="728"/>
      <c r="U99" s="776">
        <v>45.75</v>
      </c>
      <c r="V99" s="746">
        <f t="shared" si="56"/>
        <v>207.8</v>
      </c>
      <c r="W99" s="963">
        <v>46296</v>
      </c>
    </row>
    <row r="100" spans="4:23" ht="15.75" thickTop="1">
      <c r="D100" s="9" t="b">
        <f t="shared" si="53"/>
        <v>0</v>
      </c>
      <c r="E100" s="9">
        <f t="shared" si="54"/>
        <v>0</v>
      </c>
      <c r="G100" s="957">
        <v>46327</v>
      </c>
      <c r="H100" s="554">
        <f t="shared" si="55"/>
        <v>105161.73799999987</v>
      </c>
      <c r="I100" s="729">
        <f t="shared" si="57"/>
        <v>2104.87</v>
      </c>
      <c r="J100" s="728">
        <v>11712.25</v>
      </c>
      <c r="K100" s="729">
        <v>3261.55</v>
      </c>
      <c r="L100" s="746">
        <f t="shared" si="52"/>
        <v>122240.40799999986</v>
      </c>
      <c r="M100" s="770"/>
      <c r="N100" s="554"/>
      <c r="O100" s="729"/>
      <c r="P100" s="728"/>
      <c r="Q100" s="729">
        <v>37.6</v>
      </c>
      <c r="R100" s="728"/>
      <c r="S100" s="729">
        <v>50.65</v>
      </c>
      <c r="T100" s="728"/>
      <c r="U100" s="776">
        <v>45.75</v>
      </c>
      <c r="V100" s="746">
        <f t="shared" si="56"/>
        <v>134</v>
      </c>
      <c r="W100" s="963">
        <v>46327</v>
      </c>
    </row>
    <row r="101" spans="4:23">
      <c r="D101" s="9" t="b">
        <f t="shared" si="53"/>
        <v>0</v>
      </c>
      <c r="E101" s="9">
        <f t="shared" si="54"/>
        <v>0</v>
      </c>
      <c r="G101" s="957">
        <v>46357</v>
      </c>
      <c r="H101" s="554">
        <f t="shared" si="55"/>
        <v>104532.02699999987</v>
      </c>
      <c r="I101" s="729">
        <f t="shared" si="57"/>
        <v>2060.37</v>
      </c>
      <c r="J101" s="728">
        <v>11526.5</v>
      </c>
      <c r="K101" s="729">
        <v>3181.05</v>
      </c>
      <c r="L101" s="746">
        <f t="shared" si="52"/>
        <v>121299.94699999987</v>
      </c>
      <c r="M101" s="770"/>
      <c r="N101" s="554"/>
      <c r="O101" s="729"/>
      <c r="P101" s="728"/>
      <c r="Q101" s="729">
        <v>37.6</v>
      </c>
      <c r="R101" s="728"/>
      <c r="S101" s="729">
        <v>50.65</v>
      </c>
      <c r="T101" s="728"/>
      <c r="U101" s="776">
        <v>45.75</v>
      </c>
      <c r="V101" s="746">
        <f t="shared" si="56"/>
        <v>134</v>
      </c>
      <c r="W101" s="963">
        <v>46357</v>
      </c>
    </row>
    <row r="102" spans="4:23">
      <c r="D102" s="9" t="b">
        <f t="shared" si="53"/>
        <v>0</v>
      </c>
      <c r="E102" s="9">
        <f t="shared" si="54"/>
        <v>0</v>
      </c>
      <c r="G102" s="957">
        <v>46388</v>
      </c>
      <c r="H102" s="554">
        <f t="shared" si="55"/>
        <v>103902.31599999988</v>
      </c>
      <c r="I102" s="729">
        <f t="shared" si="57"/>
        <v>2015.87</v>
      </c>
      <c r="J102" s="728">
        <v>11340.75</v>
      </c>
      <c r="K102" s="729">
        <v>3100.55</v>
      </c>
      <c r="L102" s="746">
        <f t="shared" si="52"/>
        <v>120359.48599999987</v>
      </c>
      <c r="M102" s="770"/>
      <c r="N102" s="554"/>
      <c r="O102" s="729"/>
      <c r="P102" s="728"/>
      <c r="Q102" s="729"/>
      <c r="R102" s="728"/>
      <c r="S102" s="729">
        <v>50.65</v>
      </c>
      <c r="T102" s="728"/>
      <c r="U102" s="776">
        <v>45.75</v>
      </c>
      <c r="V102" s="746">
        <f t="shared" si="56"/>
        <v>96.4</v>
      </c>
      <c r="W102" s="963">
        <v>46388</v>
      </c>
    </row>
    <row r="103" spans="4:23">
      <c r="D103" s="9" t="b">
        <f t="shared" si="53"/>
        <v>0</v>
      </c>
      <c r="E103" s="9">
        <f t="shared" si="54"/>
        <v>0</v>
      </c>
      <c r="G103" s="957">
        <v>46419</v>
      </c>
      <c r="H103" s="554">
        <f t="shared" si="55"/>
        <v>103272.60499999988</v>
      </c>
      <c r="I103" s="729">
        <f t="shared" si="57"/>
        <v>1971.37</v>
      </c>
      <c r="J103" s="728">
        <v>11155</v>
      </c>
      <c r="K103" s="729">
        <v>3020.05</v>
      </c>
      <c r="L103" s="746">
        <f t="shared" si="52"/>
        <v>119419.02499999988</v>
      </c>
      <c r="M103" s="770"/>
      <c r="N103" s="554"/>
      <c r="O103" s="729"/>
      <c r="P103" s="728"/>
      <c r="Q103" s="729"/>
      <c r="R103" s="728"/>
      <c r="S103" s="730"/>
      <c r="T103" s="728"/>
      <c r="U103" s="776">
        <v>45.75</v>
      </c>
      <c r="V103" s="746">
        <f t="shared" si="56"/>
        <v>45.75</v>
      </c>
      <c r="W103" s="963">
        <v>46419</v>
      </c>
    </row>
    <row r="104" spans="4:23">
      <c r="D104" s="9" t="b">
        <f t="shared" si="53"/>
        <v>0</v>
      </c>
      <c r="E104" s="9">
        <f t="shared" si="54"/>
        <v>0</v>
      </c>
      <c r="G104" s="957">
        <v>46447</v>
      </c>
      <c r="H104" s="554">
        <f t="shared" si="55"/>
        <v>102642.89399999988</v>
      </c>
      <c r="I104" s="729">
        <f t="shared" si="57"/>
        <v>1926.87</v>
      </c>
      <c r="J104" s="728">
        <v>10969.25</v>
      </c>
      <c r="K104" s="729">
        <v>2939.55</v>
      </c>
      <c r="L104" s="746">
        <f t="shared" si="52"/>
        <v>118478.56399999988</v>
      </c>
      <c r="M104" s="770"/>
      <c r="N104" s="554"/>
      <c r="O104" s="729"/>
      <c r="P104" s="728"/>
      <c r="Q104" s="729"/>
      <c r="R104" s="728"/>
      <c r="S104" s="730"/>
      <c r="T104" s="728"/>
      <c r="U104" s="776">
        <v>45.75</v>
      </c>
      <c r="V104" s="746">
        <f t="shared" si="56"/>
        <v>45.75</v>
      </c>
      <c r="W104" s="963">
        <v>46447</v>
      </c>
    </row>
    <row r="105" spans="4:23">
      <c r="D105" s="9" t="b">
        <f t="shared" si="53"/>
        <v>0</v>
      </c>
      <c r="E105" s="9">
        <f t="shared" si="54"/>
        <v>0</v>
      </c>
      <c r="G105" s="957">
        <v>46478</v>
      </c>
      <c r="H105" s="554">
        <f t="shared" si="55"/>
        <v>102013.18299999989</v>
      </c>
      <c r="I105" s="729">
        <f t="shared" si="57"/>
        <v>1882.37</v>
      </c>
      <c r="J105" s="728">
        <v>10783.5</v>
      </c>
      <c r="K105" s="729">
        <v>2857.05</v>
      </c>
      <c r="L105" s="746">
        <f t="shared" si="52"/>
        <v>117536.10299999989</v>
      </c>
      <c r="M105" s="770"/>
      <c r="N105" s="554"/>
      <c r="O105" s="729"/>
      <c r="P105" s="728"/>
      <c r="Q105" s="729"/>
      <c r="R105" s="728"/>
      <c r="S105" s="730"/>
      <c r="T105" s="728"/>
      <c r="U105" s="776">
        <v>45.75</v>
      </c>
      <c r="V105" s="746">
        <f t="shared" si="56"/>
        <v>45.75</v>
      </c>
      <c r="W105" s="963">
        <v>46478</v>
      </c>
    </row>
    <row r="106" spans="4:23">
      <c r="D106" s="9" t="b">
        <f t="shared" si="53"/>
        <v>0</v>
      </c>
      <c r="E106" s="9">
        <f t="shared" si="54"/>
        <v>0</v>
      </c>
      <c r="G106" s="957">
        <v>46508</v>
      </c>
      <c r="H106" s="554">
        <f t="shared" si="55"/>
        <v>101383.47199999989</v>
      </c>
      <c r="I106" s="729">
        <f t="shared" si="57"/>
        <v>1837.87</v>
      </c>
      <c r="J106" s="728">
        <v>10595.75</v>
      </c>
      <c r="K106" s="729">
        <v>2776.55</v>
      </c>
      <c r="L106" s="746">
        <f t="shared" si="52"/>
        <v>116593.64199999989</v>
      </c>
      <c r="M106" s="770"/>
      <c r="N106" s="554"/>
      <c r="O106" s="729"/>
      <c r="P106" s="728"/>
      <c r="Q106" s="729"/>
      <c r="R106" s="728"/>
      <c r="S106" s="730"/>
      <c r="T106" s="728"/>
      <c r="U106" s="776">
        <v>45.75</v>
      </c>
      <c r="V106" s="746">
        <f t="shared" si="56"/>
        <v>45.75</v>
      </c>
      <c r="W106" s="963">
        <v>46508</v>
      </c>
    </row>
    <row r="107" spans="4:23">
      <c r="D107" s="9" t="b">
        <f t="shared" si="53"/>
        <v>0</v>
      </c>
      <c r="E107" s="9">
        <f t="shared" si="54"/>
        <v>0</v>
      </c>
      <c r="G107" s="957">
        <v>46539</v>
      </c>
      <c r="H107" s="554">
        <f t="shared" si="55"/>
        <v>100753.7609999999</v>
      </c>
      <c r="I107" s="729">
        <f t="shared" si="57"/>
        <v>1793.37</v>
      </c>
      <c r="J107" s="728">
        <v>10410</v>
      </c>
      <c r="K107" s="729">
        <v>2696.05</v>
      </c>
      <c r="L107" s="746">
        <f t="shared" si="52"/>
        <v>115653.18099999989</v>
      </c>
      <c r="M107" s="770"/>
      <c r="N107" s="554"/>
      <c r="O107" s="729"/>
      <c r="P107" s="728"/>
      <c r="Q107" s="729"/>
      <c r="R107" s="728"/>
      <c r="S107" s="730"/>
      <c r="T107" s="728"/>
      <c r="U107" s="776">
        <v>45.75</v>
      </c>
      <c r="V107" s="746">
        <f t="shared" si="56"/>
        <v>45.75</v>
      </c>
      <c r="W107" s="963">
        <v>46539</v>
      </c>
    </row>
    <row r="108" spans="4:23">
      <c r="D108" s="9" t="b">
        <f t="shared" si="53"/>
        <v>0</v>
      </c>
      <c r="E108" s="9">
        <f t="shared" si="54"/>
        <v>0</v>
      </c>
      <c r="G108" s="957">
        <v>46569</v>
      </c>
      <c r="H108" s="554">
        <f t="shared" si="55"/>
        <v>100124.0499999999</v>
      </c>
      <c r="I108" s="729">
        <f t="shared" si="57"/>
        <v>1748.87</v>
      </c>
      <c r="J108" s="728">
        <v>10224.25</v>
      </c>
      <c r="K108" s="729">
        <v>2615.5500000000002</v>
      </c>
      <c r="L108" s="746">
        <f t="shared" si="52"/>
        <v>114712.7199999999</v>
      </c>
      <c r="M108" s="770"/>
      <c r="N108" s="554"/>
      <c r="O108" s="729"/>
      <c r="P108" s="728"/>
      <c r="Q108" s="729"/>
      <c r="R108" s="728"/>
      <c r="S108" s="730"/>
      <c r="T108" s="728"/>
      <c r="U108" s="776"/>
      <c r="V108" s="746">
        <f t="shared" si="56"/>
        <v>0</v>
      </c>
      <c r="W108" s="963">
        <v>46569</v>
      </c>
    </row>
    <row r="109" spans="4:23">
      <c r="D109" s="9" t="b">
        <f t="shared" si="53"/>
        <v>0</v>
      </c>
      <c r="E109" s="9">
        <f t="shared" si="54"/>
        <v>0</v>
      </c>
      <c r="G109" s="957">
        <v>46600</v>
      </c>
      <c r="H109" s="554">
        <f t="shared" si="55"/>
        <v>99494.338999999905</v>
      </c>
      <c r="I109" s="729">
        <f t="shared" si="57"/>
        <v>1704.37</v>
      </c>
      <c r="J109" s="728">
        <v>10038.5</v>
      </c>
      <c r="K109" s="729">
        <v>2535.0500000000002</v>
      </c>
      <c r="L109" s="746">
        <f t="shared" si="52"/>
        <v>113772.2589999999</v>
      </c>
      <c r="M109" s="770"/>
      <c r="N109" s="554"/>
      <c r="O109" s="729"/>
      <c r="P109" s="728"/>
      <c r="Q109" s="729"/>
      <c r="R109" s="728"/>
      <c r="S109" s="730"/>
      <c r="T109" s="728"/>
      <c r="U109" s="776"/>
      <c r="V109" s="746">
        <f t="shared" si="56"/>
        <v>0</v>
      </c>
      <c r="W109" s="963">
        <v>46600</v>
      </c>
    </row>
    <row r="110" spans="4:23">
      <c r="D110" s="9" t="b">
        <f t="shared" si="53"/>
        <v>0</v>
      </c>
      <c r="E110" s="9">
        <f t="shared" si="54"/>
        <v>0</v>
      </c>
      <c r="G110" s="957">
        <v>46631</v>
      </c>
      <c r="H110" s="554">
        <f t="shared" si="55"/>
        <v>98864.62799999991</v>
      </c>
      <c r="I110" s="729">
        <f t="shared" si="57"/>
        <v>1659.87</v>
      </c>
      <c r="J110" s="728">
        <v>9852.75</v>
      </c>
      <c r="K110" s="729">
        <v>2454.5500000000002</v>
      </c>
      <c r="L110" s="746">
        <f t="shared" si="52"/>
        <v>112831.79799999991</v>
      </c>
      <c r="M110" s="770"/>
      <c r="N110" s="554"/>
      <c r="O110" s="729"/>
      <c r="P110" s="728"/>
      <c r="Q110" s="729"/>
      <c r="R110" s="728"/>
      <c r="S110" s="730"/>
      <c r="T110" s="728"/>
      <c r="U110" s="776"/>
      <c r="V110" s="746">
        <f t="shared" si="56"/>
        <v>0</v>
      </c>
      <c r="W110" s="963">
        <v>46631</v>
      </c>
    </row>
    <row r="111" spans="4:23">
      <c r="D111" s="9" t="b">
        <f t="shared" si="53"/>
        <v>0</v>
      </c>
      <c r="E111" s="9">
        <f t="shared" si="54"/>
        <v>0</v>
      </c>
      <c r="G111" s="957">
        <v>46661</v>
      </c>
      <c r="H111" s="554">
        <f t="shared" si="55"/>
        <v>98234.916999999914</v>
      </c>
      <c r="I111" s="729">
        <f t="shared" si="57"/>
        <v>1615.37</v>
      </c>
      <c r="J111" s="728">
        <v>9667</v>
      </c>
      <c r="K111" s="729">
        <v>2374.0500000000002</v>
      </c>
      <c r="L111" s="746">
        <f t="shared" si="52"/>
        <v>111891.33699999991</v>
      </c>
      <c r="M111" s="770"/>
      <c r="N111" s="554"/>
      <c r="O111" s="729"/>
      <c r="P111" s="728"/>
      <c r="Q111" s="729"/>
      <c r="R111" s="728"/>
      <c r="S111" s="730"/>
      <c r="T111" s="728"/>
      <c r="U111" s="776"/>
      <c r="V111" s="746">
        <f t="shared" si="56"/>
        <v>0</v>
      </c>
      <c r="W111" s="963">
        <v>46661</v>
      </c>
    </row>
    <row r="112" spans="4:23">
      <c r="D112" s="9" t="b">
        <f t="shared" si="53"/>
        <v>0</v>
      </c>
      <c r="E112" s="9">
        <f t="shared" si="54"/>
        <v>0</v>
      </c>
      <c r="G112" s="957">
        <v>46692</v>
      </c>
      <c r="H112" s="554">
        <f t="shared" si="55"/>
        <v>97605.205999999918</v>
      </c>
      <c r="I112" s="729">
        <f t="shared" si="57"/>
        <v>1570.87</v>
      </c>
      <c r="J112" s="728">
        <v>9481.25</v>
      </c>
      <c r="K112" s="729">
        <v>2293.5500000000002</v>
      </c>
      <c r="L112" s="746">
        <f t="shared" si="52"/>
        <v>110950.87599999992</v>
      </c>
      <c r="M112" s="770"/>
      <c r="N112" s="554"/>
      <c r="O112" s="729"/>
      <c r="P112" s="728"/>
      <c r="Q112" s="729"/>
      <c r="R112" s="728"/>
      <c r="S112" s="730"/>
      <c r="T112" s="728"/>
      <c r="U112" s="776"/>
      <c r="V112" s="746">
        <f t="shared" si="56"/>
        <v>0</v>
      </c>
      <c r="W112" s="963">
        <v>46692</v>
      </c>
    </row>
    <row r="113" spans="4:23">
      <c r="D113" s="9" t="b">
        <f t="shared" si="53"/>
        <v>0</v>
      </c>
      <c r="E113" s="9">
        <f t="shared" si="54"/>
        <v>0</v>
      </c>
      <c r="G113" s="957">
        <v>46722</v>
      </c>
      <c r="H113" s="554">
        <f t="shared" si="55"/>
        <v>96975.494999999923</v>
      </c>
      <c r="I113" s="729">
        <f t="shared" si="57"/>
        <v>1526.37</v>
      </c>
      <c r="J113" s="728">
        <v>9295.5</v>
      </c>
      <c r="K113" s="729">
        <v>2213.0500000000002</v>
      </c>
      <c r="L113" s="746">
        <f t="shared" si="52"/>
        <v>110010.41499999992</v>
      </c>
      <c r="M113" s="770"/>
      <c r="N113" s="554"/>
      <c r="O113" s="729"/>
      <c r="P113" s="728"/>
      <c r="Q113" s="729"/>
      <c r="R113" s="728"/>
      <c r="S113" s="730"/>
      <c r="T113" s="728"/>
      <c r="U113" s="776"/>
      <c r="V113" s="746">
        <f t="shared" si="56"/>
        <v>0</v>
      </c>
      <c r="W113" s="963">
        <v>46722</v>
      </c>
    </row>
    <row r="114" spans="4:23">
      <c r="D114" s="9" t="b">
        <f t="shared" si="53"/>
        <v>0</v>
      </c>
      <c r="E114" s="9">
        <f t="shared" si="54"/>
        <v>0</v>
      </c>
      <c r="G114" s="957">
        <v>46753</v>
      </c>
      <c r="H114" s="554">
        <f t="shared" si="55"/>
        <v>96345.783999999927</v>
      </c>
      <c r="I114" s="729">
        <f t="shared" si="57"/>
        <v>1481.87</v>
      </c>
      <c r="J114" s="728">
        <v>9109.75</v>
      </c>
      <c r="K114" s="729">
        <v>2132.5500000000002</v>
      </c>
      <c r="L114" s="746">
        <f t="shared" si="52"/>
        <v>109069.95399999993</v>
      </c>
      <c r="M114" s="770"/>
      <c r="N114" s="554"/>
      <c r="O114" s="729"/>
      <c r="P114" s="728"/>
      <c r="Q114" s="729"/>
      <c r="R114" s="728"/>
      <c r="S114" s="730"/>
      <c r="T114" s="728"/>
      <c r="U114" s="776"/>
      <c r="V114" s="746">
        <f t="shared" si="56"/>
        <v>0</v>
      </c>
      <c r="W114" s="963">
        <v>46753</v>
      </c>
    </row>
    <row r="115" spans="4:23">
      <c r="D115" s="9" t="b">
        <f t="shared" si="53"/>
        <v>0</v>
      </c>
      <c r="E115" s="9">
        <f t="shared" si="54"/>
        <v>0</v>
      </c>
      <c r="G115" s="957">
        <v>46784</v>
      </c>
      <c r="H115" s="554">
        <f t="shared" si="55"/>
        <v>95716.072999999931</v>
      </c>
      <c r="I115" s="729">
        <f t="shared" si="57"/>
        <v>1437.37</v>
      </c>
      <c r="J115" s="728">
        <v>8924</v>
      </c>
      <c r="K115" s="729">
        <v>2052.0500000000002</v>
      </c>
      <c r="L115" s="746">
        <f t="shared" si="52"/>
        <v>108129.49299999993</v>
      </c>
      <c r="M115" s="770"/>
      <c r="N115" s="554"/>
      <c r="O115" s="729"/>
      <c r="P115" s="728"/>
      <c r="Q115" s="729"/>
      <c r="R115" s="728"/>
      <c r="S115" s="730"/>
      <c r="T115" s="728"/>
      <c r="U115" s="776"/>
      <c r="V115" s="746">
        <f t="shared" si="56"/>
        <v>0</v>
      </c>
      <c r="W115" s="963">
        <v>46784</v>
      </c>
    </row>
    <row r="116" spans="4:23">
      <c r="D116" s="9" t="b">
        <f t="shared" si="53"/>
        <v>0</v>
      </c>
      <c r="E116" s="9">
        <f t="shared" si="54"/>
        <v>0</v>
      </c>
      <c r="G116" s="957">
        <v>46813</v>
      </c>
      <c r="H116" s="554">
        <f t="shared" si="55"/>
        <v>95086.361999999936</v>
      </c>
      <c r="I116" s="729">
        <f t="shared" si="57"/>
        <v>1392.87</v>
      </c>
      <c r="J116" s="728">
        <v>8738.25</v>
      </c>
      <c r="K116" s="729">
        <v>1971.5500000000002</v>
      </c>
      <c r="L116" s="746">
        <f t="shared" si="52"/>
        <v>107189.03199999993</v>
      </c>
      <c r="M116" s="770"/>
      <c r="N116" s="554"/>
      <c r="O116" s="729"/>
      <c r="P116" s="728"/>
      <c r="Q116" s="729"/>
      <c r="R116" s="728"/>
      <c r="S116" s="730"/>
      <c r="T116" s="728"/>
      <c r="U116" s="776"/>
      <c r="V116" s="746">
        <f t="shared" si="56"/>
        <v>0</v>
      </c>
      <c r="W116" s="963">
        <v>46813</v>
      </c>
    </row>
    <row r="117" spans="4:23">
      <c r="D117" s="9" t="b">
        <f t="shared" si="53"/>
        <v>0</v>
      </c>
      <c r="E117" s="9">
        <f t="shared" si="54"/>
        <v>0</v>
      </c>
      <c r="G117" s="957">
        <v>46844</v>
      </c>
      <c r="H117" s="554">
        <f t="shared" si="55"/>
        <v>94456.65099999994</v>
      </c>
      <c r="I117" s="729">
        <f t="shared" si="57"/>
        <v>1348.37</v>
      </c>
      <c r="J117" s="728">
        <v>8552.5</v>
      </c>
      <c r="K117" s="729">
        <v>1889.0500000000002</v>
      </c>
      <c r="L117" s="746">
        <f t="shared" si="52"/>
        <v>106246.57099999994</v>
      </c>
      <c r="M117" s="770"/>
      <c r="N117" s="554"/>
      <c r="O117" s="729"/>
      <c r="P117" s="728"/>
      <c r="Q117" s="729"/>
      <c r="R117" s="728"/>
      <c r="S117" s="730"/>
      <c r="T117" s="728"/>
      <c r="U117" s="776"/>
      <c r="V117" s="746">
        <f t="shared" si="56"/>
        <v>0</v>
      </c>
      <c r="W117" s="963">
        <v>46844</v>
      </c>
    </row>
    <row r="118" spans="4:23">
      <c r="D118" s="9" t="b">
        <f t="shared" si="53"/>
        <v>0</v>
      </c>
      <c r="E118" s="9">
        <f t="shared" si="54"/>
        <v>0</v>
      </c>
      <c r="G118" s="957">
        <v>46874</v>
      </c>
      <c r="H118" s="554">
        <f t="shared" si="55"/>
        <v>93826.939999999944</v>
      </c>
      <c r="I118" s="729">
        <f t="shared" si="57"/>
        <v>1303.8699999999999</v>
      </c>
      <c r="J118" s="728">
        <v>8364.75</v>
      </c>
      <c r="K118" s="729">
        <v>1808.5500000000002</v>
      </c>
      <c r="L118" s="746">
        <f t="shared" si="52"/>
        <v>105304.10999999994</v>
      </c>
      <c r="M118" s="770"/>
      <c r="N118" s="554"/>
      <c r="O118" s="729"/>
      <c r="P118" s="728"/>
      <c r="Q118" s="729"/>
      <c r="R118" s="728"/>
      <c r="S118" s="730"/>
      <c r="T118" s="728"/>
      <c r="U118" s="776"/>
      <c r="V118" s="746">
        <f t="shared" si="56"/>
        <v>0</v>
      </c>
      <c r="W118" s="963">
        <v>46874</v>
      </c>
    </row>
    <row r="119" spans="4:23">
      <c r="D119" s="9" t="b">
        <f t="shared" si="53"/>
        <v>0</v>
      </c>
      <c r="E119" s="9">
        <f t="shared" si="54"/>
        <v>0</v>
      </c>
      <c r="G119" s="957">
        <v>46905</v>
      </c>
      <c r="H119" s="554">
        <f t="shared" si="55"/>
        <v>93197.228999999948</v>
      </c>
      <c r="I119" s="729">
        <f t="shared" si="57"/>
        <v>1259.3699999999999</v>
      </c>
      <c r="J119" s="728">
        <v>8179</v>
      </c>
      <c r="K119" s="729">
        <v>1728.0500000000002</v>
      </c>
      <c r="L119" s="746">
        <f t="shared" si="52"/>
        <v>104363.64899999995</v>
      </c>
      <c r="M119" s="770"/>
      <c r="N119" s="554"/>
      <c r="O119" s="729"/>
      <c r="P119" s="728"/>
      <c r="Q119" s="729"/>
      <c r="R119" s="728"/>
      <c r="S119" s="730"/>
      <c r="T119" s="728"/>
      <c r="U119" s="776"/>
      <c r="V119" s="746">
        <f t="shared" si="56"/>
        <v>0</v>
      </c>
      <c r="W119" s="963">
        <v>46905</v>
      </c>
    </row>
    <row r="120" spans="4:23">
      <c r="D120" s="9" t="b">
        <f t="shared" si="53"/>
        <v>0</v>
      </c>
      <c r="E120" s="9">
        <f t="shared" si="54"/>
        <v>0</v>
      </c>
      <c r="G120" s="957">
        <v>46935</v>
      </c>
      <c r="H120" s="554">
        <f t="shared" si="55"/>
        <v>92567.517999999953</v>
      </c>
      <c r="I120" s="729">
        <f t="shared" si="57"/>
        <v>1214.8699999999999</v>
      </c>
      <c r="J120" s="728">
        <v>7993.25</v>
      </c>
      <c r="K120" s="729">
        <v>1647.5500000000002</v>
      </c>
      <c r="L120" s="746">
        <f t="shared" si="52"/>
        <v>103423.18799999995</v>
      </c>
      <c r="M120" s="770"/>
      <c r="N120" s="554"/>
      <c r="O120" s="729"/>
      <c r="P120" s="728"/>
      <c r="Q120" s="729"/>
      <c r="R120" s="728"/>
      <c r="S120" s="730"/>
      <c r="T120" s="728"/>
      <c r="U120" s="776"/>
      <c r="V120" s="746">
        <f t="shared" si="56"/>
        <v>0</v>
      </c>
      <c r="W120" s="963">
        <v>46935</v>
      </c>
    </row>
    <row r="121" spans="4:23">
      <c r="D121" s="9" t="b">
        <f t="shared" si="53"/>
        <v>0</v>
      </c>
      <c r="E121" s="9">
        <f t="shared" si="54"/>
        <v>0</v>
      </c>
      <c r="G121" s="957">
        <v>46966</v>
      </c>
      <c r="H121" s="554">
        <f t="shared" si="55"/>
        <v>91937.806999999957</v>
      </c>
      <c r="I121" s="729">
        <f t="shared" si="57"/>
        <v>1170.3699999999999</v>
      </c>
      <c r="J121" s="728">
        <v>7807.5</v>
      </c>
      <c r="K121" s="729">
        <v>1567.0500000000002</v>
      </c>
      <c r="L121" s="746">
        <f t="shared" si="52"/>
        <v>102482.72699999996</v>
      </c>
      <c r="M121" s="770"/>
      <c r="N121" s="554"/>
      <c r="O121" s="729"/>
      <c r="P121" s="728"/>
      <c r="Q121" s="729"/>
      <c r="R121" s="728"/>
      <c r="S121" s="730"/>
      <c r="T121" s="728"/>
      <c r="U121" s="776"/>
      <c r="V121" s="746">
        <f t="shared" si="56"/>
        <v>0</v>
      </c>
      <c r="W121" s="963">
        <v>46966</v>
      </c>
    </row>
    <row r="122" spans="4:23">
      <c r="D122" s="9" t="b">
        <f t="shared" si="53"/>
        <v>0</v>
      </c>
      <c r="E122" s="9">
        <f t="shared" si="54"/>
        <v>0</v>
      </c>
      <c r="G122" s="957">
        <v>46997</v>
      </c>
      <c r="H122" s="554">
        <f t="shared" si="55"/>
        <v>91308.095999999961</v>
      </c>
      <c r="I122" s="729">
        <f t="shared" si="57"/>
        <v>1125.8699999999999</v>
      </c>
      <c r="J122" s="728">
        <v>7621.75</v>
      </c>
      <c r="K122" s="729">
        <v>1486.5500000000002</v>
      </c>
      <c r="L122" s="746">
        <f t="shared" si="52"/>
        <v>101542.26599999996</v>
      </c>
      <c r="M122" s="770"/>
      <c r="N122" s="554"/>
      <c r="O122" s="729"/>
      <c r="P122" s="728"/>
      <c r="Q122" s="729"/>
      <c r="R122" s="728"/>
      <c r="S122" s="730"/>
      <c r="T122" s="728"/>
      <c r="U122" s="776"/>
      <c r="V122" s="746">
        <f t="shared" si="56"/>
        <v>0</v>
      </c>
      <c r="W122" s="963">
        <v>46997</v>
      </c>
    </row>
    <row r="123" spans="4:23">
      <c r="D123" s="9" t="b">
        <f t="shared" si="53"/>
        <v>0</v>
      </c>
      <c r="E123" s="9">
        <f t="shared" si="54"/>
        <v>0</v>
      </c>
      <c r="G123" s="957">
        <v>47027</v>
      </c>
      <c r="H123" s="554">
        <f t="shared" si="55"/>
        <v>90678.384999999966</v>
      </c>
      <c r="I123" s="729">
        <f t="shared" si="57"/>
        <v>1081.3699999999999</v>
      </c>
      <c r="J123" s="728">
        <v>7436</v>
      </c>
      <c r="K123" s="729">
        <v>1406.0500000000002</v>
      </c>
      <c r="L123" s="746">
        <f t="shared" si="52"/>
        <v>100601.80499999996</v>
      </c>
      <c r="M123" s="770"/>
      <c r="N123" s="554"/>
      <c r="O123" s="729"/>
      <c r="P123" s="728"/>
      <c r="Q123" s="729"/>
      <c r="R123" s="728"/>
      <c r="S123" s="730"/>
      <c r="T123" s="728"/>
      <c r="U123" s="776"/>
      <c r="V123" s="746">
        <f t="shared" si="56"/>
        <v>0</v>
      </c>
      <c r="W123" s="963">
        <v>47027</v>
      </c>
    </row>
    <row r="124" spans="4:23">
      <c r="D124" s="9" t="b">
        <f t="shared" si="53"/>
        <v>0</v>
      </c>
      <c r="E124" s="9">
        <f t="shared" si="54"/>
        <v>0</v>
      </c>
      <c r="G124" s="957">
        <v>47058</v>
      </c>
      <c r="H124" s="554">
        <f t="shared" si="55"/>
        <v>90048.67399999997</v>
      </c>
      <c r="I124" s="729">
        <f t="shared" si="57"/>
        <v>1036.8699999999999</v>
      </c>
      <c r="J124" s="728">
        <v>7250.25</v>
      </c>
      <c r="K124" s="729">
        <v>1325.5500000000002</v>
      </c>
      <c r="L124" s="746">
        <f t="shared" si="52"/>
        <v>99661.343999999968</v>
      </c>
      <c r="M124" s="770"/>
      <c r="N124" s="554"/>
      <c r="O124" s="729"/>
      <c r="P124" s="728"/>
      <c r="Q124" s="729"/>
      <c r="R124" s="728"/>
      <c r="S124" s="730"/>
      <c r="T124" s="728"/>
      <c r="U124" s="776"/>
      <c r="V124" s="746">
        <f t="shared" si="56"/>
        <v>0</v>
      </c>
      <c r="W124" s="963">
        <v>47058</v>
      </c>
    </row>
    <row r="125" spans="4:23">
      <c r="D125" s="9" t="b">
        <f t="shared" si="53"/>
        <v>0</v>
      </c>
      <c r="E125" s="9">
        <f t="shared" si="54"/>
        <v>0</v>
      </c>
      <c r="G125" s="957">
        <v>47088</v>
      </c>
      <c r="H125" s="554">
        <f t="shared" si="55"/>
        <v>89418.962999999974</v>
      </c>
      <c r="I125" s="729">
        <f t="shared" si="57"/>
        <v>992.36999999999989</v>
      </c>
      <c r="J125" s="728">
        <v>7064.5</v>
      </c>
      <c r="K125" s="729">
        <v>1245.0500000000002</v>
      </c>
      <c r="L125" s="746">
        <f t="shared" si="52"/>
        <v>98720.882999999973</v>
      </c>
      <c r="M125" s="770"/>
      <c r="N125" s="554"/>
      <c r="O125" s="729"/>
      <c r="P125" s="728"/>
      <c r="Q125" s="729"/>
      <c r="R125" s="728"/>
      <c r="S125" s="730"/>
      <c r="T125" s="728"/>
      <c r="U125" s="776"/>
      <c r="V125" s="746">
        <f t="shared" si="56"/>
        <v>0</v>
      </c>
      <c r="W125" s="963">
        <v>47088</v>
      </c>
    </row>
    <row r="126" spans="4:23">
      <c r="D126" s="9" t="b">
        <f t="shared" si="53"/>
        <v>0</v>
      </c>
      <c r="E126" s="9">
        <f t="shared" si="54"/>
        <v>0</v>
      </c>
      <c r="G126" s="957">
        <v>47119</v>
      </c>
      <c r="H126" s="554">
        <f t="shared" si="55"/>
        <v>88789.251999999979</v>
      </c>
      <c r="I126" s="729">
        <f t="shared" si="57"/>
        <v>947.86999999999989</v>
      </c>
      <c r="J126" s="728">
        <v>6878.75</v>
      </c>
      <c r="K126" s="729">
        <v>1164.5500000000002</v>
      </c>
      <c r="L126" s="746">
        <f t="shared" si="52"/>
        <v>97780.421999999977</v>
      </c>
      <c r="M126" s="770"/>
      <c r="N126" s="554"/>
      <c r="O126" s="729"/>
      <c r="P126" s="728"/>
      <c r="Q126" s="729"/>
      <c r="R126" s="728"/>
      <c r="S126" s="730"/>
      <c r="T126" s="728"/>
      <c r="U126" s="776"/>
      <c r="V126" s="746">
        <f t="shared" si="56"/>
        <v>0</v>
      </c>
      <c r="W126" s="963">
        <v>47119</v>
      </c>
    </row>
    <row r="127" spans="4:23">
      <c r="D127" s="9" t="b">
        <f t="shared" si="53"/>
        <v>0</v>
      </c>
      <c r="E127" s="9">
        <f t="shared" si="54"/>
        <v>0</v>
      </c>
      <c r="G127" s="957">
        <v>47150</v>
      </c>
      <c r="H127" s="554">
        <f t="shared" si="55"/>
        <v>88159.540999999983</v>
      </c>
      <c r="I127" s="729">
        <f t="shared" ref="I127:I147" si="58">I126-$I$7</f>
        <v>903.36999999999989</v>
      </c>
      <c r="J127" s="728">
        <v>6693</v>
      </c>
      <c r="K127" s="729">
        <v>1084.0500000000002</v>
      </c>
      <c r="L127" s="746">
        <f t="shared" si="52"/>
        <v>96839.960999999981</v>
      </c>
      <c r="M127" s="770"/>
      <c r="N127" s="554"/>
      <c r="O127" s="729"/>
      <c r="P127" s="728"/>
      <c r="Q127" s="729"/>
      <c r="R127" s="728"/>
      <c r="S127" s="730"/>
      <c r="T127" s="728"/>
      <c r="U127" s="776"/>
      <c r="V127" s="746">
        <f t="shared" si="56"/>
        <v>0</v>
      </c>
      <c r="W127" s="963">
        <v>47150</v>
      </c>
    </row>
    <row r="128" spans="4:23">
      <c r="D128" s="9" t="b">
        <f t="shared" si="53"/>
        <v>0</v>
      </c>
      <c r="E128" s="9">
        <f t="shared" si="54"/>
        <v>0</v>
      </c>
      <c r="G128" s="957">
        <v>47178</v>
      </c>
      <c r="H128" s="554">
        <f t="shared" si="55"/>
        <v>87529.829999999987</v>
      </c>
      <c r="I128" s="729">
        <f t="shared" si="58"/>
        <v>858.86999999999989</v>
      </c>
      <c r="J128" s="728">
        <v>6507.25</v>
      </c>
      <c r="K128" s="729">
        <v>1003.5500000000002</v>
      </c>
      <c r="L128" s="746">
        <f t="shared" si="52"/>
        <v>95899.499999999985</v>
      </c>
      <c r="M128" s="770"/>
      <c r="N128" s="554"/>
      <c r="O128" s="729"/>
      <c r="P128" s="728"/>
      <c r="Q128" s="729"/>
      <c r="R128" s="728"/>
      <c r="S128" s="730"/>
      <c r="T128" s="728"/>
      <c r="U128" s="776"/>
      <c r="V128" s="746">
        <f t="shared" si="56"/>
        <v>0</v>
      </c>
      <c r="W128" s="963">
        <v>47178</v>
      </c>
    </row>
    <row r="129" spans="4:23">
      <c r="D129" s="9" t="b">
        <f t="shared" si="53"/>
        <v>0</v>
      </c>
      <c r="E129" s="9">
        <f t="shared" si="54"/>
        <v>0</v>
      </c>
      <c r="G129" s="957">
        <v>47209</v>
      </c>
      <c r="H129" s="554">
        <f t="shared" si="55"/>
        <v>86900.118999999992</v>
      </c>
      <c r="I129" s="729">
        <f t="shared" si="58"/>
        <v>814.36999999999989</v>
      </c>
      <c r="J129" s="728">
        <v>6321.5</v>
      </c>
      <c r="K129" s="729">
        <v>921.05000000000018</v>
      </c>
      <c r="L129" s="746">
        <f t="shared" si="52"/>
        <v>94957.03899999999</v>
      </c>
      <c r="M129" s="770"/>
      <c r="N129" s="554"/>
      <c r="O129" s="729"/>
      <c r="P129" s="728"/>
      <c r="Q129" s="729"/>
      <c r="R129" s="728"/>
      <c r="S129" s="730"/>
      <c r="T129" s="728"/>
      <c r="U129" s="776"/>
      <c r="V129" s="746">
        <f t="shared" si="56"/>
        <v>0</v>
      </c>
      <c r="W129" s="963">
        <v>47209</v>
      </c>
    </row>
    <row r="130" spans="4:23">
      <c r="D130" s="9" t="b">
        <f t="shared" si="53"/>
        <v>0</v>
      </c>
      <c r="E130" s="9">
        <f t="shared" si="54"/>
        <v>0</v>
      </c>
      <c r="G130" s="957">
        <v>47239</v>
      </c>
      <c r="H130" s="554">
        <f t="shared" si="55"/>
        <v>86270.407999999996</v>
      </c>
      <c r="I130" s="729">
        <f t="shared" si="58"/>
        <v>769.86999999999989</v>
      </c>
      <c r="J130" s="728">
        <v>6133.75</v>
      </c>
      <c r="K130" s="729">
        <v>840.55000000000018</v>
      </c>
      <c r="L130" s="746">
        <f t="shared" si="52"/>
        <v>94014.577999999994</v>
      </c>
      <c r="M130" s="770"/>
      <c r="N130" s="554"/>
      <c r="O130" s="729"/>
      <c r="P130" s="728"/>
      <c r="Q130" s="729"/>
      <c r="R130" s="728"/>
      <c r="S130" s="730"/>
      <c r="T130" s="728"/>
      <c r="U130" s="776"/>
      <c r="V130" s="746">
        <f t="shared" si="56"/>
        <v>0</v>
      </c>
      <c r="W130" s="963">
        <v>47239</v>
      </c>
    </row>
    <row r="131" spans="4:23">
      <c r="D131" s="9" t="b">
        <f t="shared" si="53"/>
        <v>0</v>
      </c>
      <c r="E131" s="9">
        <f t="shared" si="54"/>
        <v>0</v>
      </c>
      <c r="G131" s="957">
        <v>47270</v>
      </c>
      <c r="H131" s="554">
        <f t="shared" si="55"/>
        <v>85640.697</v>
      </c>
      <c r="I131" s="729">
        <f t="shared" si="58"/>
        <v>725.36999999999989</v>
      </c>
      <c r="J131" s="728">
        <v>5948</v>
      </c>
      <c r="K131" s="729">
        <v>760.05000000000018</v>
      </c>
      <c r="L131" s="746">
        <f t="shared" si="52"/>
        <v>93074.116999999998</v>
      </c>
      <c r="M131" s="770"/>
      <c r="N131" s="554"/>
      <c r="O131" s="729"/>
      <c r="P131" s="728"/>
      <c r="Q131" s="729"/>
      <c r="R131" s="728"/>
      <c r="S131" s="730"/>
      <c r="T131" s="728"/>
      <c r="U131" s="776"/>
      <c r="V131" s="746">
        <f t="shared" si="56"/>
        <v>0</v>
      </c>
      <c r="W131" s="963">
        <v>47270</v>
      </c>
    </row>
    <row r="132" spans="4:23">
      <c r="D132" s="9" t="b">
        <f t="shared" si="53"/>
        <v>0</v>
      </c>
      <c r="E132" s="9">
        <f t="shared" si="54"/>
        <v>0</v>
      </c>
      <c r="G132" s="957">
        <v>47300</v>
      </c>
      <c r="H132" s="554">
        <f t="shared" si="55"/>
        <v>85010.986000000004</v>
      </c>
      <c r="I132" s="729">
        <f t="shared" si="58"/>
        <v>680.86999999999989</v>
      </c>
      <c r="J132" s="728">
        <v>5762.25</v>
      </c>
      <c r="K132" s="729">
        <v>679.55000000000018</v>
      </c>
      <c r="L132" s="746">
        <f t="shared" si="52"/>
        <v>92133.656000000003</v>
      </c>
      <c r="M132" s="770"/>
      <c r="N132" s="554"/>
      <c r="O132" s="729"/>
      <c r="P132" s="728"/>
      <c r="Q132" s="729"/>
      <c r="R132" s="728"/>
      <c r="S132" s="730"/>
      <c r="T132" s="728"/>
      <c r="U132" s="776"/>
      <c r="V132" s="746">
        <f t="shared" si="56"/>
        <v>0</v>
      </c>
      <c r="W132" s="963">
        <v>47300</v>
      </c>
    </row>
    <row r="133" spans="4:23">
      <c r="D133" s="9" t="b">
        <f t="shared" si="53"/>
        <v>0</v>
      </c>
      <c r="E133" s="9">
        <f t="shared" si="54"/>
        <v>0</v>
      </c>
      <c r="G133" s="957">
        <v>47331</v>
      </c>
      <c r="H133" s="554">
        <f t="shared" si="55"/>
        <v>84381.275000000009</v>
      </c>
      <c r="I133" s="729">
        <f t="shared" si="58"/>
        <v>636.36999999999989</v>
      </c>
      <c r="J133" s="728">
        <v>5576.5</v>
      </c>
      <c r="K133" s="729">
        <v>599.05000000000018</v>
      </c>
      <c r="L133" s="746">
        <f t="shared" si="52"/>
        <v>91193.195000000007</v>
      </c>
      <c r="M133" s="770"/>
      <c r="N133" s="554"/>
      <c r="O133" s="729"/>
      <c r="P133" s="728"/>
      <c r="Q133" s="729"/>
      <c r="R133" s="728"/>
      <c r="S133" s="730"/>
      <c r="T133" s="728"/>
      <c r="U133" s="776"/>
      <c r="V133" s="746">
        <f t="shared" si="56"/>
        <v>0</v>
      </c>
      <c r="W133" s="963">
        <v>47331</v>
      </c>
    </row>
    <row r="134" spans="4:23">
      <c r="D134" s="9" t="b">
        <f t="shared" si="53"/>
        <v>0</v>
      </c>
      <c r="E134" s="9">
        <f t="shared" si="54"/>
        <v>0</v>
      </c>
      <c r="G134" s="957">
        <v>47362</v>
      </c>
      <c r="H134" s="554">
        <f t="shared" si="55"/>
        <v>83751.564000000013</v>
      </c>
      <c r="I134" s="729">
        <f t="shared" si="58"/>
        <v>591.86999999999989</v>
      </c>
      <c r="J134" s="728">
        <v>5390.75</v>
      </c>
      <c r="K134" s="729">
        <v>518.55000000000018</v>
      </c>
      <c r="L134" s="746">
        <f t="shared" si="52"/>
        <v>90252.734000000011</v>
      </c>
      <c r="M134" s="770"/>
      <c r="N134" s="554"/>
      <c r="O134" s="729"/>
      <c r="P134" s="728"/>
      <c r="Q134" s="729"/>
      <c r="R134" s="728"/>
      <c r="S134" s="730"/>
      <c r="T134" s="728"/>
      <c r="U134" s="776"/>
      <c r="V134" s="746">
        <f t="shared" si="56"/>
        <v>0</v>
      </c>
      <c r="W134" s="963">
        <v>47362</v>
      </c>
    </row>
    <row r="135" spans="4:23">
      <c r="D135" s="9" t="b">
        <f t="shared" si="53"/>
        <v>0</v>
      </c>
      <c r="E135" s="9">
        <f t="shared" si="54"/>
        <v>0</v>
      </c>
      <c r="G135" s="957">
        <v>47392</v>
      </c>
      <c r="H135" s="554">
        <f t="shared" si="55"/>
        <v>83121.853000000017</v>
      </c>
      <c r="I135" s="729">
        <f t="shared" si="58"/>
        <v>547.36999999999989</v>
      </c>
      <c r="J135" s="728">
        <v>5205</v>
      </c>
      <c r="K135" s="729">
        <v>438.05000000000018</v>
      </c>
      <c r="L135" s="746">
        <f t="shared" si="52"/>
        <v>89312.273000000016</v>
      </c>
      <c r="M135" s="770"/>
      <c r="N135" s="554"/>
      <c r="O135" s="729"/>
      <c r="P135" s="728"/>
      <c r="Q135" s="729"/>
      <c r="R135" s="728"/>
      <c r="S135" s="730"/>
      <c r="T135" s="728"/>
      <c r="U135" s="776"/>
      <c r="V135" s="746">
        <f t="shared" si="56"/>
        <v>0</v>
      </c>
      <c r="W135" s="963">
        <v>47392</v>
      </c>
    </row>
    <row r="136" spans="4:23">
      <c r="D136" s="9" t="b">
        <f t="shared" si="53"/>
        <v>0</v>
      </c>
      <c r="E136" s="9">
        <f t="shared" si="54"/>
        <v>0</v>
      </c>
      <c r="G136" s="957">
        <v>47423</v>
      </c>
      <c r="H136" s="554">
        <f t="shared" si="55"/>
        <v>82492.142000000022</v>
      </c>
      <c r="I136" s="729">
        <f t="shared" si="58"/>
        <v>502.86999999999989</v>
      </c>
      <c r="J136" s="728">
        <v>5019.25</v>
      </c>
      <c r="K136" s="729">
        <v>357.55000000000018</v>
      </c>
      <c r="L136" s="746">
        <f t="shared" si="52"/>
        <v>88371.81200000002</v>
      </c>
      <c r="M136" s="770"/>
      <c r="N136" s="554"/>
      <c r="O136" s="729"/>
      <c r="P136" s="728"/>
      <c r="Q136" s="729"/>
      <c r="R136" s="728"/>
      <c r="S136" s="730"/>
      <c r="T136" s="728"/>
      <c r="U136" s="776"/>
      <c r="V136" s="746">
        <f t="shared" si="56"/>
        <v>0</v>
      </c>
      <c r="W136" s="963">
        <v>47423</v>
      </c>
    </row>
    <row r="137" spans="4:23">
      <c r="D137" s="9" t="b">
        <f t="shared" si="53"/>
        <v>0</v>
      </c>
      <c r="E137" s="9">
        <f t="shared" si="54"/>
        <v>0</v>
      </c>
      <c r="G137" s="957">
        <v>47453</v>
      </c>
      <c r="H137" s="554">
        <f t="shared" si="55"/>
        <v>81862.431000000026</v>
      </c>
      <c r="I137" s="729">
        <f t="shared" si="58"/>
        <v>458.36999999999989</v>
      </c>
      <c r="J137" s="728">
        <v>4833.5</v>
      </c>
      <c r="K137" s="729">
        <v>277.05000000000018</v>
      </c>
      <c r="L137" s="746">
        <f t="shared" si="52"/>
        <v>87431.351000000024</v>
      </c>
      <c r="M137" s="770"/>
      <c r="N137" s="554"/>
      <c r="O137" s="729"/>
      <c r="P137" s="728"/>
      <c r="Q137" s="729"/>
      <c r="R137" s="728"/>
      <c r="S137" s="730"/>
      <c r="T137" s="728"/>
      <c r="U137" s="776"/>
      <c r="V137" s="746">
        <f t="shared" si="56"/>
        <v>0</v>
      </c>
      <c r="W137" s="963">
        <v>47453</v>
      </c>
    </row>
    <row r="138" spans="4:23">
      <c r="D138" s="9" t="b">
        <f t="shared" si="53"/>
        <v>0</v>
      </c>
      <c r="E138" s="9">
        <f t="shared" si="54"/>
        <v>0</v>
      </c>
      <c r="G138" s="957">
        <v>47484</v>
      </c>
      <c r="H138" s="554">
        <f t="shared" si="55"/>
        <v>81232.72000000003</v>
      </c>
      <c r="I138" s="729">
        <f t="shared" si="58"/>
        <v>413.86999999999989</v>
      </c>
      <c r="J138" s="728">
        <v>4647.75</v>
      </c>
      <c r="K138" s="729">
        <v>196.55000000000018</v>
      </c>
      <c r="L138" s="746">
        <f t="shared" si="52"/>
        <v>86490.890000000029</v>
      </c>
      <c r="M138" s="770"/>
      <c r="N138" s="554"/>
      <c r="O138" s="729"/>
      <c r="P138" s="728"/>
      <c r="Q138" s="729"/>
      <c r="R138" s="728"/>
      <c r="S138" s="730"/>
      <c r="T138" s="728"/>
      <c r="U138" s="776"/>
      <c r="V138" s="746">
        <f t="shared" si="56"/>
        <v>0</v>
      </c>
      <c r="W138" s="963">
        <v>47484</v>
      </c>
    </row>
    <row r="139" spans="4:23">
      <c r="D139" s="9" t="b">
        <f t="shared" si="53"/>
        <v>0</v>
      </c>
      <c r="E139" s="9">
        <f t="shared" si="54"/>
        <v>0</v>
      </c>
      <c r="G139" s="957">
        <v>47515</v>
      </c>
      <c r="H139" s="554">
        <f t="shared" si="55"/>
        <v>80603.009000000035</v>
      </c>
      <c r="I139" s="729">
        <f t="shared" si="58"/>
        <v>369.36999999999989</v>
      </c>
      <c r="J139" s="728">
        <v>4462</v>
      </c>
      <c r="K139" s="729">
        <v>116.05000000000018</v>
      </c>
      <c r="L139" s="746">
        <f t="shared" si="52"/>
        <v>85550.429000000033</v>
      </c>
      <c r="M139" s="770"/>
      <c r="N139" s="554"/>
      <c r="O139" s="729"/>
      <c r="P139" s="728"/>
      <c r="Q139" s="729"/>
      <c r="R139" s="728"/>
      <c r="S139" s="730"/>
      <c r="T139" s="728"/>
      <c r="U139" s="776"/>
      <c r="V139" s="746">
        <f t="shared" si="56"/>
        <v>0</v>
      </c>
      <c r="W139" s="963">
        <v>47515</v>
      </c>
    </row>
    <row r="140" spans="4:23">
      <c r="D140" s="9" t="b">
        <f t="shared" si="53"/>
        <v>0</v>
      </c>
      <c r="E140" s="9">
        <f t="shared" si="54"/>
        <v>0</v>
      </c>
      <c r="G140" s="957">
        <v>47543</v>
      </c>
      <c r="H140" s="554">
        <f t="shared" si="55"/>
        <v>79973.298000000039</v>
      </c>
      <c r="I140" s="729">
        <f t="shared" si="58"/>
        <v>324.86999999999989</v>
      </c>
      <c r="J140" s="728">
        <v>4276.25</v>
      </c>
      <c r="K140" s="729">
        <v>33.550000000000182</v>
      </c>
      <c r="L140" s="746">
        <f t="shared" si="52"/>
        <v>84607.968000000037</v>
      </c>
      <c r="M140" s="770"/>
      <c r="N140" s="554"/>
      <c r="O140" s="729"/>
      <c r="P140" s="728"/>
      <c r="Q140" s="729"/>
      <c r="R140" s="728"/>
      <c r="S140" s="730"/>
      <c r="T140" s="728"/>
      <c r="U140" s="776"/>
      <c r="V140" s="746">
        <f t="shared" si="56"/>
        <v>0</v>
      </c>
      <c r="W140" s="963">
        <v>47543</v>
      </c>
    </row>
    <row r="141" spans="4:23">
      <c r="D141" s="9" t="b">
        <f t="shared" si="53"/>
        <v>0</v>
      </c>
      <c r="E141" s="9">
        <f t="shared" si="54"/>
        <v>0</v>
      </c>
      <c r="G141" s="957">
        <v>47574</v>
      </c>
      <c r="H141" s="554">
        <f t="shared" si="55"/>
        <v>79343.587000000043</v>
      </c>
      <c r="I141" s="729">
        <f t="shared" si="58"/>
        <v>280.36999999999989</v>
      </c>
      <c r="J141" s="728">
        <v>4090.5</v>
      </c>
      <c r="K141" s="729"/>
      <c r="L141" s="746">
        <f t="shared" si="52"/>
        <v>83714.457000000039</v>
      </c>
      <c r="M141" s="770"/>
      <c r="N141" s="554"/>
      <c r="O141" s="729"/>
      <c r="P141" s="728"/>
      <c r="Q141" s="729"/>
      <c r="R141" s="728"/>
      <c r="S141" s="730"/>
      <c r="T141" s="728"/>
      <c r="U141" s="776"/>
      <c r="V141" s="746">
        <f t="shared" si="56"/>
        <v>0</v>
      </c>
      <c r="W141" s="963">
        <v>47574</v>
      </c>
    </row>
    <row r="142" spans="4:23">
      <c r="D142" s="9" t="b">
        <f t="shared" si="53"/>
        <v>0</v>
      </c>
      <c r="E142" s="9">
        <f t="shared" si="54"/>
        <v>0</v>
      </c>
      <c r="G142" s="957">
        <v>47604</v>
      </c>
      <c r="H142" s="554">
        <f t="shared" si="55"/>
        <v>78713.876000000047</v>
      </c>
      <c r="I142" s="729">
        <f t="shared" si="58"/>
        <v>235.86999999999989</v>
      </c>
      <c r="J142" s="728">
        <v>3902.75</v>
      </c>
      <c r="K142" s="729"/>
      <c r="L142" s="746">
        <f t="shared" si="52"/>
        <v>82852.496000000043</v>
      </c>
      <c r="M142" s="770"/>
      <c r="N142" s="554"/>
      <c r="O142" s="729"/>
      <c r="P142" s="728"/>
      <c r="Q142" s="729"/>
      <c r="R142" s="728"/>
      <c r="S142" s="730"/>
      <c r="T142" s="728"/>
      <c r="U142" s="776"/>
      <c r="V142" s="746">
        <f t="shared" si="56"/>
        <v>0</v>
      </c>
      <c r="W142" s="963">
        <v>47604</v>
      </c>
    </row>
    <row r="143" spans="4:23">
      <c r="D143" s="9" t="b">
        <f t="shared" si="53"/>
        <v>0</v>
      </c>
      <c r="E143" s="9">
        <f t="shared" si="54"/>
        <v>0</v>
      </c>
      <c r="G143" s="957">
        <v>47635</v>
      </c>
      <c r="H143" s="554">
        <f t="shared" si="55"/>
        <v>78084.165000000052</v>
      </c>
      <c r="I143" s="729">
        <f t="shared" si="58"/>
        <v>191.36999999999989</v>
      </c>
      <c r="J143" s="728">
        <v>3717</v>
      </c>
      <c r="K143" s="729"/>
      <c r="L143" s="746">
        <f t="shared" si="52"/>
        <v>81992.535000000047</v>
      </c>
      <c r="M143" s="770"/>
      <c r="N143" s="554"/>
      <c r="O143" s="729"/>
      <c r="P143" s="728"/>
      <c r="Q143" s="729"/>
      <c r="R143" s="728"/>
      <c r="S143" s="730"/>
      <c r="T143" s="728"/>
      <c r="U143" s="776"/>
      <c r="V143" s="746">
        <f t="shared" si="56"/>
        <v>0</v>
      </c>
      <c r="W143" s="963">
        <v>47635</v>
      </c>
    </row>
    <row r="144" spans="4:23">
      <c r="D144" s="9" t="b">
        <f t="shared" si="53"/>
        <v>0</v>
      </c>
      <c r="E144" s="9">
        <f t="shared" si="54"/>
        <v>0</v>
      </c>
      <c r="G144" s="957">
        <v>47665</v>
      </c>
      <c r="H144" s="554">
        <f t="shared" si="55"/>
        <v>77454.454000000056</v>
      </c>
      <c r="I144" s="729">
        <f t="shared" si="58"/>
        <v>146.86999999999989</v>
      </c>
      <c r="J144" s="728">
        <v>3531.25</v>
      </c>
      <c r="K144" s="729"/>
      <c r="L144" s="746">
        <f t="shared" si="52"/>
        <v>81132.574000000051</v>
      </c>
      <c r="M144" s="770"/>
      <c r="N144" s="554"/>
      <c r="O144" s="729"/>
      <c r="P144" s="728"/>
      <c r="Q144" s="729"/>
      <c r="R144" s="728"/>
      <c r="S144" s="730"/>
      <c r="T144" s="728"/>
      <c r="U144" s="776"/>
      <c r="V144" s="746">
        <f t="shared" si="56"/>
        <v>0</v>
      </c>
      <c r="W144" s="963">
        <v>47665</v>
      </c>
    </row>
    <row r="145" spans="4:23">
      <c r="D145" s="9" t="b">
        <f t="shared" si="53"/>
        <v>0</v>
      </c>
      <c r="E145" s="9">
        <f t="shared" si="54"/>
        <v>0</v>
      </c>
      <c r="G145" s="957">
        <v>47696</v>
      </c>
      <c r="H145" s="554">
        <f t="shared" si="55"/>
        <v>76824.74300000006</v>
      </c>
      <c r="I145" s="729">
        <f t="shared" si="58"/>
        <v>102.36999999999989</v>
      </c>
      <c r="J145" s="728">
        <v>3345.5</v>
      </c>
      <c r="K145" s="729"/>
      <c r="L145" s="746">
        <f t="shared" si="52"/>
        <v>80272.613000000056</v>
      </c>
      <c r="M145" s="770"/>
      <c r="N145" s="554"/>
      <c r="O145" s="729"/>
      <c r="P145" s="728"/>
      <c r="Q145" s="729"/>
      <c r="R145" s="728"/>
      <c r="S145" s="730"/>
      <c r="T145" s="728"/>
      <c r="U145" s="776"/>
      <c r="V145" s="746">
        <f t="shared" si="56"/>
        <v>0</v>
      </c>
      <c r="W145" s="963">
        <v>47696</v>
      </c>
    </row>
    <row r="146" spans="4:23">
      <c r="D146" s="9" t="b">
        <f t="shared" si="53"/>
        <v>0</v>
      </c>
      <c r="E146" s="9">
        <f t="shared" si="54"/>
        <v>0</v>
      </c>
      <c r="G146" s="957">
        <v>47727</v>
      </c>
      <c r="H146" s="554">
        <f t="shared" si="55"/>
        <v>76195.032000000065</v>
      </c>
      <c r="I146" s="729">
        <f t="shared" si="58"/>
        <v>57.869999999999891</v>
      </c>
      <c r="J146" s="728">
        <v>3159.75</v>
      </c>
      <c r="K146" s="729"/>
      <c r="L146" s="746">
        <f t="shared" si="52"/>
        <v>79412.65200000006</v>
      </c>
      <c r="M146" s="770"/>
      <c r="N146" s="554"/>
      <c r="O146" s="729"/>
      <c r="P146" s="728"/>
      <c r="Q146" s="729"/>
      <c r="R146" s="728"/>
      <c r="S146" s="730"/>
      <c r="T146" s="728"/>
      <c r="U146" s="776"/>
      <c r="V146" s="746">
        <f t="shared" si="56"/>
        <v>0</v>
      </c>
      <c r="W146" s="963">
        <v>47727</v>
      </c>
    </row>
    <row r="147" spans="4:23">
      <c r="D147" s="9" t="b">
        <f t="shared" si="53"/>
        <v>0</v>
      </c>
      <c r="E147" s="9">
        <f t="shared" si="54"/>
        <v>0</v>
      </c>
      <c r="G147" s="957">
        <v>47757</v>
      </c>
      <c r="H147" s="554">
        <f t="shared" si="55"/>
        <v>75565.321000000069</v>
      </c>
      <c r="I147" s="729">
        <f t="shared" si="58"/>
        <v>13.369999999999891</v>
      </c>
      <c r="J147" s="728">
        <v>2974</v>
      </c>
      <c r="K147" s="729"/>
      <c r="L147" s="746">
        <f t="shared" si="52"/>
        <v>78552.691000000064</v>
      </c>
      <c r="M147" s="770"/>
      <c r="N147" s="554"/>
      <c r="O147" s="729"/>
      <c r="P147" s="728"/>
      <c r="Q147" s="729"/>
      <c r="R147" s="728"/>
      <c r="S147" s="730"/>
      <c r="T147" s="728"/>
      <c r="U147" s="776"/>
      <c r="V147" s="746">
        <f t="shared" si="56"/>
        <v>0</v>
      </c>
      <c r="W147" s="963">
        <v>47757</v>
      </c>
    </row>
    <row r="148" spans="4:23">
      <c r="D148" s="9" t="b">
        <f t="shared" si="53"/>
        <v>0</v>
      </c>
      <c r="E148" s="9">
        <f t="shared" si="54"/>
        <v>0</v>
      </c>
      <c r="G148" s="957">
        <v>47788</v>
      </c>
      <c r="H148" s="554">
        <f t="shared" si="55"/>
        <v>74935.610000000073</v>
      </c>
      <c r="I148" s="729"/>
      <c r="J148" s="728">
        <v>2788.25</v>
      </c>
      <c r="K148" s="729"/>
      <c r="L148" s="746">
        <f t="shared" si="52"/>
        <v>77723.860000000073</v>
      </c>
      <c r="M148" s="770"/>
      <c r="N148" s="554"/>
      <c r="O148" s="729"/>
      <c r="P148" s="728"/>
      <c r="Q148" s="729"/>
      <c r="R148" s="728"/>
      <c r="S148" s="730"/>
      <c r="T148" s="728"/>
      <c r="U148" s="776"/>
      <c r="V148" s="746">
        <f t="shared" si="56"/>
        <v>0</v>
      </c>
      <c r="W148" s="963">
        <v>47788</v>
      </c>
    </row>
    <row r="149" spans="4:23">
      <c r="D149" s="9" t="b">
        <f t="shared" si="53"/>
        <v>0</v>
      </c>
      <c r="E149" s="9">
        <f t="shared" si="54"/>
        <v>0</v>
      </c>
      <c r="G149" s="957">
        <v>47818</v>
      </c>
      <c r="H149" s="554">
        <f t="shared" si="55"/>
        <v>74305.899000000078</v>
      </c>
      <c r="I149" s="729"/>
      <c r="J149" s="728">
        <v>2602.5</v>
      </c>
      <c r="K149" s="729"/>
      <c r="L149" s="746">
        <f t="shared" si="52"/>
        <v>76908.399000000078</v>
      </c>
      <c r="M149" s="770"/>
      <c r="N149" s="554"/>
      <c r="O149" s="729"/>
      <c r="P149" s="728"/>
      <c r="Q149" s="729"/>
      <c r="R149" s="728"/>
      <c r="S149" s="730"/>
      <c r="T149" s="728"/>
      <c r="U149" s="776"/>
      <c r="V149" s="746">
        <f t="shared" si="56"/>
        <v>0</v>
      </c>
      <c r="W149" s="963">
        <v>47818</v>
      </c>
    </row>
    <row r="150" spans="4:23">
      <c r="D150" s="9" t="b">
        <f t="shared" si="53"/>
        <v>0</v>
      </c>
      <c r="E150" s="9">
        <f t="shared" si="54"/>
        <v>0</v>
      </c>
      <c r="G150" s="957">
        <v>47849</v>
      </c>
      <c r="H150" s="554">
        <f t="shared" si="55"/>
        <v>73676.188000000082</v>
      </c>
      <c r="I150" s="729"/>
      <c r="J150" s="728">
        <v>2416.75</v>
      </c>
      <c r="K150" s="729"/>
      <c r="L150" s="746">
        <f t="shared" si="52"/>
        <v>76092.938000000082</v>
      </c>
      <c r="M150" s="770"/>
      <c r="N150" s="554"/>
      <c r="O150" s="729"/>
      <c r="P150" s="728"/>
      <c r="Q150" s="729"/>
      <c r="R150" s="728"/>
      <c r="S150" s="730"/>
      <c r="T150" s="728"/>
      <c r="U150" s="776"/>
      <c r="V150" s="746">
        <f t="shared" si="56"/>
        <v>0</v>
      </c>
      <c r="W150" s="963">
        <v>47849</v>
      </c>
    </row>
    <row r="151" spans="4:23">
      <c r="D151" s="9" t="b">
        <f t="shared" si="53"/>
        <v>0</v>
      </c>
      <c r="E151" s="9">
        <f t="shared" si="54"/>
        <v>0</v>
      </c>
      <c r="G151" s="957">
        <v>47880</v>
      </c>
      <c r="H151" s="554">
        <f t="shared" si="55"/>
        <v>73046.477000000086</v>
      </c>
      <c r="I151" s="729"/>
      <c r="J151" s="728">
        <v>2231</v>
      </c>
      <c r="K151" s="729"/>
      <c r="L151" s="746">
        <f t="shared" si="52"/>
        <v>75277.477000000086</v>
      </c>
      <c r="M151" s="770"/>
      <c r="N151" s="554"/>
      <c r="O151" s="729"/>
      <c r="P151" s="728"/>
      <c r="Q151" s="729"/>
      <c r="R151" s="728"/>
      <c r="S151" s="730"/>
      <c r="T151" s="728"/>
      <c r="U151" s="776"/>
      <c r="V151" s="746">
        <f t="shared" si="56"/>
        <v>0</v>
      </c>
      <c r="W151" s="963">
        <v>47880</v>
      </c>
    </row>
    <row r="152" spans="4:23">
      <c r="D152" s="9" t="b">
        <f t="shared" si="53"/>
        <v>0</v>
      </c>
      <c r="E152" s="9">
        <f t="shared" si="54"/>
        <v>0</v>
      </c>
      <c r="G152" s="957">
        <v>47908</v>
      </c>
      <c r="H152" s="554">
        <f t="shared" si="55"/>
        <v>72416.766000000091</v>
      </c>
      <c r="I152" s="729"/>
      <c r="J152" s="728">
        <v>2045.25</v>
      </c>
      <c r="K152" s="729"/>
      <c r="L152" s="746">
        <f t="shared" si="52"/>
        <v>74462.016000000091</v>
      </c>
      <c r="M152" s="770"/>
      <c r="N152" s="554"/>
      <c r="O152" s="729"/>
      <c r="P152" s="728"/>
      <c r="Q152" s="729"/>
      <c r="R152" s="728"/>
      <c r="S152" s="730"/>
      <c r="T152" s="728"/>
      <c r="U152" s="776"/>
      <c r="V152" s="746">
        <f t="shared" si="56"/>
        <v>0</v>
      </c>
      <c r="W152" s="963">
        <v>47908</v>
      </c>
    </row>
    <row r="153" spans="4:23">
      <c r="D153" s="9" t="b">
        <f t="shared" si="53"/>
        <v>0</v>
      </c>
      <c r="E153" s="9">
        <f t="shared" si="54"/>
        <v>0</v>
      </c>
      <c r="G153" s="957">
        <v>47939</v>
      </c>
      <c r="H153" s="554">
        <f t="shared" si="55"/>
        <v>71787.055000000095</v>
      </c>
      <c r="I153" s="729"/>
      <c r="J153" s="728">
        <v>1859.5</v>
      </c>
      <c r="K153" s="729"/>
      <c r="L153" s="746">
        <f t="shared" si="52"/>
        <v>73646.555000000095</v>
      </c>
      <c r="M153" s="770"/>
      <c r="N153" s="554"/>
      <c r="O153" s="729"/>
      <c r="P153" s="728"/>
      <c r="Q153" s="729"/>
      <c r="R153" s="728"/>
      <c r="S153" s="730"/>
      <c r="T153" s="728"/>
      <c r="U153" s="776"/>
      <c r="V153" s="746">
        <f t="shared" si="56"/>
        <v>0</v>
      </c>
      <c r="W153" s="963">
        <v>47939</v>
      </c>
    </row>
    <row r="154" spans="4:23">
      <c r="D154" s="9" t="b">
        <f t="shared" si="53"/>
        <v>0</v>
      </c>
      <c r="E154" s="9">
        <f t="shared" si="54"/>
        <v>0</v>
      </c>
      <c r="G154" s="957">
        <v>47969</v>
      </c>
      <c r="H154" s="554">
        <f t="shared" si="55"/>
        <v>71157.344000000099</v>
      </c>
      <c r="I154" s="729"/>
      <c r="J154" s="728">
        <v>1671.75</v>
      </c>
      <c r="K154" s="729"/>
      <c r="L154" s="746">
        <f t="shared" si="52"/>
        <v>72829.094000000099</v>
      </c>
      <c r="M154" s="770"/>
      <c r="N154" s="554"/>
      <c r="O154" s="729"/>
      <c r="P154" s="728"/>
      <c r="Q154" s="729"/>
      <c r="R154" s="728"/>
      <c r="S154" s="730"/>
      <c r="T154" s="728"/>
      <c r="U154" s="776"/>
      <c r="V154" s="746">
        <f t="shared" si="56"/>
        <v>0</v>
      </c>
      <c r="W154" s="963">
        <v>47969</v>
      </c>
    </row>
    <row r="155" spans="4:23">
      <c r="D155" s="9" t="b">
        <f t="shared" si="53"/>
        <v>0</v>
      </c>
      <c r="E155" s="9">
        <f t="shared" si="54"/>
        <v>0</v>
      </c>
      <c r="G155" s="957">
        <v>48000</v>
      </c>
      <c r="H155" s="554">
        <f t="shared" si="55"/>
        <v>70527.633000000103</v>
      </c>
      <c r="I155" s="729"/>
      <c r="J155" s="728">
        <v>1486</v>
      </c>
      <c r="K155" s="729"/>
      <c r="L155" s="746">
        <f t="shared" si="52"/>
        <v>72013.633000000103</v>
      </c>
      <c r="M155" s="770"/>
      <c r="N155" s="554"/>
      <c r="O155" s="729"/>
      <c r="P155" s="728"/>
      <c r="Q155" s="729"/>
      <c r="R155" s="728"/>
      <c r="S155" s="730"/>
      <c r="T155" s="728"/>
      <c r="U155" s="776"/>
      <c r="V155" s="746">
        <f t="shared" si="56"/>
        <v>0</v>
      </c>
      <c r="W155" s="963">
        <v>48000</v>
      </c>
    </row>
    <row r="156" spans="4:23">
      <c r="D156" s="9" t="b">
        <f t="shared" si="53"/>
        <v>0</v>
      </c>
      <c r="E156" s="9">
        <f t="shared" si="54"/>
        <v>0</v>
      </c>
      <c r="G156" s="957">
        <v>48030</v>
      </c>
      <c r="H156" s="554">
        <f t="shared" si="55"/>
        <v>69897.922000000108</v>
      </c>
      <c r="I156" s="729"/>
      <c r="J156" s="728">
        <v>1300.25</v>
      </c>
      <c r="K156" s="729"/>
      <c r="L156" s="746">
        <f t="shared" ref="L156:L219" si="59">SUM(H156:K156)</f>
        <v>71198.172000000108</v>
      </c>
      <c r="M156" s="770"/>
      <c r="N156" s="554"/>
      <c r="O156" s="729"/>
      <c r="P156" s="728"/>
      <c r="Q156" s="729"/>
      <c r="R156" s="728"/>
      <c r="S156" s="730"/>
      <c r="T156" s="728"/>
      <c r="U156" s="776"/>
      <c r="V156" s="746">
        <f t="shared" si="56"/>
        <v>0</v>
      </c>
      <c r="W156" s="963">
        <v>48030</v>
      </c>
    </row>
    <row r="157" spans="4:23">
      <c r="D157" s="9" t="b">
        <f t="shared" ref="D157:D220" si="60">IF($B$2=G157,TRUE,FALSE)</f>
        <v>0</v>
      </c>
      <c r="E157" s="9">
        <f t="shared" ref="E157:E220" si="61">IF(G157&lt;=$B$2,1,0)</f>
        <v>0</v>
      </c>
      <c r="G157" s="957">
        <v>48061</v>
      </c>
      <c r="H157" s="554">
        <f t="shared" ref="H157:H220" si="62">H156-$H$7</f>
        <v>69268.211000000112</v>
      </c>
      <c r="I157" s="729"/>
      <c r="J157" s="728">
        <v>1114.5</v>
      </c>
      <c r="K157" s="729"/>
      <c r="L157" s="746">
        <f t="shared" si="59"/>
        <v>70382.711000000112</v>
      </c>
      <c r="M157" s="770"/>
      <c r="N157" s="554"/>
      <c r="O157" s="729"/>
      <c r="P157" s="728"/>
      <c r="Q157" s="729"/>
      <c r="R157" s="728"/>
      <c r="S157" s="730"/>
      <c r="T157" s="728"/>
      <c r="U157" s="776"/>
      <c r="V157" s="746">
        <f t="shared" ref="V157:V220" si="63">SUM(N157:U157)</f>
        <v>0</v>
      </c>
      <c r="W157" s="963">
        <v>48061</v>
      </c>
    </row>
    <row r="158" spans="4:23">
      <c r="D158" s="9" t="b">
        <f t="shared" si="60"/>
        <v>0</v>
      </c>
      <c r="E158" s="9">
        <f t="shared" si="61"/>
        <v>0</v>
      </c>
      <c r="G158" s="957">
        <v>48092</v>
      </c>
      <c r="H158" s="554">
        <f t="shared" si="62"/>
        <v>68638.500000000116</v>
      </c>
      <c r="I158" s="729"/>
      <c r="J158" s="728">
        <v>928.75</v>
      </c>
      <c r="K158" s="729"/>
      <c r="L158" s="746">
        <f t="shared" si="59"/>
        <v>69567.250000000116</v>
      </c>
      <c r="M158" s="770"/>
      <c r="N158" s="554"/>
      <c r="O158" s="729"/>
      <c r="P158" s="728"/>
      <c r="Q158" s="729"/>
      <c r="R158" s="728"/>
      <c r="S158" s="730"/>
      <c r="T158" s="728"/>
      <c r="U158" s="776"/>
      <c r="V158" s="746">
        <f t="shared" si="63"/>
        <v>0</v>
      </c>
      <c r="W158" s="963">
        <v>48092</v>
      </c>
    </row>
    <row r="159" spans="4:23">
      <c r="D159" s="9" t="b">
        <f t="shared" si="60"/>
        <v>0</v>
      </c>
      <c r="E159" s="9">
        <f t="shared" si="61"/>
        <v>0</v>
      </c>
      <c r="G159" s="957">
        <v>48122</v>
      </c>
      <c r="H159" s="554">
        <f t="shared" si="62"/>
        <v>68008.789000000121</v>
      </c>
      <c r="I159" s="729"/>
      <c r="J159" s="728">
        <v>743</v>
      </c>
      <c r="K159" s="729"/>
      <c r="L159" s="746">
        <f t="shared" si="59"/>
        <v>68751.789000000121</v>
      </c>
      <c r="M159" s="770"/>
      <c r="N159" s="554"/>
      <c r="O159" s="729"/>
      <c r="P159" s="728"/>
      <c r="Q159" s="729"/>
      <c r="R159" s="728"/>
      <c r="S159" s="730"/>
      <c r="T159" s="728"/>
      <c r="U159" s="776"/>
      <c r="V159" s="746">
        <f t="shared" si="63"/>
        <v>0</v>
      </c>
      <c r="W159" s="963">
        <v>48122</v>
      </c>
    </row>
    <row r="160" spans="4:23">
      <c r="D160" s="9" t="b">
        <f t="shared" si="60"/>
        <v>0</v>
      </c>
      <c r="E160" s="9">
        <f t="shared" si="61"/>
        <v>0</v>
      </c>
      <c r="G160" s="957">
        <v>48153</v>
      </c>
      <c r="H160" s="554">
        <f t="shared" si="62"/>
        <v>67379.078000000125</v>
      </c>
      <c r="I160" s="729"/>
      <c r="J160" s="728">
        <v>557.25</v>
      </c>
      <c r="K160" s="729"/>
      <c r="L160" s="746">
        <f t="shared" si="59"/>
        <v>67936.328000000125</v>
      </c>
      <c r="M160" s="770"/>
      <c r="N160" s="554"/>
      <c r="O160" s="729"/>
      <c r="P160" s="728"/>
      <c r="Q160" s="729"/>
      <c r="R160" s="728"/>
      <c r="S160" s="730"/>
      <c r="T160" s="728"/>
      <c r="U160" s="776"/>
      <c r="V160" s="746">
        <f t="shared" si="63"/>
        <v>0</v>
      </c>
      <c r="W160" s="963">
        <v>48153</v>
      </c>
    </row>
    <row r="161" spans="4:23">
      <c r="D161" s="9" t="b">
        <f t="shared" si="60"/>
        <v>0</v>
      </c>
      <c r="E161" s="9">
        <f t="shared" si="61"/>
        <v>0</v>
      </c>
      <c r="G161" s="957">
        <v>48183</v>
      </c>
      <c r="H161" s="554">
        <f t="shared" si="62"/>
        <v>66749.367000000129</v>
      </c>
      <c r="I161" s="729"/>
      <c r="J161" s="728">
        <v>371.5</v>
      </c>
      <c r="K161" s="729"/>
      <c r="L161" s="746">
        <f t="shared" si="59"/>
        <v>67120.867000000129</v>
      </c>
      <c r="M161" s="770"/>
      <c r="N161" s="554"/>
      <c r="O161" s="729"/>
      <c r="P161" s="728"/>
      <c r="Q161" s="729"/>
      <c r="R161" s="728"/>
      <c r="S161" s="730"/>
      <c r="T161" s="728"/>
      <c r="U161" s="776"/>
      <c r="V161" s="746">
        <f t="shared" si="63"/>
        <v>0</v>
      </c>
      <c r="W161" s="963">
        <v>48183</v>
      </c>
    </row>
    <row r="162" spans="4:23">
      <c r="D162" s="9" t="b">
        <f t="shared" si="60"/>
        <v>0</v>
      </c>
      <c r="E162" s="9">
        <f t="shared" si="61"/>
        <v>0</v>
      </c>
      <c r="G162" s="957">
        <v>48214</v>
      </c>
      <c r="H162" s="554">
        <f t="shared" si="62"/>
        <v>66119.656000000134</v>
      </c>
      <c r="I162" s="729"/>
      <c r="J162" s="728">
        <v>185.75</v>
      </c>
      <c r="K162" s="729"/>
      <c r="L162" s="746">
        <f t="shared" si="59"/>
        <v>66305.406000000134</v>
      </c>
      <c r="M162" s="770"/>
      <c r="N162" s="554"/>
      <c r="O162" s="729"/>
      <c r="P162" s="728"/>
      <c r="Q162" s="729"/>
      <c r="R162" s="728"/>
      <c r="S162" s="730"/>
      <c r="T162" s="728"/>
      <c r="U162" s="776"/>
      <c r="V162" s="746">
        <f t="shared" si="63"/>
        <v>0</v>
      </c>
      <c r="W162" s="963">
        <v>48214</v>
      </c>
    </row>
    <row r="163" spans="4:23">
      <c r="D163" s="9" t="b">
        <f t="shared" si="60"/>
        <v>0</v>
      </c>
      <c r="E163" s="9">
        <f t="shared" si="61"/>
        <v>0</v>
      </c>
      <c r="G163" s="957">
        <v>48245</v>
      </c>
      <c r="H163" s="554">
        <f t="shared" si="62"/>
        <v>65489.945000000131</v>
      </c>
      <c r="I163" s="729"/>
      <c r="J163" s="728"/>
      <c r="K163" s="729"/>
      <c r="L163" s="746">
        <f t="shared" si="59"/>
        <v>65489.945000000131</v>
      </c>
      <c r="M163" s="770"/>
      <c r="N163" s="554"/>
      <c r="O163" s="729"/>
      <c r="P163" s="728"/>
      <c r="Q163" s="729"/>
      <c r="R163" s="728"/>
      <c r="S163" s="730"/>
      <c r="T163" s="728"/>
      <c r="U163" s="776"/>
      <c r="V163" s="746">
        <f t="shared" si="63"/>
        <v>0</v>
      </c>
      <c r="W163" s="963">
        <v>48245</v>
      </c>
    </row>
    <row r="164" spans="4:23">
      <c r="D164" s="9" t="b">
        <f t="shared" si="60"/>
        <v>0</v>
      </c>
      <c r="E164" s="9">
        <f t="shared" si="61"/>
        <v>0</v>
      </c>
      <c r="G164" s="957">
        <v>48274</v>
      </c>
      <c r="H164" s="554">
        <f t="shared" si="62"/>
        <v>64860.234000000128</v>
      </c>
      <c r="I164" s="729"/>
      <c r="J164" s="728"/>
      <c r="K164" s="729"/>
      <c r="L164" s="746">
        <f t="shared" si="59"/>
        <v>64860.234000000128</v>
      </c>
      <c r="M164" s="770"/>
      <c r="N164" s="554"/>
      <c r="O164" s="729"/>
      <c r="P164" s="728"/>
      <c r="Q164" s="729"/>
      <c r="R164" s="728"/>
      <c r="S164" s="730"/>
      <c r="T164" s="728"/>
      <c r="U164" s="776"/>
      <c r="V164" s="746">
        <f t="shared" si="63"/>
        <v>0</v>
      </c>
      <c r="W164" s="963">
        <v>48274</v>
      </c>
    </row>
    <row r="165" spans="4:23">
      <c r="D165" s="9" t="b">
        <f t="shared" si="60"/>
        <v>0</v>
      </c>
      <c r="E165" s="9">
        <f t="shared" si="61"/>
        <v>0</v>
      </c>
      <c r="G165" s="957">
        <v>48305</v>
      </c>
      <c r="H165" s="554">
        <f t="shared" si="62"/>
        <v>64230.523000000125</v>
      </c>
      <c r="I165" s="729"/>
      <c r="J165" s="728"/>
      <c r="K165" s="729"/>
      <c r="L165" s="746">
        <f t="shared" si="59"/>
        <v>64230.523000000125</v>
      </c>
      <c r="M165" s="770"/>
      <c r="N165" s="554"/>
      <c r="O165" s="729"/>
      <c r="P165" s="728"/>
      <c r="Q165" s="729"/>
      <c r="R165" s="728"/>
      <c r="S165" s="730"/>
      <c r="T165" s="728"/>
      <c r="U165" s="776"/>
      <c r="V165" s="746">
        <f t="shared" si="63"/>
        <v>0</v>
      </c>
      <c r="W165" s="963">
        <v>48305</v>
      </c>
    </row>
    <row r="166" spans="4:23">
      <c r="D166" s="9" t="b">
        <f t="shared" si="60"/>
        <v>0</v>
      </c>
      <c r="E166" s="9">
        <f t="shared" si="61"/>
        <v>0</v>
      </c>
      <c r="G166" s="957">
        <v>48335</v>
      </c>
      <c r="H166" s="554">
        <f t="shared" si="62"/>
        <v>63600.812000000122</v>
      </c>
      <c r="I166" s="729"/>
      <c r="J166" s="728"/>
      <c r="K166" s="729"/>
      <c r="L166" s="746">
        <f t="shared" si="59"/>
        <v>63600.812000000122</v>
      </c>
      <c r="M166" s="770"/>
      <c r="N166" s="554"/>
      <c r="O166" s="729"/>
      <c r="P166" s="728"/>
      <c r="Q166" s="729"/>
      <c r="R166" s="728"/>
      <c r="S166" s="730"/>
      <c r="T166" s="728"/>
      <c r="U166" s="776"/>
      <c r="V166" s="746">
        <f t="shared" si="63"/>
        <v>0</v>
      </c>
      <c r="W166" s="963">
        <v>48335</v>
      </c>
    </row>
    <row r="167" spans="4:23">
      <c r="D167" s="9" t="b">
        <f t="shared" si="60"/>
        <v>0</v>
      </c>
      <c r="E167" s="9">
        <f t="shared" si="61"/>
        <v>0</v>
      </c>
      <c r="G167" s="957">
        <v>48366</v>
      </c>
      <c r="H167" s="554">
        <f t="shared" si="62"/>
        <v>62971.101000000119</v>
      </c>
      <c r="I167" s="729"/>
      <c r="J167" s="728"/>
      <c r="K167" s="729"/>
      <c r="L167" s="746">
        <f t="shared" si="59"/>
        <v>62971.101000000119</v>
      </c>
      <c r="M167" s="770"/>
      <c r="N167" s="554"/>
      <c r="O167" s="729"/>
      <c r="P167" s="728"/>
      <c r="Q167" s="729"/>
      <c r="R167" s="728"/>
      <c r="S167" s="730"/>
      <c r="T167" s="728"/>
      <c r="U167" s="776"/>
      <c r="V167" s="746">
        <f t="shared" si="63"/>
        <v>0</v>
      </c>
      <c r="W167" s="963">
        <v>48366</v>
      </c>
    </row>
    <row r="168" spans="4:23">
      <c r="D168" s="9" t="b">
        <f t="shared" si="60"/>
        <v>0</v>
      </c>
      <c r="E168" s="9">
        <f t="shared" si="61"/>
        <v>0</v>
      </c>
      <c r="G168" s="957">
        <v>48396</v>
      </c>
      <c r="H168" s="554">
        <f t="shared" si="62"/>
        <v>62341.390000000116</v>
      </c>
      <c r="I168" s="729"/>
      <c r="J168" s="728"/>
      <c r="K168" s="729"/>
      <c r="L168" s="746">
        <f t="shared" si="59"/>
        <v>62341.390000000116</v>
      </c>
      <c r="M168" s="770"/>
      <c r="N168" s="554"/>
      <c r="O168" s="729"/>
      <c r="P168" s="728"/>
      <c r="Q168" s="729"/>
      <c r="R168" s="728"/>
      <c r="S168" s="730"/>
      <c r="T168" s="728"/>
      <c r="U168" s="776"/>
      <c r="V168" s="746">
        <f t="shared" si="63"/>
        <v>0</v>
      </c>
      <c r="W168" s="963">
        <v>48396</v>
      </c>
    </row>
    <row r="169" spans="4:23">
      <c r="D169" s="9" t="b">
        <f t="shared" si="60"/>
        <v>0</v>
      </c>
      <c r="E169" s="9">
        <f t="shared" si="61"/>
        <v>0</v>
      </c>
      <c r="G169" s="957">
        <v>48427</v>
      </c>
      <c r="H169" s="554">
        <f t="shared" si="62"/>
        <v>61711.679000000113</v>
      </c>
      <c r="I169" s="729"/>
      <c r="J169" s="728"/>
      <c r="K169" s="729"/>
      <c r="L169" s="746">
        <f t="shared" si="59"/>
        <v>61711.679000000113</v>
      </c>
      <c r="M169" s="770"/>
      <c r="N169" s="554"/>
      <c r="O169" s="729"/>
      <c r="P169" s="728"/>
      <c r="Q169" s="729"/>
      <c r="R169" s="728"/>
      <c r="S169" s="730"/>
      <c r="T169" s="728"/>
      <c r="U169" s="776"/>
      <c r="V169" s="746">
        <f t="shared" si="63"/>
        <v>0</v>
      </c>
      <c r="W169" s="963">
        <v>48427</v>
      </c>
    </row>
    <row r="170" spans="4:23">
      <c r="D170" s="9" t="b">
        <f t="shared" si="60"/>
        <v>0</v>
      </c>
      <c r="E170" s="9">
        <f t="shared" si="61"/>
        <v>0</v>
      </c>
      <c r="G170" s="957">
        <v>48458</v>
      </c>
      <c r="H170" s="554">
        <f t="shared" si="62"/>
        <v>61081.96800000011</v>
      </c>
      <c r="I170" s="729"/>
      <c r="J170" s="728"/>
      <c r="K170" s="729"/>
      <c r="L170" s="746">
        <f t="shared" si="59"/>
        <v>61081.96800000011</v>
      </c>
      <c r="M170" s="770"/>
      <c r="N170" s="554"/>
      <c r="O170" s="729"/>
      <c r="P170" s="728"/>
      <c r="Q170" s="729"/>
      <c r="R170" s="728"/>
      <c r="S170" s="730"/>
      <c r="T170" s="728"/>
      <c r="U170" s="776"/>
      <c r="V170" s="746">
        <f t="shared" si="63"/>
        <v>0</v>
      </c>
      <c r="W170" s="963">
        <v>48458</v>
      </c>
    </row>
    <row r="171" spans="4:23">
      <c r="D171" s="9" t="b">
        <f t="shared" si="60"/>
        <v>0</v>
      </c>
      <c r="E171" s="9">
        <f t="shared" si="61"/>
        <v>0</v>
      </c>
      <c r="G171" s="957">
        <v>48488</v>
      </c>
      <c r="H171" s="554">
        <f t="shared" si="62"/>
        <v>60452.257000000107</v>
      </c>
      <c r="I171" s="729"/>
      <c r="J171" s="728"/>
      <c r="K171" s="729"/>
      <c r="L171" s="746">
        <f t="shared" si="59"/>
        <v>60452.257000000107</v>
      </c>
      <c r="M171" s="770"/>
      <c r="N171" s="554"/>
      <c r="O171" s="729"/>
      <c r="P171" s="728"/>
      <c r="Q171" s="729"/>
      <c r="R171" s="728"/>
      <c r="S171" s="730"/>
      <c r="T171" s="728"/>
      <c r="U171" s="776"/>
      <c r="V171" s="746">
        <f t="shared" si="63"/>
        <v>0</v>
      </c>
      <c r="W171" s="963">
        <v>48488</v>
      </c>
    </row>
    <row r="172" spans="4:23">
      <c r="D172" s="9" t="b">
        <f t="shared" si="60"/>
        <v>0</v>
      </c>
      <c r="E172" s="9">
        <f t="shared" si="61"/>
        <v>0</v>
      </c>
      <c r="G172" s="957">
        <v>48519</v>
      </c>
      <c r="H172" s="554">
        <f t="shared" si="62"/>
        <v>59822.546000000104</v>
      </c>
      <c r="I172" s="729"/>
      <c r="J172" s="728"/>
      <c r="K172" s="729"/>
      <c r="L172" s="746">
        <f t="shared" si="59"/>
        <v>59822.546000000104</v>
      </c>
      <c r="M172" s="770"/>
      <c r="N172" s="554"/>
      <c r="O172" s="729"/>
      <c r="P172" s="728"/>
      <c r="Q172" s="729"/>
      <c r="R172" s="728"/>
      <c r="S172" s="730"/>
      <c r="T172" s="728"/>
      <c r="U172" s="776"/>
      <c r="V172" s="746">
        <f t="shared" si="63"/>
        <v>0</v>
      </c>
      <c r="W172" s="963">
        <v>48519</v>
      </c>
    </row>
    <row r="173" spans="4:23">
      <c r="D173" s="9" t="b">
        <f t="shared" si="60"/>
        <v>0</v>
      </c>
      <c r="E173" s="9">
        <f t="shared" si="61"/>
        <v>0</v>
      </c>
      <c r="G173" s="957">
        <v>48549</v>
      </c>
      <c r="H173" s="554">
        <f t="shared" si="62"/>
        <v>59192.835000000101</v>
      </c>
      <c r="I173" s="729"/>
      <c r="J173" s="728"/>
      <c r="K173" s="729"/>
      <c r="L173" s="746">
        <f t="shared" si="59"/>
        <v>59192.835000000101</v>
      </c>
      <c r="M173" s="770"/>
      <c r="N173" s="554"/>
      <c r="O173" s="729"/>
      <c r="P173" s="728"/>
      <c r="Q173" s="729"/>
      <c r="R173" s="728"/>
      <c r="S173" s="730"/>
      <c r="T173" s="728"/>
      <c r="U173" s="776"/>
      <c r="V173" s="746">
        <f t="shared" si="63"/>
        <v>0</v>
      </c>
      <c r="W173" s="963">
        <v>48549</v>
      </c>
    </row>
    <row r="174" spans="4:23">
      <c r="D174" s="9" t="b">
        <f t="shared" si="60"/>
        <v>0</v>
      </c>
      <c r="E174" s="9">
        <f t="shared" si="61"/>
        <v>0</v>
      </c>
      <c r="G174" s="957">
        <v>48580</v>
      </c>
      <c r="H174" s="554">
        <f t="shared" si="62"/>
        <v>58563.124000000098</v>
      </c>
      <c r="I174" s="729"/>
      <c r="J174" s="728"/>
      <c r="K174" s="729"/>
      <c r="L174" s="746">
        <f t="shared" si="59"/>
        <v>58563.124000000098</v>
      </c>
      <c r="M174" s="770"/>
      <c r="N174" s="554"/>
      <c r="O174" s="729"/>
      <c r="P174" s="728"/>
      <c r="Q174" s="729"/>
      <c r="R174" s="728"/>
      <c r="S174" s="730"/>
      <c r="T174" s="728"/>
      <c r="U174" s="776"/>
      <c r="V174" s="746">
        <f t="shared" si="63"/>
        <v>0</v>
      </c>
      <c r="W174" s="963">
        <v>48580</v>
      </c>
    </row>
    <row r="175" spans="4:23">
      <c r="D175" s="9" t="b">
        <f t="shared" si="60"/>
        <v>0</v>
      </c>
      <c r="E175" s="9">
        <f t="shared" si="61"/>
        <v>0</v>
      </c>
      <c r="G175" s="957">
        <v>48611</v>
      </c>
      <c r="H175" s="554">
        <f t="shared" si="62"/>
        <v>57933.413000000095</v>
      </c>
      <c r="I175" s="729"/>
      <c r="J175" s="728"/>
      <c r="K175" s="729"/>
      <c r="L175" s="746">
        <f t="shared" si="59"/>
        <v>57933.413000000095</v>
      </c>
      <c r="M175" s="770"/>
      <c r="N175" s="554"/>
      <c r="O175" s="729"/>
      <c r="P175" s="728"/>
      <c r="Q175" s="729"/>
      <c r="R175" s="728"/>
      <c r="S175" s="730"/>
      <c r="T175" s="728"/>
      <c r="U175" s="776"/>
      <c r="V175" s="746">
        <f t="shared" si="63"/>
        <v>0</v>
      </c>
      <c r="W175" s="963">
        <v>48611</v>
      </c>
    </row>
    <row r="176" spans="4:23">
      <c r="D176" s="9" t="b">
        <f t="shared" si="60"/>
        <v>0</v>
      </c>
      <c r="E176" s="9">
        <f t="shared" si="61"/>
        <v>0</v>
      </c>
      <c r="G176" s="957">
        <v>48639</v>
      </c>
      <c r="H176" s="554">
        <f t="shared" si="62"/>
        <v>57303.702000000092</v>
      </c>
      <c r="I176" s="729"/>
      <c r="J176" s="728"/>
      <c r="K176" s="729"/>
      <c r="L176" s="746">
        <f t="shared" si="59"/>
        <v>57303.702000000092</v>
      </c>
      <c r="M176" s="770"/>
      <c r="N176" s="554"/>
      <c r="O176" s="729"/>
      <c r="P176" s="728"/>
      <c r="Q176" s="729"/>
      <c r="R176" s="728"/>
      <c r="S176" s="730"/>
      <c r="T176" s="728"/>
      <c r="U176" s="776"/>
      <c r="V176" s="746">
        <f t="shared" si="63"/>
        <v>0</v>
      </c>
      <c r="W176" s="963">
        <v>48639</v>
      </c>
    </row>
    <row r="177" spans="4:23">
      <c r="D177" s="9" t="b">
        <f t="shared" si="60"/>
        <v>0</v>
      </c>
      <c r="E177" s="9">
        <f t="shared" si="61"/>
        <v>0</v>
      </c>
      <c r="G177" s="957">
        <v>48670</v>
      </c>
      <c r="H177" s="554">
        <f t="shared" si="62"/>
        <v>56673.991000000089</v>
      </c>
      <c r="I177" s="729"/>
      <c r="J177" s="728"/>
      <c r="K177" s="729"/>
      <c r="L177" s="746">
        <f t="shared" si="59"/>
        <v>56673.991000000089</v>
      </c>
      <c r="M177" s="770"/>
      <c r="N177" s="554"/>
      <c r="O177" s="729"/>
      <c r="P177" s="728"/>
      <c r="Q177" s="729"/>
      <c r="R177" s="728"/>
      <c r="S177" s="730"/>
      <c r="T177" s="728"/>
      <c r="U177" s="776"/>
      <c r="V177" s="746">
        <f t="shared" si="63"/>
        <v>0</v>
      </c>
      <c r="W177" s="963">
        <v>48670</v>
      </c>
    </row>
    <row r="178" spans="4:23">
      <c r="D178" s="9" t="b">
        <f t="shared" si="60"/>
        <v>0</v>
      </c>
      <c r="E178" s="9">
        <f t="shared" si="61"/>
        <v>0</v>
      </c>
      <c r="G178" s="957">
        <v>48700</v>
      </c>
      <c r="H178" s="554">
        <f t="shared" si="62"/>
        <v>56044.280000000086</v>
      </c>
      <c r="I178" s="729"/>
      <c r="J178" s="728"/>
      <c r="K178" s="729"/>
      <c r="L178" s="746">
        <f t="shared" si="59"/>
        <v>56044.280000000086</v>
      </c>
      <c r="M178" s="770"/>
      <c r="N178" s="554"/>
      <c r="O178" s="729"/>
      <c r="P178" s="728"/>
      <c r="Q178" s="729"/>
      <c r="R178" s="728"/>
      <c r="S178" s="730"/>
      <c r="T178" s="728"/>
      <c r="U178" s="776"/>
      <c r="V178" s="746">
        <f t="shared" si="63"/>
        <v>0</v>
      </c>
      <c r="W178" s="963">
        <v>48700</v>
      </c>
    </row>
    <row r="179" spans="4:23">
      <c r="D179" s="9" t="b">
        <f t="shared" si="60"/>
        <v>0</v>
      </c>
      <c r="E179" s="9">
        <f t="shared" si="61"/>
        <v>0</v>
      </c>
      <c r="G179" s="957">
        <v>48731</v>
      </c>
      <c r="H179" s="554">
        <f t="shared" si="62"/>
        <v>55414.569000000083</v>
      </c>
      <c r="I179" s="729"/>
      <c r="J179" s="728"/>
      <c r="K179" s="729"/>
      <c r="L179" s="746">
        <f t="shared" si="59"/>
        <v>55414.569000000083</v>
      </c>
      <c r="M179" s="770"/>
      <c r="N179" s="554"/>
      <c r="O179" s="729"/>
      <c r="P179" s="728"/>
      <c r="Q179" s="729"/>
      <c r="R179" s="728"/>
      <c r="S179" s="730"/>
      <c r="T179" s="728"/>
      <c r="U179" s="776"/>
      <c r="V179" s="746">
        <f t="shared" si="63"/>
        <v>0</v>
      </c>
      <c r="W179" s="963">
        <v>48731</v>
      </c>
    </row>
    <row r="180" spans="4:23">
      <c r="D180" s="9" t="b">
        <f t="shared" si="60"/>
        <v>0</v>
      </c>
      <c r="E180" s="9">
        <f t="shared" si="61"/>
        <v>0</v>
      </c>
      <c r="G180" s="957">
        <v>48761</v>
      </c>
      <c r="H180" s="554">
        <f t="shared" si="62"/>
        <v>54784.85800000008</v>
      </c>
      <c r="I180" s="729"/>
      <c r="J180" s="728"/>
      <c r="K180" s="729"/>
      <c r="L180" s="746">
        <f t="shared" si="59"/>
        <v>54784.85800000008</v>
      </c>
      <c r="M180" s="770"/>
      <c r="N180" s="554"/>
      <c r="O180" s="729"/>
      <c r="P180" s="728"/>
      <c r="Q180" s="729"/>
      <c r="R180" s="728"/>
      <c r="S180" s="730"/>
      <c r="T180" s="728"/>
      <c r="U180" s="776"/>
      <c r="V180" s="746">
        <f t="shared" si="63"/>
        <v>0</v>
      </c>
      <c r="W180" s="963">
        <v>48761</v>
      </c>
    </row>
    <row r="181" spans="4:23">
      <c r="D181" s="9" t="b">
        <f t="shared" si="60"/>
        <v>0</v>
      </c>
      <c r="E181" s="9">
        <f t="shared" si="61"/>
        <v>0</v>
      </c>
      <c r="G181" s="957">
        <v>48792</v>
      </c>
      <c r="H181" s="554">
        <f t="shared" si="62"/>
        <v>54155.147000000077</v>
      </c>
      <c r="I181" s="729"/>
      <c r="J181" s="728"/>
      <c r="K181" s="729"/>
      <c r="L181" s="746">
        <f t="shared" si="59"/>
        <v>54155.147000000077</v>
      </c>
      <c r="M181" s="770"/>
      <c r="N181" s="554"/>
      <c r="O181" s="729"/>
      <c r="P181" s="728"/>
      <c r="Q181" s="729"/>
      <c r="R181" s="728"/>
      <c r="S181" s="730"/>
      <c r="T181" s="728"/>
      <c r="U181" s="776"/>
      <c r="V181" s="746">
        <f t="shared" si="63"/>
        <v>0</v>
      </c>
      <c r="W181" s="963">
        <v>48792</v>
      </c>
    </row>
    <row r="182" spans="4:23">
      <c r="D182" s="9" t="b">
        <f t="shared" si="60"/>
        <v>0</v>
      </c>
      <c r="E182" s="9">
        <f t="shared" si="61"/>
        <v>0</v>
      </c>
      <c r="G182" s="957">
        <v>48823</v>
      </c>
      <c r="H182" s="554">
        <f t="shared" si="62"/>
        <v>53525.436000000074</v>
      </c>
      <c r="I182" s="729"/>
      <c r="J182" s="728"/>
      <c r="K182" s="729"/>
      <c r="L182" s="746">
        <f t="shared" si="59"/>
        <v>53525.436000000074</v>
      </c>
      <c r="M182" s="770"/>
      <c r="N182" s="554"/>
      <c r="O182" s="729"/>
      <c r="P182" s="728"/>
      <c r="Q182" s="729"/>
      <c r="R182" s="728"/>
      <c r="S182" s="730"/>
      <c r="T182" s="728"/>
      <c r="U182" s="776"/>
      <c r="V182" s="746">
        <f t="shared" si="63"/>
        <v>0</v>
      </c>
      <c r="W182" s="963">
        <v>48823</v>
      </c>
    </row>
    <row r="183" spans="4:23">
      <c r="D183" s="9" t="b">
        <f t="shared" si="60"/>
        <v>0</v>
      </c>
      <c r="E183" s="9">
        <f t="shared" si="61"/>
        <v>0</v>
      </c>
      <c r="G183" s="957">
        <v>48853</v>
      </c>
      <c r="H183" s="554">
        <f t="shared" si="62"/>
        <v>52895.725000000071</v>
      </c>
      <c r="I183" s="729"/>
      <c r="J183" s="728"/>
      <c r="K183" s="729"/>
      <c r="L183" s="746">
        <f t="shared" si="59"/>
        <v>52895.725000000071</v>
      </c>
      <c r="M183" s="770"/>
      <c r="N183" s="554"/>
      <c r="O183" s="729"/>
      <c r="P183" s="728"/>
      <c r="Q183" s="729"/>
      <c r="R183" s="728"/>
      <c r="S183" s="730"/>
      <c r="T183" s="728"/>
      <c r="U183" s="776"/>
      <c r="V183" s="746">
        <f t="shared" si="63"/>
        <v>0</v>
      </c>
      <c r="W183" s="963">
        <v>48853</v>
      </c>
    </row>
    <row r="184" spans="4:23">
      <c r="D184" s="9" t="b">
        <f t="shared" si="60"/>
        <v>0</v>
      </c>
      <c r="E184" s="9">
        <f t="shared" si="61"/>
        <v>0</v>
      </c>
      <c r="G184" s="957">
        <v>48884</v>
      </c>
      <c r="H184" s="554">
        <f t="shared" si="62"/>
        <v>52266.014000000068</v>
      </c>
      <c r="I184" s="729"/>
      <c r="J184" s="728"/>
      <c r="K184" s="729"/>
      <c r="L184" s="746">
        <f t="shared" si="59"/>
        <v>52266.014000000068</v>
      </c>
      <c r="M184" s="770"/>
      <c r="N184" s="554"/>
      <c r="O184" s="729"/>
      <c r="P184" s="728"/>
      <c r="Q184" s="729"/>
      <c r="R184" s="728"/>
      <c r="S184" s="730"/>
      <c r="T184" s="728"/>
      <c r="U184" s="776"/>
      <c r="V184" s="746">
        <f t="shared" si="63"/>
        <v>0</v>
      </c>
      <c r="W184" s="963">
        <v>48884</v>
      </c>
    </row>
    <row r="185" spans="4:23">
      <c r="D185" s="9" t="b">
        <f t="shared" si="60"/>
        <v>0</v>
      </c>
      <c r="E185" s="9">
        <f t="shared" si="61"/>
        <v>0</v>
      </c>
      <c r="G185" s="957">
        <v>48914</v>
      </c>
      <c r="H185" s="554">
        <f t="shared" si="62"/>
        <v>51636.303000000065</v>
      </c>
      <c r="I185" s="729"/>
      <c r="J185" s="728"/>
      <c r="K185" s="729"/>
      <c r="L185" s="746">
        <f t="shared" si="59"/>
        <v>51636.303000000065</v>
      </c>
      <c r="M185" s="770"/>
      <c r="N185" s="554"/>
      <c r="O185" s="729"/>
      <c r="P185" s="728"/>
      <c r="Q185" s="729"/>
      <c r="R185" s="728"/>
      <c r="S185" s="730"/>
      <c r="T185" s="728"/>
      <c r="U185" s="776"/>
      <c r="V185" s="746">
        <f t="shared" si="63"/>
        <v>0</v>
      </c>
      <c r="W185" s="963">
        <v>48914</v>
      </c>
    </row>
    <row r="186" spans="4:23">
      <c r="D186" s="9" t="b">
        <f t="shared" si="60"/>
        <v>0</v>
      </c>
      <c r="E186" s="9">
        <f t="shared" si="61"/>
        <v>0</v>
      </c>
      <c r="G186" s="957">
        <v>48945</v>
      </c>
      <c r="H186" s="554">
        <f t="shared" si="62"/>
        <v>51006.592000000062</v>
      </c>
      <c r="I186" s="729"/>
      <c r="J186" s="728"/>
      <c r="K186" s="729"/>
      <c r="L186" s="746">
        <f t="shared" si="59"/>
        <v>51006.592000000062</v>
      </c>
      <c r="M186" s="770"/>
      <c r="N186" s="554"/>
      <c r="O186" s="729"/>
      <c r="P186" s="728"/>
      <c r="Q186" s="729"/>
      <c r="R186" s="728"/>
      <c r="S186" s="730"/>
      <c r="T186" s="728"/>
      <c r="U186" s="776"/>
      <c r="V186" s="746">
        <f t="shared" si="63"/>
        <v>0</v>
      </c>
      <c r="W186" s="963">
        <v>48945</v>
      </c>
    </row>
    <row r="187" spans="4:23">
      <c r="D187" s="9" t="b">
        <f t="shared" si="60"/>
        <v>0</v>
      </c>
      <c r="E187" s="9">
        <f t="shared" si="61"/>
        <v>0</v>
      </c>
      <c r="G187" s="957">
        <v>48976</v>
      </c>
      <c r="H187" s="554">
        <f t="shared" si="62"/>
        <v>50376.881000000059</v>
      </c>
      <c r="I187" s="729"/>
      <c r="J187" s="728"/>
      <c r="K187" s="729"/>
      <c r="L187" s="746">
        <f t="shared" si="59"/>
        <v>50376.881000000059</v>
      </c>
      <c r="M187" s="770"/>
      <c r="N187" s="554"/>
      <c r="O187" s="729"/>
      <c r="P187" s="728"/>
      <c r="Q187" s="729"/>
      <c r="R187" s="728"/>
      <c r="S187" s="730"/>
      <c r="T187" s="728"/>
      <c r="U187" s="776"/>
      <c r="V187" s="746">
        <f t="shared" si="63"/>
        <v>0</v>
      </c>
      <c r="W187" s="963">
        <v>48976</v>
      </c>
    </row>
    <row r="188" spans="4:23">
      <c r="D188" s="9" t="b">
        <f t="shared" si="60"/>
        <v>0</v>
      </c>
      <c r="E188" s="9">
        <f t="shared" si="61"/>
        <v>0</v>
      </c>
      <c r="G188" s="957">
        <v>49004</v>
      </c>
      <c r="H188" s="554">
        <f t="shared" si="62"/>
        <v>49747.170000000056</v>
      </c>
      <c r="I188" s="729"/>
      <c r="J188" s="728"/>
      <c r="K188" s="729"/>
      <c r="L188" s="746">
        <f t="shared" si="59"/>
        <v>49747.170000000056</v>
      </c>
      <c r="M188" s="770"/>
      <c r="N188" s="554"/>
      <c r="O188" s="729"/>
      <c r="P188" s="728"/>
      <c r="Q188" s="729"/>
      <c r="R188" s="728"/>
      <c r="S188" s="730"/>
      <c r="T188" s="728"/>
      <c r="U188" s="776"/>
      <c r="V188" s="746">
        <f t="shared" si="63"/>
        <v>0</v>
      </c>
      <c r="W188" s="963">
        <v>49004</v>
      </c>
    </row>
    <row r="189" spans="4:23">
      <c r="D189" s="9" t="b">
        <f t="shared" si="60"/>
        <v>0</v>
      </c>
      <c r="E189" s="9">
        <f t="shared" si="61"/>
        <v>0</v>
      </c>
      <c r="G189" s="957">
        <v>49035</v>
      </c>
      <c r="H189" s="554">
        <f t="shared" si="62"/>
        <v>49117.459000000053</v>
      </c>
      <c r="I189" s="729"/>
      <c r="J189" s="728"/>
      <c r="K189" s="729"/>
      <c r="L189" s="746">
        <f t="shared" si="59"/>
        <v>49117.459000000053</v>
      </c>
      <c r="M189" s="770"/>
      <c r="N189" s="554"/>
      <c r="O189" s="729"/>
      <c r="P189" s="728"/>
      <c r="Q189" s="729"/>
      <c r="R189" s="728"/>
      <c r="S189" s="730"/>
      <c r="T189" s="728"/>
      <c r="U189" s="776"/>
      <c r="V189" s="746">
        <f t="shared" si="63"/>
        <v>0</v>
      </c>
      <c r="W189" s="963">
        <v>49035</v>
      </c>
    </row>
    <row r="190" spans="4:23">
      <c r="D190" s="9" t="b">
        <f t="shared" si="60"/>
        <v>0</v>
      </c>
      <c r="E190" s="9">
        <f t="shared" si="61"/>
        <v>0</v>
      </c>
      <c r="G190" s="957">
        <v>49065</v>
      </c>
      <c r="H190" s="554">
        <f t="shared" si="62"/>
        <v>48487.748000000051</v>
      </c>
      <c r="I190" s="729"/>
      <c r="J190" s="728"/>
      <c r="K190" s="729"/>
      <c r="L190" s="746">
        <f t="shared" si="59"/>
        <v>48487.748000000051</v>
      </c>
      <c r="M190" s="770"/>
      <c r="N190" s="554"/>
      <c r="O190" s="729"/>
      <c r="P190" s="728"/>
      <c r="Q190" s="729"/>
      <c r="R190" s="728"/>
      <c r="S190" s="730"/>
      <c r="T190" s="728"/>
      <c r="U190" s="776"/>
      <c r="V190" s="746">
        <f t="shared" si="63"/>
        <v>0</v>
      </c>
      <c r="W190" s="963">
        <v>49065</v>
      </c>
    </row>
    <row r="191" spans="4:23">
      <c r="D191" s="9" t="b">
        <f t="shared" si="60"/>
        <v>0</v>
      </c>
      <c r="E191" s="9">
        <f t="shared" si="61"/>
        <v>0</v>
      </c>
      <c r="G191" s="957">
        <v>49096</v>
      </c>
      <c r="H191" s="554">
        <f t="shared" si="62"/>
        <v>47858.037000000048</v>
      </c>
      <c r="I191" s="729"/>
      <c r="J191" s="728"/>
      <c r="K191" s="729"/>
      <c r="L191" s="746">
        <f t="shared" si="59"/>
        <v>47858.037000000048</v>
      </c>
      <c r="M191" s="770"/>
      <c r="N191" s="554"/>
      <c r="O191" s="729"/>
      <c r="P191" s="728"/>
      <c r="Q191" s="729"/>
      <c r="R191" s="728"/>
      <c r="S191" s="730"/>
      <c r="T191" s="728"/>
      <c r="U191" s="776"/>
      <c r="V191" s="746">
        <f t="shared" si="63"/>
        <v>0</v>
      </c>
      <c r="W191" s="963">
        <v>49096</v>
      </c>
    </row>
    <row r="192" spans="4:23">
      <c r="D192" s="9" t="b">
        <f t="shared" si="60"/>
        <v>0</v>
      </c>
      <c r="E192" s="9">
        <f t="shared" si="61"/>
        <v>0</v>
      </c>
      <c r="G192" s="957">
        <v>49126</v>
      </c>
      <c r="H192" s="554">
        <f t="shared" si="62"/>
        <v>47228.326000000045</v>
      </c>
      <c r="I192" s="729"/>
      <c r="J192" s="728"/>
      <c r="K192" s="729"/>
      <c r="L192" s="746">
        <f t="shared" si="59"/>
        <v>47228.326000000045</v>
      </c>
      <c r="M192" s="770"/>
      <c r="N192" s="554"/>
      <c r="O192" s="729"/>
      <c r="P192" s="728"/>
      <c r="Q192" s="729"/>
      <c r="R192" s="728"/>
      <c r="S192" s="730"/>
      <c r="T192" s="728"/>
      <c r="U192" s="776"/>
      <c r="V192" s="746">
        <f t="shared" si="63"/>
        <v>0</v>
      </c>
      <c r="W192" s="963">
        <v>49126</v>
      </c>
    </row>
    <row r="193" spans="4:23">
      <c r="D193" s="9" t="b">
        <f t="shared" si="60"/>
        <v>0</v>
      </c>
      <c r="E193" s="9">
        <f t="shared" si="61"/>
        <v>0</v>
      </c>
      <c r="G193" s="957">
        <v>49157</v>
      </c>
      <c r="H193" s="554">
        <f t="shared" si="62"/>
        <v>46598.615000000042</v>
      </c>
      <c r="I193" s="729"/>
      <c r="J193" s="728"/>
      <c r="K193" s="729"/>
      <c r="L193" s="746">
        <f t="shared" si="59"/>
        <v>46598.615000000042</v>
      </c>
      <c r="M193" s="770"/>
      <c r="N193" s="554"/>
      <c r="O193" s="729"/>
      <c r="P193" s="728"/>
      <c r="Q193" s="729"/>
      <c r="R193" s="728"/>
      <c r="S193" s="730"/>
      <c r="T193" s="728"/>
      <c r="U193" s="776"/>
      <c r="V193" s="746">
        <f t="shared" si="63"/>
        <v>0</v>
      </c>
      <c r="W193" s="963">
        <v>49157</v>
      </c>
    </row>
    <row r="194" spans="4:23">
      <c r="D194" s="9" t="b">
        <f t="shared" si="60"/>
        <v>0</v>
      </c>
      <c r="E194" s="9">
        <f t="shared" si="61"/>
        <v>0</v>
      </c>
      <c r="G194" s="957">
        <v>49188</v>
      </c>
      <c r="H194" s="554">
        <f t="shared" si="62"/>
        <v>45968.904000000039</v>
      </c>
      <c r="I194" s="729"/>
      <c r="J194" s="728"/>
      <c r="K194" s="729"/>
      <c r="L194" s="746">
        <f t="shared" si="59"/>
        <v>45968.904000000039</v>
      </c>
      <c r="M194" s="770"/>
      <c r="N194" s="554"/>
      <c r="O194" s="729"/>
      <c r="P194" s="728"/>
      <c r="Q194" s="729"/>
      <c r="R194" s="728"/>
      <c r="S194" s="730"/>
      <c r="T194" s="728"/>
      <c r="U194" s="776"/>
      <c r="V194" s="746">
        <f t="shared" si="63"/>
        <v>0</v>
      </c>
      <c r="W194" s="963">
        <v>49188</v>
      </c>
    </row>
    <row r="195" spans="4:23">
      <c r="D195" s="9" t="b">
        <f t="shared" si="60"/>
        <v>0</v>
      </c>
      <c r="E195" s="9">
        <f t="shared" si="61"/>
        <v>0</v>
      </c>
      <c r="G195" s="957">
        <v>49218</v>
      </c>
      <c r="H195" s="554">
        <f t="shared" si="62"/>
        <v>45339.193000000036</v>
      </c>
      <c r="I195" s="729"/>
      <c r="J195" s="728"/>
      <c r="K195" s="729"/>
      <c r="L195" s="746">
        <f t="shared" si="59"/>
        <v>45339.193000000036</v>
      </c>
      <c r="M195" s="770"/>
      <c r="N195" s="554"/>
      <c r="O195" s="729"/>
      <c r="P195" s="728"/>
      <c r="Q195" s="729"/>
      <c r="R195" s="728"/>
      <c r="S195" s="730"/>
      <c r="T195" s="728"/>
      <c r="U195" s="776"/>
      <c r="V195" s="746">
        <f t="shared" si="63"/>
        <v>0</v>
      </c>
      <c r="W195" s="963">
        <v>49218</v>
      </c>
    </row>
    <row r="196" spans="4:23">
      <c r="D196" s="9" t="b">
        <f t="shared" si="60"/>
        <v>0</v>
      </c>
      <c r="E196" s="9">
        <f t="shared" si="61"/>
        <v>0</v>
      </c>
      <c r="G196" s="957">
        <v>49249</v>
      </c>
      <c r="H196" s="554">
        <f t="shared" si="62"/>
        <v>44709.482000000033</v>
      </c>
      <c r="I196" s="729"/>
      <c r="J196" s="728"/>
      <c r="K196" s="729"/>
      <c r="L196" s="746">
        <f t="shared" si="59"/>
        <v>44709.482000000033</v>
      </c>
      <c r="M196" s="770"/>
      <c r="N196" s="554"/>
      <c r="O196" s="729"/>
      <c r="P196" s="728"/>
      <c r="Q196" s="729"/>
      <c r="R196" s="728"/>
      <c r="S196" s="730"/>
      <c r="T196" s="728"/>
      <c r="U196" s="776"/>
      <c r="V196" s="746">
        <f t="shared" si="63"/>
        <v>0</v>
      </c>
      <c r="W196" s="963">
        <v>49249</v>
      </c>
    </row>
    <row r="197" spans="4:23">
      <c r="D197" s="9" t="b">
        <f t="shared" si="60"/>
        <v>0</v>
      </c>
      <c r="E197" s="9">
        <f t="shared" si="61"/>
        <v>0</v>
      </c>
      <c r="G197" s="957">
        <v>49279</v>
      </c>
      <c r="H197" s="554">
        <f t="shared" si="62"/>
        <v>44079.77100000003</v>
      </c>
      <c r="I197" s="729"/>
      <c r="J197" s="728"/>
      <c r="K197" s="729"/>
      <c r="L197" s="746">
        <f t="shared" si="59"/>
        <v>44079.77100000003</v>
      </c>
      <c r="M197" s="770"/>
      <c r="N197" s="554"/>
      <c r="O197" s="729"/>
      <c r="P197" s="728"/>
      <c r="Q197" s="729"/>
      <c r="R197" s="728"/>
      <c r="S197" s="730"/>
      <c r="T197" s="728"/>
      <c r="U197" s="776"/>
      <c r="V197" s="746">
        <f t="shared" si="63"/>
        <v>0</v>
      </c>
      <c r="W197" s="963">
        <v>49279</v>
      </c>
    </row>
    <row r="198" spans="4:23">
      <c r="D198" s="9" t="b">
        <f t="shared" si="60"/>
        <v>0</v>
      </c>
      <c r="E198" s="9">
        <f t="shared" si="61"/>
        <v>0</v>
      </c>
      <c r="G198" s="957">
        <v>49310</v>
      </c>
      <c r="H198" s="554">
        <f t="shared" si="62"/>
        <v>43450.060000000027</v>
      </c>
      <c r="I198" s="729"/>
      <c r="J198" s="728"/>
      <c r="K198" s="729"/>
      <c r="L198" s="746">
        <f t="shared" si="59"/>
        <v>43450.060000000027</v>
      </c>
      <c r="M198" s="770"/>
      <c r="N198" s="554"/>
      <c r="O198" s="729"/>
      <c r="P198" s="728"/>
      <c r="Q198" s="729"/>
      <c r="R198" s="728"/>
      <c r="S198" s="730"/>
      <c r="T198" s="728"/>
      <c r="U198" s="776"/>
      <c r="V198" s="746">
        <f t="shared" si="63"/>
        <v>0</v>
      </c>
      <c r="W198" s="963">
        <v>49310</v>
      </c>
    </row>
    <row r="199" spans="4:23">
      <c r="D199" s="9" t="b">
        <f t="shared" si="60"/>
        <v>0</v>
      </c>
      <c r="E199" s="9">
        <f t="shared" si="61"/>
        <v>0</v>
      </c>
      <c r="G199" s="957">
        <v>49341</v>
      </c>
      <c r="H199" s="554">
        <f t="shared" si="62"/>
        <v>42820.349000000024</v>
      </c>
      <c r="I199" s="729"/>
      <c r="J199" s="728"/>
      <c r="K199" s="729"/>
      <c r="L199" s="746">
        <f t="shared" si="59"/>
        <v>42820.349000000024</v>
      </c>
      <c r="M199" s="770"/>
      <c r="N199" s="554"/>
      <c r="O199" s="729"/>
      <c r="P199" s="728"/>
      <c r="Q199" s="729"/>
      <c r="R199" s="728"/>
      <c r="S199" s="730"/>
      <c r="T199" s="728"/>
      <c r="U199" s="776"/>
      <c r="V199" s="746">
        <f t="shared" si="63"/>
        <v>0</v>
      </c>
      <c r="W199" s="963">
        <v>49341</v>
      </c>
    </row>
    <row r="200" spans="4:23">
      <c r="D200" s="9" t="b">
        <f t="shared" si="60"/>
        <v>0</v>
      </c>
      <c r="E200" s="9">
        <f t="shared" si="61"/>
        <v>0</v>
      </c>
      <c r="G200" s="957">
        <v>49369</v>
      </c>
      <c r="H200" s="554">
        <f t="shared" si="62"/>
        <v>42190.638000000021</v>
      </c>
      <c r="I200" s="729"/>
      <c r="J200" s="728"/>
      <c r="K200" s="729"/>
      <c r="L200" s="746">
        <f t="shared" si="59"/>
        <v>42190.638000000021</v>
      </c>
      <c r="M200" s="770"/>
      <c r="N200" s="554"/>
      <c r="O200" s="729"/>
      <c r="P200" s="728"/>
      <c r="Q200" s="729"/>
      <c r="R200" s="728"/>
      <c r="S200" s="730"/>
      <c r="T200" s="728"/>
      <c r="U200" s="776"/>
      <c r="V200" s="746">
        <f t="shared" si="63"/>
        <v>0</v>
      </c>
      <c r="W200" s="963">
        <v>49369</v>
      </c>
    </row>
    <row r="201" spans="4:23">
      <c r="D201" s="9" t="b">
        <f t="shared" si="60"/>
        <v>0</v>
      </c>
      <c r="E201" s="9">
        <f t="shared" si="61"/>
        <v>0</v>
      </c>
      <c r="G201" s="957">
        <v>49400</v>
      </c>
      <c r="H201" s="554">
        <f t="shared" si="62"/>
        <v>41560.927000000018</v>
      </c>
      <c r="I201" s="729"/>
      <c r="J201" s="728"/>
      <c r="K201" s="729"/>
      <c r="L201" s="746">
        <f t="shared" si="59"/>
        <v>41560.927000000018</v>
      </c>
      <c r="M201" s="770"/>
      <c r="N201" s="554"/>
      <c r="O201" s="729"/>
      <c r="P201" s="728"/>
      <c r="Q201" s="729"/>
      <c r="R201" s="728"/>
      <c r="S201" s="730"/>
      <c r="T201" s="728"/>
      <c r="U201" s="776"/>
      <c r="V201" s="746">
        <f t="shared" si="63"/>
        <v>0</v>
      </c>
      <c r="W201" s="963">
        <v>49400</v>
      </c>
    </row>
    <row r="202" spans="4:23">
      <c r="D202" s="9" t="b">
        <f t="shared" si="60"/>
        <v>0</v>
      </c>
      <c r="E202" s="9">
        <f t="shared" si="61"/>
        <v>0</v>
      </c>
      <c r="G202" s="957">
        <v>49430</v>
      </c>
      <c r="H202" s="554">
        <f t="shared" si="62"/>
        <v>40931.216000000015</v>
      </c>
      <c r="I202" s="729"/>
      <c r="J202" s="728"/>
      <c r="K202" s="729"/>
      <c r="L202" s="746">
        <f t="shared" si="59"/>
        <v>40931.216000000015</v>
      </c>
      <c r="M202" s="770"/>
      <c r="N202" s="554"/>
      <c r="O202" s="729"/>
      <c r="P202" s="728"/>
      <c r="Q202" s="729"/>
      <c r="R202" s="728"/>
      <c r="S202" s="730"/>
      <c r="T202" s="728"/>
      <c r="U202" s="776"/>
      <c r="V202" s="746">
        <f t="shared" si="63"/>
        <v>0</v>
      </c>
      <c r="W202" s="963">
        <v>49430</v>
      </c>
    </row>
    <row r="203" spans="4:23">
      <c r="D203" s="9" t="b">
        <f t="shared" si="60"/>
        <v>0</v>
      </c>
      <c r="E203" s="9">
        <f t="shared" si="61"/>
        <v>0</v>
      </c>
      <c r="G203" s="957">
        <v>49461</v>
      </c>
      <c r="H203" s="554">
        <f t="shared" si="62"/>
        <v>40301.505000000012</v>
      </c>
      <c r="I203" s="729"/>
      <c r="J203" s="728"/>
      <c r="K203" s="729"/>
      <c r="L203" s="746">
        <f t="shared" si="59"/>
        <v>40301.505000000012</v>
      </c>
      <c r="M203" s="770"/>
      <c r="N203" s="554"/>
      <c r="O203" s="729"/>
      <c r="P203" s="728"/>
      <c r="Q203" s="729"/>
      <c r="R203" s="728"/>
      <c r="S203" s="730"/>
      <c r="T203" s="728"/>
      <c r="U203" s="776"/>
      <c r="V203" s="746">
        <f t="shared" si="63"/>
        <v>0</v>
      </c>
      <c r="W203" s="963">
        <v>49461</v>
      </c>
    </row>
    <row r="204" spans="4:23">
      <c r="D204" s="9" t="b">
        <f t="shared" si="60"/>
        <v>0</v>
      </c>
      <c r="E204" s="9">
        <f t="shared" si="61"/>
        <v>0</v>
      </c>
      <c r="G204" s="957">
        <v>49491</v>
      </c>
      <c r="H204" s="554">
        <f t="shared" si="62"/>
        <v>39671.794000000009</v>
      </c>
      <c r="I204" s="729"/>
      <c r="J204" s="728"/>
      <c r="K204" s="729"/>
      <c r="L204" s="746">
        <f t="shared" si="59"/>
        <v>39671.794000000009</v>
      </c>
      <c r="M204" s="770"/>
      <c r="N204" s="554"/>
      <c r="O204" s="729"/>
      <c r="P204" s="728"/>
      <c r="Q204" s="729"/>
      <c r="R204" s="728"/>
      <c r="S204" s="730"/>
      <c r="T204" s="728"/>
      <c r="U204" s="776"/>
      <c r="V204" s="746">
        <f t="shared" si="63"/>
        <v>0</v>
      </c>
      <c r="W204" s="963">
        <v>49491</v>
      </c>
    </row>
    <row r="205" spans="4:23">
      <c r="D205" s="9" t="b">
        <f t="shared" si="60"/>
        <v>0</v>
      </c>
      <c r="E205" s="9">
        <f t="shared" si="61"/>
        <v>0</v>
      </c>
      <c r="G205" s="957">
        <v>49522</v>
      </c>
      <c r="H205" s="554">
        <f t="shared" si="62"/>
        <v>39042.083000000006</v>
      </c>
      <c r="I205" s="729"/>
      <c r="J205" s="728"/>
      <c r="K205" s="729"/>
      <c r="L205" s="746">
        <f t="shared" si="59"/>
        <v>39042.083000000006</v>
      </c>
      <c r="M205" s="770"/>
      <c r="N205" s="554"/>
      <c r="O205" s="729"/>
      <c r="P205" s="728"/>
      <c r="Q205" s="729"/>
      <c r="R205" s="728"/>
      <c r="S205" s="730"/>
      <c r="T205" s="728"/>
      <c r="U205" s="776"/>
      <c r="V205" s="746">
        <f t="shared" si="63"/>
        <v>0</v>
      </c>
      <c r="W205" s="963">
        <v>49522</v>
      </c>
    </row>
    <row r="206" spans="4:23">
      <c r="D206" s="9" t="b">
        <f t="shared" si="60"/>
        <v>0</v>
      </c>
      <c r="E206" s="9">
        <f t="shared" si="61"/>
        <v>0</v>
      </c>
      <c r="G206" s="957">
        <v>49553</v>
      </c>
      <c r="H206" s="554">
        <f t="shared" si="62"/>
        <v>38412.372000000003</v>
      </c>
      <c r="I206" s="729"/>
      <c r="J206" s="728"/>
      <c r="K206" s="729"/>
      <c r="L206" s="746">
        <f t="shared" si="59"/>
        <v>38412.372000000003</v>
      </c>
      <c r="M206" s="770"/>
      <c r="N206" s="554"/>
      <c r="O206" s="729"/>
      <c r="P206" s="728"/>
      <c r="Q206" s="729"/>
      <c r="R206" s="728"/>
      <c r="S206" s="730"/>
      <c r="T206" s="728"/>
      <c r="U206" s="776"/>
      <c r="V206" s="746">
        <f t="shared" si="63"/>
        <v>0</v>
      </c>
      <c r="W206" s="963">
        <v>49553</v>
      </c>
    </row>
    <row r="207" spans="4:23">
      <c r="D207" s="9" t="b">
        <f t="shared" si="60"/>
        <v>0</v>
      </c>
      <c r="E207" s="9">
        <f t="shared" si="61"/>
        <v>0</v>
      </c>
      <c r="G207" s="957">
        <v>49583</v>
      </c>
      <c r="H207" s="554">
        <f t="shared" si="62"/>
        <v>37782.661</v>
      </c>
      <c r="I207" s="729"/>
      <c r="J207" s="728"/>
      <c r="K207" s="729"/>
      <c r="L207" s="746">
        <f t="shared" si="59"/>
        <v>37782.661</v>
      </c>
      <c r="M207" s="770"/>
      <c r="N207" s="554"/>
      <c r="O207" s="729"/>
      <c r="P207" s="728"/>
      <c r="Q207" s="729"/>
      <c r="R207" s="728"/>
      <c r="S207" s="730"/>
      <c r="T207" s="728"/>
      <c r="U207" s="776"/>
      <c r="V207" s="746">
        <f t="shared" si="63"/>
        <v>0</v>
      </c>
      <c r="W207" s="963">
        <v>49583</v>
      </c>
    </row>
    <row r="208" spans="4:23">
      <c r="D208" s="9" t="b">
        <f t="shared" si="60"/>
        <v>0</v>
      </c>
      <c r="E208" s="9">
        <f t="shared" si="61"/>
        <v>0</v>
      </c>
      <c r="G208" s="957">
        <v>49614</v>
      </c>
      <c r="H208" s="554">
        <f t="shared" si="62"/>
        <v>37152.949999999997</v>
      </c>
      <c r="I208" s="729"/>
      <c r="J208" s="728"/>
      <c r="K208" s="729"/>
      <c r="L208" s="746">
        <f t="shared" si="59"/>
        <v>37152.949999999997</v>
      </c>
      <c r="M208" s="770"/>
      <c r="N208" s="554"/>
      <c r="O208" s="729"/>
      <c r="P208" s="728"/>
      <c r="Q208" s="729"/>
      <c r="R208" s="728"/>
      <c r="S208" s="730"/>
      <c r="T208" s="728"/>
      <c r="U208" s="776"/>
      <c r="V208" s="746">
        <f t="shared" si="63"/>
        <v>0</v>
      </c>
      <c r="W208" s="963">
        <v>49614</v>
      </c>
    </row>
    <row r="209" spans="4:23">
      <c r="D209" s="9" t="b">
        <f t="shared" si="60"/>
        <v>0</v>
      </c>
      <c r="E209" s="9">
        <f t="shared" si="61"/>
        <v>0</v>
      </c>
      <c r="G209" s="957">
        <v>49644</v>
      </c>
      <c r="H209" s="554">
        <f t="shared" si="62"/>
        <v>36523.238999999994</v>
      </c>
      <c r="I209" s="729"/>
      <c r="J209" s="728"/>
      <c r="K209" s="729"/>
      <c r="L209" s="746">
        <f t="shared" si="59"/>
        <v>36523.238999999994</v>
      </c>
      <c r="M209" s="770"/>
      <c r="N209" s="554"/>
      <c r="O209" s="729"/>
      <c r="P209" s="728"/>
      <c r="Q209" s="729"/>
      <c r="R209" s="728"/>
      <c r="S209" s="730"/>
      <c r="T209" s="728"/>
      <c r="U209" s="776"/>
      <c r="V209" s="746">
        <f t="shared" si="63"/>
        <v>0</v>
      </c>
      <c r="W209" s="963">
        <v>49644</v>
      </c>
    </row>
    <row r="210" spans="4:23">
      <c r="D210" s="9" t="b">
        <f t="shared" si="60"/>
        <v>0</v>
      </c>
      <c r="E210" s="9">
        <f t="shared" si="61"/>
        <v>0</v>
      </c>
      <c r="G210" s="957">
        <v>49675</v>
      </c>
      <c r="H210" s="554">
        <f t="shared" si="62"/>
        <v>35893.527999999991</v>
      </c>
      <c r="I210" s="729"/>
      <c r="J210" s="728"/>
      <c r="K210" s="729"/>
      <c r="L210" s="746">
        <f t="shared" si="59"/>
        <v>35893.527999999991</v>
      </c>
      <c r="M210" s="770"/>
      <c r="N210" s="554"/>
      <c r="O210" s="729"/>
      <c r="P210" s="728"/>
      <c r="Q210" s="729"/>
      <c r="R210" s="728"/>
      <c r="S210" s="730"/>
      <c r="T210" s="728"/>
      <c r="U210" s="776"/>
      <c r="V210" s="746">
        <f t="shared" si="63"/>
        <v>0</v>
      </c>
      <c r="W210" s="963">
        <v>49675</v>
      </c>
    </row>
    <row r="211" spans="4:23">
      <c r="D211" s="9" t="b">
        <f t="shared" si="60"/>
        <v>0</v>
      </c>
      <c r="E211" s="9">
        <f t="shared" si="61"/>
        <v>0</v>
      </c>
      <c r="G211" s="957">
        <v>49706</v>
      </c>
      <c r="H211" s="554">
        <f t="shared" si="62"/>
        <v>35263.816999999988</v>
      </c>
      <c r="I211" s="729"/>
      <c r="J211" s="728"/>
      <c r="K211" s="729"/>
      <c r="L211" s="746">
        <f t="shared" si="59"/>
        <v>35263.816999999988</v>
      </c>
      <c r="M211" s="770"/>
      <c r="N211" s="554"/>
      <c r="O211" s="729"/>
      <c r="P211" s="728"/>
      <c r="Q211" s="729"/>
      <c r="R211" s="728"/>
      <c r="S211" s="730"/>
      <c r="T211" s="728"/>
      <c r="U211" s="776"/>
      <c r="V211" s="746">
        <f t="shared" si="63"/>
        <v>0</v>
      </c>
      <c r="W211" s="963">
        <v>49706</v>
      </c>
    </row>
    <row r="212" spans="4:23">
      <c r="D212" s="9" t="b">
        <f t="shared" si="60"/>
        <v>0</v>
      </c>
      <c r="E212" s="9">
        <f t="shared" si="61"/>
        <v>0</v>
      </c>
      <c r="G212" s="957">
        <v>49735</v>
      </c>
      <c r="H212" s="554">
        <f t="shared" si="62"/>
        <v>34634.105999999985</v>
      </c>
      <c r="I212" s="729"/>
      <c r="J212" s="728"/>
      <c r="K212" s="729"/>
      <c r="L212" s="746">
        <f t="shared" si="59"/>
        <v>34634.105999999985</v>
      </c>
      <c r="M212" s="770"/>
      <c r="N212" s="554"/>
      <c r="O212" s="729"/>
      <c r="P212" s="728"/>
      <c r="Q212" s="729"/>
      <c r="R212" s="728"/>
      <c r="S212" s="730"/>
      <c r="T212" s="728"/>
      <c r="U212" s="776"/>
      <c r="V212" s="746">
        <f t="shared" si="63"/>
        <v>0</v>
      </c>
      <c r="W212" s="963">
        <v>49735</v>
      </c>
    </row>
    <row r="213" spans="4:23">
      <c r="D213" s="9" t="b">
        <f t="shared" si="60"/>
        <v>0</v>
      </c>
      <c r="E213" s="9">
        <f t="shared" si="61"/>
        <v>0</v>
      </c>
      <c r="G213" s="957">
        <v>49766</v>
      </c>
      <c r="H213" s="554">
        <f t="shared" si="62"/>
        <v>34004.394999999982</v>
      </c>
      <c r="I213" s="729"/>
      <c r="J213" s="728"/>
      <c r="K213" s="729"/>
      <c r="L213" s="746">
        <f t="shared" si="59"/>
        <v>34004.394999999982</v>
      </c>
      <c r="M213" s="770"/>
      <c r="N213" s="554"/>
      <c r="O213" s="729"/>
      <c r="P213" s="728"/>
      <c r="Q213" s="729"/>
      <c r="R213" s="728"/>
      <c r="S213" s="730"/>
      <c r="T213" s="728"/>
      <c r="U213" s="776"/>
      <c r="V213" s="746">
        <f t="shared" si="63"/>
        <v>0</v>
      </c>
      <c r="W213" s="963">
        <v>49766</v>
      </c>
    </row>
    <row r="214" spans="4:23">
      <c r="D214" s="9" t="b">
        <f t="shared" si="60"/>
        <v>0</v>
      </c>
      <c r="E214" s="9">
        <f t="shared" si="61"/>
        <v>0</v>
      </c>
      <c r="G214" s="957">
        <v>49796</v>
      </c>
      <c r="H214" s="554">
        <f t="shared" si="62"/>
        <v>33374.683999999979</v>
      </c>
      <c r="I214" s="729"/>
      <c r="J214" s="728"/>
      <c r="K214" s="729"/>
      <c r="L214" s="746">
        <f t="shared" si="59"/>
        <v>33374.683999999979</v>
      </c>
      <c r="M214" s="770"/>
      <c r="N214" s="554"/>
      <c r="O214" s="729"/>
      <c r="P214" s="728"/>
      <c r="Q214" s="729"/>
      <c r="R214" s="728"/>
      <c r="S214" s="730"/>
      <c r="T214" s="728"/>
      <c r="U214" s="776"/>
      <c r="V214" s="746">
        <f t="shared" si="63"/>
        <v>0</v>
      </c>
      <c r="W214" s="963">
        <v>49796</v>
      </c>
    </row>
    <row r="215" spans="4:23">
      <c r="D215" s="9" t="b">
        <f t="shared" si="60"/>
        <v>0</v>
      </c>
      <c r="E215" s="9">
        <f t="shared" si="61"/>
        <v>0</v>
      </c>
      <c r="G215" s="957">
        <v>49827</v>
      </c>
      <c r="H215" s="554">
        <f t="shared" si="62"/>
        <v>32744.97299999998</v>
      </c>
      <c r="I215" s="729"/>
      <c r="J215" s="728"/>
      <c r="K215" s="729"/>
      <c r="L215" s="746">
        <f t="shared" si="59"/>
        <v>32744.97299999998</v>
      </c>
      <c r="M215" s="770"/>
      <c r="N215" s="554"/>
      <c r="O215" s="729"/>
      <c r="P215" s="728"/>
      <c r="Q215" s="729"/>
      <c r="R215" s="728"/>
      <c r="S215" s="730"/>
      <c r="T215" s="728"/>
      <c r="U215" s="776"/>
      <c r="V215" s="746">
        <f t="shared" si="63"/>
        <v>0</v>
      </c>
      <c r="W215" s="963">
        <v>49827</v>
      </c>
    </row>
    <row r="216" spans="4:23">
      <c r="D216" s="9" t="b">
        <f t="shared" si="60"/>
        <v>0</v>
      </c>
      <c r="E216" s="9">
        <f t="shared" si="61"/>
        <v>0</v>
      </c>
      <c r="G216" s="957">
        <v>49857</v>
      </c>
      <c r="H216" s="554">
        <f t="shared" si="62"/>
        <v>32115.261999999981</v>
      </c>
      <c r="I216" s="729"/>
      <c r="J216" s="728"/>
      <c r="K216" s="729"/>
      <c r="L216" s="746">
        <f t="shared" si="59"/>
        <v>32115.261999999981</v>
      </c>
      <c r="M216" s="770"/>
      <c r="N216" s="554"/>
      <c r="O216" s="729"/>
      <c r="P216" s="728"/>
      <c r="Q216" s="729"/>
      <c r="R216" s="728"/>
      <c r="S216" s="730"/>
      <c r="T216" s="728"/>
      <c r="U216" s="776"/>
      <c r="V216" s="746">
        <f t="shared" si="63"/>
        <v>0</v>
      </c>
      <c r="W216" s="963">
        <v>49857</v>
      </c>
    </row>
    <row r="217" spans="4:23">
      <c r="D217" s="9" t="b">
        <f t="shared" si="60"/>
        <v>0</v>
      </c>
      <c r="E217" s="9">
        <f t="shared" si="61"/>
        <v>0</v>
      </c>
      <c r="G217" s="957">
        <v>49888</v>
      </c>
      <c r="H217" s="554">
        <f t="shared" si="62"/>
        <v>31485.550999999981</v>
      </c>
      <c r="I217" s="729"/>
      <c r="J217" s="728"/>
      <c r="K217" s="729"/>
      <c r="L217" s="746">
        <f t="shared" si="59"/>
        <v>31485.550999999981</v>
      </c>
      <c r="M217" s="770"/>
      <c r="N217" s="554"/>
      <c r="O217" s="729"/>
      <c r="P217" s="728"/>
      <c r="Q217" s="729"/>
      <c r="R217" s="728"/>
      <c r="S217" s="730"/>
      <c r="T217" s="728"/>
      <c r="U217" s="776"/>
      <c r="V217" s="746">
        <f t="shared" si="63"/>
        <v>0</v>
      </c>
      <c r="W217" s="963">
        <v>49888</v>
      </c>
    </row>
    <row r="218" spans="4:23">
      <c r="D218" s="9" t="b">
        <f t="shared" si="60"/>
        <v>0</v>
      </c>
      <c r="E218" s="9">
        <f t="shared" si="61"/>
        <v>0</v>
      </c>
      <c r="G218" s="957">
        <v>49919</v>
      </c>
      <c r="H218" s="554">
        <f t="shared" si="62"/>
        <v>30855.839999999982</v>
      </c>
      <c r="I218" s="729"/>
      <c r="J218" s="728"/>
      <c r="K218" s="729"/>
      <c r="L218" s="746">
        <f t="shared" si="59"/>
        <v>30855.839999999982</v>
      </c>
      <c r="M218" s="770"/>
      <c r="N218" s="554"/>
      <c r="O218" s="729"/>
      <c r="P218" s="728"/>
      <c r="Q218" s="729"/>
      <c r="R218" s="728"/>
      <c r="S218" s="730"/>
      <c r="T218" s="728"/>
      <c r="U218" s="776"/>
      <c r="V218" s="746">
        <f t="shared" si="63"/>
        <v>0</v>
      </c>
      <c r="W218" s="963">
        <v>49919</v>
      </c>
    </row>
    <row r="219" spans="4:23">
      <c r="D219" s="9" t="b">
        <f t="shared" si="60"/>
        <v>0</v>
      </c>
      <c r="E219" s="9">
        <f t="shared" si="61"/>
        <v>0</v>
      </c>
      <c r="G219" s="957">
        <v>49949</v>
      </c>
      <c r="H219" s="554">
        <f t="shared" si="62"/>
        <v>30226.128999999983</v>
      </c>
      <c r="I219" s="729"/>
      <c r="J219" s="728"/>
      <c r="K219" s="729"/>
      <c r="L219" s="746">
        <f t="shared" si="59"/>
        <v>30226.128999999983</v>
      </c>
      <c r="M219" s="770"/>
      <c r="N219" s="554"/>
      <c r="O219" s="729"/>
      <c r="P219" s="728"/>
      <c r="Q219" s="729"/>
      <c r="R219" s="728"/>
      <c r="S219" s="730"/>
      <c r="T219" s="728"/>
      <c r="U219" s="776"/>
      <c r="V219" s="746">
        <f t="shared" si="63"/>
        <v>0</v>
      </c>
      <c r="W219" s="963">
        <v>49949</v>
      </c>
    </row>
    <row r="220" spans="4:23">
      <c r="D220" s="9" t="b">
        <f t="shared" si="60"/>
        <v>0</v>
      </c>
      <c r="E220" s="9">
        <f t="shared" si="61"/>
        <v>0</v>
      </c>
      <c r="G220" s="957">
        <v>49980</v>
      </c>
      <c r="H220" s="554">
        <f t="shared" si="62"/>
        <v>29596.417999999983</v>
      </c>
      <c r="I220" s="729"/>
      <c r="J220" s="728"/>
      <c r="K220" s="729"/>
      <c r="L220" s="746">
        <f t="shared" ref="L220:L267" si="64">SUM(H220:K220)</f>
        <v>29596.417999999983</v>
      </c>
      <c r="M220" s="770"/>
      <c r="N220" s="554"/>
      <c r="O220" s="729"/>
      <c r="P220" s="728"/>
      <c r="Q220" s="729"/>
      <c r="R220" s="728"/>
      <c r="S220" s="730"/>
      <c r="T220" s="728"/>
      <c r="U220" s="776"/>
      <c r="V220" s="746">
        <f t="shared" si="63"/>
        <v>0</v>
      </c>
      <c r="W220" s="963">
        <v>49980</v>
      </c>
    </row>
    <row r="221" spans="4:23">
      <c r="D221" s="9" t="b">
        <f t="shared" ref="D221:D267" si="65">IF($B$2=G221,TRUE,FALSE)</f>
        <v>0</v>
      </c>
      <c r="E221" s="9">
        <f t="shared" ref="E221:E267" si="66">IF(G221&lt;=$B$2,1,0)</f>
        <v>0</v>
      </c>
      <c r="G221" s="957">
        <v>50010</v>
      </c>
      <c r="H221" s="554">
        <f t="shared" ref="H221:H267" si="67">H220-$H$7</f>
        <v>28966.706999999984</v>
      </c>
      <c r="I221" s="729"/>
      <c r="J221" s="728"/>
      <c r="K221" s="729"/>
      <c r="L221" s="746">
        <f t="shared" si="64"/>
        <v>28966.706999999984</v>
      </c>
      <c r="M221" s="770"/>
      <c r="N221" s="554"/>
      <c r="O221" s="729"/>
      <c r="P221" s="728"/>
      <c r="Q221" s="729"/>
      <c r="R221" s="728"/>
      <c r="S221" s="730"/>
      <c r="T221" s="728"/>
      <c r="U221" s="776"/>
      <c r="V221" s="746">
        <f t="shared" ref="V221:V267" si="68">SUM(N221:U221)</f>
        <v>0</v>
      </c>
      <c r="W221" s="963">
        <v>50010</v>
      </c>
    </row>
    <row r="222" spans="4:23">
      <c r="D222" s="9" t="b">
        <f t="shared" si="65"/>
        <v>0</v>
      </c>
      <c r="E222" s="9">
        <f t="shared" si="66"/>
        <v>0</v>
      </c>
      <c r="G222" s="957">
        <v>50041</v>
      </c>
      <c r="H222" s="554">
        <f t="shared" si="67"/>
        <v>28336.995999999985</v>
      </c>
      <c r="I222" s="729"/>
      <c r="J222" s="728"/>
      <c r="K222" s="729"/>
      <c r="L222" s="746">
        <f t="shared" si="64"/>
        <v>28336.995999999985</v>
      </c>
      <c r="M222" s="770"/>
      <c r="N222" s="554"/>
      <c r="O222" s="729"/>
      <c r="P222" s="728"/>
      <c r="Q222" s="729"/>
      <c r="R222" s="728"/>
      <c r="S222" s="730"/>
      <c r="T222" s="728"/>
      <c r="U222" s="776"/>
      <c r="V222" s="746">
        <f t="shared" si="68"/>
        <v>0</v>
      </c>
      <c r="W222" s="963">
        <v>50041</v>
      </c>
    </row>
    <row r="223" spans="4:23">
      <c r="D223" s="9" t="b">
        <f t="shared" si="65"/>
        <v>0</v>
      </c>
      <c r="E223" s="9">
        <f t="shared" si="66"/>
        <v>0</v>
      </c>
      <c r="G223" s="957">
        <v>50072</v>
      </c>
      <c r="H223" s="554">
        <f t="shared" si="67"/>
        <v>27707.284999999985</v>
      </c>
      <c r="I223" s="729"/>
      <c r="J223" s="728"/>
      <c r="K223" s="729"/>
      <c r="L223" s="746">
        <f t="shared" si="64"/>
        <v>27707.284999999985</v>
      </c>
      <c r="M223" s="770"/>
      <c r="N223" s="554"/>
      <c r="O223" s="729"/>
      <c r="P223" s="728"/>
      <c r="Q223" s="729"/>
      <c r="R223" s="728"/>
      <c r="S223" s="730"/>
      <c r="T223" s="728"/>
      <c r="U223" s="776"/>
      <c r="V223" s="746">
        <f t="shared" si="68"/>
        <v>0</v>
      </c>
      <c r="W223" s="963">
        <v>50072</v>
      </c>
    </row>
    <row r="224" spans="4:23">
      <c r="D224" s="9" t="b">
        <f t="shared" si="65"/>
        <v>0</v>
      </c>
      <c r="E224" s="9">
        <f t="shared" si="66"/>
        <v>0</v>
      </c>
      <c r="G224" s="957">
        <v>50100</v>
      </c>
      <c r="H224" s="554">
        <f t="shared" si="67"/>
        <v>27077.573999999986</v>
      </c>
      <c r="I224" s="729"/>
      <c r="J224" s="728"/>
      <c r="K224" s="729"/>
      <c r="L224" s="746">
        <f t="shared" si="64"/>
        <v>27077.573999999986</v>
      </c>
      <c r="M224" s="770"/>
      <c r="N224" s="554"/>
      <c r="O224" s="729"/>
      <c r="P224" s="728"/>
      <c r="Q224" s="729"/>
      <c r="R224" s="728"/>
      <c r="S224" s="730"/>
      <c r="T224" s="728"/>
      <c r="U224" s="776"/>
      <c r="V224" s="746">
        <f t="shared" si="68"/>
        <v>0</v>
      </c>
      <c r="W224" s="963">
        <v>50100</v>
      </c>
    </row>
    <row r="225" spans="4:23">
      <c r="D225" s="9" t="b">
        <f t="shared" si="65"/>
        <v>0</v>
      </c>
      <c r="E225" s="9">
        <f t="shared" si="66"/>
        <v>0</v>
      </c>
      <c r="G225" s="957">
        <v>50131</v>
      </c>
      <c r="H225" s="554">
        <f t="shared" si="67"/>
        <v>26447.862999999987</v>
      </c>
      <c r="I225" s="729"/>
      <c r="J225" s="728"/>
      <c r="K225" s="729"/>
      <c r="L225" s="746">
        <f t="shared" si="64"/>
        <v>26447.862999999987</v>
      </c>
      <c r="M225" s="770"/>
      <c r="N225" s="554"/>
      <c r="O225" s="729"/>
      <c r="P225" s="728"/>
      <c r="Q225" s="729"/>
      <c r="R225" s="728"/>
      <c r="S225" s="730"/>
      <c r="T225" s="728"/>
      <c r="U225" s="776"/>
      <c r="V225" s="746">
        <f t="shared" si="68"/>
        <v>0</v>
      </c>
      <c r="W225" s="963">
        <v>50131</v>
      </c>
    </row>
    <row r="226" spans="4:23">
      <c r="D226" s="9" t="b">
        <f t="shared" si="65"/>
        <v>0</v>
      </c>
      <c r="E226" s="9">
        <f t="shared" si="66"/>
        <v>0</v>
      </c>
      <c r="G226" s="957">
        <v>50161</v>
      </c>
      <c r="H226" s="554">
        <f t="shared" si="67"/>
        <v>25818.151999999987</v>
      </c>
      <c r="I226" s="729"/>
      <c r="J226" s="728"/>
      <c r="K226" s="729"/>
      <c r="L226" s="746">
        <f t="shared" si="64"/>
        <v>25818.151999999987</v>
      </c>
      <c r="M226" s="770"/>
      <c r="N226" s="554"/>
      <c r="O226" s="729"/>
      <c r="P226" s="728"/>
      <c r="Q226" s="729"/>
      <c r="R226" s="728"/>
      <c r="S226" s="730"/>
      <c r="T226" s="728"/>
      <c r="U226" s="776"/>
      <c r="V226" s="746">
        <f t="shared" si="68"/>
        <v>0</v>
      </c>
      <c r="W226" s="963">
        <v>50161</v>
      </c>
    </row>
    <row r="227" spans="4:23">
      <c r="D227" s="9" t="b">
        <f t="shared" si="65"/>
        <v>0</v>
      </c>
      <c r="E227" s="9">
        <f t="shared" si="66"/>
        <v>0</v>
      </c>
      <c r="G227" s="957">
        <v>50192</v>
      </c>
      <c r="H227" s="554">
        <f t="shared" si="67"/>
        <v>25188.440999999988</v>
      </c>
      <c r="I227" s="729"/>
      <c r="J227" s="728"/>
      <c r="K227" s="729"/>
      <c r="L227" s="746">
        <f t="shared" si="64"/>
        <v>25188.440999999988</v>
      </c>
      <c r="M227" s="770"/>
      <c r="N227" s="554"/>
      <c r="O227" s="729"/>
      <c r="P227" s="728"/>
      <c r="Q227" s="729"/>
      <c r="R227" s="728"/>
      <c r="S227" s="730"/>
      <c r="T227" s="728"/>
      <c r="U227" s="776"/>
      <c r="V227" s="746">
        <f t="shared" si="68"/>
        <v>0</v>
      </c>
      <c r="W227" s="963">
        <v>50192</v>
      </c>
    </row>
    <row r="228" spans="4:23">
      <c r="D228" s="9" t="b">
        <f t="shared" si="65"/>
        <v>0</v>
      </c>
      <c r="E228" s="9">
        <f t="shared" si="66"/>
        <v>0</v>
      </c>
      <c r="G228" s="957">
        <v>50222</v>
      </c>
      <c r="H228" s="554">
        <f t="shared" si="67"/>
        <v>24558.729999999989</v>
      </c>
      <c r="I228" s="729"/>
      <c r="J228" s="728"/>
      <c r="K228" s="729"/>
      <c r="L228" s="746">
        <f t="shared" si="64"/>
        <v>24558.729999999989</v>
      </c>
      <c r="M228" s="770"/>
      <c r="N228" s="554"/>
      <c r="O228" s="729"/>
      <c r="P228" s="728"/>
      <c r="Q228" s="729"/>
      <c r="R228" s="728"/>
      <c r="S228" s="730"/>
      <c r="T228" s="728"/>
      <c r="U228" s="776"/>
      <c r="V228" s="746">
        <f t="shared" si="68"/>
        <v>0</v>
      </c>
      <c r="W228" s="963">
        <v>50222</v>
      </c>
    </row>
    <row r="229" spans="4:23">
      <c r="D229" s="9" t="b">
        <f t="shared" si="65"/>
        <v>0</v>
      </c>
      <c r="E229" s="9">
        <f t="shared" si="66"/>
        <v>0</v>
      </c>
      <c r="G229" s="957">
        <v>50253</v>
      </c>
      <c r="H229" s="554">
        <f t="shared" si="67"/>
        <v>23929.018999999989</v>
      </c>
      <c r="I229" s="729"/>
      <c r="J229" s="728"/>
      <c r="K229" s="729"/>
      <c r="L229" s="746">
        <f t="shared" si="64"/>
        <v>23929.018999999989</v>
      </c>
      <c r="M229" s="770"/>
      <c r="N229" s="554"/>
      <c r="O229" s="729"/>
      <c r="P229" s="728"/>
      <c r="Q229" s="729"/>
      <c r="R229" s="728"/>
      <c r="S229" s="730"/>
      <c r="T229" s="728"/>
      <c r="U229" s="776"/>
      <c r="V229" s="746">
        <f t="shared" si="68"/>
        <v>0</v>
      </c>
      <c r="W229" s="963">
        <v>50253</v>
      </c>
    </row>
    <row r="230" spans="4:23">
      <c r="D230" s="9" t="b">
        <f t="shared" si="65"/>
        <v>0</v>
      </c>
      <c r="E230" s="9">
        <f t="shared" si="66"/>
        <v>0</v>
      </c>
      <c r="G230" s="957">
        <v>50284</v>
      </c>
      <c r="H230" s="554">
        <f t="shared" si="67"/>
        <v>23299.30799999999</v>
      </c>
      <c r="I230" s="729"/>
      <c r="J230" s="728"/>
      <c r="K230" s="729"/>
      <c r="L230" s="746">
        <f t="shared" si="64"/>
        <v>23299.30799999999</v>
      </c>
      <c r="M230" s="770"/>
      <c r="N230" s="554"/>
      <c r="O230" s="729"/>
      <c r="P230" s="728"/>
      <c r="Q230" s="729"/>
      <c r="R230" s="728"/>
      <c r="S230" s="730"/>
      <c r="T230" s="728"/>
      <c r="U230" s="776"/>
      <c r="V230" s="746">
        <f t="shared" si="68"/>
        <v>0</v>
      </c>
      <c r="W230" s="963">
        <v>50284</v>
      </c>
    </row>
    <row r="231" spans="4:23">
      <c r="D231" s="9" t="b">
        <f t="shared" si="65"/>
        <v>0</v>
      </c>
      <c r="E231" s="9">
        <f t="shared" si="66"/>
        <v>0</v>
      </c>
      <c r="G231" s="957">
        <v>50314</v>
      </c>
      <c r="H231" s="554">
        <f t="shared" si="67"/>
        <v>22669.596999999991</v>
      </c>
      <c r="I231" s="729"/>
      <c r="J231" s="728"/>
      <c r="K231" s="729"/>
      <c r="L231" s="746">
        <f t="shared" si="64"/>
        <v>22669.596999999991</v>
      </c>
      <c r="M231" s="770"/>
      <c r="N231" s="554"/>
      <c r="O231" s="729"/>
      <c r="P231" s="728"/>
      <c r="Q231" s="729"/>
      <c r="R231" s="728"/>
      <c r="S231" s="730"/>
      <c r="T231" s="728"/>
      <c r="U231" s="776"/>
      <c r="V231" s="746">
        <f t="shared" si="68"/>
        <v>0</v>
      </c>
      <c r="W231" s="963">
        <v>50314</v>
      </c>
    </row>
    <row r="232" spans="4:23">
      <c r="D232" s="9" t="b">
        <f t="shared" si="65"/>
        <v>0</v>
      </c>
      <c r="E232" s="9">
        <f t="shared" si="66"/>
        <v>0</v>
      </c>
      <c r="G232" s="957">
        <v>50345</v>
      </c>
      <c r="H232" s="554">
        <f t="shared" si="67"/>
        <v>22039.885999999991</v>
      </c>
      <c r="I232" s="729"/>
      <c r="J232" s="728"/>
      <c r="K232" s="729"/>
      <c r="L232" s="746">
        <f t="shared" si="64"/>
        <v>22039.885999999991</v>
      </c>
      <c r="M232" s="770"/>
      <c r="N232" s="554"/>
      <c r="O232" s="729"/>
      <c r="P232" s="728"/>
      <c r="Q232" s="729"/>
      <c r="R232" s="728"/>
      <c r="S232" s="730"/>
      <c r="T232" s="728"/>
      <c r="U232" s="776"/>
      <c r="V232" s="746">
        <f t="shared" si="68"/>
        <v>0</v>
      </c>
      <c r="W232" s="963">
        <v>50345</v>
      </c>
    </row>
    <row r="233" spans="4:23">
      <c r="D233" s="9" t="b">
        <f t="shared" si="65"/>
        <v>0</v>
      </c>
      <c r="E233" s="9">
        <f t="shared" si="66"/>
        <v>0</v>
      </c>
      <c r="G233" s="957">
        <v>50375</v>
      </c>
      <c r="H233" s="554">
        <f t="shared" si="67"/>
        <v>21410.174999999992</v>
      </c>
      <c r="I233" s="729"/>
      <c r="J233" s="728"/>
      <c r="K233" s="729"/>
      <c r="L233" s="746">
        <f t="shared" si="64"/>
        <v>21410.174999999992</v>
      </c>
      <c r="M233" s="770"/>
      <c r="N233" s="554"/>
      <c r="O233" s="729"/>
      <c r="P233" s="728"/>
      <c r="Q233" s="729"/>
      <c r="R233" s="728"/>
      <c r="S233" s="730"/>
      <c r="T233" s="728"/>
      <c r="U233" s="776"/>
      <c r="V233" s="746">
        <f t="shared" si="68"/>
        <v>0</v>
      </c>
      <c r="W233" s="963">
        <v>50375</v>
      </c>
    </row>
    <row r="234" spans="4:23">
      <c r="D234" s="9" t="b">
        <f t="shared" si="65"/>
        <v>0</v>
      </c>
      <c r="E234" s="9">
        <f t="shared" si="66"/>
        <v>0</v>
      </c>
      <c r="G234" s="957">
        <v>50406</v>
      </c>
      <c r="H234" s="554">
        <f t="shared" si="67"/>
        <v>20780.463999999993</v>
      </c>
      <c r="I234" s="729"/>
      <c r="J234" s="728"/>
      <c r="K234" s="729"/>
      <c r="L234" s="746">
        <f t="shared" si="64"/>
        <v>20780.463999999993</v>
      </c>
      <c r="M234" s="770"/>
      <c r="N234" s="554"/>
      <c r="O234" s="729"/>
      <c r="P234" s="728"/>
      <c r="Q234" s="729"/>
      <c r="R234" s="728"/>
      <c r="S234" s="730"/>
      <c r="T234" s="728"/>
      <c r="U234" s="776"/>
      <c r="V234" s="746">
        <f t="shared" si="68"/>
        <v>0</v>
      </c>
      <c r="W234" s="963">
        <v>50406</v>
      </c>
    </row>
    <row r="235" spans="4:23">
      <c r="D235" s="9" t="b">
        <f t="shared" si="65"/>
        <v>0</v>
      </c>
      <c r="E235" s="9">
        <f t="shared" si="66"/>
        <v>0</v>
      </c>
      <c r="G235" s="957">
        <v>50437</v>
      </c>
      <c r="H235" s="554">
        <f t="shared" si="67"/>
        <v>20150.752999999993</v>
      </c>
      <c r="I235" s="729"/>
      <c r="J235" s="728"/>
      <c r="K235" s="729"/>
      <c r="L235" s="746">
        <f t="shared" si="64"/>
        <v>20150.752999999993</v>
      </c>
      <c r="M235" s="770"/>
      <c r="N235" s="554"/>
      <c r="O235" s="729"/>
      <c r="P235" s="728"/>
      <c r="Q235" s="729"/>
      <c r="R235" s="728"/>
      <c r="S235" s="730"/>
      <c r="T235" s="728"/>
      <c r="U235" s="776"/>
      <c r="V235" s="746">
        <f t="shared" si="68"/>
        <v>0</v>
      </c>
      <c r="W235" s="963">
        <v>50437</v>
      </c>
    </row>
    <row r="236" spans="4:23">
      <c r="D236" s="9" t="b">
        <f t="shared" si="65"/>
        <v>0</v>
      </c>
      <c r="E236" s="9">
        <f t="shared" si="66"/>
        <v>0</v>
      </c>
      <c r="G236" s="957">
        <v>50465</v>
      </c>
      <c r="H236" s="554">
        <f t="shared" si="67"/>
        <v>19521.041999999994</v>
      </c>
      <c r="I236" s="729"/>
      <c r="J236" s="728"/>
      <c r="K236" s="729"/>
      <c r="L236" s="746">
        <f t="shared" si="64"/>
        <v>19521.041999999994</v>
      </c>
      <c r="M236" s="770"/>
      <c r="N236" s="554"/>
      <c r="O236" s="729"/>
      <c r="P236" s="728"/>
      <c r="Q236" s="729"/>
      <c r="R236" s="728"/>
      <c r="S236" s="730"/>
      <c r="T236" s="728"/>
      <c r="U236" s="776"/>
      <c r="V236" s="746">
        <f t="shared" si="68"/>
        <v>0</v>
      </c>
      <c r="W236" s="963">
        <v>50465</v>
      </c>
    </row>
    <row r="237" spans="4:23">
      <c r="D237" s="9" t="b">
        <f t="shared" si="65"/>
        <v>0</v>
      </c>
      <c r="E237" s="9">
        <f t="shared" si="66"/>
        <v>0</v>
      </c>
      <c r="G237" s="957">
        <v>50496</v>
      </c>
      <c r="H237" s="554">
        <f t="shared" si="67"/>
        <v>18891.330999999995</v>
      </c>
      <c r="I237" s="729"/>
      <c r="J237" s="728"/>
      <c r="K237" s="729"/>
      <c r="L237" s="746">
        <f t="shared" si="64"/>
        <v>18891.330999999995</v>
      </c>
      <c r="M237" s="770"/>
      <c r="N237" s="554"/>
      <c r="O237" s="729"/>
      <c r="P237" s="728"/>
      <c r="Q237" s="729"/>
      <c r="R237" s="728"/>
      <c r="S237" s="730"/>
      <c r="T237" s="728"/>
      <c r="U237" s="776"/>
      <c r="V237" s="746">
        <f t="shared" si="68"/>
        <v>0</v>
      </c>
      <c r="W237" s="963">
        <v>50496</v>
      </c>
    </row>
    <row r="238" spans="4:23">
      <c r="D238" s="9" t="b">
        <f t="shared" si="65"/>
        <v>0</v>
      </c>
      <c r="E238" s="9">
        <f t="shared" si="66"/>
        <v>0</v>
      </c>
      <c r="G238" s="957">
        <v>50526</v>
      </c>
      <c r="H238" s="554">
        <f t="shared" si="67"/>
        <v>18261.619999999995</v>
      </c>
      <c r="I238" s="729"/>
      <c r="J238" s="728"/>
      <c r="K238" s="729"/>
      <c r="L238" s="746">
        <f t="shared" si="64"/>
        <v>18261.619999999995</v>
      </c>
      <c r="M238" s="770"/>
      <c r="N238" s="554"/>
      <c r="O238" s="729"/>
      <c r="P238" s="728"/>
      <c r="Q238" s="729"/>
      <c r="R238" s="728"/>
      <c r="S238" s="730"/>
      <c r="T238" s="728"/>
      <c r="U238" s="776"/>
      <c r="V238" s="746">
        <f t="shared" si="68"/>
        <v>0</v>
      </c>
      <c r="W238" s="963">
        <v>50526</v>
      </c>
    </row>
    <row r="239" spans="4:23">
      <c r="D239" s="9" t="b">
        <f t="shared" si="65"/>
        <v>0</v>
      </c>
      <c r="E239" s="9">
        <f t="shared" si="66"/>
        <v>0</v>
      </c>
      <c r="G239" s="957">
        <v>50557</v>
      </c>
      <c r="H239" s="554">
        <f t="shared" si="67"/>
        <v>17631.908999999996</v>
      </c>
      <c r="I239" s="729"/>
      <c r="J239" s="728"/>
      <c r="K239" s="729"/>
      <c r="L239" s="746">
        <f t="shared" si="64"/>
        <v>17631.908999999996</v>
      </c>
      <c r="M239" s="770"/>
      <c r="N239" s="554"/>
      <c r="O239" s="729"/>
      <c r="P239" s="728"/>
      <c r="Q239" s="729"/>
      <c r="R239" s="728"/>
      <c r="S239" s="730"/>
      <c r="T239" s="728"/>
      <c r="U239" s="776"/>
      <c r="V239" s="746">
        <f t="shared" si="68"/>
        <v>0</v>
      </c>
      <c r="W239" s="963">
        <v>50557</v>
      </c>
    </row>
    <row r="240" spans="4:23">
      <c r="D240" s="9" t="b">
        <f t="shared" si="65"/>
        <v>0</v>
      </c>
      <c r="E240" s="9">
        <f t="shared" si="66"/>
        <v>0</v>
      </c>
      <c r="G240" s="957">
        <v>50587</v>
      </c>
      <c r="H240" s="554">
        <f t="shared" si="67"/>
        <v>17002.197999999997</v>
      </c>
      <c r="I240" s="729"/>
      <c r="J240" s="728"/>
      <c r="K240" s="729"/>
      <c r="L240" s="746">
        <f t="shared" si="64"/>
        <v>17002.197999999997</v>
      </c>
      <c r="M240" s="770"/>
      <c r="N240" s="554"/>
      <c r="O240" s="729"/>
      <c r="P240" s="728"/>
      <c r="Q240" s="729"/>
      <c r="R240" s="728"/>
      <c r="S240" s="730"/>
      <c r="T240" s="728"/>
      <c r="U240" s="776"/>
      <c r="V240" s="746">
        <f t="shared" si="68"/>
        <v>0</v>
      </c>
      <c r="W240" s="963">
        <v>50587</v>
      </c>
    </row>
    <row r="241" spans="4:23">
      <c r="D241" s="9" t="b">
        <f t="shared" si="65"/>
        <v>0</v>
      </c>
      <c r="E241" s="9">
        <f t="shared" si="66"/>
        <v>0</v>
      </c>
      <c r="G241" s="957">
        <v>50618</v>
      </c>
      <c r="H241" s="554">
        <f t="shared" si="67"/>
        <v>16372.486999999997</v>
      </c>
      <c r="I241" s="729"/>
      <c r="J241" s="728"/>
      <c r="K241" s="729"/>
      <c r="L241" s="746">
        <f t="shared" si="64"/>
        <v>16372.486999999997</v>
      </c>
      <c r="M241" s="770"/>
      <c r="N241" s="554"/>
      <c r="O241" s="729"/>
      <c r="P241" s="728"/>
      <c r="Q241" s="729"/>
      <c r="R241" s="728"/>
      <c r="S241" s="730"/>
      <c r="T241" s="728"/>
      <c r="U241" s="776"/>
      <c r="V241" s="746">
        <f t="shared" si="68"/>
        <v>0</v>
      </c>
      <c r="W241" s="963">
        <v>50618</v>
      </c>
    </row>
    <row r="242" spans="4:23">
      <c r="D242" s="9" t="b">
        <f t="shared" si="65"/>
        <v>0</v>
      </c>
      <c r="E242" s="9">
        <f t="shared" si="66"/>
        <v>0</v>
      </c>
      <c r="G242" s="957">
        <v>50649</v>
      </c>
      <c r="H242" s="554">
        <f t="shared" si="67"/>
        <v>15742.775999999998</v>
      </c>
      <c r="I242" s="729"/>
      <c r="J242" s="728"/>
      <c r="K242" s="729"/>
      <c r="L242" s="746">
        <f t="shared" si="64"/>
        <v>15742.775999999998</v>
      </c>
      <c r="M242" s="770"/>
      <c r="N242" s="554"/>
      <c r="O242" s="729"/>
      <c r="P242" s="728"/>
      <c r="Q242" s="729"/>
      <c r="R242" s="728"/>
      <c r="S242" s="730"/>
      <c r="T242" s="728"/>
      <c r="U242" s="776"/>
      <c r="V242" s="746">
        <f t="shared" si="68"/>
        <v>0</v>
      </c>
      <c r="W242" s="963">
        <v>50649</v>
      </c>
    </row>
    <row r="243" spans="4:23">
      <c r="D243" s="9" t="b">
        <f t="shared" si="65"/>
        <v>0</v>
      </c>
      <c r="E243" s="9">
        <f t="shared" si="66"/>
        <v>0</v>
      </c>
      <c r="G243" s="957">
        <v>50679</v>
      </c>
      <c r="H243" s="554">
        <f t="shared" si="67"/>
        <v>15113.064999999999</v>
      </c>
      <c r="I243" s="729"/>
      <c r="J243" s="728"/>
      <c r="K243" s="729"/>
      <c r="L243" s="746">
        <f t="shared" si="64"/>
        <v>15113.064999999999</v>
      </c>
      <c r="M243" s="770"/>
      <c r="N243" s="554"/>
      <c r="O243" s="729"/>
      <c r="P243" s="728"/>
      <c r="Q243" s="729"/>
      <c r="R243" s="728"/>
      <c r="S243" s="730"/>
      <c r="T243" s="728"/>
      <c r="U243" s="776"/>
      <c r="V243" s="746">
        <f t="shared" si="68"/>
        <v>0</v>
      </c>
      <c r="W243" s="963">
        <v>50679</v>
      </c>
    </row>
    <row r="244" spans="4:23">
      <c r="D244" s="9" t="b">
        <f t="shared" si="65"/>
        <v>0</v>
      </c>
      <c r="E244" s="9">
        <f t="shared" si="66"/>
        <v>0</v>
      </c>
      <c r="G244" s="957">
        <v>50710</v>
      </c>
      <c r="H244" s="554">
        <f t="shared" si="67"/>
        <v>14483.353999999999</v>
      </c>
      <c r="I244" s="729"/>
      <c r="J244" s="728"/>
      <c r="K244" s="729"/>
      <c r="L244" s="746">
        <f t="shared" si="64"/>
        <v>14483.353999999999</v>
      </c>
      <c r="M244" s="770"/>
      <c r="N244" s="554"/>
      <c r="O244" s="729"/>
      <c r="P244" s="728"/>
      <c r="Q244" s="729"/>
      <c r="R244" s="728"/>
      <c r="S244" s="730"/>
      <c r="T244" s="728"/>
      <c r="U244" s="776"/>
      <c r="V244" s="746">
        <f t="shared" si="68"/>
        <v>0</v>
      </c>
      <c r="W244" s="963">
        <v>50710</v>
      </c>
    </row>
    <row r="245" spans="4:23">
      <c r="D245" s="9" t="b">
        <f t="shared" si="65"/>
        <v>0</v>
      </c>
      <c r="E245" s="9">
        <f t="shared" si="66"/>
        <v>0</v>
      </c>
      <c r="G245" s="957">
        <v>50740</v>
      </c>
      <c r="H245" s="554">
        <f t="shared" si="67"/>
        <v>13853.643</v>
      </c>
      <c r="I245" s="729"/>
      <c r="J245" s="728"/>
      <c r="K245" s="729"/>
      <c r="L245" s="746">
        <f t="shared" si="64"/>
        <v>13853.643</v>
      </c>
      <c r="M245" s="770"/>
      <c r="N245" s="554"/>
      <c r="O245" s="729"/>
      <c r="P245" s="728"/>
      <c r="Q245" s="729"/>
      <c r="R245" s="728"/>
      <c r="S245" s="730"/>
      <c r="T245" s="728"/>
      <c r="U245" s="776"/>
      <c r="V245" s="746">
        <f t="shared" si="68"/>
        <v>0</v>
      </c>
      <c r="W245" s="963">
        <v>50740</v>
      </c>
    </row>
    <row r="246" spans="4:23">
      <c r="D246" s="9" t="b">
        <f t="shared" si="65"/>
        <v>0</v>
      </c>
      <c r="E246" s="9">
        <f t="shared" si="66"/>
        <v>0</v>
      </c>
      <c r="G246" s="957">
        <v>50771</v>
      </c>
      <c r="H246" s="554">
        <f t="shared" si="67"/>
        <v>13223.932000000001</v>
      </c>
      <c r="I246" s="729"/>
      <c r="J246" s="728"/>
      <c r="K246" s="729"/>
      <c r="L246" s="746">
        <f t="shared" si="64"/>
        <v>13223.932000000001</v>
      </c>
      <c r="M246" s="770"/>
      <c r="N246" s="554"/>
      <c r="O246" s="729"/>
      <c r="P246" s="728"/>
      <c r="Q246" s="729"/>
      <c r="R246" s="728"/>
      <c r="S246" s="730"/>
      <c r="T246" s="728"/>
      <c r="U246" s="776"/>
      <c r="V246" s="746">
        <f t="shared" si="68"/>
        <v>0</v>
      </c>
      <c r="W246" s="963">
        <v>50771</v>
      </c>
    </row>
    <row r="247" spans="4:23">
      <c r="D247" s="9" t="b">
        <f t="shared" si="65"/>
        <v>0</v>
      </c>
      <c r="E247" s="9">
        <f t="shared" si="66"/>
        <v>0</v>
      </c>
      <c r="G247" s="957">
        <v>50802</v>
      </c>
      <c r="H247" s="554">
        <f t="shared" si="67"/>
        <v>12594.221000000001</v>
      </c>
      <c r="I247" s="729"/>
      <c r="J247" s="728"/>
      <c r="K247" s="729"/>
      <c r="L247" s="746">
        <f t="shared" si="64"/>
        <v>12594.221000000001</v>
      </c>
      <c r="M247" s="770"/>
      <c r="N247" s="554"/>
      <c r="O247" s="729"/>
      <c r="P247" s="728"/>
      <c r="Q247" s="729"/>
      <c r="R247" s="728"/>
      <c r="S247" s="730"/>
      <c r="T247" s="728"/>
      <c r="U247" s="776"/>
      <c r="V247" s="746">
        <f t="shared" si="68"/>
        <v>0</v>
      </c>
      <c r="W247" s="963">
        <v>50802</v>
      </c>
    </row>
    <row r="248" spans="4:23">
      <c r="D248" s="9" t="b">
        <f t="shared" si="65"/>
        <v>0</v>
      </c>
      <c r="E248" s="9">
        <f t="shared" si="66"/>
        <v>0</v>
      </c>
      <c r="G248" s="957">
        <v>50830</v>
      </c>
      <c r="H248" s="554">
        <f t="shared" si="67"/>
        <v>11964.510000000002</v>
      </c>
      <c r="I248" s="729"/>
      <c r="J248" s="728"/>
      <c r="K248" s="729"/>
      <c r="L248" s="746">
        <f t="shared" si="64"/>
        <v>11964.510000000002</v>
      </c>
      <c r="M248" s="770"/>
      <c r="N248" s="554"/>
      <c r="O248" s="729"/>
      <c r="P248" s="728"/>
      <c r="Q248" s="729"/>
      <c r="R248" s="728"/>
      <c r="S248" s="730"/>
      <c r="T248" s="728"/>
      <c r="U248" s="776"/>
      <c r="V248" s="746">
        <f t="shared" si="68"/>
        <v>0</v>
      </c>
      <c r="W248" s="963">
        <v>50830</v>
      </c>
    </row>
    <row r="249" spans="4:23">
      <c r="D249" s="9" t="b">
        <f t="shared" si="65"/>
        <v>0</v>
      </c>
      <c r="E249" s="9">
        <f t="shared" si="66"/>
        <v>0</v>
      </c>
      <c r="G249" s="957">
        <v>50861</v>
      </c>
      <c r="H249" s="554">
        <f t="shared" si="67"/>
        <v>11334.799000000003</v>
      </c>
      <c r="I249" s="729"/>
      <c r="J249" s="728"/>
      <c r="K249" s="729"/>
      <c r="L249" s="746">
        <f t="shared" si="64"/>
        <v>11334.799000000003</v>
      </c>
      <c r="M249" s="770"/>
      <c r="N249" s="554"/>
      <c r="O249" s="729"/>
      <c r="P249" s="728"/>
      <c r="Q249" s="729"/>
      <c r="R249" s="728"/>
      <c r="S249" s="730"/>
      <c r="T249" s="728"/>
      <c r="U249" s="776"/>
      <c r="V249" s="746">
        <f t="shared" si="68"/>
        <v>0</v>
      </c>
      <c r="W249" s="963">
        <v>50861</v>
      </c>
    </row>
    <row r="250" spans="4:23">
      <c r="D250" s="9" t="b">
        <f t="shared" si="65"/>
        <v>0</v>
      </c>
      <c r="E250" s="9">
        <f t="shared" si="66"/>
        <v>0</v>
      </c>
      <c r="G250" s="957">
        <v>50891</v>
      </c>
      <c r="H250" s="554">
        <f t="shared" si="67"/>
        <v>10705.088000000003</v>
      </c>
      <c r="I250" s="729"/>
      <c r="J250" s="728"/>
      <c r="K250" s="729"/>
      <c r="L250" s="746">
        <f t="shared" si="64"/>
        <v>10705.088000000003</v>
      </c>
      <c r="M250" s="770"/>
      <c r="N250" s="554"/>
      <c r="O250" s="729"/>
      <c r="P250" s="728"/>
      <c r="Q250" s="729"/>
      <c r="R250" s="728"/>
      <c r="S250" s="730"/>
      <c r="T250" s="728"/>
      <c r="U250" s="776"/>
      <c r="V250" s="746">
        <f t="shared" si="68"/>
        <v>0</v>
      </c>
      <c r="W250" s="963">
        <v>50891</v>
      </c>
    </row>
    <row r="251" spans="4:23">
      <c r="D251" s="9" t="b">
        <f t="shared" si="65"/>
        <v>0</v>
      </c>
      <c r="E251" s="9">
        <f t="shared" si="66"/>
        <v>0</v>
      </c>
      <c r="G251" s="957">
        <v>50922</v>
      </c>
      <c r="H251" s="554">
        <f t="shared" si="67"/>
        <v>10075.377000000004</v>
      </c>
      <c r="I251" s="729"/>
      <c r="J251" s="728"/>
      <c r="K251" s="729"/>
      <c r="L251" s="746">
        <f t="shared" si="64"/>
        <v>10075.377000000004</v>
      </c>
      <c r="M251" s="770"/>
      <c r="N251" s="554"/>
      <c r="O251" s="729"/>
      <c r="P251" s="728"/>
      <c r="Q251" s="729"/>
      <c r="R251" s="728"/>
      <c r="S251" s="730"/>
      <c r="T251" s="728"/>
      <c r="U251" s="776"/>
      <c r="V251" s="746">
        <f t="shared" si="68"/>
        <v>0</v>
      </c>
      <c r="W251" s="963">
        <v>50922</v>
      </c>
    </row>
    <row r="252" spans="4:23">
      <c r="D252" s="9" t="b">
        <f t="shared" si="65"/>
        <v>0</v>
      </c>
      <c r="E252" s="9">
        <f t="shared" si="66"/>
        <v>0</v>
      </c>
      <c r="G252" s="957">
        <v>50952</v>
      </c>
      <c r="H252" s="554">
        <f t="shared" si="67"/>
        <v>9445.6660000000047</v>
      </c>
      <c r="I252" s="729"/>
      <c r="J252" s="728"/>
      <c r="K252" s="729"/>
      <c r="L252" s="746">
        <f t="shared" si="64"/>
        <v>9445.6660000000047</v>
      </c>
      <c r="M252" s="770"/>
      <c r="N252" s="554"/>
      <c r="O252" s="729"/>
      <c r="P252" s="728"/>
      <c r="Q252" s="729"/>
      <c r="R252" s="728"/>
      <c r="S252" s="730"/>
      <c r="T252" s="728"/>
      <c r="U252" s="776"/>
      <c r="V252" s="746">
        <f t="shared" si="68"/>
        <v>0</v>
      </c>
      <c r="W252" s="963">
        <v>50952</v>
      </c>
    </row>
    <row r="253" spans="4:23">
      <c r="D253" s="9" t="b">
        <f t="shared" si="65"/>
        <v>0</v>
      </c>
      <c r="E253" s="9">
        <f t="shared" si="66"/>
        <v>0</v>
      </c>
      <c r="G253" s="957">
        <v>50983</v>
      </c>
      <c r="H253" s="554">
        <f t="shared" si="67"/>
        <v>8815.9550000000054</v>
      </c>
      <c r="I253" s="729"/>
      <c r="J253" s="728"/>
      <c r="K253" s="729"/>
      <c r="L253" s="746">
        <f t="shared" si="64"/>
        <v>8815.9550000000054</v>
      </c>
      <c r="M253" s="770"/>
      <c r="N253" s="554"/>
      <c r="O253" s="729"/>
      <c r="P253" s="728"/>
      <c r="Q253" s="729"/>
      <c r="R253" s="728"/>
      <c r="S253" s="730"/>
      <c r="T253" s="728"/>
      <c r="U253" s="776"/>
      <c r="V253" s="746">
        <f t="shared" si="68"/>
        <v>0</v>
      </c>
      <c r="W253" s="963">
        <v>50983</v>
      </c>
    </row>
    <row r="254" spans="4:23">
      <c r="D254" s="9" t="b">
        <f t="shared" si="65"/>
        <v>0</v>
      </c>
      <c r="E254" s="9">
        <f t="shared" si="66"/>
        <v>0</v>
      </c>
      <c r="G254" s="957">
        <v>51014</v>
      </c>
      <c r="H254" s="554">
        <f t="shared" si="67"/>
        <v>8186.2440000000051</v>
      </c>
      <c r="I254" s="729"/>
      <c r="J254" s="728"/>
      <c r="K254" s="729"/>
      <c r="L254" s="746">
        <f t="shared" si="64"/>
        <v>8186.2440000000051</v>
      </c>
      <c r="M254" s="770"/>
      <c r="N254" s="554"/>
      <c r="O254" s="729"/>
      <c r="P254" s="728"/>
      <c r="Q254" s="729"/>
      <c r="R254" s="728"/>
      <c r="S254" s="730"/>
      <c r="T254" s="728"/>
      <c r="U254" s="776"/>
      <c r="V254" s="746">
        <f t="shared" si="68"/>
        <v>0</v>
      </c>
      <c r="W254" s="963">
        <v>51014</v>
      </c>
    </row>
    <row r="255" spans="4:23">
      <c r="D255" s="9" t="b">
        <f t="shared" si="65"/>
        <v>0</v>
      </c>
      <c r="E255" s="9">
        <f t="shared" si="66"/>
        <v>0</v>
      </c>
      <c r="G255" s="957">
        <v>51044</v>
      </c>
      <c r="H255" s="554">
        <f t="shared" si="67"/>
        <v>7556.5330000000049</v>
      </c>
      <c r="I255" s="729"/>
      <c r="J255" s="728"/>
      <c r="K255" s="729"/>
      <c r="L255" s="746">
        <f t="shared" si="64"/>
        <v>7556.5330000000049</v>
      </c>
      <c r="M255" s="770"/>
      <c r="N255" s="554"/>
      <c r="O255" s="729"/>
      <c r="P255" s="728"/>
      <c r="Q255" s="729"/>
      <c r="R255" s="728"/>
      <c r="S255" s="730"/>
      <c r="T255" s="728"/>
      <c r="U255" s="776"/>
      <c r="V255" s="746">
        <f t="shared" si="68"/>
        <v>0</v>
      </c>
      <c r="W255" s="963">
        <v>51044</v>
      </c>
    </row>
    <row r="256" spans="4:23">
      <c r="D256" s="9" t="b">
        <f t="shared" si="65"/>
        <v>0</v>
      </c>
      <c r="E256" s="9">
        <f t="shared" si="66"/>
        <v>0</v>
      </c>
      <c r="G256" s="957">
        <v>51075</v>
      </c>
      <c r="H256" s="554">
        <f t="shared" si="67"/>
        <v>6926.8220000000047</v>
      </c>
      <c r="I256" s="729"/>
      <c r="J256" s="728"/>
      <c r="K256" s="729"/>
      <c r="L256" s="746">
        <f t="shared" si="64"/>
        <v>6926.8220000000047</v>
      </c>
      <c r="M256" s="770"/>
      <c r="N256" s="554"/>
      <c r="O256" s="729"/>
      <c r="P256" s="728"/>
      <c r="Q256" s="729"/>
      <c r="R256" s="728"/>
      <c r="S256" s="730"/>
      <c r="T256" s="728"/>
      <c r="U256" s="776"/>
      <c r="V256" s="746">
        <f t="shared" si="68"/>
        <v>0</v>
      </c>
      <c r="W256" s="963">
        <v>51075</v>
      </c>
    </row>
    <row r="257" spans="4:23">
      <c r="D257" s="9" t="b">
        <f t="shared" si="65"/>
        <v>0</v>
      </c>
      <c r="E257" s="9">
        <f t="shared" si="66"/>
        <v>0</v>
      </c>
      <c r="G257" s="957">
        <v>51105</v>
      </c>
      <c r="H257" s="554">
        <f t="shared" si="67"/>
        <v>6297.1110000000044</v>
      </c>
      <c r="I257" s="729"/>
      <c r="J257" s="728"/>
      <c r="K257" s="729"/>
      <c r="L257" s="746">
        <f t="shared" si="64"/>
        <v>6297.1110000000044</v>
      </c>
      <c r="M257" s="770"/>
      <c r="N257" s="554"/>
      <c r="O257" s="729"/>
      <c r="P257" s="728"/>
      <c r="Q257" s="729"/>
      <c r="R257" s="728"/>
      <c r="S257" s="730"/>
      <c r="T257" s="728"/>
      <c r="U257" s="776"/>
      <c r="V257" s="746">
        <f t="shared" si="68"/>
        <v>0</v>
      </c>
      <c r="W257" s="963">
        <v>51105</v>
      </c>
    </row>
    <row r="258" spans="4:23">
      <c r="D258" s="9" t="b">
        <f t="shared" si="65"/>
        <v>0</v>
      </c>
      <c r="E258" s="9">
        <f t="shared" si="66"/>
        <v>0</v>
      </c>
      <c r="G258" s="957">
        <v>51136</v>
      </c>
      <c r="H258" s="554">
        <f t="shared" si="67"/>
        <v>5667.4000000000042</v>
      </c>
      <c r="I258" s="729"/>
      <c r="J258" s="728"/>
      <c r="K258" s="729"/>
      <c r="L258" s="746">
        <f t="shared" si="64"/>
        <v>5667.4000000000042</v>
      </c>
      <c r="M258" s="770"/>
      <c r="N258" s="554"/>
      <c r="O258" s="729"/>
      <c r="P258" s="728"/>
      <c r="Q258" s="729"/>
      <c r="R258" s="728"/>
      <c r="S258" s="730"/>
      <c r="T258" s="728"/>
      <c r="U258" s="776"/>
      <c r="V258" s="746">
        <f t="shared" si="68"/>
        <v>0</v>
      </c>
      <c r="W258" s="963">
        <v>51136</v>
      </c>
    </row>
    <row r="259" spans="4:23">
      <c r="D259" s="9" t="b">
        <f t="shared" si="65"/>
        <v>0</v>
      </c>
      <c r="E259" s="9">
        <f t="shared" si="66"/>
        <v>0</v>
      </c>
      <c r="G259" s="957">
        <v>51167</v>
      </c>
      <c r="H259" s="554">
        <f t="shared" si="67"/>
        <v>5037.6890000000039</v>
      </c>
      <c r="I259" s="729"/>
      <c r="J259" s="728"/>
      <c r="K259" s="729"/>
      <c r="L259" s="746">
        <f t="shared" si="64"/>
        <v>5037.6890000000039</v>
      </c>
      <c r="M259" s="770"/>
      <c r="N259" s="554"/>
      <c r="O259" s="729"/>
      <c r="P259" s="728"/>
      <c r="Q259" s="729"/>
      <c r="R259" s="728"/>
      <c r="S259" s="730"/>
      <c r="T259" s="728"/>
      <c r="U259" s="776"/>
      <c r="V259" s="746">
        <f t="shared" si="68"/>
        <v>0</v>
      </c>
      <c r="W259" s="963">
        <v>51167</v>
      </c>
    </row>
    <row r="260" spans="4:23">
      <c r="D260" s="9" t="b">
        <f t="shared" si="65"/>
        <v>0</v>
      </c>
      <c r="E260" s="9">
        <f t="shared" si="66"/>
        <v>0</v>
      </c>
      <c r="G260" s="957">
        <v>51196</v>
      </c>
      <c r="H260" s="554">
        <f t="shared" si="67"/>
        <v>4407.9780000000037</v>
      </c>
      <c r="I260" s="729"/>
      <c r="J260" s="728"/>
      <c r="K260" s="729"/>
      <c r="L260" s="746">
        <f t="shared" si="64"/>
        <v>4407.9780000000037</v>
      </c>
      <c r="M260" s="770"/>
      <c r="N260" s="554"/>
      <c r="O260" s="729"/>
      <c r="P260" s="728"/>
      <c r="Q260" s="729"/>
      <c r="R260" s="728"/>
      <c r="S260" s="730"/>
      <c r="T260" s="728"/>
      <c r="U260" s="776"/>
      <c r="V260" s="746">
        <f t="shared" si="68"/>
        <v>0</v>
      </c>
      <c r="W260" s="963">
        <v>51196</v>
      </c>
    </row>
    <row r="261" spans="4:23">
      <c r="D261" s="9" t="b">
        <f t="shared" si="65"/>
        <v>0</v>
      </c>
      <c r="E261" s="9">
        <f t="shared" si="66"/>
        <v>0</v>
      </c>
      <c r="G261" s="957">
        <v>51227</v>
      </c>
      <c r="H261" s="554">
        <f t="shared" si="67"/>
        <v>3778.2670000000035</v>
      </c>
      <c r="I261" s="729"/>
      <c r="J261" s="728"/>
      <c r="K261" s="729"/>
      <c r="L261" s="746">
        <f t="shared" si="64"/>
        <v>3778.2670000000035</v>
      </c>
      <c r="M261" s="770"/>
      <c r="N261" s="554"/>
      <c r="O261" s="729"/>
      <c r="P261" s="728"/>
      <c r="Q261" s="729"/>
      <c r="R261" s="728"/>
      <c r="S261" s="730"/>
      <c r="T261" s="728"/>
      <c r="U261" s="776"/>
      <c r="V261" s="746">
        <f t="shared" si="68"/>
        <v>0</v>
      </c>
      <c r="W261" s="963">
        <v>51227</v>
      </c>
    </row>
    <row r="262" spans="4:23">
      <c r="D262" s="9" t="b">
        <f t="shared" si="65"/>
        <v>0</v>
      </c>
      <c r="E262" s="9">
        <f t="shared" si="66"/>
        <v>0</v>
      </c>
      <c r="G262" s="957">
        <v>51257</v>
      </c>
      <c r="H262" s="554">
        <f t="shared" si="67"/>
        <v>3148.5560000000032</v>
      </c>
      <c r="I262" s="729"/>
      <c r="J262" s="728"/>
      <c r="K262" s="729"/>
      <c r="L262" s="746">
        <f t="shared" si="64"/>
        <v>3148.5560000000032</v>
      </c>
      <c r="M262" s="770"/>
      <c r="N262" s="554"/>
      <c r="O262" s="729"/>
      <c r="P262" s="728"/>
      <c r="Q262" s="729"/>
      <c r="R262" s="728"/>
      <c r="S262" s="730"/>
      <c r="T262" s="728"/>
      <c r="U262" s="776"/>
      <c r="V262" s="746">
        <f t="shared" si="68"/>
        <v>0</v>
      </c>
      <c r="W262" s="963">
        <v>51257</v>
      </c>
    </row>
    <row r="263" spans="4:23">
      <c r="D263" s="9" t="b">
        <f t="shared" si="65"/>
        <v>0</v>
      </c>
      <c r="E263" s="9">
        <f t="shared" si="66"/>
        <v>0</v>
      </c>
      <c r="G263" s="957">
        <v>51288</v>
      </c>
      <c r="H263" s="554">
        <f t="shared" si="67"/>
        <v>2518.845000000003</v>
      </c>
      <c r="I263" s="729"/>
      <c r="J263" s="728"/>
      <c r="K263" s="729"/>
      <c r="L263" s="746">
        <f t="shared" si="64"/>
        <v>2518.845000000003</v>
      </c>
      <c r="M263" s="770"/>
      <c r="N263" s="554"/>
      <c r="O263" s="729"/>
      <c r="P263" s="728"/>
      <c r="Q263" s="729"/>
      <c r="R263" s="728"/>
      <c r="S263" s="730"/>
      <c r="T263" s="728"/>
      <c r="U263" s="776"/>
      <c r="V263" s="746">
        <f t="shared" si="68"/>
        <v>0</v>
      </c>
      <c r="W263" s="963">
        <v>51288</v>
      </c>
    </row>
    <row r="264" spans="4:23">
      <c r="D264" s="9" t="b">
        <f t="shared" si="65"/>
        <v>0</v>
      </c>
      <c r="E264" s="9">
        <f t="shared" si="66"/>
        <v>0</v>
      </c>
      <c r="G264" s="957">
        <v>51318</v>
      </c>
      <c r="H264" s="554">
        <f t="shared" si="67"/>
        <v>1889.134000000003</v>
      </c>
      <c r="I264" s="729"/>
      <c r="J264" s="728"/>
      <c r="K264" s="729"/>
      <c r="L264" s="746">
        <f t="shared" si="64"/>
        <v>1889.134000000003</v>
      </c>
      <c r="M264" s="770"/>
      <c r="N264" s="554"/>
      <c r="O264" s="729"/>
      <c r="P264" s="728"/>
      <c r="Q264" s="729"/>
      <c r="R264" s="728"/>
      <c r="S264" s="730"/>
      <c r="T264" s="728"/>
      <c r="U264" s="776"/>
      <c r="V264" s="746">
        <f t="shared" si="68"/>
        <v>0</v>
      </c>
      <c r="W264" s="963">
        <v>51318</v>
      </c>
    </row>
    <row r="265" spans="4:23">
      <c r="D265" s="9" t="b">
        <f t="shared" si="65"/>
        <v>0</v>
      </c>
      <c r="E265" s="9">
        <f t="shared" si="66"/>
        <v>0</v>
      </c>
      <c r="G265" s="957">
        <v>51349</v>
      </c>
      <c r="H265" s="554">
        <f t="shared" si="67"/>
        <v>1259.423000000003</v>
      </c>
      <c r="I265" s="729"/>
      <c r="J265" s="728"/>
      <c r="K265" s="729"/>
      <c r="L265" s="746">
        <f t="shared" si="64"/>
        <v>1259.423000000003</v>
      </c>
      <c r="M265" s="770"/>
      <c r="N265" s="554"/>
      <c r="O265" s="729"/>
      <c r="P265" s="728"/>
      <c r="Q265" s="729"/>
      <c r="R265" s="728"/>
      <c r="S265" s="730"/>
      <c r="T265" s="728"/>
      <c r="U265" s="776"/>
      <c r="V265" s="746">
        <f t="shared" si="68"/>
        <v>0</v>
      </c>
      <c r="W265" s="963">
        <v>51349</v>
      </c>
    </row>
    <row r="266" spans="4:23">
      <c r="D266" s="9" t="b">
        <f t="shared" si="65"/>
        <v>0</v>
      </c>
      <c r="E266" s="9">
        <f t="shared" si="66"/>
        <v>0</v>
      </c>
      <c r="G266" s="957">
        <v>51380</v>
      </c>
      <c r="H266" s="554">
        <f t="shared" si="67"/>
        <v>629.71200000000294</v>
      </c>
      <c r="I266" s="729"/>
      <c r="J266" s="728"/>
      <c r="K266" s="729"/>
      <c r="L266" s="746">
        <f t="shared" si="64"/>
        <v>629.71200000000294</v>
      </c>
      <c r="M266" s="770"/>
      <c r="N266" s="554"/>
      <c r="O266" s="729"/>
      <c r="P266" s="728"/>
      <c r="Q266" s="729"/>
      <c r="R266" s="728"/>
      <c r="S266" s="730"/>
      <c r="T266" s="728"/>
      <c r="U266" s="776"/>
      <c r="V266" s="746">
        <f t="shared" si="68"/>
        <v>0</v>
      </c>
      <c r="W266" s="963">
        <v>51380</v>
      </c>
    </row>
    <row r="267" spans="4:23">
      <c r="D267" s="9" t="b">
        <f t="shared" si="65"/>
        <v>0</v>
      </c>
      <c r="E267" s="9">
        <f t="shared" si="66"/>
        <v>0</v>
      </c>
      <c r="G267" s="957">
        <v>51410</v>
      </c>
      <c r="H267" s="554">
        <f t="shared" si="67"/>
        <v>1.0000000029322109E-3</v>
      </c>
      <c r="I267" s="729"/>
      <c r="J267" s="728"/>
      <c r="K267" s="729"/>
      <c r="L267" s="746">
        <f t="shared" si="64"/>
        <v>1.0000000029322109E-3</v>
      </c>
      <c r="M267" s="770"/>
      <c r="N267" s="554"/>
      <c r="O267" s="729"/>
      <c r="P267" s="728"/>
      <c r="Q267" s="729"/>
      <c r="R267" s="728"/>
      <c r="S267" s="730"/>
      <c r="T267" s="728"/>
      <c r="U267" s="776"/>
      <c r="V267" s="746">
        <f t="shared" si="68"/>
        <v>0</v>
      </c>
      <c r="W267" s="963">
        <v>51410</v>
      </c>
    </row>
  </sheetData>
  <mergeCells count="5">
    <mergeCell ref="W2:X2"/>
    <mergeCell ref="H27:K27"/>
    <mergeCell ref="L4:L6"/>
    <mergeCell ref="N27:U27"/>
    <mergeCell ref="V4:V6"/>
  </mergeCells>
  <phoneticPr fontId="2" type="noConversion"/>
  <conditionalFormatting sqref="G28:G267">
    <cfRule type="cellIs" dxfId="141" priority="4" operator="equal">
      <formula>$B$2</formula>
    </cfRule>
  </conditionalFormatting>
  <conditionalFormatting sqref="G28:V267">
    <cfRule type="expression" dxfId="140" priority="3">
      <formula>$D28=TRUE</formula>
    </cfRule>
  </conditionalFormatting>
  <conditionalFormatting sqref="W28:W267">
    <cfRule type="cellIs" dxfId="139" priority="2" operator="equal">
      <formula>$B$2</formula>
    </cfRule>
  </conditionalFormatting>
  <conditionalFormatting sqref="W28:W267">
    <cfRule type="expression" dxfId="138" priority="1">
      <formula>$D28=TRUE</formula>
    </cfRule>
  </conditionalFormatting>
  <pageMargins left="0.7" right="0.7" top="0.75" bottom="0.75" header="0.3" footer="0.3"/>
  <pageSetup paperSize="9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E968-EEC0-40E7-87D9-CE9A65B46931}">
  <sheetPr codeName="Foglio20"/>
  <dimension ref="A1:D46"/>
  <sheetViews>
    <sheetView workbookViewId="0">
      <selection activeCell="K42" sqref="K42"/>
    </sheetView>
  </sheetViews>
  <sheetFormatPr defaultRowHeight="15"/>
  <cols>
    <col min="1" max="1" width="38.140625" customWidth="1"/>
    <col min="2" max="4" width="22.85546875" customWidth="1"/>
  </cols>
  <sheetData>
    <row r="1" spans="1:4" ht="18.75">
      <c r="A1" s="1318" t="s">
        <v>844</v>
      </c>
      <c r="B1" s="1365">
        <f ca="1">DATE(YEAR(TODAY()),MONTH(TODAY())+1,1)</f>
        <v>46327</v>
      </c>
    </row>
    <row r="3" spans="1:4">
      <c r="A3" s="1359" t="s">
        <v>845</v>
      </c>
      <c r="B3" s="1365"/>
    </row>
    <row r="5" spans="1:4">
      <c r="A5" s="1367" t="s">
        <v>846</v>
      </c>
    </row>
    <row r="7" spans="1:4">
      <c r="A7" s="1368" t="s">
        <v>847</v>
      </c>
      <c r="B7" s="1368" t="s">
        <v>848</v>
      </c>
      <c r="C7" s="1368" t="s">
        <v>842</v>
      </c>
      <c r="D7" s="1368" t="s">
        <v>849</v>
      </c>
    </row>
    <row r="8" spans="1:4">
      <c r="A8" t="s">
        <v>850</v>
      </c>
      <c r="B8" s="1315">
        <f>3392.2*3</f>
        <v>10176.599999999999</v>
      </c>
      <c r="C8" s="1315">
        <f ca="1">VLOOKUP(B1,'Gestione finanziamenti'!G28:L267,4,FALSE)</f>
        <v>11712.25</v>
      </c>
      <c r="D8" s="1315">
        <f ca="1">C8-B8</f>
        <v>1535.6500000000015</v>
      </c>
    </row>
    <row r="9" spans="1:4">
      <c r="A9" t="s">
        <v>851</v>
      </c>
      <c r="B9" s="1315">
        <f>B8/2</f>
        <v>5088.2999999999993</v>
      </c>
    </row>
    <row r="11" spans="1:4">
      <c r="A11" s="1368" t="s">
        <v>852</v>
      </c>
      <c r="B11" s="1368" t="s">
        <v>848</v>
      </c>
      <c r="C11" s="1368" t="s">
        <v>842</v>
      </c>
      <c r="D11" s="1368" t="s">
        <v>849</v>
      </c>
    </row>
    <row r="12" spans="1:4">
      <c r="A12" t="s">
        <v>850</v>
      </c>
      <c r="B12" s="1315">
        <v>3425.8</v>
      </c>
      <c r="C12" s="1315">
        <f ca="1">VLOOKUP(B1,'Gestione finanziamenti'!G28:L267,5,FALSE)</f>
        <v>3261.55</v>
      </c>
      <c r="D12" s="1315">
        <f ca="1">C12-B12</f>
        <v>-164.25</v>
      </c>
    </row>
    <row r="14" spans="1:4">
      <c r="A14" s="1319" t="s">
        <v>79</v>
      </c>
      <c r="B14" s="1320">
        <f>B8+B12</f>
        <v>13602.399999999998</v>
      </c>
      <c r="C14" s="1320">
        <f ca="1">C8+C12</f>
        <v>14973.8</v>
      </c>
      <c r="D14" s="1320">
        <f ca="1">D8+D12</f>
        <v>1371.4000000000015</v>
      </c>
    </row>
    <row r="17" spans="1:4">
      <c r="A17" s="1477" t="s">
        <v>853</v>
      </c>
      <c r="B17" s="1478"/>
      <c r="C17" s="1478"/>
      <c r="D17" s="1478"/>
    </row>
    <row r="19" spans="1:4">
      <c r="A19" s="1368"/>
      <c r="B19" s="1360" t="s">
        <v>854</v>
      </c>
      <c r="C19" s="1360" t="s">
        <v>855</v>
      </c>
      <c r="D19" s="1360" t="s">
        <v>856</v>
      </c>
    </row>
    <row r="20" spans="1:4">
      <c r="A20" t="s">
        <v>857</v>
      </c>
      <c r="B20" s="1315">
        <v>6000</v>
      </c>
      <c r="C20" s="1315">
        <v>5000</v>
      </c>
      <c r="D20" s="1315">
        <v>7000</v>
      </c>
    </row>
    <row r="21" spans="1:4">
      <c r="A21" t="s">
        <v>858</v>
      </c>
      <c r="B21" s="1315">
        <f>$B$8-B20</f>
        <v>4176.5999999999985</v>
      </c>
      <c r="C21" s="1315">
        <f>$B$8-C20</f>
        <v>5176.5999999999985</v>
      </c>
      <c r="D21" s="1315">
        <f>$B$8-D20</f>
        <v>3176.5999999999985</v>
      </c>
    </row>
    <row r="22" spans="1:4">
      <c r="A22" t="s">
        <v>859</v>
      </c>
      <c r="B22" s="1315">
        <v>107.91</v>
      </c>
      <c r="C22" s="1315">
        <v>85.07</v>
      </c>
      <c r="D22" s="1315">
        <v>125.9</v>
      </c>
    </row>
    <row r="23" spans="1:4">
      <c r="A23" t="s">
        <v>860</v>
      </c>
      <c r="B23">
        <v>72</v>
      </c>
      <c r="C23">
        <v>72</v>
      </c>
      <c r="D23">
        <v>72</v>
      </c>
    </row>
    <row r="24" spans="1:4">
      <c r="A24" t="s">
        <v>861</v>
      </c>
      <c r="B24">
        <f>B23/12</f>
        <v>6</v>
      </c>
      <c r="C24">
        <f>C23/12</f>
        <v>6</v>
      </c>
      <c r="D24">
        <f>D23/12</f>
        <v>6</v>
      </c>
    </row>
    <row r="25" spans="1:4">
      <c r="A25" t="s">
        <v>862</v>
      </c>
      <c r="B25" s="1315">
        <f>B22*B23</f>
        <v>7769.5199999999995</v>
      </c>
      <c r="C25" s="1315">
        <f>C22*C23</f>
        <v>6125.0399999999991</v>
      </c>
      <c r="D25" s="1315">
        <f>D22*D23</f>
        <v>9064.8000000000011</v>
      </c>
    </row>
    <row r="26" spans="1:4">
      <c r="A26" t="s">
        <v>863</v>
      </c>
      <c r="B26" s="1315">
        <f ca="1">$D$8-(B25-B20)</f>
        <v>-233.86999999999807</v>
      </c>
      <c r="C26" s="1315">
        <f ca="1">$D$8-(C25-C20)</f>
        <v>410.6100000000024</v>
      </c>
      <c r="D26" s="1315">
        <f ca="1">$D$8-(D25-D20)</f>
        <v>-529.14999999999964</v>
      </c>
    </row>
    <row r="28" spans="1:4">
      <c r="A28" t="s">
        <v>864</v>
      </c>
      <c r="B28" s="1315">
        <f>'SPESE MENSILI MACCHINA'!$O$59-B22</f>
        <v>80.34</v>
      </c>
      <c r="C28" s="1315">
        <f>'SPESE MENSILI MACCHINA'!$O$59-C22</f>
        <v>103.18</v>
      </c>
      <c r="D28" s="1315">
        <f>'SPESE MENSILI MACCHINA'!$O$59-D22</f>
        <v>62.349999999999994</v>
      </c>
    </row>
    <row r="29" spans="1:4">
      <c r="A29" t="s">
        <v>865</v>
      </c>
      <c r="B29">
        <f>MROUND(B21/B28,1)</f>
        <v>52</v>
      </c>
      <c r="C29">
        <f>MROUND(C21/C28,1)</f>
        <v>50</v>
      </c>
      <c r="D29">
        <f>MROUND(D21/D28,1)</f>
        <v>51</v>
      </c>
    </row>
    <row r="30" spans="1:4">
      <c r="A30" t="s">
        <v>866</v>
      </c>
      <c r="B30" s="4">
        <f>B29/12</f>
        <v>4.333333333333333</v>
      </c>
      <c r="C30" s="4">
        <f>C29/12</f>
        <v>4.166666666666667</v>
      </c>
      <c r="D30" s="4">
        <f>D29/12</f>
        <v>4.25</v>
      </c>
    </row>
    <row r="33" spans="1:4">
      <c r="A33" s="1477" t="s">
        <v>867</v>
      </c>
      <c r="B33" s="1478"/>
      <c r="C33" s="1478"/>
      <c r="D33" s="1478"/>
    </row>
    <row r="35" spans="1:4">
      <c r="A35" s="1368"/>
      <c r="B35" s="1360" t="s">
        <v>854</v>
      </c>
      <c r="C35" s="1360" t="s">
        <v>855</v>
      </c>
      <c r="D35" s="1360" t="s">
        <v>856</v>
      </c>
    </row>
    <row r="36" spans="1:4">
      <c r="A36" t="s">
        <v>857</v>
      </c>
      <c r="B36" s="1315">
        <f>6000</f>
        <v>6000</v>
      </c>
      <c r="C36" s="1315">
        <f>C20+$B$12</f>
        <v>8425.7999999999993</v>
      </c>
      <c r="D36" s="1315">
        <v>8750</v>
      </c>
    </row>
    <row r="37" spans="1:4">
      <c r="A37" t="s">
        <v>858</v>
      </c>
      <c r="B37" s="1315">
        <f>($B$8+$B$12)-B36</f>
        <v>7602.3999999999978</v>
      </c>
      <c r="C37" s="1315">
        <f>($B$8+$B$12)-C36</f>
        <v>5176.5999999999985</v>
      </c>
      <c r="D37" s="1315">
        <f>($B$8+$B$12)-D36</f>
        <v>4852.3999999999978</v>
      </c>
    </row>
    <row r="38" spans="1:4">
      <c r="A38" t="s">
        <v>859</v>
      </c>
      <c r="B38" s="1315">
        <v>107.91</v>
      </c>
      <c r="C38" s="1315">
        <v>132.19</v>
      </c>
      <c r="D38" s="1315">
        <v>157.68</v>
      </c>
    </row>
    <row r="39" spans="1:4">
      <c r="A39" t="s">
        <v>860</v>
      </c>
      <c r="B39">
        <v>72</v>
      </c>
      <c r="C39">
        <v>72</v>
      </c>
      <c r="D39">
        <v>72</v>
      </c>
    </row>
    <row r="40" spans="1:4">
      <c r="A40" t="s">
        <v>861</v>
      </c>
      <c r="B40">
        <f>B39/12</f>
        <v>6</v>
      </c>
      <c r="C40">
        <f>C39/12</f>
        <v>6</v>
      </c>
      <c r="D40">
        <f>D39/12</f>
        <v>6</v>
      </c>
    </row>
    <row r="41" spans="1:4">
      <c r="A41" t="s">
        <v>862</v>
      </c>
      <c r="B41" s="1315">
        <f>B38*B39</f>
        <v>7769.5199999999995</v>
      </c>
      <c r="C41" s="1315">
        <f>C38*C39</f>
        <v>9517.68</v>
      </c>
      <c r="D41" s="1315">
        <f>D38*D39</f>
        <v>11352.960000000001</v>
      </c>
    </row>
    <row r="42" spans="1:4">
      <c r="A42" t="s">
        <v>863</v>
      </c>
      <c r="B42" s="1315">
        <f ca="1">$D$14-(B41-B36)</f>
        <v>-398.11999999999807</v>
      </c>
      <c r="C42" s="1315">
        <f ca="1">$D$14-(C41-C36)</f>
        <v>279.52000000000044</v>
      </c>
      <c r="D42" s="1315">
        <f ca="1">$D$14-(D41-D36)</f>
        <v>-1231.5599999999995</v>
      </c>
    </row>
    <row r="44" spans="1:4">
      <c r="A44" t="s">
        <v>864</v>
      </c>
      <c r="B44" s="1315">
        <f>'SPESE MENSILI MACCHINA'!$O$59+'SPESE MENSILI MACCHINA'!$N$75-B38</f>
        <v>163.34</v>
      </c>
      <c r="C44" s="1315">
        <f>'SPESE MENSILI MACCHINA'!$O$59+'SPESE MENSILI MACCHINA'!$N$75-C38</f>
        <v>139.06</v>
      </c>
      <c r="D44" s="1315">
        <f>'SPESE MENSILI MACCHINA'!$O$59+'SPESE MENSILI MACCHINA'!$N$75-D38</f>
        <v>113.57</v>
      </c>
    </row>
    <row r="45" spans="1:4">
      <c r="A45" t="s">
        <v>865</v>
      </c>
      <c r="B45">
        <f>MROUND(B37/B44,1)</f>
        <v>47</v>
      </c>
      <c r="C45">
        <f>MROUND(C37/C44,1)</f>
        <v>37</v>
      </c>
      <c r="D45">
        <f>MROUND(D37/D44,1)</f>
        <v>43</v>
      </c>
    </row>
    <row r="46" spans="1:4">
      <c r="A46" t="s">
        <v>866</v>
      </c>
      <c r="B46" s="1364">
        <f>B45/12</f>
        <v>3.9166666666666665</v>
      </c>
      <c r="C46" s="1364">
        <f>C45/12</f>
        <v>3.0833333333333335</v>
      </c>
      <c r="D46" s="1364">
        <f>D45/12</f>
        <v>3.5833333333333335</v>
      </c>
    </row>
  </sheetData>
  <mergeCells count="2">
    <mergeCell ref="A17:D17"/>
    <mergeCell ref="A33:D33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F446-D3EB-489D-9536-54DE3C6D3C63}">
  <sheetPr codeName="Foglio7">
    <tabColor theme="9" tint="0.79998168889431442"/>
  </sheetPr>
  <dimension ref="A2:EA113"/>
  <sheetViews>
    <sheetView showGridLines="0" zoomScale="90" zoomScaleNormal="90" workbookViewId="0">
      <pane xSplit="11" topLeftCell="BN1" activePane="topRight" state="frozen"/>
      <selection activeCell="A25" sqref="A25"/>
      <selection pane="topRight" activeCell="B55" sqref="B55"/>
    </sheetView>
  </sheetViews>
  <sheetFormatPr defaultColWidth="9.140625" defaultRowHeight="15" outlineLevelCol="1"/>
  <cols>
    <col min="1" max="1" width="2.140625" style="9" customWidth="1"/>
    <col min="2" max="2" width="29.42578125" style="9" bestFit="1" customWidth="1"/>
    <col min="3" max="3" width="29.5703125" style="9" customWidth="1"/>
    <col min="4" max="6" width="11.5703125" style="9" hidden="1" customWidth="1" outlineLevel="1"/>
    <col min="7" max="7" width="11.5703125" style="9" customWidth="1" collapsed="1"/>
    <col min="8" max="8" width="13.140625" style="9" customWidth="1"/>
    <col min="9" max="9" width="12.42578125" style="9" bestFit="1" customWidth="1"/>
    <col min="10" max="10" width="11.5703125" style="9" customWidth="1"/>
    <col min="11" max="11" width="7.42578125" style="9" bestFit="1" customWidth="1"/>
    <col min="12" max="12" width="15.7109375" style="9" customWidth="1" outlineLevel="1"/>
    <col min="13" max="13" width="16.140625" style="9" customWidth="1" outlineLevel="1"/>
    <col min="14" max="15" width="13.7109375" style="9" customWidth="1" outlineLevel="1"/>
    <col min="16" max="53" width="13.5703125" style="9" customWidth="1" outlineLevel="1"/>
    <col min="54" max="55" width="11.85546875" style="9" customWidth="1" outlineLevel="1"/>
    <col min="56" max="70" width="13.5703125" style="9" customWidth="1" outlineLevel="1"/>
    <col min="71" max="73" width="13.5703125" style="9" customWidth="1"/>
    <col min="74" max="74" width="13.140625" style="9" bestFit="1" customWidth="1"/>
    <col min="75" max="75" width="13.85546875" style="9" bestFit="1" customWidth="1"/>
    <col min="76" max="78" width="11.85546875" style="9" bestFit="1" customWidth="1"/>
    <col min="79" max="80" width="7.7109375" style="9" bestFit="1" customWidth="1"/>
    <col min="81" max="81" width="11.85546875" style="9" bestFit="1" customWidth="1"/>
    <col min="82" max="82" width="7.7109375" style="9" bestFit="1" customWidth="1"/>
    <col min="83" max="83" width="7" style="9" bestFit="1" customWidth="1"/>
    <col min="84" max="84" width="8.85546875" style="9" bestFit="1" customWidth="1"/>
    <col min="85" max="85" width="9.7109375" style="9" bestFit="1" customWidth="1"/>
    <col min="86" max="86" width="8.85546875" style="9" bestFit="1" customWidth="1"/>
    <col min="87" max="87" width="7.5703125" style="9" bestFit="1" customWidth="1"/>
    <col min="88" max="88" width="7.85546875" style="9" bestFit="1" customWidth="1"/>
    <col min="89" max="89" width="11.85546875" style="9" bestFit="1" customWidth="1"/>
    <col min="90" max="90" width="11.85546875" style="9" customWidth="1"/>
    <col min="91" max="123" width="11.85546875" style="9" bestFit="1" customWidth="1"/>
    <col min="124" max="16384" width="9.140625" style="9"/>
  </cols>
  <sheetData>
    <row r="2" spans="1:123" hidden="1">
      <c r="M2" s="9" t="b">
        <f>IF($B$3=M6,TRUE,FALSE)</f>
        <v>0</v>
      </c>
      <c r="N2" s="9" t="b">
        <f t="shared" ref="N2:BY2" si="0">IF($B$3=N6,TRUE,FALSE)</f>
        <v>0</v>
      </c>
      <c r="O2" s="9" t="b">
        <f t="shared" si="0"/>
        <v>0</v>
      </c>
      <c r="P2" s="9" t="b">
        <f t="shared" si="0"/>
        <v>0</v>
      </c>
      <c r="Q2" s="9" t="b">
        <f t="shared" si="0"/>
        <v>0</v>
      </c>
      <c r="R2" s="9" t="b">
        <f t="shared" si="0"/>
        <v>0</v>
      </c>
      <c r="S2" s="9" t="b">
        <f t="shared" si="0"/>
        <v>0</v>
      </c>
      <c r="T2" s="9" t="b">
        <f t="shared" si="0"/>
        <v>0</v>
      </c>
      <c r="U2" s="9" t="b">
        <f t="shared" si="0"/>
        <v>0</v>
      </c>
      <c r="V2" s="9" t="b">
        <f t="shared" si="0"/>
        <v>0</v>
      </c>
      <c r="W2" s="9" t="b">
        <f t="shared" si="0"/>
        <v>0</v>
      </c>
      <c r="X2" s="9" t="b">
        <f t="shared" si="0"/>
        <v>0</v>
      </c>
      <c r="Y2" s="9" t="b">
        <f t="shared" si="0"/>
        <v>0</v>
      </c>
      <c r="Z2" s="9" t="b">
        <f t="shared" si="0"/>
        <v>0</v>
      </c>
      <c r="AA2" s="9" t="b">
        <f t="shared" si="0"/>
        <v>0</v>
      </c>
      <c r="AB2" s="9" t="b">
        <f t="shared" si="0"/>
        <v>0</v>
      </c>
      <c r="AC2" s="9" t="b">
        <f t="shared" si="0"/>
        <v>0</v>
      </c>
      <c r="AD2" s="9" t="b">
        <f t="shared" si="0"/>
        <v>0</v>
      </c>
      <c r="AE2" s="9" t="b">
        <f t="shared" si="0"/>
        <v>0</v>
      </c>
      <c r="AF2" s="9" t="b">
        <f t="shared" si="0"/>
        <v>0</v>
      </c>
      <c r="AG2" s="9" t="b">
        <f t="shared" si="0"/>
        <v>0</v>
      </c>
      <c r="AH2" s="9" t="b">
        <f t="shared" si="0"/>
        <v>0</v>
      </c>
      <c r="AI2" s="9" t="b">
        <f t="shared" si="0"/>
        <v>0</v>
      </c>
      <c r="AJ2" s="9" t="b">
        <f t="shared" si="0"/>
        <v>0</v>
      </c>
      <c r="AK2" s="9" t="b">
        <f t="shared" si="0"/>
        <v>0</v>
      </c>
      <c r="AL2" s="9" t="b">
        <f t="shared" si="0"/>
        <v>0</v>
      </c>
      <c r="AM2" s="9" t="b">
        <f t="shared" si="0"/>
        <v>0</v>
      </c>
      <c r="AN2" s="9" t="b">
        <f t="shared" si="0"/>
        <v>0</v>
      </c>
      <c r="AO2" s="9" t="b">
        <f t="shared" si="0"/>
        <v>0</v>
      </c>
      <c r="AP2" s="9" t="b">
        <f t="shared" si="0"/>
        <v>0</v>
      </c>
      <c r="AQ2" s="9" t="b">
        <f t="shared" si="0"/>
        <v>0</v>
      </c>
      <c r="AR2" s="9" t="b">
        <f t="shared" si="0"/>
        <v>0</v>
      </c>
      <c r="AS2" s="9" t="b">
        <f t="shared" si="0"/>
        <v>0</v>
      </c>
      <c r="AT2" s="9" t="b">
        <f t="shared" si="0"/>
        <v>0</v>
      </c>
      <c r="AU2" s="9" t="b">
        <f t="shared" si="0"/>
        <v>0</v>
      </c>
      <c r="AV2" s="9" t="b">
        <f t="shared" si="0"/>
        <v>0</v>
      </c>
      <c r="AW2" s="9" t="b">
        <f t="shared" si="0"/>
        <v>0</v>
      </c>
      <c r="AX2" s="9" t="b">
        <f t="shared" si="0"/>
        <v>0</v>
      </c>
      <c r="AY2" s="9" t="b">
        <f t="shared" si="0"/>
        <v>0</v>
      </c>
      <c r="AZ2" s="9" t="b">
        <f t="shared" si="0"/>
        <v>0</v>
      </c>
      <c r="BA2" s="9" t="b">
        <f t="shared" si="0"/>
        <v>0</v>
      </c>
      <c r="BB2" s="9" t="b">
        <f t="shared" si="0"/>
        <v>0</v>
      </c>
      <c r="BC2" s="9" t="b">
        <f t="shared" si="0"/>
        <v>0</v>
      </c>
      <c r="BD2" s="9" t="b">
        <f t="shared" si="0"/>
        <v>0</v>
      </c>
      <c r="BE2" s="9" t="b">
        <f t="shared" si="0"/>
        <v>0</v>
      </c>
      <c r="BF2" s="9" t="b">
        <f t="shared" si="0"/>
        <v>0</v>
      </c>
      <c r="BG2" s="9" t="b">
        <f t="shared" si="0"/>
        <v>0</v>
      </c>
      <c r="BH2" s="9" t="b">
        <f t="shared" si="0"/>
        <v>0</v>
      </c>
      <c r="BI2" s="9" t="b">
        <f t="shared" si="0"/>
        <v>0</v>
      </c>
      <c r="BJ2" s="9" t="b">
        <f>IF($B$3=BJ6,TRUE,FALSE)</f>
        <v>0</v>
      </c>
      <c r="BK2" s="9" t="b">
        <f t="shared" si="0"/>
        <v>0</v>
      </c>
      <c r="BL2" s="9" t="b">
        <f t="shared" si="0"/>
        <v>0</v>
      </c>
      <c r="BM2" s="9" t="b">
        <f t="shared" si="0"/>
        <v>0</v>
      </c>
      <c r="BN2" s="9" t="b">
        <f t="shared" si="0"/>
        <v>0</v>
      </c>
      <c r="BO2" s="9" t="b">
        <f t="shared" si="0"/>
        <v>0</v>
      </c>
      <c r="BP2" s="9" t="b">
        <f t="shared" si="0"/>
        <v>0</v>
      </c>
      <c r="BQ2" s="9" t="b">
        <f t="shared" si="0"/>
        <v>0</v>
      </c>
      <c r="BR2" s="9" t="b">
        <f t="shared" si="0"/>
        <v>0</v>
      </c>
      <c r="BS2" s="9" t="b">
        <f t="shared" si="0"/>
        <v>0</v>
      </c>
      <c r="BT2" s="9" t="b">
        <f t="shared" si="0"/>
        <v>0</v>
      </c>
      <c r="BU2" s="9" t="b">
        <f t="shared" si="0"/>
        <v>0</v>
      </c>
      <c r="BV2" s="9" t="b">
        <f t="shared" si="0"/>
        <v>0</v>
      </c>
      <c r="BW2" s="9" t="b">
        <f t="shared" si="0"/>
        <v>0</v>
      </c>
      <c r="BX2" s="9" t="b">
        <f t="shared" si="0"/>
        <v>0</v>
      </c>
      <c r="BY2" s="9" t="b">
        <f t="shared" si="0"/>
        <v>0</v>
      </c>
      <c r="BZ2" s="9" t="b">
        <f t="shared" ref="BZ2:DS2" si="1">IF($B$3=BZ6,TRUE,FALSE)</f>
        <v>1</v>
      </c>
      <c r="CB2" s="9" t="b">
        <f>IF($B$3=CA6,TRUE,FALSE)</f>
        <v>0</v>
      </c>
      <c r="CC2" s="9" t="b">
        <f t="shared" si="1"/>
        <v>0</v>
      </c>
      <c r="CD2" s="9" t="b">
        <f t="shared" si="1"/>
        <v>0</v>
      </c>
      <c r="CF2" s="9" t="b">
        <f t="shared" ref="CF2" si="2">IF($B$3=CF6,TRUE,FALSE)</f>
        <v>0</v>
      </c>
      <c r="CG2" s="9" t="b">
        <f t="shared" si="1"/>
        <v>0</v>
      </c>
      <c r="CH2" s="9" t="b">
        <f t="shared" si="1"/>
        <v>0</v>
      </c>
      <c r="CJ2" s="9" t="b">
        <f t="shared" ref="CJ2" si="3">IF($B$3=CJ6,TRUE,FALSE)</f>
        <v>0</v>
      </c>
      <c r="CK2" s="9" t="b">
        <f t="shared" si="1"/>
        <v>0</v>
      </c>
      <c r="CM2" s="9" t="b">
        <f t="shared" si="1"/>
        <v>0</v>
      </c>
      <c r="CN2" s="9" t="b">
        <f t="shared" si="1"/>
        <v>0</v>
      </c>
      <c r="CO2" s="9" t="b">
        <f t="shared" si="1"/>
        <v>0</v>
      </c>
      <c r="CP2" s="9" t="b">
        <f t="shared" si="1"/>
        <v>0</v>
      </c>
      <c r="CQ2" s="9" t="b">
        <f t="shared" si="1"/>
        <v>0</v>
      </c>
      <c r="CR2" s="9" t="b">
        <f t="shared" si="1"/>
        <v>0</v>
      </c>
      <c r="CS2" s="9" t="b">
        <f t="shared" si="1"/>
        <v>0</v>
      </c>
      <c r="CT2" s="9" t="b">
        <f t="shared" si="1"/>
        <v>0</v>
      </c>
      <c r="CU2" s="9" t="b">
        <f t="shared" si="1"/>
        <v>0</v>
      </c>
      <c r="CV2" s="9" t="b">
        <f t="shared" si="1"/>
        <v>0</v>
      </c>
      <c r="CW2" s="9" t="b">
        <f t="shared" si="1"/>
        <v>0</v>
      </c>
      <c r="CX2" s="9" t="b">
        <f t="shared" si="1"/>
        <v>0</v>
      </c>
      <c r="CY2" s="9" t="b">
        <f t="shared" si="1"/>
        <v>0</v>
      </c>
      <c r="CZ2" s="9" t="b">
        <f t="shared" si="1"/>
        <v>0</v>
      </c>
      <c r="DA2" s="9" t="b">
        <f t="shared" si="1"/>
        <v>0</v>
      </c>
      <c r="DB2" s="9" t="b">
        <f t="shared" si="1"/>
        <v>0</v>
      </c>
      <c r="DC2" s="9" t="b">
        <f t="shared" si="1"/>
        <v>0</v>
      </c>
      <c r="DD2" s="9" t="b">
        <f t="shared" si="1"/>
        <v>0</v>
      </c>
      <c r="DE2" s="9" t="b">
        <f t="shared" si="1"/>
        <v>0</v>
      </c>
      <c r="DF2" s="9" t="b">
        <f t="shared" si="1"/>
        <v>0</v>
      </c>
      <c r="DG2" s="9" t="b">
        <f t="shared" si="1"/>
        <v>0</v>
      </c>
      <c r="DH2" s="9" t="b">
        <f t="shared" si="1"/>
        <v>0</v>
      </c>
      <c r="DI2" s="9" t="b">
        <f t="shared" si="1"/>
        <v>0</v>
      </c>
      <c r="DJ2" s="9" t="b">
        <f t="shared" si="1"/>
        <v>0</v>
      </c>
      <c r="DK2" s="9" t="b">
        <f t="shared" si="1"/>
        <v>0</v>
      </c>
      <c r="DL2" s="9" t="b">
        <f t="shared" si="1"/>
        <v>0</v>
      </c>
      <c r="DM2" s="9" t="b">
        <f t="shared" si="1"/>
        <v>0</v>
      </c>
      <c r="DN2" s="9" t="b">
        <f t="shared" si="1"/>
        <v>0</v>
      </c>
      <c r="DO2" s="9" t="b">
        <f t="shared" si="1"/>
        <v>0</v>
      </c>
      <c r="DP2" s="9" t="b">
        <f t="shared" si="1"/>
        <v>0</v>
      </c>
      <c r="DQ2" s="9" t="b">
        <f t="shared" si="1"/>
        <v>0</v>
      </c>
      <c r="DR2" s="9" t="b">
        <f t="shared" si="1"/>
        <v>0</v>
      </c>
      <c r="DS2" s="9" t="b">
        <f t="shared" si="1"/>
        <v>0</v>
      </c>
    </row>
    <row r="3" spans="1:123" ht="21">
      <c r="B3" s="12">
        <v>46174</v>
      </c>
      <c r="C3" s="140">
        <f>DATE(YEAR(B3),MONTH(B3),DAY(1))</f>
        <v>46174</v>
      </c>
      <c r="D3" s="140"/>
      <c r="E3" s="140"/>
      <c r="F3" s="140"/>
      <c r="G3" s="140"/>
      <c r="H3" s="140"/>
      <c r="I3" s="140"/>
      <c r="J3" s="140"/>
      <c r="V3" s="1482" t="s">
        <v>868</v>
      </c>
      <c r="W3" s="1483"/>
      <c r="X3" s="1483"/>
      <c r="Y3" s="1484"/>
    </row>
    <row r="4" spans="1:123" s="19" customFormat="1">
      <c r="M4" s="1479">
        <v>2021</v>
      </c>
      <c r="N4" s="1480"/>
      <c r="O4" s="1480"/>
      <c r="P4" s="1480"/>
      <c r="Q4" s="1480"/>
      <c r="R4" s="1480"/>
      <c r="S4" s="1480"/>
      <c r="T4" s="1480"/>
      <c r="U4" s="1480"/>
      <c r="V4" s="1480"/>
      <c r="W4" s="1480"/>
      <c r="X4" s="1481"/>
      <c r="Y4" s="1479">
        <v>2022</v>
      </c>
      <c r="Z4" s="1480"/>
      <c r="AA4" s="1480"/>
      <c r="AB4" s="1480"/>
      <c r="AC4" s="1480"/>
      <c r="AD4" s="1480"/>
      <c r="AE4" s="1480"/>
      <c r="AF4" s="1480"/>
      <c r="AG4" s="1480"/>
      <c r="AH4" s="1480"/>
      <c r="AI4" s="1480"/>
      <c r="AJ4" s="1481"/>
      <c r="AK4" s="1479">
        <v>2023</v>
      </c>
      <c r="AL4" s="1480"/>
      <c r="AM4" s="1480"/>
      <c r="AN4" s="1480"/>
      <c r="AO4" s="1480"/>
      <c r="AP4" s="1480"/>
      <c r="AQ4" s="1480"/>
      <c r="AR4" s="1480"/>
      <c r="AS4" s="1480"/>
      <c r="AT4" s="1480"/>
      <c r="AU4" s="1480"/>
      <c r="AV4" s="1481"/>
      <c r="AW4" s="1479">
        <v>2024</v>
      </c>
      <c r="AX4" s="1480"/>
      <c r="AY4" s="1480"/>
      <c r="AZ4" s="1480"/>
      <c r="BA4" s="1480"/>
      <c r="BB4" s="1480"/>
      <c r="BC4" s="1480"/>
      <c r="BD4" s="1480"/>
      <c r="BE4" s="1480"/>
      <c r="BF4" s="1480"/>
      <c r="BG4" s="1480"/>
      <c r="BH4" s="1481"/>
      <c r="BI4" s="1479">
        <v>2025</v>
      </c>
      <c r="BJ4" s="1480"/>
      <c r="BK4" s="1480"/>
      <c r="BL4" s="1480"/>
      <c r="BM4" s="1480"/>
      <c r="BN4" s="1480"/>
      <c r="BO4" s="1480"/>
      <c r="BP4" s="1480"/>
      <c r="BQ4" s="1480"/>
      <c r="BR4" s="1480"/>
      <c r="BS4" s="1480"/>
      <c r="BT4" s="1480"/>
      <c r="BU4" s="1485">
        <v>2026</v>
      </c>
      <c r="BV4" s="1486"/>
      <c r="BW4" s="1486"/>
      <c r="BX4" s="1486"/>
      <c r="BY4" s="1486"/>
      <c r="BZ4" s="1486"/>
      <c r="CA4" s="1486"/>
      <c r="CB4" s="1486"/>
      <c r="CC4" s="1486"/>
      <c r="CD4" s="1486"/>
      <c r="CE4" s="1486"/>
      <c r="CF4" s="1486"/>
      <c r="CG4" s="1486"/>
      <c r="CH4" s="1486"/>
      <c r="CI4" s="1486"/>
      <c r="CJ4" s="1486"/>
      <c r="CK4" s="1486"/>
      <c r="CL4" s="1487"/>
    </row>
    <row r="5" spans="1:123" ht="15" customHeight="1">
      <c r="B5" s="1489" t="s">
        <v>869</v>
      </c>
      <c r="C5" s="1489"/>
      <c r="D5" s="1371"/>
      <c r="E5" s="1371"/>
      <c r="F5" s="1371"/>
      <c r="G5" s="1371"/>
      <c r="H5" s="1371"/>
      <c r="I5" s="1371"/>
      <c r="J5" s="1371"/>
      <c r="L5" s="608"/>
      <c r="W5" s="103"/>
      <c r="Y5" s="265"/>
      <c r="AK5" s="265"/>
      <c r="AW5" s="265"/>
      <c r="BI5" s="265"/>
      <c r="BT5" s="1174"/>
      <c r="CL5" s="1449"/>
    </row>
    <row r="6" spans="1:123" s="314" customFormat="1">
      <c r="D6" s="467">
        <v>2021</v>
      </c>
      <c r="E6" s="467">
        <v>2022</v>
      </c>
      <c r="F6" s="467">
        <v>2023</v>
      </c>
      <c r="G6" s="467">
        <v>2024</v>
      </c>
      <c r="H6" s="467">
        <v>2025</v>
      </c>
      <c r="I6" s="822">
        <v>2026</v>
      </c>
      <c r="J6" s="822"/>
      <c r="L6" s="1258">
        <v>44166</v>
      </c>
      <c r="M6" s="947">
        <v>44197</v>
      </c>
      <c r="N6" s="947">
        <v>44228</v>
      </c>
      <c r="O6" s="947">
        <v>44256</v>
      </c>
      <c r="P6" s="947">
        <v>44287</v>
      </c>
      <c r="Q6" s="947">
        <v>44317</v>
      </c>
      <c r="R6" s="947">
        <v>44348</v>
      </c>
      <c r="S6" s="947">
        <v>44378</v>
      </c>
      <c r="T6" s="947">
        <v>44409</v>
      </c>
      <c r="U6" s="947">
        <v>44440</v>
      </c>
      <c r="V6" s="947">
        <v>44470</v>
      </c>
      <c r="W6" s="947">
        <v>44501</v>
      </c>
      <c r="X6" s="1259">
        <v>44531</v>
      </c>
      <c r="Y6" s="950">
        <v>44562</v>
      </c>
      <c r="Z6" s="947">
        <v>44593</v>
      </c>
      <c r="AA6" s="947">
        <v>44621</v>
      </c>
      <c r="AB6" s="947">
        <v>44652</v>
      </c>
      <c r="AC6" s="947">
        <v>44682</v>
      </c>
      <c r="AD6" s="947">
        <v>44713</v>
      </c>
      <c r="AE6" s="947">
        <v>44743</v>
      </c>
      <c r="AF6" s="947">
        <v>44774</v>
      </c>
      <c r="AG6" s="947">
        <v>44805</v>
      </c>
      <c r="AH6" s="947">
        <v>44835</v>
      </c>
      <c r="AI6" s="947">
        <v>44866</v>
      </c>
      <c r="AJ6" s="947">
        <v>44896</v>
      </c>
      <c r="AK6" s="950">
        <v>44927</v>
      </c>
      <c r="AL6" s="947">
        <v>44958</v>
      </c>
      <c r="AM6" s="947">
        <v>44986</v>
      </c>
      <c r="AN6" s="947">
        <v>45017</v>
      </c>
      <c r="AO6" s="947">
        <v>45047</v>
      </c>
      <c r="AP6" s="947">
        <v>45078</v>
      </c>
      <c r="AQ6" s="947">
        <v>45108</v>
      </c>
      <c r="AR6" s="947">
        <v>45139</v>
      </c>
      <c r="AS6" s="947">
        <v>45170</v>
      </c>
      <c r="AT6" s="947">
        <v>45200</v>
      </c>
      <c r="AU6" s="947">
        <v>45231</v>
      </c>
      <c r="AV6" s="947">
        <v>45261</v>
      </c>
      <c r="AW6" s="950">
        <v>45292</v>
      </c>
      <c r="AX6" s="947">
        <v>45323</v>
      </c>
      <c r="AY6" s="947">
        <v>45352</v>
      </c>
      <c r="AZ6" s="947">
        <v>45383</v>
      </c>
      <c r="BA6" s="947">
        <v>45413</v>
      </c>
      <c r="BB6" s="947">
        <v>45444</v>
      </c>
      <c r="BC6" s="947">
        <v>45474</v>
      </c>
      <c r="BD6" s="947">
        <v>45505</v>
      </c>
      <c r="BE6" s="947">
        <v>45536</v>
      </c>
      <c r="BF6" s="947">
        <v>45566</v>
      </c>
      <c r="BG6" s="947">
        <v>45597</v>
      </c>
      <c r="BH6" s="947">
        <v>45627</v>
      </c>
      <c r="BI6" s="950">
        <v>45658</v>
      </c>
      <c r="BJ6" s="947">
        <v>45689</v>
      </c>
      <c r="BK6" s="951">
        <v>45717</v>
      </c>
      <c r="BL6" s="951">
        <v>45748</v>
      </c>
      <c r="BM6" s="947">
        <v>45778</v>
      </c>
      <c r="BN6" s="947">
        <v>45809</v>
      </c>
      <c r="BO6" s="947">
        <v>45839</v>
      </c>
      <c r="BP6" s="947">
        <v>45870</v>
      </c>
      <c r="BQ6" s="947">
        <v>45901</v>
      </c>
      <c r="BR6" s="947">
        <v>45931</v>
      </c>
      <c r="BS6" s="947">
        <v>45962</v>
      </c>
      <c r="BT6" s="1450">
        <v>45992</v>
      </c>
      <c r="BU6" s="949">
        <v>46023</v>
      </c>
      <c r="BV6" s="947">
        <v>46054</v>
      </c>
      <c r="BW6" s="949">
        <v>46082</v>
      </c>
      <c r="BX6" s="947">
        <v>46113</v>
      </c>
      <c r="BY6" s="949">
        <v>46143</v>
      </c>
      <c r="BZ6" s="1256">
        <v>46174</v>
      </c>
      <c r="CA6" s="949">
        <v>46204</v>
      </c>
      <c r="CC6" s="947">
        <v>46235</v>
      </c>
      <c r="CD6" s="949"/>
      <c r="CE6" s="949">
        <v>46266</v>
      </c>
      <c r="CF6" s="949"/>
      <c r="CG6" s="947">
        <v>46296</v>
      </c>
      <c r="CH6" s="949"/>
      <c r="CI6" s="949">
        <v>46327</v>
      </c>
      <c r="CJ6" s="949"/>
      <c r="CK6" s="949">
        <v>46357</v>
      </c>
      <c r="CL6" s="1450"/>
      <c r="CM6" s="949">
        <v>46388</v>
      </c>
      <c r="CN6" s="947">
        <v>46419</v>
      </c>
      <c r="CO6" s="949">
        <v>46447</v>
      </c>
      <c r="CP6" s="947">
        <v>46478</v>
      </c>
      <c r="CQ6" s="949">
        <v>46508</v>
      </c>
      <c r="CR6" s="947">
        <v>46539</v>
      </c>
      <c r="CS6" s="949">
        <v>46569</v>
      </c>
      <c r="CT6" s="947">
        <v>46600</v>
      </c>
      <c r="CU6" s="949">
        <v>46631</v>
      </c>
      <c r="CV6" s="947">
        <v>46661</v>
      </c>
      <c r="CW6" s="949">
        <v>46692</v>
      </c>
      <c r="CX6" s="947">
        <v>46722</v>
      </c>
      <c r="CY6" s="949">
        <v>46753</v>
      </c>
      <c r="CZ6" s="947">
        <v>46784</v>
      </c>
      <c r="DA6" s="949">
        <v>46813</v>
      </c>
      <c r="DB6" s="947">
        <v>46844</v>
      </c>
      <c r="DC6" s="949">
        <v>46874</v>
      </c>
      <c r="DD6" s="947">
        <v>46905</v>
      </c>
      <c r="DE6" s="949">
        <v>46935</v>
      </c>
      <c r="DF6" s="947">
        <v>46966</v>
      </c>
      <c r="DG6" s="949">
        <v>46997</v>
      </c>
      <c r="DH6" s="947">
        <v>47027</v>
      </c>
      <c r="DI6" s="949">
        <v>47058</v>
      </c>
      <c r="DJ6" s="947">
        <v>47088</v>
      </c>
      <c r="DK6" s="949">
        <v>47119</v>
      </c>
      <c r="DL6" s="947">
        <v>47150</v>
      </c>
      <c r="DM6" s="949">
        <v>47178</v>
      </c>
      <c r="DN6" s="947">
        <v>47209</v>
      </c>
      <c r="DO6" s="949">
        <v>47239</v>
      </c>
      <c r="DP6" s="947">
        <v>47270</v>
      </c>
      <c r="DQ6" s="949">
        <v>47300</v>
      </c>
      <c r="DR6" s="947">
        <v>47331</v>
      </c>
      <c r="DS6" s="949">
        <v>47362</v>
      </c>
    </row>
    <row r="7" spans="1:123">
      <c r="B7" s="470">
        <f>AVERAGE(O7,Q7,S7,U7,Y7,AA7,AC7,AE7,AG7,AI7,AK7,AM7,AO7,AQ7,AS7,AU7,AW7)</f>
        <v>0.70406684043145729</v>
      </c>
      <c r="C7" s="975" t="s">
        <v>870</v>
      </c>
      <c r="D7" s="471">
        <f t="shared" ref="D7:D15" si="4">N7+P7+R7+T7+V7+W7+X7+Z7</f>
        <v>612.77</v>
      </c>
      <c r="E7" s="471">
        <f t="shared" ref="E7:E15" si="5">AB7+AD7+AF7+AH7+AJ7+AL7</f>
        <v>218.12</v>
      </c>
      <c r="F7" s="471">
        <f>AN7+AP7+AR7+AT7+AV7+AX7</f>
        <v>370.23</v>
      </c>
      <c r="G7" s="471">
        <f t="shared" ref="G7:G15" si="6">AZ7+BB7+BD7+BF7+BH7+BJ7</f>
        <v>451.80999999999995</v>
      </c>
      <c r="H7" s="471">
        <f t="shared" ref="H7:H15" si="7">BL7+BN7+BP7+BR7+BT7+BV7</f>
        <v>408.14000000000004</v>
      </c>
      <c r="I7" s="820">
        <f t="shared" ref="I7:I15" si="8">CN7+BX7+BZ7+CC7+CG7+CK7</f>
        <v>469.27117034042271</v>
      </c>
      <c r="J7" s="1057"/>
      <c r="K7" s="237"/>
      <c r="L7" s="609"/>
      <c r="M7" s="471"/>
      <c r="N7" s="471">
        <v>103.73</v>
      </c>
      <c r="O7" s="284">
        <f>N7/N$17</f>
        <v>0.38126217517550631</v>
      </c>
      <c r="P7" s="471">
        <v>62.02</v>
      </c>
      <c r="Q7" s="284">
        <f>P7/P$17</f>
        <v>0.4669477488330071</v>
      </c>
      <c r="R7" s="471">
        <v>34.9</v>
      </c>
      <c r="S7" s="284">
        <f>R7/R$17</f>
        <v>0.52975106253794779</v>
      </c>
      <c r="T7" s="471">
        <v>25.47</v>
      </c>
      <c r="U7" s="285">
        <f>T7/T$17</f>
        <v>0.62289068231841527</v>
      </c>
      <c r="V7" s="471">
        <v>23.97</v>
      </c>
      <c r="W7" s="472">
        <v>28.28</v>
      </c>
      <c r="X7" s="471">
        <v>73.83</v>
      </c>
      <c r="Y7" s="473">
        <f>(X7+W7)/(X$17+W$17)</f>
        <v>0.48290375975407895</v>
      </c>
      <c r="Z7" s="471">
        <v>260.57</v>
      </c>
      <c r="AA7" s="286">
        <f>Z7/Z$17</f>
        <v>0.70006179307380245</v>
      </c>
      <c r="AB7" s="471">
        <v>35.590000000000003</v>
      </c>
      <c r="AC7" s="286">
        <f>AB7/AB$17</f>
        <v>0.69241245136186769</v>
      </c>
      <c r="AD7" s="471">
        <v>29.9</v>
      </c>
      <c r="AE7" s="286">
        <f>AD7/AD$17</f>
        <v>0.74452191235059761</v>
      </c>
      <c r="AF7" s="471">
        <v>26.98</v>
      </c>
      <c r="AG7" s="284">
        <f>AF7/AF$17</f>
        <v>0.77019697402226661</v>
      </c>
      <c r="AH7" s="471">
        <v>14.07</v>
      </c>
      <c r="AI7" s="284">
        <f>AH7/AH$17</f>
        <v>0.81188690132717822</v>
      </c>
      <c r="AJ7" s="471">
        <v>67.83</v>
      </c>
      <c r="AK7" s="283">
        <f>AJ7/AJ$17</f>
        <v>0.84376166189824597</v>
      </c>
      <c r="AL7" s="471">
        <v>43.75</v>
      </c>
      <c r="AM7" s="286">
        <f>AL7/AL$17</f>
        <v>0.90262017742933776</v>
      </c>
      <c r="AN7" s="471">
        <v>124.61</v>
      </c>
      <c r="AO7" s="286">
        <f>AN7/AN$17</f>
        <v>1.1078413940256047</v>
      </c>
      <c r="AP7" s="471">
        <v>46</v>
      </c>
      <c r="AQ7" s="286">
        <f>AP7/AP$17</f>
        <v>0.78794107571085981</v>
      </c>
      <c r="AR7" s="474">
        <v>27.69</v>
      </c>
      <c r="AS7" s="286">
        <f>AR7/AR$17</f>
        <v>0.70368487928843715</v>
      </c>
      <c r="AT7" s="474">
        <v>24.72</v>
      </c>
      <c r="AU7" s="286">
        <f>AT7/AT$17</f>
        <v>0.71652173913043471</v>
      </c>
      <c r="AV7" s="471">
        <v>26.51</v>
      </c>
      <c r="AW7" s="283">
        <f>AV7/AV$17</f>
        <v>0.7039298990971854</v>
      </c>
      <c r="AX7" s="474">
        <v>120.7</v>
      </c>
      <c r="AY7" s="286">
        <f>AX7/AX$17</f>
        <v>0.61144883485309021</v>
      </c>
      <c r="AZ7" s="474">
        <v>169.97</v>
      </c>
      <c r="BA7" s="286">
        <f>AZ7/AZ$17</f>
        <v>0.63327123695976162</v>
      </c>
      <c r="BB7" s="474">
        <v>63.16</v>
      </c>
      <c r="BC7" s="286">
        <f>BB7/BB$17</f>
        <v>0.58611729769858945</v>
      </c>
      <c r="BD7" s="474">
        <v>29.9</v>
      </c>
      <c r="BE7" s="286">
        <f>BD7/BD$17</f>
        <v>0.61320754716981141</v>
      </c>
      <c r="BF7" s="474">
        <v>27.5</v>
      </c>
      <c r="BG7" s="286">
        <f>BF7/BF$17</f>
        <v>0.60719805696621776</v>
      </c>
      <c r="BH7" s="474">
        <v>28.5</v>
      </c>
      <c r="BI7" s="650">
        <f>BH7/BH$17</f>
        <v>0.59962129181569535</v>
      </c>
      <c r="BJ7" s="474">
        <v>132.78</v>
      </c>
      <c r="BK7" s="863">
        <f>BJ7/BJ$17</f>
        <v>0.49172314187312527</v>
      </c>
      <c r="BL7" s="474">
        <v>130.68</v>
      </c>
      <c r="BM7" s="863">
        <f>BL7/BL$17</f>
        <v>0.573560393258427</v>
      </c>
      <c r="BN7" s="474">
        <v>51.77</v>
      </c>
      <c r="BO7" s="863">
        <f>BN7/BN$17</f>
        <v>0.53932701323054488</v>
      </c>
      <c r="BP7" s="474">
        <v>29.09</v>
      </c>
      <c r="BQ7" s="863">
        <f>BP7/BP$17</f>
        <v>0.59030032467532467</v>
      </c>
      <c r="BR7" s="474">
        <v>28.46</v>
      </c>
      <c r="BS7" s="863">
        <f>BR7/BR$17</f>
        <v>0.60156415134221097</v>
      </c>
      <c r="BT7" s="474">
        <v>29.58</v>
      </c>
      <c r="BU7" s="650">
        <f>BT7/BT$17</f>
        <v>0.59613059250302292</v>
      </c>
      <c r="BV7" s="474">
        <f>114.56+BV8</f>
        <v>138.56</v>
      </c>
      <c r="BW7" s="863">
        <f>BV7/BV$17</f>
        <v>0.51019957286987261</v>
      </c>
      <c r="BX7" s="474">
        <f>155.46+BX8</f>
        <v>179.46</v>
      </c>
      <c r="BY7" s="863">
        <f>BX7/BX$17</f>
        <v>0.56200676437429542</v>
      </c>
      <c r="BZ7" s="1408">
        <f>40.43+BZ8</f>
        <v>64.430000000000007</v>
      </c>
      <c r="CA7" s="474"/>
      <c r="CB7" s="306">
        <f>BZ7/BZ$17</f>
        <v>0.53482194737278999</v>
      </c>
      <c r="CC7" s="475">
        <f>(CC28*$C$40*$C$46)+CC8</f>
        <v>30.242074007651972</v>
      </c>
      <c r="CD7" s="306">
        <f>CC7/CC$17</f>
        <v>0.53482194737278999</v>
      </c>
      <c r="CE7" s="306"/>
      <c r="CF7" s="306" t="e">
        <f>CE7/CE$17</f>
        <v>#DIV/0!</v>
      </c>
      <c r="CG7" s="475">
        <f>(CG28*$C$40*$C$46)+CG8</f>
        <v>29.674612734229065</v>
      </c>
      <c r="CH7" s="306">
        <f>CG7/CG$17</f>
        <v>0.53482194737278999</v>
      </c>
      <c r="CI7" s="306"/>
      <c r="CJ7" s="306" t="e">
        <f>CI7/CI$17</f>
        <v>#DIV/0!</v>
      </c>
      <c r="CK7" s="502">
        <f>(CK28*$C$40*$C$46)+CK8</f>
        <v>29.674612734229065</v>
      </c>
      <c r="CL7" s="306">
        <f>CK7/CK$17</f>
        <v>0.53482194737278999</v>
      </c>
      <c r="CM7" s="642">
        <f>CK7/CK$17</f>
        <v>0.53482194737278999</v>
      </c>
      <c r="CN7" s="475">
        <f>(CN28*$C$40*$C$46)+CN8</f>
        <v>135.78987086431258</v>
      </c>
      <c r="CO7" s="475">
        <f>CN7/CN$17</f>
        <v>0.53482194737278999</v>
      </c>
      <c r="CP7" s="475"/>
      <c r="CQ7" s="475"/>
      <c r="CR7" s="475"/>
      <c r="CS7" s="475"/>
      <c r="CT7" s="475"/>
      <c r="CU7" s="475"/>
      <c r="CV7" s="475"/>
      <c r="CW7" s="475"/>
      <c r="CX7" s="475"/>
      <c r="CY7" s="475"/>
      <c r="CZ7" s="475"/>
      <c r="DA7" s="475"/>
      <c r="DB7" s="475"/>
      <c r="DC7" s="475"/>
      <c r="DD7" s="475"/>
      <c r="DE7" s="475"/>
      <c r="DF7" s="475"/>
      <c r="DG7" s="475"/>
      <c r="DH7" s="475"/>
      <c r="DI7" s="475"/>
      <c r="DJ7" s="475"/>
      <c r="DK7" s="475"/>
      <c r="DL7" s="475"/>
      <c r="DM7" s="475"/>
      <c r="DN7" s="475"/>
      <c r="DO7" s="475"/>
      <c r="DP7" s="475"/>
      <c r="DQ7" s="475"/>
      <c r="DR7" s="475"/>
      <c r="DS7" s="475"/>
    </row>
    <row r="8" spans="1:123" s="487" customFormat="1" ht="13.5">
      <c r="A8" s="476"/>
      <c r="B8" s="900">
        <f t="shared" ref="B8:B15" si="9">AVERAGE(O8,Q8,S8,U8,Y8,AA8,AC8,AE8,AG8,AI8,AK8,AM8,AO8,AQ8,AS8,AU8,AW8,AY8,BA8,BC8)</f>
        <v>0.38979239045093711</v>
      </c>
      <c r="C8" s="976" t="s">
        <v>871</v>
      </c>
      <c r="D8" s="479">
        <f t="shared" si="4"/>
        <v>172.7</v>
      </c>
      <c r="E8" s="479">
        <f t="shared" si="5"/>
        <v>140</v>
      </c>
      <c r="F8" s="479">
        <f t="shared" ref="F8:F15" si="10">AN8+AP8+AR8+AT8+AV8+AX8</f>
        <v>122</v>
      </c>
      <c r="G8" s="479">
        <f t="shared" si="6"/>
        <v>144</v>
      </c>
      <c r="H8" s="479">
        <f t="shared" si="7"/>
        <v>144</v>
      </c>
      <c r="I8" s="828">
        <f t="shared" si="8"/>
        <v>144</v>
      </c>
      <c r="J8" s="828"/>
      <c r="K8" s="476"/>
      <c r="L8" s="610"/>
      <c r="M8" s="479"/>
      <c r="N8" s="479">
        <f>6.58+10</f>
        <v>16.579999999999998</v>
      </c>
      <c r="O8" s="478">
        <f>N8/N17</f>
        <v>6.0940199213437712E-2</v>
      </c>
      <c r="P8" s="479">
        <v>30</v>
      </c>
      <c r="Q8" s="478">
        <f>P8/P17</f>
        <v>0.22586959795211567</v>
      </c>
      <c r="R8" s="479">
        <v>30</v>
      </c>
      <c r="S8" s="478">
        <f>R8/R17</f>
        <v>0.45537340619307837</v>
      </c>
      <c r="T8" s="479">
        <v>30</v>
      </c>
      <c r="U8" s="478">
        <f>T8/T17</f>
        <v>0.73367571533382248</v>
      </c>
      <c r="V8" s="479">
        <v>20</v>
      </c>
      <c r="W8" s="480">
        <f>10+3.62</f>
        <v>13.620000000000001</v>
      </c>
      <c r="X8" s="479">
        <v>6.25</v>
      </c>
      <c r="Y8" s="481">
        <f>(W8+X8)/($W$17+$X$17)</f>
        <v>9.3970205722392994E-2</v>
      </c>
      <c r="Z8" s="479">
        <f>6.25+10+10</f>
        <v>26.25</v>
      </c>
      <c r="AA8" s="482">
        <f>Z8/Z17</f>
        <v>7.0524703796244065E-2</v>
      </c>
      <c r="AB8" s="479">
        <v>30</v>
      </c>
      <c r="AC8" s="482">
        <f>AB8/AB17</f>
        <v>0.58365758754863806</v>
      </c>
      <c r="AD8" s="479">
        <v>20</v>
      </c>
      <c r="AE8" s="482">
        <f>AD8/AD17</f>
        <v>0.4980079681274901</v>
      </c>
      <c r="AF8" s="479">
        <v>20</v>
      </c>
      <c r="AG8" s="483">
        <f>AF8/AF17</f>
        <v>0.57093919497573509</v>
      </c>
      <c r="AH8" s="479">
        <v>20</v>
      </c>
      <c r="AI8" s="478">
        <f>AH8/AH17</f>
        <v>1.1540680900173108</v>
      </c>
      <c r="AJ8" s="479">
        <v>30</v>
      </c>
      <c r="AK8" s="484">
        <f>AJ8/AJ17</f>
        <v>0.37318074387361611</v>
      </c>
      <c r="AL8" s="479">
        <v>20</v>
      </c>
      <c r="AM8" s="477">
        <f>AL8/AL17</f>
        <v>0.41262636682484011</v>
      </c>
      <c r="AN8" s="479">
        <v>20</v>
      </c>
      <c r="AO8" s="477">
        <f>AN8/AN17</f>
        <v>0.17780938833570414</v>
      </c>
      <c r="AP8" s="479">
        <v>20</v>
      </c>
      <c r="AQ8" s="477">
        <f>AP8/AP17</f>
        <v>0.34258307639602603</v>
      </c>
      <c r="AR8" s="485">
        <v>20</v>
      </c>
      <c r="AS8" s="477">
        <f>AR8/AR17</f>
        <v>0.50825921219822112</v>
      </c>
      <c r="AT8" s="485">
        <v>20</v>
      </c>
      <c r="AU8" s="477">
        <f>AT8/AT17</f>
        <v>0.57971014492753625</v>
      </c>
      <c r="AV8" s="479">
        <v>20</v>
      </c>
      <c r="AW8" s="484">
        <f>AV8/AV17</f>
        <v>0.53106744556558683</v>
      </c>
      <c r="AX8" s="485">
        <f>10+12</f>
        <v>22</v>
      </c>
      <c r="AY8" s="477">
        <f>AX8/AX17</f>
        <v>0.11144883485309016</v>
      </c>
      <c r="AZ8" s="485">
        <v>24</v>
      </c>
      <c r="BA8" s="477">
        <f>AZ8/AZ17</f>
        <v>8.9418777943368111E-2</v>
      </c>
      <c r="BB8" s="485">
        <v>24</v>
      </c>
      <c r="BC8" s="477">
        <f>BB8/BB17</f>
        <v>0.22271714922048999</v>
      </c>
      <c r="BD8" s="485">
        <v>24</v>
      </c>
      <c r="BE8" s="477">
        <f>BD8/BD17</f>
        <v>0.49220672682526673</v>
      </c>
      <c r="BF8" s="485">
        <v>24</v>
      </c>
      <c r="BG8" s="477">
        <f>BF8/BF17</f>
        <v>0.52991830426142639</v>
      </c>
      <c r="BH8" s="648">
        <v>24</v>
      </c>
      <c r="BI8" s="651">
        <f>BH8/BH17</f>
        <v>0.50494424573953289</v>
      </c>
      <c r="BJ8" s="648">
        <v>24</v>
      </c>
      <c r="BK8" s="919">
        <f>BJ8/BJ17</f>
        <v>8.8879013442950794E-2</v>
      </c>
      <c r="BL8" s="648">
        <v>24</v>
      </c>
      <c r="BM8" s="919">
        <f>BL8/BL17</f>
        <v>0.10533707865168539</v>
      </c>
      <c r="BN8" s="648">
        <v>24</v>
      </c>
      <c r="BO8" s="919">
        <f>BN8/BN17</f>
        <v>0.25002604437962284</v>
      </c>
      <c r="BP8" s="648">
        <v>24</v>
      </c>
      <c r="BQ8" s="919">
        <f>BP8/BP17</f>
        <v>0.48701298701298701</v>
      </c>
      <c r="BR8" s="648">
        <v>24</v>
      </c>
      <c r="BS8" s="919">
        <f>BR8/BR17</f>
        <v>0.507292327203551</v>
      </c>
      <c r="BT8" s="648">
        <v>24</v>
      </c>
      <c r="BU8" s="651">
        <f>BT8/BT17</f>
        <v>0.4836759371221282</v>
      </c>
      <c r="BV8" s="648">
        <v>24</v>
      </c>
      <c r="BW8" s="919">
        <f>BV8/BV17</f>
        <v>8.8371750497091103E-2</v>
      </c>
      <c r="BX8" s="648">
        <v>24</v>
      </c>
      <c r="BY8" s="919">
        <f>BX8/BX17</f>
        <v>7.5159714393085303E-2</v>
      </c>
      <c r="BZ8" s="1409">
        <v>24</v>
      </c>
      <c r="CA8" s="648"/>
      <c r="CB8" s="645">
        <f>BZ8/BZ17</f>
        <v>0.19921972275255251</v>
      </c>
      <c r="CC8" s="486">
        <v>24</v>
      </c>
      <c r="CD8" s="645">
        <f>CC8/CC17</f>
        <v>0.42443275331246166</v>
      </c>
      <c r="CE8" s="645"/>
      <c r="CF8" s="645" t="e">
        <f>CE8/CE17</f>
        <v>#DIV/0!</v>
      </c>
      <c r="CG8" s="486">
        <v>24</v>
      </c>
      <c r="CH8" s="645">
        <f>CG8/CG17</f>
        <v>0.43254909008942882</v>
      </c>
      <c r="CI8" s="645"/>
      <c r="CJ8" s="645" t="e">
        <f>CI8/CI17</f>
        <v>#DIV/0!</v>
      </c>
      <c r="CK8" s="486">
        <v>24</v>
      </c>
      <c r="CL8" s="645">
        <f>CK8/CK17</f>
        <v>0.43254909008942882</v>
      </c>
      <c r="CM8" s="643">
        <f>CK8/CK17</f>
        <v>0.43254909008942882</v>
      </c>
      <c r="CN8" s="486">
        <v>24</v>
      </c>
      <c r="CO8" s="486">
        <f>CN8/CN17</f>
        <v>9.4526393281373702E-2</v>
      </c>
      <c r="CP8" s="486"/>
      <c r="CQ8" s="486"/>
      <c r="CR8" s="486"/>
      <c r="CS8" s="486"/>
      <c r="CT8" s="486"/>
      <c r="CU8" s="486"/>
      <c r="CV8" s="486"/>
      <c r="CW8" s="486"/>
      <c r="CX8" s="486"/>
      <c r="CY8" s="486"/>
      <c r="CZ8" s="486"/>
      <c r="DA8" s="486"/>
      <c r="DB8" s="486"/>
      <c r="DC8" s="486"/>
      <c r="DD8" s="486"/>
      <c r="DE8" s="486"/>
      <c r="DF8" s="486"/>
      <c r="DG8" s="486"/>
      <c r="DH8" s="486"/>
      <c r="DI8" s="486"/>
      <c r="DJ8" s="486"/>
      <c r="DK8" s="486"/>
      <c r="DL8" s="486"/>
      <c r="DM8" s="486"/>
      <c r="DN8" s="486"/>
      <c r="DO8" s="486"/>
      <c r="DP8" s="486"/>
      <c r="DQ8" s="486"/>
      <c r="DR8" s="486"/>
      <c r="DS8" s="486"/>
    </row>
    <row r="9" spans="1:123" s="476" customFormat="1">
      <c r="B9" s="901">
        <f t="shared" si="9"/>
        <v>0.30020629239137353</v>
      </c>
      <c r="C9" s="977" t="s">
        <v>872</v>
      </c>
      <c r="D9" s="490">
        <f t="shared" si="4"/>
        <v>440.07</v>
      </c>
      <c r="E9" s="490">
        <f t="shared" si="5"/>
        <v>78.12</v>
      </c>
      <c r="F9" s="490">
        <f t="shared" si="10"/>
        <v>248.23000000000002</v>
      </c>
      <c r="G9" s="490">
        <f t="shared" si="6"/>
        <v>307.81</v>
      </c>
      <c r="H9" s="490">
        <f t="shared" si="7"/>
        <v>266.93</v>
      </c>
      <c r="I9" s="829">
        <f t="shared" si="8"/>
        <v>325.27117034042271</v>
      </c>
      <c r="J9" s="829"/>
      <c r="K9" s="488"/>
      <c r="L9" s="611"/>
      <c r="M9" s="490"/>
      <c r="N9" s="490">
        <f>N7-N8</f>
        <v>87.15</v>
      </c>
      <c r="O9" s="489">
        <f>N9/N17</f>
        <v>0.32032197596206863</v>
      </c>
      <c r="P9" s="490">
        <f>P7-P8</f>
        <v>32.020000000000003</v>
      </c>
      <c r="Q9" s="489">
        <f>P9/P17</f>
        <v>0.24107815088089146</v>
      </c>
      <c r="R9" s="490">
        <f>R7-R8</f>
        <v>4.8999999999999986</v>
      </c>
      <c r="S9" s="489">
        <f>R9/R17</f>
        <v>7.4377656344869439E-2</v>
      </c>
      <c r="T9" s="490">
        <f>T7-T8</f>
        <v>-4.5300000000000011</v>
      </c>
      <c r="U9" s="489">
        <f>T9/T17</f>
        <v>-0.11078503301540722</v>
      </c>
      <c r="V9" s="490">
        <f>V7-V8</f>
        <v>3.9699999999999989</v>
      </c>
      <c r="W9" s="491">
        <f>W7-W8</f>
        <v>14.66</v>
      </c>
      <c r="X9" s="490">
        <f>X7-X8</f>
        <v>67.58</v>
      </c>
      <c r="Y9" s="492">
        <f>(W9+X9)/($W$17+$X$17)</f>
        <v>0.38893355403168595</v>
      </c>
      <c r="Z9" s="490">
        <f>Z7-Z8</f>
        <v>234.32</v>
      </c>
      <c r="AA9" s="489">
        <f>Z9/Z17</f>
        <v>0.62953708927755836</v>
      </c>
      <c r="AB9" s="490">
        <f>AB7-AB8</f>
        <v>5.5900000000000034</v>
      </c>
      <c r="AC9" s="489">
        <f>AB9/AB17</f>
        <v>0.10875486381322963</v>
      </c>
      <c r="AD9" s="490">
        <f>AD7-AD8</f>
        <v>9.8999999999999986</v>
      </c>
      <c r="AE9" s="489">
        <f>AD9/AD17</f>
        <v>0.24651394422310755</v>
      </c>
      <c r="AF9" s="490">
        <f>AF7-AF8</f>
        <v>6.98</v>
      </c>
      <c r="AG9" s="489">
        <f>AF9/AF17</f>
        <v>0.19925777904653155</v>
      </c>
      <c r="AH9" s="490">
        <f>AH7-AH8</f>
        <v>-5.93</v>
      </c>
      <c r="AI9" s="489">
        <f>AH9/AH17</f>
        <v>-0.34218118869013264</v>
      </c>
      <c r="AJ9" s="490">
        <f>AJ7-AJ8</f>
        <v>37.83</v>
      </c>
      <c r="AK9" s="493">
        <f>AJ9/AJ17</f>
        <v>0.47058091802462992</v>
      </c>
      <c r="AL9" s="490">
        <f>AL7-AL8</f>
        <v>23.75</v>
      </c>
      <c r="AM9" s="494">
        <f>AL9/AL17</f>
        <v>0.48999381060449765</v>
      </c>
      <c r="AN9" s="490">
        <f>AN7-AN8</f>
        <v>104.61</v>
      </c>
      <c r="AO9" s="494">
        <f>AN9/AN17</f>
        <v>0.93003200568990052</v>
      </c>
      <c r="AP9" s="490">
        <f>AP7-AP8</f>
        <v>26</v>
      </c>
      <c r="AQ9" s="494">
        <f>AP9/AP17</f>
        <v>0.44535799931483383</v>
      </c>
      <c r="AR9" s="495">
        <f>AR7-AR8</f>
        <v>7.6900000000000013</v>
      </c>
      <c r="AS9" s="494">
        <f>AR9/AR17</f>
        <v>0.19542566709021603</v>
      </c>
      <c r="AT9" s="496">
        <f>AT7-AT8</f>
        <v>4.7199999999999989</v>
      </c>
      <c r="AU9" s="494">
        <f>AT9/AT17</f>
        <v>0.13681159420289851</v>
      </c>
      <c r="AV9" s="490">
        <f>AV7-AV8</f>
        <v>6.5100000000000016</v>
      </c>
      <c r="AW9" s="493">
        <f>AV9/AV17</f>
        <v>0.17286245353159857</v>
      </c>
      <c r="AX9" s="496">
        <f>AX7-AX8</f>
        <v>98.7</v>
      </c>
      <c r="AY9" s="494">
        <f>AX9/AX17</f>
        <v>0.5</v>
      </c>
      <c r="AZ9" s="496">
        <f>AZ7-AZ8</f>
        <v>145.97</v>
      </c>
      <c r="BA9" s="494">
        <f>AZ9/AZ17</f>
        <v>0.54385245901639345</v>
      </c>
      <c r="BB9" s="496">
        <f>BB7-BB8</f>
        <v>39.159999999999997</v>
      </c>
      <c r="BC9" s="494">
        <f>BB9/BB17</f>
        <v>0.36340014847809948</v>
      </c>
      <c r="BD9" s="496">
        <f>BD7-BD8</f>
        <v>5.8999999999999986</v>
      </c>
      <c r="BE9" s="494">
        <f>BD9/BD17</f>
        <v>0.12100082034454471</v>
      </c>
      <c r="BF9" s="299">
        <f>BF7-BF8</f>
        <v>3.5</v>
      </c>
      <c r="BG9" s="494">
        <f>BF9/BF17</f>
        <v>7.7279752704791344E-2</v>
      </c>
      <c r="BH9" s="649">
        <f>BH7-BH8</f>
        <v>4.5</v>
      </c>
      <c r="BI9" s="652">
        <f>BH9/BH17</f>
        <v>9.4677046076162424E-2</v>
      </c>
      <c r="BJ9" s="649">
        <f>BJ7-BJ8</f>
        <v>108.78</v>
      </c>
      <c r="BK9" s="920">
        <f>BJ9/BJ17</f>
        <v>0.40284412843017448</v>
      </c>
      <c r="BL9" s="649">
        <f>BL7-BL8</f>
        <v>106.68</v>
      </c>
      <c r="BM9" s="920">
        <f>BL9/BL17</f>
        <v>0.4682233146067416</v>
      </c>
      <c r="BN9" s="649">
        <f>BN7-BN8</f>
        <v>27.770000000000003</v>
      </c>
      <c r="BO9" s="920">
        <f>BN9/BN17</f>
        <v>0.28930096885092199</v>
      </c>
      <c r="BP9" s="649">
        <v>7.88</v>
      </c>
      <c r="BQ9" s="920">
        <f>BP9/BP17</f>
        <v>0.15990259740259741</v>
      </c>
      <c r="BR9" s="649">
        <f>BR7-BR8</f>
        <v>4.4600000000000009</v>
      </c>
      <c r="BS9" s="920">
        <f>BR9/BR17</f>
        <v>9.4271824138659921E-2</v>
      </c>
      <c r="BT9" s="649">
        <f>BT7-BT8</f>
        <v>5.5799999999999983</v>
      </c>
      <c r="BU9" s="652">
        <f>BT9/BT17</f>
        <v>0.11245465538089477</v>
      </c>
      <c r="BV9" s="649">
        <f>BV7-BV8</f>
        <v>114.56</v>
      </c>
      <c r="BW9" s="920">
        <f>BV9/BV17</f>
        <v>0.42182782237278155</v>
      </c>
      <c r="BX9" s="649">
        <f>BX7-BX8</f>
        <v>155.46</v>
      </c>
      <c r="BY9" s="920">
        <f>BX9/BX17</f>
        <v>0.48684704998121009</v>
      </c>
      <c r="BZ9" s="1410">
        <f>BZ7-BZ8</f>
        <v>40.430000000000007</v>
      </c>
      <c r="CA9" s="649"/>
      <c r="CB9" s="646">
        <f>BZ9/BZ17</f>
        <v>0.33560222462023748</v>
      </c>
      <c r="CC9" s="501">
        <f>CC7-CC8</f>
        <v>6.2420740076519721</v>
      </c>
      <c r="CD9" s="646">
        <f>CC9/CC17</f>
        <v>0.11038919406032827</v>
      </c>
      <c r="CE9" s="646"/>
      <c r="CF9" s="646" t="e">
        <f>CE9/CE17</f>
        <v>#DIV/0!</v>
      </c>
      <c r="CG9" s="501">
        <f>CG7-CG8</f>
        <v>5.6746127342290649</v>
      </c>
      <c r="CH9" s="646">
        <f>CG9/CG17</f>
        <v>0.10227285728336116</v>
      </c>
      <c r="CI9" s="646"/>
      <c r="CJ9" s="646" t="e">
        <f>CI9/CI17</f>
        <v>#DIV/0!</v>
      </c>
      <c r="CK9" s="501">
        <f>CK7-CK8</f>
        <v>5.6746127342290649</v>
      </c>
      <c r="CL9" s="646">
        <f>CK9/CK17</f>
        <v>0.10227285728336116</v>
      </c>
      <c r="CM9" s="644">
        <f>CK9/CK17</f>
        <v>0.10227285728336116</v>
      </c>
      <c r="CN9" s="501">
        <f>CN7-CN8</f>
        <v>111.78987086431258</v>
      </c>
      <c r="CO9" s="501">
        <f>CN9/CN17</f>
        <v>0.44029555409141624</v>
      </c>
      <c r="CP9" s="501"/>
      <c r="CQ9" s="501"/>
      <c r="CR9" s="501"/>
      <c r="CS9" s="501"/>
      <c r="CT9" s="501"/>
      <c r="CU9" s="501"/>
      <c r="CV9" s="501"/>
      <c r="CW9" s="501"/>
      <c r="CX9" s="501"/>
      <c r="CY9" s="501"/>
      <c r="CZ9" s="501"/>
      <c r="DA9" s="501"/>
      <c r="DB9" s="501"/>
      <c r="DC9" s="501"/>
      <c r="DD9" s="501"/>
      <c r="DE9" s="501"/>
      <c r="DF9" s="501"/>
      <c r="DG9" s="501"/>
      <c r="DH9" s="501"/>
      <c r="DI9" s="501"/>
      <c r="DJ9" s="501"/>
      <c r="DK9" s="501"/>
      <c r="DL9" s="501"/>
      <c r="DM9" s="501"/>
      <c r="DN9" s="501"/>
      <c r="DO9" s="501"/>
      <c r="DP9" s="501"/>
      <c r="DQ9" s="501"/>
      <c r="DR9" s="501"/>
      <c r="DS9" s="501"/>
    </row>
    <row r="10" spans="1:123" s="343" customFormat="1">
      <c r="A10" s="9"/>
      <c r="B10" s="100">
        <f t="shared" si="9"/>
        <v>-5.1151980998819277E-2</v>
      </c>
      <c r="C10" s="978" t="s">
        <v>873</v>
      </c>
      <c r="D10" s="371">
        <f t="shared" si="4"/>
        <v>-62.92</v>
      </c>
      <c r="E10" s="371">
        <f t="shared" si="5"/>
        <v>-13.96</v>
      </c>
      <c r="F10" s="371">
        <f t="shared" si="10"/>
        <v>-30.229999999999997</v>
      </c>
      <c r="G10" s="371">
        <f t="shared" si="6"/>
        <v>-15.370000000000001</v>
      </c>
      <c r="H10" s="371">
        <f t="shared" si="7"/>
        <v>-6.71</v>
      </c>
      <c r="I10" s="815">
        <f t="shared" si="8"/>
        <v>0</v>
      </c>
      <c r="J10" s="815"/>
      <c r="K10" s="9"/>
      <c r="L10" s="612"/>
      <c r="M10" s="371"/>
      <c r="N10" s="371">
        <v>-10.01</v>
      </c>
      <c r="O10" s="372">
        <f>N10/N$17</f>
        <v>-3.6792002058293818E-2</v>
      </c>
      <c r="P10" s="371">
        <v>-8.7200000000000006</v>
      </c>
      <c r="Q10" s="372">
        <f>P10/P$17</f>
        <v>-6.5652763138081618E-2</v>
      </c>
      <c r="R10" s="371">
        <v>-5.28</v>
      </c>
      <c r="S10" s="372">
        <f t="shared" ref="S10:S15" si="11">R10/R$17</f>
        <v>-8.0145719489981795E-2</v>
      </c>
      <c r="T10" s="371">
        <v>-4.3600000000000003</v>
      </c>
      <c r="U10" s="372">
        <f>T10/T$17</f>
        <v>-0.10662753729518221</v>
      </c>
      <c r="V10" s="371">
        <v>-4.22</v>
      </c>
      <c r="W10" s="373">
        <v>-4.03</v>
      </c>
      <c r="X10" s="371">
        <v>-1.92</v>
      </c>
      <c r="Y10" s="408">
        <f t="shared" ref="Y10:Y15" si="12">(X10+W10)/(X$17+W$17)</f>
        <v>-2.8139039962165994E-2</v>
      </c>
      <c r="Z10" s="371">
        <v>-24.38</v>
      </c>
      <c r="AA10" s="372">
        <f>Z10/Z$17</f>
        <v>-6.5500658230568762E-2</v>
      </c>
      <c r="AB10" s="371">
        <v>-1.56</v>
      </c>
      <c r="AC10" s="372">
        <f>AB10/AB$17</f>
        <v>-3.0350194552529179E-2</v>
      </c>
      <c r="AD10" s="371">
        <v>-1</v>
      </c>
      <c r="AE10" s="372">
        <f>AD10/AD$17</f>
        <v>-2.4900398406374504E-2</v>
      </c>
      <c r="AF10" s="371">
        <v>-0.7</v>
      </c>
      <c r="AG10" s="372">
        <f>AF10/AF$17</f>
        <v>-1.9982871824150726E-2</v>
      </c>
      <c r="AH10" s="371">
        <v>-0.42</v>
      </c>
      <c r="AI10" s="372">
        <f>AH10/AH$17</f>
        <v>-2.4235429890363529E-2</v>
      </c>
      <c r="AJ10" s="371">
        <v>-4.71</v>
      </c>
      <c r="AK10" s="408">
        <f>AJ10/AJ$17</f>
        <v>-5.8589376788157732E-2</v>
      </c>
      <c r="AL10" s="371">
        <v>-5.57</v>
      </c>
      <c r="AM10" s="372">
        <f>AL10/AL$17</f>
        <v>-0.11491644316071797</v>
      </c>
      <c r="AN10" s="371">
        <v>-15.7</v>
      </c>
      <c r="AO10" s="372">
        <f>AN10/AN$17</f>
        <v>-0.13958036984352776</v>
      </c>
      <c r="AP10" s="371">
        <v>-3.9</v>
      </c>
      <c r="AQ10" s="372">
        <f>AP10/AP$17</f>
        <v>-6.6803699897225066E-2</v>
      </c>
      <c r="AR10" s="374">
        <v>-1.1499999999999999</v>
      </c>
      <c r="AS10" s="372">
        <f>AR10/AR$17</f>
        <v>-2.922490470139771E-2</v>
      </c>
      <c r="AT10" s="343">
        <v>-0.72</v>
      </c>
      <c r="AU10" s="372">
        <f>AT10/AT$17</f>
        <v>-2.0869565217391303E-2</v>
      </c>
      <c r="AV10" s="371">
        <v>-0.98</v>
      </c>
      <c r="AW10" s="408">
        <f>AV10/AV$17</f>
        <v>-2.6022304832713755E-2</v>
      </c>
      <c r="AX10" s="343">
        <v>-7.78</v>
      </c>
      <c r="AY10" s="372">
        <f>AX10/AX$17</f>
        <v>-3.9412360688956434E-2</v>
      </c>
      <c r="AZ10" s="343">
        <v>-7.3</v>
      </c>
      <c r="BA10" s="372">
        <f>AZ10/AZ$17</f>
        <v>-2.7198211624441134E-2</v>
      </c>
      <c r="BB10" s="343">
        <v>-1.95</v>
      </c>
      <c r="BC10" s="372">
        <f>BB10/BB$17</f>
        <v>-1.8095768374164812E-2</v>
      </c>
      <c r="BD10" s="343">
        <v>-0.3</v>
      </c>
      <c r="BE10" s="372">
        <f>BD10/BD$17</f>
        <v>-6.1525840853158334E-3</v>
      </c>
      <c r="BF10" s="629">
        <v>-0.17</v>
      </c>
      <c r="BG10" s="372">
        <f>BF10/BF$17</f>
        <v>-3.7535879885184369E-3</v>
      </c>
      <c r="BH10" s="629">
        <v>-0.22</v>
      </c>
      <c r="BI10" s="653">
        <f>BH10/BH$17</f>
        <v>-4.6286555859457188E-3</v>
      </c>
      <c r="BJ10" s="629">
        <v>-5.43</v>
      </c>
      <c r="BK10" s="860">
        <f>BJ10/BJ$17</f>
        <v>-2.0108876791467615E-2</v>
      </c>
      <c r="BL10" s="629">
        <v>-5.33</v>
      </c>
      <c r="BM10" s="860">
        <f>BL10/BL$17</f>
        <v>-2.3393609550561797E-2</v>
      </c>
      <c r="BN10" s="629">
        <v>-1.38</v>
      </c>
      <c r="BO10" s="860">
        <f>BN10/BN7</f>
        <v>-2.6656364689974885E-2</v>
      </c>
      <c r="BP10" s="629">
        <v>0</v>
      </c>
      <c r="BQ10" s="860">
        <f>BP10/BP7</f>
        <v>0</v>
      </c>
      <c r="BR10" s="629">
        <f>(BR$7)*BS10</f>
        <v>0</v>
      </c>
      <c r="BS10" s="860">
        <f>BP10/BP7</f>
        <v>0</v>
      </c>
      <c r="BT10" s="629">
        <f>(BT$7)*BU10</f>
        <v>0</v>
      </c>
      <c r="BU10" s="653">
        <f>BR10/BR7</f>
        <v>0</v>
      </c>
      <c r="BV10" s="629">
        <v>0</v>
      </c>
      <c r="BW10" s="860">
        <f>BV10/BV$17</f>
        <v>0</v>
      </c>
      <c r="BX10" s="629">
        <f>(BX$7)*BY10</f>
        <v>0</v>
      </c>
      <c r="BY10" s="860">
        <f>BV10/BV7</f>
        <v>0</v>
      </c>
      <c r="BZ10" s="1411">
        <v>0</v>
      </c>
      <c r="CA10" s="629"/>
      <c r="CB10" s="564">
        <f>BX10/BX7</f>
        <v>0</v>
      </c>
      <c r="CC10" s="567">
        <f t="shared" ref="CC10:CC15" si="13">(CC$7)*CD10</f>
        <v>0</v>
      </c>
      <c r="CD10" s="564">
        <f>BZ10/BZ7</f>
        <v>0</v>
      </c>
      <c r="CE10" s="564"/>
      <c r="CF10" s="564">
        <f>CB10/CB7</f>
        <v>0</v>
      </c>
      <c r="CG10" s="567">
        <f>(CG$7)*CH10</f>
        <v>0</v>
      </c>
      <c r="CH10" s="564">
        <f>CC10/CC7</f>
        <v>0</v>
      </c>
      <c r="CI10" s="564"/>
      <c r="CJ10" s="564" t="e">
        <f>CE10/CE7</f>
        <v>#DIV/0!</v>
      </c>
      <c r="CK10" s="567">
        <f t="shared" ref="CK10:CK15" si="14">(CK$7)*CM10</f>
        <v>0</v>
      </c>
      <c r="CL10" s="564">
        <f>CG10/CG7</f>
        <v>0</v>
      </c>
      <c r="CM10" s="585">
        <f>CG10/CG7</f>
        <v>0</v>
      </c>
      <c r="CN10" s="567">
        <f>(CN$7)*CO10</f>
        <v>0</v>
      </c>
      <c r="CO10" s="567">
        <f>CK10/CK7</f>
        <v>0</v>
      </c>
      <c r="CP10" s="567"/>
      <c r="CQ10" s="567"/>
      <c r="CR10" s="567"/>
      <c r="CS10" s="567"/>
      <c r="CT10" s="567"/>
      <c r="CU10" s="567"/>
      <c r="CV10" s="567"/>
      <c r="CW10" s="567"/>
      <c r="CX10" s="567"/>
      <c r="CY10" s="567"/>
      <c r="CZ10" s="567"/>
      <c r="DA10" s="567"/>
      <c r="DB10" s="567"/>
      <c r="DC10" s="567"/>
      <c r="DD10" s="567"/>
      <c r="DE10" s="567"/>
      <c r="DF10" s="567"/>
      <c r="DG10" s="567"/>
      <c r="DH10" s="567"/>
      <c r="DI10" s="567"/>
      <c r="DJ10" s="567"/>
      <c r="DK10" s="567"/>
      <c r="DL10" s="567"/>
      <c r="DM10" s="567"/>
      <c r="DN10" s="567"/>
      <c r="DO10" s="567"/>
      <c r="DP10" s="567"/>
      <c r="DQ10" s="567"/>
      <c r="DR10" s="567"/>
      <c r="DS10" s="567"/>
    </row>
    <row r="11" spans="1:123">
      <c r="B11" s="100">
        <f t="shared" si="9"/>
        <v>0.26623307256746853</v>
      </c>
      <c r="C11" s="979" t="s">
        <v>874</v>
      </c>
      <c r="D11" s="101">
        <f t="shared" si="4"/>
        <v>177.61</v>
      </c>
      <c r="E11" s="101">
        <f t="shared" si="5"/>
        <v>86.450000000000017</v>
      </c>
      <c r="F11" s="101">
        <f t="shared" si="10"/>
        <v>142.76000000000002</v>
      </c>
      <c r="G11" s="101">
        <f t="shared" si="6"/>
        <v>175.31</v>
      </c>
      <c r="H11" s="101">
        <f t="shared" si="7"/>
        <v>162</v>
      </c>
      <c r="I11" s="816">
        <f t="shared" si="8"/>
        <v>162.94415908325283</v>
      </c>
      <c r="J11" s="816"/>
      <c r="L11" s="613"/>
      <c r="M11" s="101"/>
      <c r="N11" s="101">
        <v>36.22</v>
      </c>
      <c r="O11" s="102">
        <f t="shared" ref="O11:Q15" si="15">N11/N$17</f>
        <v>0.13312750395118902</v>
      </c>
      <c r="P11" s="101">
        <v>27.34</v>
      </c>
      <c r="Q11" s="102">
        <f t="shared" si="15"/>
        <v>0.20584249360036139</v>
      </c>
      <c r="R11" s="101">
        <v>15.64</v>
      </c>
      <c r="S11" s="102">
        <f t="shared" si="11"/>
        <v>0.23740133576199152</v>
      </c>
      <c r="T11" s="101">
        <v>11.92</v>
      </c>
      <c r="U11" s="102">
        <f t="shared" ref="U11" si="16">T11/T$17</f>
        <v>0.29151381755930544</v>
      </c>
      <c r="V11" s="101">
        <v>11.33</v>
      </c>
      <c r="W11" s="103">
        <v>13.22</v>
      </c>
      <c r="X11" s="101">
        <v>9.6</v>
      </c>
      <c r="Y11" s="409">
        <f t="shared" si="12"/>
        <v>0.10792149444313076</v>
      </c>
      <c r="Z11" s="101">
        <v>52.34</v>
      </c>
      <c r="AA11" s="102">
        <f t="shared" ref="AA11:AC15" si="17">Z11/Z$17</f>
        <v>0.14061954273125388</v>
      </c>
      <c r="AB11" s="101">
        <v>12.72</v>
      </c>
      <c r="AC11" s="102">
        <f t="shared" si="17"/>
        <v>0.24747081712062255</v>
      </c>
      <c r="AD11" s="101">
        <v>11.52</v>
      </c>
      <c r="AE11" s="102">
        <f t="shared" ref="AE11" si="18">AD11/AD$17</f>
        <v>0.28685258964143429</v>
      </c>
      <c r="AF11" s="101">
        <v>11.05</v>
      </c>
      <c r="AG11" s="102">
        <f t="shared" ref="AG11" si="19">AF11/AF$17</f>
        <v>0.31544390522409366</v>
      </c>
      <c r="AH11" s="101">
        <v>5.88</v>
      </c>
      <c r="AI11" s="102">
        <f t="shared" ref="AI11" si="20">AH11/AH$17</f>
        <v>0.33929601846508939</v>
      </c>
      <c r="AJ11" s="101">
        <v>27.97</v>
      </c>
      <c r="AK11" s="409">
        <f t="shared" ref="AK11" si="21">AJ11/AJ$17</f>
        <v>0.34792884687150144</v>
      </c>
      <c r="AL11" s="101">
        <v>17.309999999999999</v>
      </c>
      <c r="AM11" s="102">
        <f t="shared" ref="AM11" si="22">AL11/AL$17</f>
        <v>0.35712812048689907</v>
      </c>
      <c r="AN11" s="101">
        <v>41.95</v>
      </c>
      <c r="AO11" s="102">
        <f t="shared" ref="AO11" si="23">AN11/AN$17</f>
        <v>0.37295519203413946</v>
      </c>
      <c r="AP11" s="101">
        <v>19.32</v>
      </c>
      <c r="AQ11" s="102">
        <f t="shared" ref="AQ11" si="24">AP11/AP$17</f>
        <v>0.33093525179856115</v>
      </c>
      <c r="AR11" s="105">
        <v>12.41</v>
      </c>
      <c r="AS11" s="102">
        <f t="shared" ref="AS11" si="25">AR11/AR$17</f>
        <v>0.31537484116899617</v>
      </c>
      <c r="AT11" s="9">
        <v>11.46</v>
      </c>
      <c r="AU11" s="102">
        <f t="shared" ref="AU11" si="26">AT11/AT$17</f>
        <v>0.33217391304347826</v>
      </c>
      <c r="AV11" s="101">
        <v>12.26</v>
      </c>
      <c r="AW11" s="409">
        <f t="shared" ref="AW11:BA11" si="27">AV11/AV$17</f>
        <v>0.32554434413170474</v>
      </c>
      <c r="AX11" s="9">
        <v>45.36</v>
      </c>
      <c r="AY11" s="102">
        <f t="shared" si="27"/>
        <v>0.22978723404255319</v>
      </c>
      <c r="AZ11" s="9">
        <v>50.6</v>
      </c>
      <c r="BA11" s="102">
        <f t="shared" si="27"/>
        <v>0.18852459016393444</v>
      </c>
      <c r="BB11" s="9">
        <v>23.58</v>
      </c>
      <c r="BC11" s="102">
        <f>BB11/BB$17</f>
        <v>0.2188195991091314</v>
      </c>
      <c r="BD11" s="9">
        <v>13</v>
      </c>
      <c r="BE11" s="102">
        <f>BD11/BD$17</f>
        <v>0.26661197703035278</v>
      </c>
      <c r="BF11" s="235">
        <v>12.6</v>
      </c>
      <c r="BG11" s="102">
        <f>BF11/BF$17</f>
        <v>0.27820710973724883</v>
      </c>
      <c r="BH11" s="235">
        <v>13.18</v>
      </c>
      <c r="BI11" s="654">
        <f>BH11/BH$17</f>
        <v>0.27729854828529349</v>
      </c>
      <c r="BJ11" s="235">
        <v>62.35</v>
      </c>
      <c r="BK11" s="861">
        <f>BJ11/BJ$17</f>
        <v>0.23090027034033259</v>
      </c>
      <c r="BL11" s="235">
        <v>50.68</v>
      </c>
      <c r="BM11" s="861">
        <f>BL11/BL$17</f>
        <v>0.22243679775280897</v>
      </c>
      <c r="BN11" s="235">
        <v>23.4</v>
      </c>
      <c r="BO11" s="861">
        <f>BN11/BN7</f>
        <v>0.45199922735174808</v>
      </c>
      <c r="BP11" s="235">
        <v>13.18</v>
      </c>
      <c r="BQ11" s="861">
        <f>BP11/BP7</f>
        <v>0.45307665864558266</v>
      </c>
      <c r="BR11" s="235">
        <f>2.16+7.55</f>
        <v>9.7100000000000009</v>
      </c>
      <c r="BS11" s="861">
        <f>BP11/BP7</f>
        <v>0.45307665864558266</v>
      </c>
      <c r="BT11" s="235">
        <f>13.08</f>
        <v>13.08</v>
      </c>
      <c r="BU11" s="654">
        <f>BR11/BR7</f>
        <v>0.34118060435699227</v>
      </c>
      <c r="BV11" s="235">
        <v>51.95</v>
      </c>
      <c r="BW11" s="861">
        <f>BV11/BV$17</f>
        <v>0.19128801826349512</v>
      </c>
      <c r="BX11" s="235">
        <v>67.36</v>
      </c>
      <c r="BY11" s="861">
        <f>BV11/BV7</f>
        <v>0.37492782909930716</v>
      </c>
      <c r="BZ11" s="1412">
        <v>21.25</v>
      </c>
      <c r="CA11" s="235"/>
      <c r="CB11" s="565">
        <f>BX11/BX7</f>
        <v>0.3753482670232921</v>
      </c>
      <c r="CC11" s="568">
        <f t="shared" si="13"/>
        <v>9.9742988151886447</v>
      </c>
      <c r="CD11" s="565">
        <f>BZ11/BZ7</f>
        <v>0.32981530343007914</v>
      </c>
      <c r="CE11" s="565"/>
      <c r="CF11" s="565">
        <f>CB11/CB7</f>
        <v>0.70181911731019697</v>
      </c>
      <c r="CG11" s="568">
        <f t="shared" ref="CG11:CG15" si="28">(CG$7)*CH11</f>
        <v>9.7871414031098496</v>
      </c>
      <c r="CH11" s="565">
        <f>CC11/CC7</f>
        <v>0.32981530343007914</v>
      </c>
      <c r="CI11" s="565"/>
      <c r="CJ11" s="565" t="e">
        <f>CE11/CE7</f>
        <v>#DIV/0!</v>
      </c>
      <c r="CK11" s="568">
        <f t="shared" si="14"/>
        <v>9.7871414031098496</v>
      </c>
      <c r="CL11" s="565">
        <f>CG11/CG7</f>
        <v>0.32981530343007914</v>
      </c>
      <c r="CM11" s="586">
        <f>CG11/CG7</f>
        <v>0.32981530343007914</v>
      </c>
      <c r="CN11" s="568">
        <f t="shared" ref="CN11:CN15" si="29">(CN$7)*CO11</f>
        <v>44.785577461844518</v>
      </c>
      <c r="CO11" s="568">
        <f>CK11/CK7</f>
        <v>0.32981530343007914</v>
      </c>
      <c r="CP11" s="568"/>
      <c r="CQ11" s="568"/>
      <c r="CR11" s="568"/>
      <c r="CS11" s="568"/>
      <c r="CT11" s="568"/>
      <c r="CU11" s="568"/>
      <c r="CV11" s="568"/>
      <c r="CW11" s="568"/>
      <c r="CX11" s="568"/>
      <c r="CY11" s="568"/>
      <c r="CZ11" s="568"/>
      <c r="DA11" s="568"/>
      <c r="DB11" s="568"/>
      <c r="DC11" s="568"/>
      <c r="DD11" s="568"/>
      <c r="DE11" s="568"/>
      <c r="DF11" s="568"/>
      <c r="DG11" s="568"/>
      <c r="DH11" s="568"/>
      <c r="DI11" s="568"/>
      <c r="DJ11" s="568"/>
      <c r="DK11" s="568"/>
      <c r="DL11" s="568"/>
      <c r="DM11" s="568"/>
      <c r="DN11" s="568"/>
      <c r="DO11" s="568"/>
      <c r="DP11" s="568"/>
      <c r="DQ11" s="568"/>
      <c r="DR11" s="568"/>
      <c r="DS11" s="568"/>
    </row>
    <row r="12" spans="1:123" s="343" customFormat="1">
      <c r="A12" s="9"/>
      <c r="B12" s="100">
        <f t="shared" si="9"/>
        <v>-0.11856220124506907</v>
      </c>
      <c r="C12" s="978" t="s">
        <v>875</v>
      </c>
      <c r="D12" s="371">
        <f t="shared" si="4"/>
        <v>19.559999999999995</v>
      </c>
      <c r="E12" s="371">
        <f t="shared" si="5"/>
        <v>-63.95</v>
      </c>
      <c r="F12" s="371">
        <f t="shared" si="10"/>
        <v>-81.879999999999981</v>
      </c>
      <c r="G12" s="371">
        <f t="shared" si="6"/>
        <v>3.580000000000001</v>
      </c>
      <c r="H12" s="371">
        <f t="shared" si="7"/>
        <v>13.020000000000001</v>
      </c>
      <c r="I12" s="815">
        <f t="shared" si="8"/>
        <v>43.599759130832716</v>
      </c>
      <c r="J12" s="815"/>
      <c r="K12" s="9"/>
      <c r="L12" s="612"/>
      <c r="M12" s="371"/>
      <c r="N12" s="371">
        <v>13.59</v>
      </c>
      <c r="O12" s="372">
        <f t="shared" si="15"/>
        <v>4.9950380416804496E-2</v>
      </c>
      <c r="P12" s="371">
        <v>6.6</v>
      </c>
      <c r="Q12" s="372">
        <f t="shared" si="15"/>
        <v>4.969131154946544E-2</v>
      </c>
      <c r="R12" s="371">
        <v>-1.46</v>
      </c>
      <c r="S12" s="372">
        <f t="shared" si="11"/>
        <v>-2.2161505768063146E-2</v>
      </c>
      <c r="T12" s="371">
        <v>-3.25</v>
      </c>
      <c r="U12" s="372">
        <f t="shared" ref="U12" si="30">T12/T$17</f>
        <v>-7.9481535827830768E-2</v>
      </c>
      <c r="V12" s="371">
        <v>-3.47</v>
      </c>
      <c r="W12" s="373">
        <v>-1.26</v>
      </c>
      <c r="X12" s="371">
        <v>-1.1000000000000001</v>
      </c>
      <c r="Y12" s="408">
        <f t="shared" si="12"/>
        <v>-1.116103097659021E-2</v>
      </c>
      <c r="Z12" s="371">
        <v>9.91</v>
      </c>
      <c r="AA12" s="372">
        <f t="shared" si="17"/>
        <v>2.662475484269633E-2</v>
      </c>
      <c r="AB12" s="371">
        <v>-3.05</v>
      </c>
      <c r="AC12" s="372">
        <f t="shared" si="17"/>
        <v>-5.9338521400778201E-2</v>
      </c>
      <c r="AD12" s="371">
        <v>-5.15</v>
      </c>
      <c r="AE12" s="372">
        <f t="shared" ref="AE12" si="31">AD12/AD$17</f>
        <v>-0.12823705179282871</v>
      </c>
      <c r="AF12" s="371">
        <v>-6.08</v>
      </c>
      <c r="AG12" s="372">
        <f t="shared" ref="AG12" si="32">AF12/AF$17</f>
        <v>-0.17356551527262346</v>
      </c>
      <c r="AH12" s="371">
        <v>-4.2699999999999996</v>
      </c>
      <c r="AI12" s="372">
        <f t="shared" ref="AI12" si="33">AH12/AH$17</f>
        <v>-0.24639353721869586</v>
      </c>
      <c r="AJ12" s="371">
        <v>-25.92</v>
      </c>
      <c r="AK12" s="408">
        <f t="shared" ref="AK12" si="34">AJ12/AJ$17</f>
        <v>-0.32242816270680436</v>
      </c>
      <c r="AL12" s="371">
        <v>-19.48</v>
      </c>
      <c r="AM12" s="372">
        <f t="shared" ref="AM12" si="35">AL12/AL$17</f>
        <v>-0.40189808128739429</v>
      </c>
      <c r="AN12" s="371">
        <v>-59</v>
      </c>
      <c r="AO12" s="372">
        <f t="shared" ref="AO12" si="36">AN12/AN$17</f>
        <v>-0.52453769559032726</v>
      </c>
      <c r="AP12" s="371">
        <v>-14.04</v>
      </c>
      <c r="AQ12" s="372">
        <f t="shared" ref="AQ12" si="37">AP12/AP$17</f>
        <v>-0.24049331963001025</v>
      </c>
      <c r="AR12" s="374">
        <v>-3.75</v>
      </c>
      <c r="AS12" s="372">
        <f t="shared" ref="AS12" si="38">AR12/AR$17</f>
        <v>-9.5298602287166453E-2</v>
      </c>
      <c r="AT12" s="343">
        <v>-4</v>
      </c>
      <c r="AU12" s="372">
        <f t="shared" ref="AU12" si="39">AT12/AT$17</f>
        <v>-0.11594202898550725</v>
      </c>
      <c r="AV12" s="371">
        <v>-3.85</v>
      </c>
      <c r="AW12" s="408">
        <f t="shared" ref="AW12:BM12" si="40">AV12/AV$17</f>
        <v>-0.10223048327137547</v>
      </c>
      <c r="AX12" s="343">
        <v>2.76</v>
      </c>
      <c r="AY12" s="372">
        <f t="shared" si="40"/>
        <v>1.3981762917933129E-2</v>
      </c>
      <c r="AZ12" s="343">
        <v>4.08</v>
      </c>
      <c r="BA12" s="372">
        <f t="shared" si="40"/>
        <v>1.5201192250372579E-2</v>
      </c>
      <c r="BB12" s="343">
        <v>-0.38</v>
      </c>
      <c r="BC12" s="372">
        <f t="shared" si="40"/>
        <v>-3.5263548626577584E-3</v>
      </c>
      <c r="BD12" s="343">
        <v>-3.27</v>
      </c>
      <c r="BE12" s="372">
        <f t="shared" si="40"/>
        <v>-6.7063166529942583E-2</v>
      </c>
      <c r="BF12" s="629">
        <v>-3.4</v>
      </c>
      <c r="BG12" s="372">
        <f t="shared" si="40"/>
        <v>-7.5071759770368729E-2</v>
      </c>
      <c r="BH12" s="629">
        <v>-3.25</v>
      </c>
      <c r="BI12" s="653">
        <f t="shared" si="40"/>
        <v>-6.8377866610561749E-2</v>
      </c>
      <c r="BJ12" s="629">
        <v>9.8000000000000007</v>
      </c>
      <c r="BK12" s="860">
        <f t="shared" si="40"/>
        <v>3.6292263822538244E-2</v>
      </c>
      <c r="BL12" s="629">
        <v>5.07</v>
      </c>
      <c r="BM12" s="860">
        <f t="shared" si="40"/>
        <v>2.2252457865168541E-2</v>
      </c>
      <c r="BN12" s="629">
        <v>7.0000000000000007E-2</v>
      </c>
      <c r="BO12" s="860">
        <f>BN12/BN7</f>
        <v>1.3521344407958279E-3</v>
      </c>
      <c r="BP12" s="629">
        <v>-2.84</v>
      </c>
      <c r="BQ12" s="860">
        <f>BP12/BP7</f>
        <v>-9.7628050876589892E-2</v>
      </c>
      <c r="BR12" s="629">
        <v>0</v>
      </c>
      <c r="BS12" s="860">
        <f>BP12/BP7</f>
        <v>-9.7628050876589892E-2</v>
      </c>
      <c r="BT12" s="629">
        <f>-2.75</f>
        <v>-2.75</v>
      </c>
      <c r="BU12" s="653">
        <f>BR12/BR7</f>
        <v>0</v>
      </c>
      <c r="BV12" s="629">
        <f>13.47</f>
        <v>13.47</v>
      </c>
      <c r="BW12" s="860">
        <f t="shared" ref="BW12:BW15" si="41">BV12/BV$17</f>
        <v>4.9598644966492383E-2</v>
      </c>
      <c r="BX12" s="629">
        <v>7.93</v>
      </c>
      <c r="BY12" s="860">
        <f>BV12/BV7</f>
        <v>9.7214203233256358E-2</v>
      </c>
      <c r="BZ12" s="1411">
        <v>7.93</v>
      </c>
      <c r="CA12" s="629"/>
      <c r="CB12" s="564">
        <f>BX12/BX7</f>
        <v>4.4188119915301458E-2</v>
      </c>
      <c r="CC12" s="567">
        <f t="shared" si="13"/>
        <v>3.7221736284445148</v>
      </c>
      <c r="CD12" s="564">
        <f>BZ12/BZ7</f>
        <v>0.12307931088002481</v>
      </c>
      <c r="CE12" s="564"/>
      <c r="CF12" s="564">
        <f>CB12/CB7</f>
        <v>8.2622114018258044E-2</v>
      </c>
      <c r="CG12" s="567">
        <f t="shared" si="28"/>
        <v>3.6523308859605224</v>
      </c>
      <c r="CH12" s="564">
        <f>CC12/CC7</f>
        <v>0.12307931088002481</v>
      </c>
      <c r="CI12" s="564"/>
      <c r="CJ12" s="564" t="e">
        <f>CE12/CE7</f>
        <v>#DIV/0!</v>
      </c>
      <c r="CK12" s="567">
        <f t="shared" si="14"/>
        <v>3.6523308859605224</v>
      </c>
      <c r="CL12" s="564">
        <f>CG12/CG7</f>
        <v>0.12307931088002481</v>
      </c>
      <c r="CM12" s="585">
        <f>CG12/CG7</f>
        <v>0.12307931088002481</v>
      </c>
      <c r="CN12" s="567">
        <f t="shared" si="29"/>
        <v>16.71292373046715</v>
      </c>
      <c r="CO12" s="567">
        <f>CK12/CK7</f>
        <v>0.12307931088002481</v>
      </c>
      <c r="CP12" s="567"/>
      <c r="CQ12" s="567"/>
      <c r="CR12" s="567"/>
      <c r="CS12" s="567"/>
      <c r="CT12" s="567"/>
      <c r="CU12" s="567"/>
      <c r="CV12" s="567"/>
      <c r="CW12" s="567"/>
      <c r="CX12" s="567"/>
      <c r="CY12" s="567"/>
      <c r="CZ12" s="567"/>
      <c r="DA12" s="567"/>
      <c r="DB12" s="567"/>
      <c r="DC12" s="567"/>
      <c r="DD12" s="567"/>
      <c r="DE12" s="567"/>
      <c r="DF12" s="567"/>
      <c r="DG12" s="567"/>
      <c r="DH12" s="567"/>
      <c r="DI12" s="567"/>
      <c r="DJ12" s="567"/>
      <c r="DK12" s="567"/>
      <c r="DL12" s="567"/>
      <c r="DM12" s="567"/>
      <c r="DN12" s="567"/>
      <c r="DO12" s="567"/>
      <c r="DP12" s="567"/>
      <c r="DQ12" s="567"/>
      <c r="DR12" s="567"/>
      <c r="DS12" s="567"/>
    </row>
    <row r="13" spans="1:123">
      <c r="B13" s="100">
        <f t="shared" si="9"/>
        <v>2.5004273100864054E-2</v>
      </c>
      <c r="C13" s="979" t="s">
        <v>876</v>
      </c>
      <c r="D13" s="101">
        <f t="shared" si="4"/>
        <v>113.45</v>
      </c>
      <c r="E13" s="101">
        <f t="shared" si="5"/>
        <v>0.45</v>
      </c>
      <c r="F13" s="101">
        <f t="shared" si="10"/>
        <v>0.45</v>
      </c>
      <c r="G13" s="101">
        <f t="shared" si="6"/>
        <v>0.9</v>
      </c>
      <c r="H13" s="101">
        <f t="shared" si="7"/>
        <v>0.45</v>
      </c>
      <c r="I13" s="816">
        <f t="shared" si="8"/>
        <v>0</v>
      </c>
      <c r="J13" s="816"/>
      <c r="L13" s="613"/>
      <c r="M13" s="101"/>
      <c r="N13" s="101">
        <v>53</v>
      </c>
      <c r="O13" s="102">
        <f t="shared" si="15"/>
        <v>0.1948028081008564</v>
      </c>
      <c r="P13" s="101">
        <v>0.45</v>
      </c>
      <c r="Q13" s="102">
        <f t="shared" si="15"/>
        <v>3.388043969281735E-3</v>
      </c>
      <c r="R13" s="101"/>
      <c r="S13" s="102">
        <f t="shared" si="11"/>
        <v>0</v>
      </c>
      <c r="T13" s="101"/>
      <c r="U13" s="102">
        <f t="shared" ref="U13" si="42">T13/T$17</f>
        <v>0</v>
      </c>
      <c r="V13" s="101"/>
      <c r="W13" s="103"/>
      <c r="X13" s="101">
        <v>60</v>
      </c>
      <c r="Y13" s="409">
        <f t="shared" si="12"/>
        <v>0.28375502482856463</v>
      </c>
      <c r="Z13" s="101"/>
      <c r="AA13" s="102">
        <f t="shared" si="17"/>
        <v>0</v>
      </c>
      <c r="AB13" s="101">
        <v>0.45</v>
      </c>
      <c r="AC13" s="102">
        <f t="shared" si="17"/>
        <v>8.7548638132295704E-3</v>
      </c>
      <c r="AD13" s="101"/>
      <c r="AE13" s="102">
        <f t="shared" ref="AE13" si="43">AD13/AD$17</f>
        <v>0</v>
      </c>
      <c r="AF13" s="101">
        <v>0</v>
      </c>
      <c r="AG13" s="102">
        <f t="shared" ref="AG13" si="44">AF13/AF$17</f>
        <v>0</v>
      </c>
      <c r="AH13" s="101">
        <v>0</v>
      </c>
      <c r="AI13" s="102">
        <f t="shared" ref="AI13" si="45">AH13/AH$17</f>
        <v>0</v>
      </c>
      <c r="AJ13" s="101">
        <v>0</v>
      </c>
      <c r="AK13" s="409">
        <f t="shared" ref="AK13" si="46">AJ13/AJ$17</f>
        <v>0</v>
      </c>
      <c r="AL13" s="101">
        <v>0</v>
      </c>
      <c r="AM13" s="102">
        <f t="shared" ref="AM13" si="47">AL13/AL$17</f>
        <v>0</v>
      </c>
      <c r="AN13" s="101">
        <v>0</v>
      </c>
      <c r="AO13" s="102">
        <f t="shared" ref="AO13" si="48">AN13/AN$17</f>
        <v>0</v>
      </c>
      <c r="AP13" s="101">
        <v>0.45</v>
      </c>
      <c r="AQ13" s="102">
        <f t="shared" ref="AQ13" si="49">AP13/AP$17</f>
        <v>7.7081192189105861E-3</v>
      </c>
      <c r="AR13" s="105">
        <v>0</v>
      </c>
      <c r="AS13" s="102">
        <f t="shared" ref="AS13" si="50">AR13/AR$17</f>
        <v>0</v>
      </c>
      <c r="AT13" s="9">
        <v>0</v>
      </c>
      <c r="AU13" s="102">
        <f t="shared" ref="AU13" si="51">AT13/AT$17</f>
        <v>0</v>
      </c>
      <c r="AV13" s="101">
        <v>0</v>
      </c>
      <c r="AW13" s="409">
        <f t="shared" ref="AW13:BM13" si="52">AV13/AV$17</f>
        <v>0</v>
      </c>
      <c r="AX13" s="9">
        <v>0</v>
      </c>
      <c r="AY13" s="102">
        <f t="shared" si="52"/>
        <v>0</v>
      </c>
      <c r="AZ13" s="9">
        <v>0.45</v>
      </c>
      <c r="BA13" s="102">
        <f t="shared" si="52"/>
        <v>1.6766020864381521E-3</v>
      </c>
      <c r="BB13" s="9">
        <v>0</v>
      </c>
      <c r="BC13" s="102">
        <f t="shared" si="52"/>
        <v>0</v>
      </c>
      <c r="BD13" s="9">
        <v>0</v>
      </c>
      <c r="BE13" s="102">
        <f t="shared" si="52"/>
        <v>0</v>
      </c>
      <c r="BF13" s="235">
        <v>0</v>
      </c>
      <c r="BG13" s="102">
        <f t="shared" si="52"/>
        <v>0</v>
      </c>
      <c r="BH13" s="235">
        <v>0</v>
      </c>
      <c r="BI13" s="654">
        <f t="shared" si="52"/>
        <v>0</v>
      </c>
      <c r="BJ13" s="235">
        <v>0.45</v>
      </c>
      <c r="BK13" s="861">
        <f t="shared" si="52"/>
        <v>1.6664815020553275E-3</v>
      </c>
      <c r="BL13" s="235">
        <v>0</v>
      </c>
      <c r="BM13" s="861">
        <f t="shared" si="52"/>
        <v>0</v>
      </c>
      <c r="BN13" s="235">
        <v>0</v>
      </c>
      <c r="BO13" s="861">
        <f>BN13/BN7</f>
        <v>0</v>
      </c>
      <c r="BP13" s="235">
        <v>0</v>
      </c>
      <c r="BQ13" s="861">
        <f>BP13/BP7</f>
        <v>0</v>
      </c>
      <c r="BR13" s="235">
        <f t="shared" ref="BR13" si="53">(BR$7)*BS13</f>
        <v>0</v>
      </c>
      <c r="BS13" s="861">
        <f>BP13/BP7</f>
        <v>0</v>
      </c>
      <c r="BT13" s="235">
        <f t="shared" ref="BT13" si="54">(BT$7)*BU13</f>
        <v>0</v>
      </c>
      <c r="BU13" s="654">
        <f>BR13/BR7</f>
        <v>0</v>
      </c>
      <c r="BV13" s="235">
        <v>0.45</v>
      </c>
      <c r="BW13" s="861">
        <f t="shared" si="41"/>
        <v>1.6569703218204581E-3</v>
      </c>
      <c r="BX13" s="235">
        <v>0</v>
      </c>
      <c r="BY13" s="861">
        <f>BV13/BV7</f>
        <v>3.2476905311778293E-3</v>
      </c>
      <c r="BZ13" s="1412">
        <f t="shared" ref="BZ13" si="55">(BZ$7)*CB13</f>
        <v>0</v>
      </c>
      <c r="CA13" s="235"/>
      <c r="CB13" s="565">
        <f>BX13/BX7</f>
        <v>0</v>
      </c>
      <c r="CC13" s="568">
        <f t="shared" si="13"/>
        <v>0</v>
      </c>
      <c r="CD13" s="565">
        <f>BZ13/BZ7</f>
        <v>0</v>
      </c>
      <c r="CE13" s="565"/>
      <c r="CF13" s="565">
        <f>CB13/CB7</f>
        <v>0</v>
      </c>
      <c r="CG13" s="568">
        <f t="shared" si="28"/>
        <v>0</v>
      </c>
      <c r="CH13" s="565">
        <f>CC13/CC7</f>
        <v>0</v>
      </c>
      <c r="CI13" s="565"/>
      <c r="CJ13" s="565" t="e">
        <f>CE13/CE7</f>
        <v>#DIV/0!</v>
      </c>
      <c r="CK13" s="568">
        <f t="shared" si="14"/>
        <v>0</v>
      </c>
      <c r="CL13" s="565">
        <f>CG13/CG7</f>
        <v>0</v>
      </c>
      <c r="CM13" s="586">
        <f>CG13/CG7</f>
        <v>0</v>
      </c>
      <c r="CN13" s="568">
        <f t="shared" si="29"/>
        <v>0</v>
      </c>
      <c r="CO13" s="568">
        <f>CK13/CK7</f>
        <v>0</v>
      </c>
      <c r="CP13" s="568"/>
      <c r="CQ13" s="568"/>
      <c r="CR13" s="568"/>
      <c r="CS13" s="568"/>
      <c r="CT13" s="568"/>
      <c r="CU13" s="568"/>
      <c r="CV13" s="568"/>
      <c r="CW13" s="568"/>
      <c r="CX13" s="568"/>
      <c r="CY13" s="568"/>
      <c r="CZ13" s="568"/>
      <c r="DA13" s="568"/>
      <c r="DB13" s="568"/>
      <c r="DC13" s="568"/>
      <c r="DD13" s="568"/>
      <c r="DE13" s="568"/>
      <c r="DF13" s="568"/>
      <c r="DG13" s="568"/>
      <c r="DH13" s="568"/>
      <c r="DI13" s="568"/>
      <c r="DJ13" s="568"/>
      <c r="DK13" s="568"/>
      <c r="DL13" s="568"/>
      <c r="DM13" s="568"/>
      <c r="DN13" s="568"/>
      <c r="DO13" s="568"/>
      <c r="DP13" s="568"/>
      <c r="DQ13" s="568"/>
      <c r="DR13" s="568"/>
      <c r="DS13" s="568"/>
    </row>
    <row r="14" spans="1:123" s="343" customFormat="1">
      <c r="A14" s="9"/>
      <c r="B14" s="100">
        <f t="shared" si="9"/>
        <v>0.11154861614988458</v>
      </c>
      <c r="C14" s="978" t="s">
        <v>877</v>
      </c>
      <c r="D14" s="371">
        <f t="shared" si="4"/>
        <v>160.41</v>
      </c>
      <c r="E14" s="371">
        <f t="shared" si="5"/>
        <v>32.6</v>
      </c>
      <c r="F14" s="371">
        <f t="shared" si="10"/>
        <v>55.53</v>
      </c>
      <c r="G14" s="371">
        <f t="shared" si="6"/>
        <v>75.289999999999992</v>
      </c>
      <c r="H14" s="371">
        <f t="shared" si="7"/>
        <v>73.41</v>
      </c>
      <c r="I14" s="815">
        <f t="shared" si="8"/>
        <v>87.971110466109764</v>
      </c>
      <c r="J14" s="815"/>
      <c r="K14" s="9"/>
      <c r="L14" s="612"/>
      <c r="M14" s="371"/>
      <c r="N14" s="371">
        <v>43.09</v>
      </c>
      <c r="O14" s="372">
        <f t="shared" si="15"/>
        <v>0.15837835851067741</v>
      </c>
      <c r="P14" s="371">
        <v>29.48</v>
      </c>
      <c r="Q14" s="372">
        <f t="shared" si="15"/>
        <v>0.22195452492094567</v>
      </c>
      <c r="R14" s="371">
        <v>10.199999999999999</v>
      </c>
      <c r="S14" s="372">
        <f t="shared" si="11"/>
        <v>0.15482695810564662</v>
      </c>
      <c r="T14" s="371">
        <v>3.74</v>
      </c>
      <c r="U14" s="372">
        <f t="shared" ref="U14" si="56">T14/T$17</f>
        <v>9.1464905844949873E-2</v>
      </c>
      <c r="V14" s="371">
        <v>2.72</v>
      </c>
      <c r="W14" s="373">
        <v>10.029999999999999</v>
      </c>
      <c r="X14" s="371">
        <v>5.0999999999999996</v>
      </c>
      <c r="Y14" s="408">
        <f t="shared" si="12"/>
        <v>7.1553558760936387E-2</v>
      </c>
      <c r="Z14" s="371">
        <v>56.05</v>
      </c>
      <c r="AA14" s="372">
        <f t="shared" si="17"/>
        <v>0.15058703420112302</v>
      </c>
      <c r="AB14" s="371">
        <v>4.7300000000000004</v>
      </c>
      <c r="AC14" s="372">
        <f t="shared" si="17"/>
        <v>9.2023346303501938E-2</v>
      </c>
      <c r="AD14" s="371">
        <v>2.98</v>
      </c>
      <c r="AE14" s="372">
        <f t="shared" ref="AE14" si="57">AD14/AD$17</f>
        <v>7.4203187250996019E-2</v>
      </c>
      <c r="AF14" s="371">
        <v>2.11</v>
      </c>
      <c r="AG14" s="372">
        <f t="shared" ref="AG14" si="58">AF14/AF$17</f>
        <v>6.0234085069940047E-2</v>
      </c>
      <c r="AH14" s="371">
        <v>1.24</v>
      </c>
      <c r="AI14" s="372">
        <f t="shared" ref="AI14" si="59">AH14/AH$17</f>
        <v>7.1552221581073272E-2</v>
      </c>
      <c r="AJ14" s="371">
        <v>11.39</v>
      </c>
      <c r="AK14" s="408">
        <f t="shared" ref="AK14" si="60">AJ14/AJ$17</f>
        <v>0.14168428909068292</v>
      </c>
      <c r="AL14" s="371">
        <v>10.15</v>
      </c>
      <c r="AM14" s="372">
        <f t="shared" ref="AM14" si="61">AL14/AL$17</f>
        <v>0.20940788116360637</v>
      </c>
      <c r="AN14" s="371">
        <v>15.26</v>
      </c>
      <c r="AO14" s="372">
        <f t="shared" ref="AO14" si="62">AN14/AN$17</f>
        <v>0.13566856330014226</v>
      </c>
      <c r="AP14" s="371">
        <v>7.7</v>
      </c>
      <c r="AQ14" s="372">
        <f t="shared" ref="AQ14" si="63">AP14/AP$17</f>
        <v>0.13189448441247001</v>
      </c>
      <c r="AR14" s="374">
        <v>2.2799999999999998</v>
      </c>
      <c r="AS14" s="372">
        <f t="shared" ref="AS14" si="64">AR14/AR$17</f>
        <v>5.7941550190597199E-2</v>
      </c>
      <c r="AT14" s="343">
        <v>1.4</v>
      </c>
      <c r="AU14" s="372">
        <f t="shared" ref="AU14" si="65">AT14/AT$17</f>
        <v>4.0579710144927533E-2</v>
      </c>
      <c r="AV14" s="371">
        <v>1.93</v>
      </c>
      <c r="AW14" s="408">
        <f t="shared" ref="AW14:BM14" si="66">AV14/AV$17</f>
        <v>5.1248008497079132E-2</v>
      </c>
      <c r="AX14" s="343">
        <v>26.96</v>
      </c>
      <c r="AY14" s="372">
        <f t="shared" si="66"/>
        <v>0.13657548125633232</v>
      </c>
      <c r="AZ14" s="343">
        <v>22.79</v>
      </c>
      <c r="BA14" s="372">
        <f t="shared" si="66"/>
        <v>8.4910581222056636E-2</v>
      </c>
      <c r="BB14" s="343">
        <v>10.16</v>
      </c>
      <c r="BC14" s="372">
        <f t="shared" si="66"/>
        <v>9.4283593170007438E-2</v>
      </c>
      <c r="BD14" s="343">
        <v>1.58</v>
      </c>
      <c r="BE14" s="372">
        <f t="shared" si="66"/>
        <v>3.2403609515996724E-2</v>
      </c>
      <c r="BF14" s="629">
        <v>1.23</v>
      </c>
      <c r="BG14" s="372">
        <f t="shared" si="66"/>
        <v>2.7158313093398102E-2</v>
      </c>
      <c r="BH14" s="629">
        <v>1.58</v>
      </c>
      <c r="BI14" s="653">
        <f t="shared" si="66"/>
        <v>3.3242162844519252E-2</v>
      </c>
      <c r="BJ14" s="629">
        <v>37.950000000000003</v>
      </c>
      <c r="BK14" s="860">
        <f t="shared" si="66"/>
        <v>0.14053994000666595</v>
      </c>
      <c r="BL14" s="629">
        <v>22.61</v>
      </c>
      <c r="BM14" s="860">
        <f t="shared" si="66"/>
        <v>9.9236306179775274E-2</v>
      </c>
      <c r="BN14" s="629">
        <v>9.98</v>
      </c>
      <c r="BO14" s="860">
        <f>BN14/BN7</f>
        <v>0.19277573884489085</v>
      </c>
      <c r="BP14" s="629">
        <v>1.93</v>
      </c>
      <c r="BQ14" s="860">
        <f>BP14/BP7</f>
        <v>6.6345823306978344E-2</v>
      </c>
      <c r="BR14" s="629">
        <v>1.4</v>
      </c>
      <c r="BS14" s="860">
        <f>BP14/BP7</f>
        <v>6.6345823306978344E-2</v>
      </c>
      <c r="BT14" s="629">
        <f>1.76</f>
        <v>1.76</v>
      </c>
      <c r="BU14" s="653">
        <f>BR14/BR7</f>
        <v>4.9191848208011237E-2</v>
      </c>
      <c r="BV14" s="629">
        <f>35.73</f>
        <v>35.729999999999997</v>
      </c>
      <c r="BW14" s="860">
        <f t="shared" si="41"/>
        <v>0.13156344355254437</v>
      </c>
      <c r="BX14" s="629">
        <v>32.06</v>
      </c>
      <c r="BY14" s="860">
        <f>BV14/BV7</f>
        <v>0.25786662817551959</v>
      </c>
      <c r="BZ14" s="1411">
        <v>12.43</v>
      </c>
      <c r="CA14" s="629"/>
      <c r="CB14" s="564">
        <f>BX14/BX7</f>
        <v>0.17864705226791486</v>
      </c>
      <c r="CC14" s="567">
        <f t="shared" si="13"/>
        <v>5.8343780834256398</v>
      </c>
      <c r="CD14" s="564">
        <f>BZ14/BZ7</f>
        <v>0.19292255160639452</v>
      </c>
      <c r="CE14" s="564"/>
      <c r="CF14" s="564">
        <f>CB14/CB7</f>
        <v>0.33403089223522736</v>
      </c>
      <c r="CG14" s="567">
        <f t="shared" si="28"/>
        <v>5.7249020066190788</v>
      </c>
      <c r="CH14" s="564">
        <f>CC14/CC7</f>
        <v>0.19292255160639452</v>
      </c>
      <c r="CI14" s="564"/>
      <c r="CJ14" s="564" t="e">
        <f>CE14/CE7</f>
        <v>#DIV/0!</v>
      </c>
      <c r="CK14" s="567">
        <f t="shared" si="14"/>
        <v>5.7249020066190788</v>
      </c>
      <c r="CL14" s="564">
        <f>CG14/CG7</f>
        <v>0.19292255160639452</v>
      </c>
      <c r="CM14" s="585">
        <f>CG14/CG7</f>
        <v>0.19292255160639452</v>
      </c>
      <c r="CN14" s="567">
        <f t="shared" si="29"/>
        <v>26.196928369445988</v>
      </c>
      <c r="CO14" s="567">
        <f>CK14/CK7</f>
        <v>0.19292255160639452</v>
      </c>
      <c r="CP14" s="567"/>
      <c r="CQ14" s="567"/>
      <c r="CR14" s="567"/>
      <c r="CS14" s="567"/>
      <c r="CT14" s="567"/>
      <c r="CU14" s="567"/>
      <c r="CV14" s="567"/>
      <c r="CW14" s="567"/>
      <c r="CX14" s="567"/>
      <c r="CY14" s="567"/>
      <c r="CZ14" s="567"/>
      <c r="DA14" s="567"/>
      <c r="DB14" s="567"/>
      <c r="DC14" s="567"/>
      <c r="DD14" s="567"/>
      <c r="DE14" s="567"/>
      <c r="DF14" s="567"/>
      <c r="DG14" s="567"/>
      <c r="DH14" s="567"/>
      <c r="DI14" s="567"/>
      <c r="DJ14" s="567"/>
      <c r="DK14" s="567"/>
      <c r="DL14" s="567"/>
      <c r="DM14" s="567"/>
      <c r="DN14" s="567"/>
      <c r="DO14" s="567"/>
      <c r="DP14" s="567"/>
      <c r="DQ14" s="567"/>
      <c r="DR14" s="567"/>
      <c r="DS14" s="567"/>
    </row>
    <row r="15" spans="1:123">
      <c r="B15" s="100">
        <f t="shared" si="9"/>
        <v>7.6929537583360394E-2</v>
      </c>
      <c r="C15" s="979" t="s">
        <v>878</v>
      </c>
      <c r="D15" s="101">
        <f t="shared" si="4"/>
        <v>111.44000000000001</v>
      </c>
      <c r="E15" s="101">
        <f t="shared" si="5"/>
        <v>13.07</v>
      </c>
      <c r="F15" s="101">
        <f t="shared" si="10"/>
        <v>22.910000000000004</v>
      </c>
      <c r="G15" s="101">
        <f t="shared" si="6"/>
        <v>96.25</v>
      </c>
      <c r="H15" s="101">
        <f t="shared" si="7"/>
        <v>91.31</v>
      </c>
      <c r="I15" s="816">
        <f t="shared" si="8"/>
        <v>97.417266615121804</v>
      </c>
      <c r="J15" s="816"/>
      <c r="L15" s="614"/>
      <c r="M15" s="101"/>
      <c r="N15" s="101">
        <v>32.450000000000003</v>
      </c>
      <c r="O15" s="102">
        <f t="shared" si="15"/>
        <v>0.1192707759032602</v>
      </c>
      <c r="P15" s="101">
        <v>15.65</v>
      </c>
      <c r="Q15" s="102">
        <f t="shared" si="15"/>
        <v>0.11782864026502034</v>
      </c>
      <c r="R15" s="101">
        <v>11.88</v>
      </c>
      <c r="S15" s="102">
        <f t="shared" si="11"/>
        <v>0.18032786885245905</v>
      </c>
      <c r="T15" s="101">
        <v>7.37</v>
      </c>
      <c r="U15" s="102">
        <f t="shared" ref="U15" si="67">T15/T$17</f>
        <v>0.18023966740034239</v>
      </c>
      <c r="V15" s="101">
        <v>6.67</v>
      </c>
      <c r="W15" s="103">
        <v>2.2200000000000002</v>
      </c>
      <c r="X15" s="101">
        <v>17.48</v>
      </c>
      <c r="Y15" s="409">
        <f t="shared" si="12"/>
        <v>9.3166233152045391E-2</v>
      </c>
      <c r="Z15" s="101">
        <v>17.72</v>
      </c>
      <c r="AA15" s="102">
        <f t="shared" si="17"/>
        <v>4.7607533381693129E-2</v>
      </c>
      <c r="AB15" s="101">
        <v>2.52</v>
      </c>
      <c r="AC15" s="102">
        <f t="shared" si="17"/>
        <v>4.9027237354085595E-2</v>
      </c>
      <c r="AD15" s="101">
        <v>1.91</v>
      </c>
      <c r="AE15" s="102">
        <f t="shared" ref="AE15" si="68">AD15/AD$17</f>
        <v>4.7559760956175298E-2</v>
      </c>
      <c r="AF15" s="101">
        <v>1.67</v>
      </c>
      <c r="AG15" s="102">
        <f t="shared" ref="AG15" si="69">AF15/AF$17</f>
        <v>4.7673422780473873E-2</v>
      </c>
      <c r="AH15" s="101">
        <v>0.83</v>
      </c>
      <c r="AI15" s="102">
        <f t="shared" ref="AI15" si="70">AH15/AH$17</f>
        <v>4.7893825735718397E-2</v>
      </c>
      <c r="AJ15" s="101">
        <v>3.83</v>
      </c>
      <c r="AK15" s="409">
        <f t="shared" ref="AK15" si="71">AJ15/AJ$17</f>
        <v>4.7642741634531659E-2</v>
      </c>
      <c r="AL15" s="101">
        <v>2.31</v>
      </c>
      <c r="AM15" s="102">
        <f t="shared" ref="AM15" si="72">AL15/AL$17</f>
        <v>4.7658345368269038E-2</v>
      </c>
      <c r="AN15" s="101">
        <v>5.36</v>
      </c>
      <c r="AO15" s="102">
        <f t="shared" ref="AO15" si="73">AN15/AN$17</f>
        <v>4.765291607396871E-2</v>
      </c>
      <c r="AP15" s="101">
        <v>2.85</v>
      </c>
      <c r="AQ15" s="102">
        <f t="shared" ref="AQ15" si="74">AP15/AP$17</f>
        <v>4.8818088386433707E-2</v>
      </c>
      <c r="AR15" s="105">
        <v>1.87</v>
      </c>
      <c r="AS15" s="102">
        <f t="shared" ref="AS15" si="75">AR15/AR$17</f>
        <v>4.7522236340533673E-2</v>
      </c>
      <c r="AT15" s="9">
        <v>1.64</v>
      </c>
      <c r="AU15" s="102">
        <f t="shared" ref="AU15" si="76">AT15/AT$17</f>
        <v>4.7536231884057971E-2</v>
      </c>
      <c r="AV15" s="101">
        <v>1.79</v>
      </c>
      <c r="AW15" s="409">
        <f t="shared" ref="AW15:BM15" si="77">AV15/AV$17</f>
        <v>4.7530536378120027E-2</v>
      </c>
      <c r="AX15" s="9">
        <v>9.4</v>
      </c>
      <c r="AY15" s="102">
        <f t="shared" si="77"/>
        <v>4.7619047619047616E-2</v>
      </c>
      <c r="AZ15" s="9">
        <v>27.81</v>
      </c>
      <c r="BA15" s="102">
        <f t="shared" si="77"/>
        <v>0.10361400894187779</v>
      </c>
      <c r="BB15" s="9">
        <v>13.19</v>
      </c>
      <c r="BC15" s="102">
        <f t="shared" si="77"/>
        <v>0.12240163325909428</v>
      </c>
      <c r="BD15" s="9">
        <v>7.85</v>
      </c>
      <c r="BE15" s="102">
        <f t="shared" si="77"/>
        <v>0.16099261689909763</v>
      </c>
      <c r="BF15" s="235">
        <v>7.53</v>
      </c>
      <c r="BG15" s="102">
        <f t="shared" si="77"/>
        <v>0.16626186796202252</v>
      </c>
      <c r="BH15" s="235">
        <v>7.74</v>
      </c>
      <c r="BI15" s="654">
        <f t="shared" si="77"/>
        <v>0.16284451925099938</v>
      </c>
      <c r="BJ15" s="235">
        <v>32.130000000000003</v>
      </c>
      <c r="BK15" s="861">
        <f t="shared" si="77"/>
        <v>0.11898677924675038</v>
      </c>
      <c r="BL15" s="235">
        <v>24.13</v>
      </c>
      <c r="BM15" s="861">
        <f t="shared" si="77"/>
        <v>0.10590765449438201</v>
      </c>
      <c r="BN15" s="235">
        <v>12.15</v>
      </c>
      <c r="BO15" s="861">
        <f>BN15/BN7</f>
        <v>0.23469190650956151</v>
      </c>
      <c r="BP15" s="235">
        <v>7.92</v>
      </c>
      <c r="BQ15" s="861">
        <f>BP15/BP7</f>
        <v>0.27225850807837743</v>
      </c>
      <c r="BR15" s="235">
        <v>7.74</v>
      </c>
      <c r="BS15" s="861">
        <f>BP15/BP7</f>
        <v>0.27225850807837743</v>
      </c>
      <c r="BT15" s="235">
        <f>6.94+1.01</f>
        <v>7.95</v>
      </c>
      <c r="BU15" s="654">
        <f>BR15/BR7</f>
        <v>0.27196064652143359</v>
      </c>
      <c r="BV15" s="235">
        <v>31.42</v>
      </c>
      <c r="BW15" s="861">
        <f t="shared" si="41"/>
        <v>0.1156933500257751</v>
      </c>
      <c r="BX15" s="235">
        <f>7.02+25.49</f>
        <v>32.51</v>
      </c>
      <c r="BY15" s="861">
        <f>BV15/BV7</f>
        <v>0.22676096997690531</v>
      </c>
      <c r="BZ15" s="1412">
        <v>14.43</v>
      </c>
      <c r="CA15" s="235"/>
      <c r="CB15" s="565">
        <f>BX15/BX7</f>
        <v>0.18115457483561795</v>
      </c>
      <c r="CC15" s="568">
        <f t="shared" si="13"/>
        <v>6.7731356189728054</v>
      </c>
      <c r="CD15" s="565">
        <f>BZ15/BZ7</f>
        <v>0.22396399192922548</v>
      </c>
      <c r="CE15" s="565"/>
      <c r="CF15" s="565">
        <f>CB15/CB7</f>
        <v>0.33871941068519157</v>
      </c>
      <c r="CG15" s="568">
        <f t="shared" si="28"/>
        <v>6.6460447269117688</v>
      </c>
      <c r="CH15" s="565">
        <f>CC15/CC7</f>
        <v>0.22396399192922545</v>
      </c>
      <c r="CI15" s="565"/>
      <c r="CJ15" s="565" t="e">
        <f>CE15/CE7</f>
        <v>#DIV/0!</v>
      </c>
      <c r="CK15" s="568">
        <f t="shared" si="14"/>
        <v>6.6460447269117688</v>
      </c>
      <c r="CL15" s="565">
        <f>CG15/CG7</f>
        <v>0.22396399192922545</v>
      </c>
      <c r="CM15" s="586">
        <f>CG15/CG7</f>
        <v>0.22396399192922545</v>
      </c>
      <c r="CN15" s="568">
        <f t="shared" si="29"/>
        <v>30.412041542325468</v>
      </c>
      <c r="CO15" s="568">
        <f>CK15/CK7</f>
        <v>0.22396399192922545</v>
      </c>
      <c r="CP15" s="568"/>
      <c r="CQ15" s="568"/>
      <c r="CR15" s="568"/>
      <c r="CS15" s="568"/>
      <c r="CT15" s="568"/>
      <c r="CU15" s="568"/>
      <c r="CV15" s="568"/>
      <c r="CW15" s="568"/>
      <c r="CX15" s="568"/>
      <c r="CY15" s="568"/>
      <c r="CZ15" s="568"/>
      <c r="DA15" s="568"/>
      <c r="DB15" s="568"/>
      <c r="DC15" s="568"/>
      <c r="DD15" s="568"/>
      <c r="DE15" s="568"/>
      <c r="DF15" s="568"/>
      <c r="DG15" s="568"/>
      <c r="DH15" s="568"/>
      <c r="DI15" s="568"/>
      <c r="DJ15" s="568"/>
      <c r="DK15" s="568"/>
      <c r="DL15" s="568"/>
      <c r="DM15" s="568"/>
      <c r="DN15" s="568"/>
      <c r="DO15" s="568"/>
      <c r="DP15" s="568"/>
      <c r="DQ15" s="568"/>
      <c r="DR15" s="568"/>
      <c r="DS15" s="568"/>
    </row>
    <row r="16" spans="1:123" s="375" customFormat="1">
      <c r="A16" s="9"/>
      <c r="B16" s="902">
        <f>AVERAGEA(N16:BB16)</f>
        <v>0.31811570947038842</v>
      </c>
      <c r="C16" s="980" t="s">
        <v>879</v>
      </c>
      <c r="D16" s="376">
        <f>AVERAGE(N16,P16,R16,T16,V16,W16,X16,Z16)</f>
        <v>0.45183775543775018</v>
      </c>
      <c r="E16" s="376">
        <f>AVERAGE(AB16,AD16,AF16,AH16,AJ16,AL16)</f>
        <v>0.20576665360175098</v>
      </c>
      <c r="F16" s="376">
        <f>AVERAGE(AN16,AP16,AR16,AT16,AV16,AX16)</f>
        <v>0.22810536298239803</v>
      </c>
      <c r="G16" s="376">
        <f>AVERAGE(AZ16,BB16,BD16,BF16,BH16,BJ16)</f>
        <v>0.41147690458613329</v>
      </c>
      <c r="H16" s="376">
        <f>AVERAGE(BL16,BN16,BP16,BR16,BT16,BV16)</f>
        <v>0.43148632535343284</v>
      </c>
      <c r="I16" s="817">
        <f>AVERAGE(BX16,BZ16,CC16,CG16,CK16,CN16)</f>
        <v>0.39999999999999997</v>
      </c>
      <c r="J16" s="1058"/>
      <c r="K16" s="9"/>
      <c r="L16" s="615"/>
      <c r="M16" s="376"/>
      <c r="N16" s="376">
        <f>SUM(N10:N15)/(N17)</f>
        <v>0.61873782482449358</v>
      </c>
      <c r="O16" s="376"/>
      <c r="P16" s="376">
        <f>SUM(P10:P15)/(P17)</f>
        <v>0.53305225116699295</v>
      </c>
      <c r="Q16" s="376"/>
      <c r="R16" s="376">
        <f>SUM(R10:R15)/(R17)</f>
        <v>0.47024893746205221</v>
      </c>
      <c r="S16" s="376"/>
      <c r="T16" s="376">
        <f>SUM(T10:T15)/(T17)</f>
        <v>0.37710931768158479</v>
      </c>
      <c r="U16" s="376"/>
      <c r="V16" s="376">
        <f>SUM(V10:V15)/(V17)</f>
        <v>0.35216216216216217</v>
      </c>
      <c r="W16" s="377">
        <f>SUM(W10:W15)/(W17)</f>
        <v>0.41642591828312009</v>
      </c>
      <c r="X16" s="376">
        <f>SUM(X10:X15)/(X17)</f>
        <v>0.54702742499539847</v>
      </c>
      <c r="Y16" s="410"/>
      <c r="Z16" s="376">
        <f>SUM(Z10:Z15)/(Z17)</f>
        <v>0.2999382069261976</v>
      </c>
      <c r="AA16" s="376"/>
      <c r="AB16" s="376">
        <f>SUM(AB10:AB15)/(AB17)</f>
        <v>0.30758754863813226</v>
      </c>
      <c r="AC16" s="376"/>
      <c r="AD16" s="376">
        <f>SUM(AD10:AD15)/(AD17)</f>
        <v>0.25547808764940239</v>
      </c>
      <c r="AE16" s="376"/>
      <c r="AF16" s="376">
        <f>SUM(AF10:AF15)/(AF17)</f>
        <v>0.22980302597773339</v>
      </c>
      <c r="AG16" s="376"/>
      <c r="AH16" s="376">
        <f>SUM(AH10:AH15)/(AH17)</f>
        <v>0.18811309867282172</v>
      </c>
      <c r="AI16" s="376"/>
      <c r="AJ16" s="376">
        <f>SUM(AJ10:AJ15)/(AJ17)</f>
        <v>0.15623833810175392</v>
      </c>
      <c r="AK16" s="410"/>
      <c r="AL16" s="376">
        <f>SUM(AL10:AL15)/(AL17)</f>
        <v>9.7379822570662244E-2</v>
      </c>
      <c r="AM16" s="378"/>
      <c r="AN16" s="376">
        <f>SUM(AN10:AN15)/(AN17)</f>
        <v>-0.10784139402560458</v>
      </c>
      <c r="AO16" s="378"/>
      <c r="AP16" s="376">
        <f>SUM(AP10:AP15)/(AP17)</f>
        <v>0.21205892428914011</v>
      </c>
      <c r="AQ16" s="378"/>
      <c r="AR16" s="376">
        <f>SUM(AR10:AR15)/(AR17)</f>
        <v>0.29631512071156291</v>
      </c>
      <c r="AS16" s="378"/>
      <c r="AT16" s="376">
        <f>SUM(AT10:AT15)/(AT17)</f>
        <v>0.28347826086956524</v>
      </c>
      <c r="AU16" s="378"/>
      <c r="AV16" s="376">
        <f>SUM(AV10:AV15)/(AV17)</f>
        <v>0.29607010090281466</v>
      </c>
      <c r="AW16" s="410"/>
      <c r="AX16" s="376">
        <f>SUM(AX10:AX15)/(AX17)</f>
        <v>0.38855116514690985</v>
      </c>
      <c r="AY16" s="378"/>
      <c r="AZ16" s="378">
        <f>SUM(AZ10:AZ15)/(AZ17)</f>
        <v>0.36672876304023849</v>
      </c>
      <c r="BA16" s="378"/>
      <c r="BB16" s="378">
        <f>SUM(BB10:BB15)/(BB17)</f>
        <v>0.41388270230141061</v>
      </c>
      <c r="BC16" s="378"/>
      <c r="BD16" s="378">
        <f>SUM(BD10:BD15)/(BD17)</f>
        <v>0.38679245283018876</v>
      </c>
      <c r="BE16" s="378"/>
      <c r="BF16" s="630">
        <f>SUM(BF10:BF15)/(BF17)</f>
        <v>0.3928019430337823</v>
      </c>
      <c r="BG16" s="378"/>
      <c r="BH16" s="630">
        <f>SUM(BH10:BH15)/(BH17)</f>
        <v>0.40037870818430465</v>
      </c>
      <c r="BI16" s="410"/>
      <c r="BJ16" s="630">
        <f>SUM(BJ10:BJ15)/(BJ17)</f>
        <v>0.50827685812687484</v>
      </c>
      <c r="BK16" s="630"/>
      <c r="BL16" s="630">
        <f>SUM(BL10:BL15)/(BL17)</f>
        <v>0.426439606741573</v>
      </c>
      <c r="BM16" s="630"/>
      <c r="BN16" s="630">
        <f>SUM(BN10:BN15)/(BN17)</f>
        <v>0.46067298676945512</v>
      </c>
      <c r="BO16" s="630"/>
      <c r="BP16" s="630">
        <f>SUM(BP10:BP15)/(BP17)</f>
        <v>0.40969967532467527</v>
      </c>
      <c r="BQ16" s="797"/>
      <c r="BR16" s="630">
        <f>SUM(BR10:BR15)/(BR17)</f>
        <v>0.39843584865778908</v>
      </c>
      <c r="BS16" s="797"/>
      <c r="BT16" s="630">
        <f>SUM(BT10:BT15)/(BT17)</f>
        <v>0.40386940749697703</v>
      </c>
      <c r="BU16" s="798"/>
      <c r="BV16" s="630">
        <f>SUM(BV10:BV15)/(BV17)</f>
        <v>0.48980042713012739</v>
      </c>
      <c r="BW16" s="378"/>
      <c r="BX16" s="630">
        <v>0.4</v>
      </c>
      <c r="BY16" s="378"/>
      <c r="BZ16" s="1413">
        <v>0.4</v>
      </c>
      <c r="CA16" s="630"/>
      <c r="CB16" s="378"/>
      <c r="CC16" s="797">
        <v>0.4</v>
      </c>
      <c r="CD16" s="378"/>
      <c r="CE16" s="378"/>
      <c r="CF16" s="378"/>
      <c r="CG16" s="797">
        <v>0.4</v>
      </c>
      <c r="CH16" s="378"/>
      <c r="CI16" s="378"/>
      <c r="CJ16" s="378"/>
      <c r="CK16" s="797">
        <v>0.4</v>
      </c>
      <c r="CL16" s="797"/>
      <c r="CM16" s="798"/>
      <c r="CN16" s="797">
        <v>0.4</v>
      </c>
      <c r="CO16" s="378"/>
      <c r="CP16" s="378"/>
      <c r="CQ16" s="378"/>
      <c r="CR16" s="378"/>
      <c r="CS16" s="378"/>
      <c r="CT16" s="378"/>
      <c r="CU16" s="378"/>
      <c r="CV16" s="378"/>
      <c r="CW16" s="378"/>
      <c r="CX16" s="378"/>
      <c r="CY16" s="378"/>
      <c r="CZ16" s="378"/>
      <c r="DA16" s="378"/>
      <c r="DB16" s="378"/>
      <c r="DC16" s="378"/>
      <c r="DD16" s="378"/>
      <c r="DE16" s="378"/>
      <c r="DF16" s="378"/>
      <c r="DG16" s="378"/>
      <c r="DH16" s="378"/>
      <c r="DI16" s="378"/>
      <c r="DJ16" s="378"/>
      <c r="DK16" s="378"/>
      <c r="DL16" s="378"/>
      <c r="DM16" s="378"/>
      <c r="DN16" s="378"/>
      <c r="DO16" s="378"/>
      <c r="DP16" s="378"/>
      <c r="DQ16" s="378"/>
      <c r="DR16" s="378"/>
      <c r="DS16" s="378"/>
    </row>
    <row r="17" spans="1:123">
      <c r="C17" s="982" t="s">
        <v>79</v>
      </c>
      <c r="D17" s="108">
        <f>N17+P17+R17+T17+V17+W17+X17+Z17</f>
        <v>1132.32</v>
      </c>
      <c r="E17" s="108">
        <f>AB17+AD17+AF17+AH17+AJ17+AL17</f>
        <v>272.77999999999997</v>
      </c>
      <c r="F17" s="108">
        <f>AN17+AP17+AR17+AT17+AV17+AX17</f>
        <v>479.77</v>
      </c>
      <c r="G17" s="108">
        <f>AZ17+BB17+BD17+BF17+BH17+BJ17</f>
        <v>787.77</v>
      </c>
      <c r="H17" s="108">
        <f>BL17+BN17+BP17+BR17+BT17+BV17</f>
        <v>741.62</v>
      </c>
      <c r="I17" s="110">
        <f>CN17+BX17+BZ17+CC17+CG17+CK17</f>
        <v>861.2034656357398</v>
      </c>
      <c r="J17" s="110"/>
      <c r="L17" s="616"/>
      <c r="M17" s="108"/>
      <c r="N17" s="108">
        <f>SUM(N10:N15)+N7</f>
        <v>272.07</v>
      </c>
      <c r="O17" s="108"/>
      <c r="P17" s="108">
        <f>SUM(P10:P15)+P7</f>
        <v>132.82</v>
      </c>
      <c r="Q17" s="108"/>
      <c r="R17" s="108">
        <f>SUM(R10:R15)+R7</f>
        <v>65.88</v>
      </c>
      <c r="S17" s="108"/>
      <c r="T17" s="108">
        <f>SUM(T10:T15)+T7</f>
        <v>40.89</v>
      </c>
      <c r="U17" s="108"/>
      <c r="V17" s="108">
        <f>SUM(V10:V15)+V7</f>
        <v>37</v>
      </c>
      <c r="W17" s="109">
        <f>SUM(W10:W15)+W7</f>
        <v>48.46</v>
      </c>
      <c r="X17" s="108">
        <f>SUM(X10:X15)+X7</f>
        <v>162.99</v>
      </c>
      <c r="Y17" s="411"/>
      <c r="Z17" s="108">
        <f>SUM(Z10:Z15)+Z7</f>
        <v>372.21</v>
      </c>
      <c r="AA17" s="108"/>
      <c r="AB17" s="108">
        <f>SUM(AB10:AB15)+AB7</f>
        <v>51.400000000000006</v>
      </c>
      <c r="AC17" s="108"/>
      <c r="AD17" s="108">
        <f>SUM(AD10:AD15)+AD7</f>
        <v>40.159999999999997</v>
      </c>
      <c r="AE17" s="108"/>
      <c r="AF17" s="108">
        <f>SUM(AF10:AF15)+AF7</f>
        <v>35.03</v>
      </c>
      <c r="AG17" s="108"/>
      <c r="AH17" s="108">
        <f>SUM(AH10:AH15)+AH7</f>
        <v>17.330000000000002</v>
      </c>
      <c r="AI17" s="108"/>
      <c r="AJ17" s="108">
        <f>SUM(AJ10:AJ15)+AJ7</f>
        <v>80.39</v>
      </c>
      <c r="AK17" s="265"/>
      <c r="AL17" s="108">
        <f>SUM(AL10:AL15)+AL7</f>
        <v>48.47</v>
      </c>
      <c r="AM17" s="19"/>
      <c r="AN17" s="108">
        <f>SUM(AN10:AN15)+AN7</f>
        <v>112.47999999999999</v>
      </c>
      <c r="AO17" s="19"/>
      <c r="AP17" s="108">
        <f>SUM(AP10:AP15)+AP7</f>
        <v>58.38</v>
      </c>
      <c r="AQ17" s="110"/>
      <c r="AR17" s="108">
        <f>SUM(AR10:AR15)+AR7</f>
        <v>39.35</v>
      </c>
      <c r="AS17" s="19"/>
      <c r="AT17" s="108">
        <f>SUM(AT10:AT15)+AT7</f>
        <v>34.5</v>
      </c>
      <c r="AU17" s="19"/>
      <c r="AV17" s="108">
        <f>SUM(AV10:AV15)+AV7</f>
        <v>37.659999999999997</v>
      </c>
      <c r="AW17" s="265"/>
      <c r="AX17" s="108">
        <f>SUM(AX10:AX15)+AX7</f>
        <v>197.4</v>
      </c>
      <c r="AY17" s="110"/>
      <c r="AZ17" s="108">
        <f>SUM(AZ10:AZ15)+AZ7</f>
        <v>268.39999999999998</v>
      </c>
      <c r="BA17" s="110"/>
      <c r="BB17" s="108">
        <f>SUM(BB10:BB15)+BB7</f>
        <v>107.75999999999999</v>
      </c>
      <c r="BC17" s="110"/>
      <c r="BD17" s="108">
        <f>SUM(BD8:BD15)</f>
        <v>48.759999999999991</v>
      </c>
      <c r="BE17" s="110"/>
      <c r="BF17" s="631">
        <f>BF7+SUM(BF10:BF15)</f>
        <v>45.29</v>
      </c>
      <c r="BG17" s="110"/>
      <c r="BH17" s="631">
        <f>BH7+SUM(BH10:BH15)</f>
        <v>47.53</v>
      </c>
      <c r="BI17" s="265"/>
      <c r="BJ17" s="631">
        <f>BJ7+SUM(BJ10:BJ15)</f>
        <v>270.02999999999997</v>
      </c>
      <c r="BK17" s="631"/>
      <c r="BL17" s="631">
        <f>BL7+SUM(BL10:BL15)</f>
        <v>227.84</v>
      </c>
      <c r="BM17" s="631"/>
      <c r="BN17" s="631">
        <f>BN7+SUM(BN10:BN15)</f>
        <v>95.990000000000009</v>
      </c>
      <c r="BO17" s="631"/>
      <c r="BP17" s="631">
        <f>BP7+SUM(BP10:BP15)</f>
        <v>49.28</v>
      </c>
      <c r="BQ17" s="110"/>
      <c r="BR17" s="631">
        <f>BR7+SUM(BR10:BR15)</f>
        <v>47.31</v>
      </c>
      <c r="BS17" s="110"/>
      <c r="BT17" s="631">
        <f>BT7+SUM(BT10:BT15)</f>
        <v>49.62</v>
      </c>
      <c r="BU17" s="415"/>
      <c r="BV17" s="631">
        <f>BV7+SUM(BV10:BV15)</f>
        <v>271.58</v>
      </c>
      <c r="BW17" s="110"/>
      <c r="BX17" s="631">
        <f>BX7+SUM(BX10:BX15)</f>
        <v>319.32</v>
      </c>
      <c r="BY17" s="110"/>
      <c r="BZ17" s="1414">
        <f>BZ7+SUM(BZ10:BZ15)</f>
        <v>120.47</v>
      </c>
      <c r="CA17" s="631"/>
      <c r="CB17" s="110"/>
      <c r="CC17" s="110">
        <f>CC7+SUM(CC10:CC15)</f>
        <v>56.546060153683577</v>
      </c>
      <c r="CD17" s="110"/>
      <c r="CE17" s="110"/>
      <c r="CF17" s="110"/>
      <c r="CG17" s="110">
        <f>CG7+SUM(CG10:CG15)</f>
        <v>55.485031756830281</v>
      </c>
      <c r="CH17" s="110"/>
      <c r="CI17" s="110"/>
      <c r="CJ17" s="110"/>
      <c r="CK17" s="110">
        <f>CK7+SUM(CK10:CK15)</f>
        <v>55.485031756830281</v>
      </c>
      <c r="CL17" s="110"/>
      <c r="CM17" s="415"/>
      <c r="CN17" s="110">
        <f>CN7+SUM(CN10:CN15)</f>
        <v>253.89734196839569</v>
      </c>
      <c r="CO17" s="110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0"/>
      <c r="DA17" s="110"/>
      <c r="DB17" s="110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0"/>
      <c r="DN17" s="110"/>
      <c r="DO17" s="110"/>
      <c r="DP17" s="110"/>
      <c r="DQ17" s="110"/>
      <c r="DR17" s="110"/>
      <c r="DS17" s="110"/>
    </row>
    <row r="18" spans="1:123">
      <c r="C18" s="981"/>
      <c r="H18" s="117"/>
      <c r="I18" s="117"/>
      <c r="J18" s="117"/>
      <c r="L18" s="616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9"/>
      <c r="X18" s="108"/>
      <c r="Y18" s="411"/>
      <c r="Z18" s="108"/>
      <c r="AA18" s="108"/>
      <c r="AB18" s="111"/>
      <c r="AC18" s="108"/>
      <c r="AD18" s="108"/>
      <c r="AE18" s="108"/>
      <c r="AF18" s="108"/>
      <c r="AG18" s="108"/>
      <c r="AH18" s="108"/>
      <c r="AI18" s="108"/>
      <c r="AJ18" s="108"/>
      <c r="AK18" s="290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08"/>
      <c r="AW18" s="290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90"/>
      <c r="BJ18" s="291"/>
      <c r="BK18" s="291"/>
      <c r="BL18" s="291"/>
      <c r="BM18" s="291"/>
      <c r="BN18" s="291"/>
      <c r="BO18" s="291"/>
      <c r="BP18" s="291"/>
      <c r="BR18" s="19"/>
      <c r="BS18" s="19"/>
      <c r="BT18" s="19"/>
      <c r="BU18" s="290"/>
      <c r="BV18" s="291"/>
      <c r="BW18" s="19"/>
      <c r="BX18" s="291"/>
      <c r="BY18" s="19"/>
      <c r="BZ18" s="118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290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</row>
    <row r="19" spans="1:123" s="21" customFormat="1">
      <c r="C19" s="1044" t="s">
        <v>880</v>
      </c>
      <c r="D19" s="908">
        <f>P19+R19+T19+V19+W19+X19+Z19</f>
        <v>291.21000000000004</v>
      </c>
      <c r="E19" s="908">
        <f>AB19+AD19+AF19+AH19+AJ19+AL19</f>
        <v>54.66</v>
      </c>
      <c r="F19" s="908">
        <f>AN19+AP19+AR19+AT19+AV19+AX19</f>
        <v>109.53999999999999</v>
      </c>
      <c r="G19" s="908">
        <f>AZ19+BB19+BD19+BF19+BH19+BJ19</f>
        <v>335.96</v>
      </c>
      <c r="H19" s="908">
        <f>BL19+BN19+BP19+BR19+BT19+BV19</f>
        <v>333.47999999999996</v>
      </c>
      <c r="I19" s="909">
        <f>CN19+BX19+BZ19+CC19+CG19+CK19</f>
        <v>391.93229529531709</v>
      </c>
      <c r="J19" s="909"/>
      <c r="L19" s="910"/>
      <c r="M19" s="908"/>
      <c r="N19" s="908">
        <f>SUM(N10:N15)-N13</f>
        <v>115.33999999999997</v>
      </c>
      <c r="O19" s="908"/>
      <c r="P19" s="908">
        <f>SUM(P10:P15)</f>
        <v>70.8</v>
      </c>
      <c r="Q19" s="908"/>
      <c r="R19" s="908">
        <f>SUM(R10:R15)</f>
        <v>30.979999999999997</v>
      </c>
      <c r="S19" s="908"/>
      <c r="T19" s="908">
        <f>SUM(T10:T15)</f>
        <v>15.420000000000002</v>
      </c>
      <c r="U19" s="908"/>
      <c r="V19" s="908">
        <f>SUM(V10:V15)</f>
        <v>13.030000000000001</v>
      </c>
      <c r="W19" s="911">
        <f>SUM(W10:W15)</f>
        <v>20.18</v>
      </c>
      <c r="X19" s="908">
        <f>SUM(X10:X15)-X13</f>
        <v>29.159999999999997</v>
      </c>
      <c r="Y19" s="912"/>
      <c r="Z19" s="908">
        <f>SUM(Z10:Z15)</f>
        <v>111.64</v>
      </c>
      <c r="AA19" s="908"/>
      <c r="AB19" s="908">
        <f>SUM(AB10:AB15)</f>
        <v>15.809999999999999</v>
      </c>
      <c r="AC19" s="908"/>
      <c r="AD19" s="908">
        <f>SUM(AD10:AD15)</f>
        <v>10.26</v>
      </c>
      <c r="AE19" s="908"/>
      <c r="AF19" s="908">
        <f>SUM(AF10:AF15)</f>
        <v>8.0500000000000007</v>
      </c>
      <c r="AG19" s="908"/>
      <c r="AH19" s="908">
        <f>SUM(AH10:AH15)</f>
        <v>3.2600000000000007</v>
      </c>
      <c r="AI19" s="908"/>
      <c r="AJ19" s="908">
        <f>SUM(AJ10:AJ15)</f>
        <v>12.559999999999997</v>
      </c>
      <c r="AK19" s="307"/>
      <c r="AL19" s="908">
        <f>SUM(AL10:AL15)</f>
        <v>4.7199999999999989</v>
      </c>
      <c r="AN19" s="908">
        <f>SUM(AN10:AN15)</f>
        <v>-12.130000000000003</v>
      </c>
      <c r="AP19" s="908">
        <f>SUM(AP10:AP15)</f>
        <v>12.38</v>
      </c>
      <c r="AR19" s="908">
        <f>SUM(AR10:AR15)</f>
        <v>11.66</v>
      </c>
      <c r="AT19" s="908">
        <f>SUM(AT10:AT15)</f>
        <v>9.7800000000000011</v>
      </c>
      <c r="AV19" s="908">
        <f>SUM(AV10:AV15)</f>
        <v>11.149999999999999</v>
      </c>
      <c r="AW19" s="307"/>
      <c r="AX19" s="908">
        <f>SUM(AX10:AX15)</f>
        <v>76.7</v>
      </c>
      <c r="AZ19" s="21">
        <f>SUM(AZ10:AZ15)</f>
        <v>98.43</v>
      </c>
      <c r="BB19" s="21">
        <f>SUM(BB10:BB15)</f>
        <v>44.6</v>
      </c>
      <c r="BD19" s="21">
        <f>SUM(BD10:BD15)</f>
        <v>18.86</v>
      </c>
      <c r="BF19" s="21">
        <f>SUM(BF10:BF15)</f>
        <v>17.79</v>
      </c>
      <c r="BH19" s="908">
        <f>SUM(BH10:BH15)</f>
        <v>19.03</v>
      </c>
      <c r="BI19" s="307"/>
      <c r="BJ19" s="913">
        <f>SUM(BJ10:BJ15)</f>
        <v>137.25</v>
      </c>
      <c r="BK19" s="913"/>
      <c r="BL19" s="913">
        <f>SUM(BL10:BL15)</f>
        <v>97.16</v>
      </c>
      <c r="BM19" s="913"/>
      <c r="BN19" s="913">
        <f>SUM(BN10:BN15)</f>
        <v>44.22</v>
      </c>
      <c r="BO19" s="913"/>
      <c r="BP19" s="913">
        <f>SUM(BP10:BP15)</f>
        <v>20.189999999999998</v>
      </c>
      <c r="BQ19" s="19"/>
      <c r="BR19" s="913">
        <f>SUM(BR10:BR15)</f>
        <v>18.850000000000001</v>
      </c>
      <c r="BS19" s="914"/>
      <c r="BT19" s="908">
        <f>SUM(BT10:BT15)</f>
        <v>20.04</v>
      </c>
      <c r="BU19" s="915"/>
      <c r="BV19" s="913">
        <f>SUM(BV10:BV15)</f>
        <v>133.01999999999998</v>
      </c>
      <c r="BX19" s="913">
        <f>SUM(BX10:BX15)</f>
        <v>139.85999999999999</v>
      </c>
      <c r="BZ19" s="1415">
        <f>SUM(BZ10:BZ15)</f>
        <v>56.04</v>
      </c>
      <c r="CA19" s="308"/>
      <c r="CC19" s="914">
        <f>SUM(CC10:CC15)</f>
        <v>26.303986146031605</v>
      </c>
      <c r="CG19" s="914">
        <f>SUM(CG10:CG15)</f>
        <v>25.810419022601216</v>
      </c>
      <c r="CK19" s="914">
        <f>SUM(CK10:CK15)</f>
        <v>25.810419022601216</v>
      </c>
      <c r="CL19" s="914"/>
      <c r="CM19" s="915"/>
      <c r="CN19" s="914">
        <f>SUM(CN10:CN15)</f>
        <v>118.10747110408312</v>
      </c>
    </row>
    <row r="20" spans="1:123">
      <c r="C20" s="981" t="s">
        <v>881</v>
      </c>
      <c r="D20" s="112">
        <f>AVERAGE(P20,R20,T20,V20,W20,X20,Z20)</f>
        <v>0.39029586836630531</v>
      </c>
      <c r="E20" s="112">
        <f>AVERAGE(AB20,AD20,AF20,AH20,AJ20,AL20)</f>
        <v>0.20576665360175098</v>
      </c>
      <c r="F20" s="112">
        <f>AVERAGE(AN20,AP20,AR20,AT20,AV20,AX20)</f>
        <v>0.22810536298239803</v>
      </c>
      <c r="G20" s="112">
        <f>AVERAGE(AZ20,BB20,BD20,BF20,BH20,BJ20)</f>
        <v>0.41147690458613329</v>
      </c>
      <c r="H20" s="112">
        <f>AVERAGE(BL20,BN20,BP20,BR20,BT20,BV20)</f>
        <v>0.43148632535343284</v>
      </c>
      <c r="I20" s="796">
        <f>AVERAGE(BX20,BZ20,CC20,CG20,CK20,CN20)</f>
        <v>0.46064724979362576</v>
      </c>
      <c r="J20" s="796"/>
      <c r="L20" s="617"/>
      <c r="M20" s="112"/>
      <c r="N20" s="112">
        <f>N19/(N17-N13)</f>
        <v>0.5264983795133974</v>
      </c>
      <c r="O20" s="112"/>
      <c r="P20" s="112">
        <f>P19/P17</f>
        <v>0.53305225116699295</v>
      </c>
      <c r="Q20" s="112"/>
      <c r="R20" s="112">
        <f>R19/R17</f>
        <v>0.47024893746205221</v>
      </c>
      <c r="S20" s="112"/>
      <c r="T20" s="112">
        <f>T19/T17</f>
        <v>0.37710931768158479</v>
      </c>
      <c r="U20" s="112"/>
      <c r="V20" s="112">
        <f>V19/V17</f>
        <v>0.35216216216216217</v>
      </c>
      <c r="W20" s="113">
        <f>W19/W17</f>
        <v>0.41642591828312009</v>
      </c>
      <c r="X20" s="112">
        <f>X19/(X17-X13)</f>
        <v>0.2831342848820273</v>
      </c>
      <c r="Y20" s="412"/>
      <c r="Z20" s="112">
        <f>Z19/Z17</f>
        <v>0.2999382069261976</v>
      </c>
      <c r="AA20" s="112"/>
      <c r="AB20" s="112">
        <f>AB19/AB17</f>
        <v>0.30758754863813226</v>
      </c>
      <c r="AC20" s="112"/>
      <c r="AD20" s="112">
        <f>AD19/AD17</f>
        <v>0.25547808764940239</v>
      </c>
      <c r="AE20" s="112"/>
      <c r="AF20" s="112">
        <f>AF19/AF17</f>
        <v>0.22980302597773339</v>
      </c>
      <c r="AG20" s="112"/>
      <c r="AH20" s="112">
        <f>AH19/AH17</f>
        <v>0.18811309867282172</v>
      </c>
      <c r="AI20" s="108"/>
      <c r="AJ20" s="112">
        <f>AJ19/AJ17</f>
        <v>0.15623833810175392</v>
      </c>
      <c r="AK20" s="290"/>
      <c r="AL20" s="112">
        <f>AL19/AL17</f>
        <v>9.7379822570662244E-2</v>
      </c>
      <c r="AM20" s="19"/>
      <c r="AN20" s="112">
        <f>AN19/AN17</f>
        <v>-0.10784139402560458</v>
      </c>
      <c r="AO20" s="19"/>
      <c r="AP20" s="112">
        <f>AP19/AP17</f>
        <v>0.21205892428914011</v>
      </c>
      <c r="AQ20" s="19"/>
      <c r="AR20" s="112">
        <f>AR19/AR17</f>
        <v>0.29631512071156291</v>
      </c>
      <c r="AS20" s="19"/>
      <c r="AT20" s="112">
        <f>AT19/AT17</f>
        <v>0.28347826086956524</v>
      </c>
      <c r="AU20" s="19"/>
      <c r="AV20" s="112">
        <f>AV19/AV17</f>
        <v>0.29607010090281466</v>
      </c>
      <c r="AW20" s="290"/>
      <c r="AX20" s="112">
        <f>AX19/AX17</f>
        <v>0.38855116514690985</v>
      </c>
      <c r="AY20" s="19"/>
      <c r="AZ20" s="112">
        <f>AZ19/AZ17</f>
        <v>0.36672876304023849</v>
      </c>
      <c r="BA20" s="19"/>
      <c r="BB20" s="112">
        <f>BB19/BB17</f>
        <v>0.41388270230141061</v>
      </c>
      <c r="BC20" s="19"/>
      <c r="BD20" s="112">
        <f>BD19/BD17</f>
        <v>0.38679245283018876</v>
      </c>
      <c r="BE20" s="19"/>
      <c r="BF20" s="112">
        <f>BF19/BF17</f>
        <v>0.3928019430337823</v>
      </c>
      <c r="BG20" s="19"/>
      <c r="BH20" s="112">
        <f>BH19/BH17</f>
        <v>0.40037870818430465</v>
      </c>
      <c r="BI20" s="290"/>
      <c r="BJ20" s="907">
        <f>BJ19/BJ17</f>
        <v>0.50827685812687484</v>
      </c>
      <c r="BK20" s="291"/>
      <c r="BL20" s="907">
        <f>BL19/BL17</f>
        <v>0.426439606741573</v>
      </c>
      <c r="BM20" s="291"/>
      <c r="BN20" s="907">
        <f>BN19/BN17</f>
        <v>0.46067298676945512</v>
      </c>
      <c r="BO20" s="291"/>
      <c r="BP20" s="907">
        <f>BP19/BP17</f>
        <v>0.40969967532467527</v>
      </c>
      <c r="BQ20" s="587"/>
      <c r="BR20" s="907">
        <f>BR19/BR17</f>
        <v>0.39843584865778908</v>
      </c>
      <c r="BS20" s="587"/>
      <c r="BT20" s="112">
        <f>BT19/BT17</f>
        <v>0.40386940749697703</v>
      </c>
      <c r="BU20" s="588"/>
      <c r="BV20" s="907">
        <f>BV19/BV17</f>
        <v>0.48980042713012739</v>
      </c>
      <c r="BW20" s="19"/>
      <c r="BX20" s="907">
        <f>BX19/BX17</f>
        <v>0.43799323562570458</v>
      </c>
      <c r="BY20" s="19"/>
      <c r="BZ20" s="1416">
        <f>BZ19/BZ17</f>
        <v>0.46517805262721007</v>
      </c>
      <c r="CA20" s="907"/>
      <c r="CB20" s="19"/>
      <c r="CC20" s="796">
        <f>CC19/CC17</f>
        <v>0.46517805262721007</v>
      </c>
      <c r="CD20" s="19"/>
      <c r="CE20" s="19"/>
      <c r="CF20" s="19"/>
      <c r="CG20" s="796">
        <f>CG19/CG17</f>
        <v>0.46517805262721001</v>
      </c>
      <c r="CH20" s="19"/>
      <c r="CI20" s="19"/>
      <c r="CJ20" s="19"/>
      <c r="CK20" s="796">
        <f>CK19/CK17</f>
        <v>0.46517805262721001</v>
      </c>
      <c r="CL20" s="796"/>
      <c r="CM20" s="588"/>
      <c r="CN20" s="796">
        <f>CN19/CN17</f>
        <v>0.46517805262721007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</row>
    <row r="21" spans="1:123">
      <c r="H21" s="117"/>
      <c r="I21" s="117"/>
      <c r="J21" s="117"/>
      <c r="L21" s="608"/>
      <c r="W21" s="103"/>
      <c r="Y21" s="265"/>
      <c r="AJ21" s="108"/>
      <c r="AK21" s="265"/>
      <c r="AV21" s="108"/>
      <c r="AW21" s="265"/>
      <c r="BI21" s="265"/>
      <c r="BJ21" s="89"/>
      <c r="BK21" s="105"/>
      <c r="BL21" s="105"/>
      <c r="BM21" s="105"/>
      <c r="BN21" s="105"/>
      <c r="BO21" s="105"/>
      <c r="BP21" s="105"/>
      <c r="BU21" s="265"/>
      <c r="BV21" s="89"/>
      <c r="BZ21" s="103"/>
      <c r="CM21" s="265"/>
    </row>
    <row r="22" spans="1:123" hidden="1">
      <c r="H22" s="117"/>
      <c r="I22" s="117"/>
      <c r="J22" s="117"/>
      <c r="K22" s="9" t="b">
        <f t="shared" ref="K22" si="78">IF($B$3=N6,TRUE,FALSE)</f>
        <v>0</v>
      </c>
      <c r="L22" s="608" t="b">
        <f>IF($B$3=N6,TRUE,FALSE)</f>
        <v>0</v>
      </c>
      <c r="M22" s="9" t="b">
        <f>IF($B$3=P6,TRUE,FALSE)</f>
        <v>0</v>
      </c>
      <c r="N22" s="9" t="b">
        <f>IF($B$3=P6,TRUE,FALSE)</f>
        <v>0</v>
      </c>
      <c r="O22" s="9" t="b">
        <f>IF($B$3=R6,TRUE,FALSE)</f>
        <v>0</v>
      </c>
      <c r="P22" s="9" t="b">
        <f>IF($B$3=R6,TRUE,FALSE)</f>
        <v>0</v>
      </c>
      <c r="Q22" s="9" t="b">
        <f>IF($B$3=T6,TRUE,FALSE)</f>
        <v>0</v>
      </c>
      <c r="R22" s="9" t="b">
        <f>IF($B$3=T6,TRUE,FALSE)</f>
        <v>0</v>
      </c>
      <c r="S22" s="9" t="b">
        <f>IF($B$3=V6,TRUE,FALSE)</f>
        <v>0</v>
      </c>
      <c r="T22" s="9" t="b">
        <f>IF($B$3=V6,TRUE,FALSE)</f>
        <v>0</v>
      </c>
      <c r="U22" s="9" t="b">
        <f>IF($B$3=X6,TRUE,FALSE)</f>
        <v>0</v>
      </c>
      <c r="V22" s="9" t="b">
        <f>IF($B$3=X6,TRUE,FALSE)</f>
        <v>0</v>
      </c>
      <c r="W22" s="103" t="b">
        <f>IF($B$3=Z6,TRUE,FALSE)</f>
        <v>0</v>
      </c>
      <c r="X22" s="9" t="b">
        <f>IF($B$3=Z6,TRUE,FALSE)</f>
        <v>0</v>
      </c>
      <c r="Y22" s="265" t="b">
        <f>IF($B$3=AB6,TRUE,FALSE)</f>
        <v>0</v>
      </c>
      <c r="Z22" s="9" t="b">
        <f>IF($B$3=AB6,TRUE,FALSE)</f>
        <v>0</v>
      </c>
      <c r="AA22" s="9" t="b">
        <f>IF($B$3=AD6,TRUE,FALSE)</f>
        <v>0</v>
      </c>
      <c r="AB22" s="9" t="b">
        <f>IF($B$3=AD6,TRUE,FALSE)</f>
        <v>0</v>
      </c>
      <c r="AC22" s="9" t="b">
        <f>IF($B$3=AF6,TRUE,FALSE)</f>
        <v>0</v>
      </c>
      <c r="AD22" s="9" t="b">
        <f>IF($B$3=AF6,TRUE,FALSE)</f>
        <v>0</v>
      </c>
      <c r="AE22" s="9" t="b">
        <f>IF($B$3=AH6,TRUE,FALSE)</f>
        <v>0</v>
      </c>
      <c r="AF22" s="9" t="b">
        <f>IF($B$3=AH6,TRUE,FALSE)</f>
        <v>0</v>
      </c>
      <c r="AG22" s="9" t="b">
        <f>IF($B$3=AJ6,TRUE,FALSE)</f>
        <v>0</v>
      </c>
      <c r="AH22" s="9" t="b">
        <f>IF($B$3=AJ6,TRUE,FALSE)</f>
        <v>0</v>
      </c>
      <c r="AI22" s="9" t="b">
        <f>IF($B$3=AL6,TRUE,FALSE)</f>
        <v>0</v>
      </c>
      <c r="AJ22" s="108" t="b">
        <f>IF($B$3=AL6,TRUE,FALSE)</f>
        <v>0</v>
      </c>
      <c r="AK22" s="265" t="b">
        <f>IF($B$3=AN6,TRUE,FALSE)</f>
        <v>0</v>
      </c>
      <c r="AL22" s="9" t="b">
        <f>IF($B$3=AN6,TRUE,FALSE)</f>
        <v>0</v>
      </c>
      <c r="AM22" s="9" t="b">
        <f>IF($B$3=AP6,TRUE,FALSE)</f>
        <v>0</v>
      </c>
      <c r="AN22" s="9" t="b">
        <f>IF($B$3=AP6,TRUE,FALSE)</f>
        <v>0</v>
      </c>
      <c r="AO22" s="9" t="b">
        <f>IF($B$3=AR6,TRUE,FALSE)</f>
        <v>0</v>
      </c>
      <c r="AP22" s="9" t="b">
        <f>IF($B$3=AR6,TRUE,FALSE)</f>
        <v>0</v>
      </c>
      <c r="AQ22" s="9" t="b">
        <f>IF($B$3=AT6,TRUE,FALSE)</f>
        <v>0</v>
      </c>
      <c r="AR22" s="9" t="b">
        <f>IF($B$3=AT6,TRUE,FALSE)</f>
        <v>0</v>
      </c>
      <c r="AS22" s="9" t="b">
        <f>IF($B$3=AV6,TRUE,FALSE)</f>
        <v>0</v>
      </c>
      <c r="AT22" s="9" t="b">
        <f>IF($B$3=AV6,TRUE,FALSE)</f>
        <v>0</v>
      </c>
      <c r="AU22" s="9" t="b">
        <f>IF($B$3=AX6,TRUE,FALSE)</f>
        <v>0</v>
      </c>
      <c r="AV22" s="108" t="b">
        <f>IF($B$3=AX6,TRUE,FALSE)</f>
        <v>0</v>
      </c>
      <c r="AW22" s="265" t="b">
        <f>IF($B$3=AZ6,TRUE,FALSE)</f>
        <v>0</v>
      </c>
      <c r="AX22" s="9" t="b">
        <f>IF($B$3=AZ6,TRUE,FALSE)</f>
        <v>0</v>
      </c>
      <c r="AY22" s="9" t="b">
        <f>IF($B$3=BB6,TRUE,FALSE)</f>
        <v>0</v>
      </c>
      <c r="AZ22" s="9" t="b">
        <f>IF($B$3=BB6,TRUE,FALSE)</f>
        <v>0</v>
      </c>
      <c r="BA22" s="9" t="b">
        <f>IF($B$3=BD6,TRUE,FALSE)</f>
        <v>0</v>
      </c>
      <c r="BB22" s="9" t="b">
        <f>IF($B$3=BD6,TRUE,FALSE)</f>
        <v>0</v>
      </c>
      <c r="BC22" s="9" t="b">
        <f>IF($B$3=BF6,TRUE,FALSE)</f>
        <v>0</v>
      </c>
      <c r="BD22" s="9" t="b">
        <f>IF($B$3=BF6,TRUE,FALSE)</f>
        <v>0</v>
      </c>
      <c r="BE22" s="9" t="b">
        <f>IF($B$3=BH6,TRUE,FALSE)</f>
        <v>0</v>
      </c>
      <c r="BF22" s="9" t="b">
        <f>IF($B$3=BH6,TRUE,FALSE)</f>
        <v>0</v>
      </c>
      <c r="BG22" s="9" t="b">
        <f>IF($B$3=BJ6,TRUE,FALSE)</f>
        <v>0</v>
      </c>
      <c r="BH22" s="9" t="b">
        <f>IF($B$3=BJ6,TRUE,FALSE)</f>
        <v>0</v>
      </c>
      <c r="BI22" s="265" t="b">
        <f>IF($B$3=BL6,TRUE,FALSE)</f>
        <v>0</v>
      </c>
      <c r="BJ22" s="89" t="b">
        <f>IF($B$3=BL6,TRUE,FALSE)</f>
        <v>0</v>
      </c>
      <c r="BK22" s="925" t="b">
        <f t="shared" ref="BK22" si="79">IF($B$3=BN6,TRUE,FALSE)</f>
        <v>0</v>
      </c>
      <c r="BL22" s="235" t="b">
        <f t="shared" ref="BL22" si="80">IF($B$3=BN6,TRUE,FALSE)</f>
        <v>0</v>
      </c>
      <c r="BM22" s="925" t="b">
        <f t="shared" ref="BM22" si="81">IF($B$3=BP6,TRUE,FALSE)</f>
        <v>0</v>
      </c>
      <c r="BN22" s="235" t="b">
        <f t="shared" ref="BN22" si="82">IF($B$3=BP6,TRUE,FALSE)</f>
        <v>0</v>
      </c>
      <c r="BO22" s="925" t="b">
        <f t="shared" ref="BO22" si="83">IF($B$3=BR6,TRUE,FALSE)</f>
        <v>0</v>
      </c>
      <c r="BP22" s="235" t="b">
        <f t="shared" ref="BP22" si="84">IF($B$3=BR6,TRUE,FALSE)</f>
        <v>0</v>
      </c>
      <c r="BQ22" s="265" t="b">
        <f t="shared" ref="BQ22" si="85">IF($B$3=BT6,TRUE,FALSE)</f>
        <v>0</v>
      </c>
      <c r="BR22" s="89" t="b">
        <f t="shared" ref="BR22" si="86">IF($B$3=BT6,TRUE,FALSE)</f>
        <v>0</v>
      </c>
      <c r="BS22" s="265" t="b">
        <f t="shared" ref="BS22" si="87">IF($B$3=BV6,TRUE,FALSE)</f>
        <v>0</v>
      </c>
      <c r="BT22" s="9" t="b">
        <f t="shared" ref="BT22" si="88">IF($B$3=BV6,TRUE,FALSE)</f>
        <v>0</v>
      </c>
      <c r="BU22" s="265" t="b">
        <f t="shared" ref="BU22" si="89">IF($B$3=BX6,TRUE,FALSE)</f>
        <v>0</v>
      </c>
      <c r="BV22" s="89" t="b">
        <f t="shared" ref="BV22" si="90">IF($B$3=BX6,TRUE,FALSE)</f>
        <v>0</v>
      </c>
      <c r="BW22" s="265" t="b">
        <f t="shared" ref="BW22" si="91">IF($B$3=BZ6,TRUE,FALSE)</f>
        <v>1</v>
      </c>
      <c r="BX22" s="89" t="b">
        <f t="shared" ref="BX22" si="92">IF($B$3=BZ6,TRUE,FALSE)</f>
        <v>1</v>
      </c>
      <c r="BY22" s="265" t="b">
        <f t="shared" ref="BY22" si="93">IF($B$3=CC6,TRUE,FALSE)</f>
        <v>0</v>
      </c>
      <c r="BZ22" s="1417" t="b">
        <f t="shared" ref="BZ22" si="94">IF($B$3=CC6,TRUE,FALSE)</f>
        <v>0</v>
      </c>
      <c r="CA22" s="89"/>
      <c r="CB22" s="9" t="b">
        <f t="shared" ref="CB22" si="95">IF($B$3=CG6,TRUE,FALSE)</f>
        <v>0</v>
      </c>
      <c r="CC22" s="89" t="b">
        <f t="shared" ref="CC22" si="96">IF($B$3=CG6,TRUE,FALSE)</f>
        <v>0</v>
      </c>
      <c r="CD22" s="265" t="b">
        <f t="shared" ref="CD22" si="97">IF($B$3=CK6,TRUE,FALSE)</f>
        <v>0</v>
      </c>
      <c r="CF22" s="265" t="b">
        <f>IF($B$3=CN6,TRUE,FALSE)</f>
        <v>0</v>
      </c>
      <c r="CG22" s="89" t="b">
        <f t="shared" ref="CG22" si="98">IF($B$3=CK6,TRUE,FALSE)</f>
        <v>0</v>
      </c>
      <c r="CH22" s="265" t="b">
        <f t="shared" ref="CH22:CJ22" si="99">IF($B$3=CN6,TRUE,FALSE)</f>
        <v>0</v>
      </c>
      <c r="CJ22" s="265" t="b">
        <f t="shared" si="99"/>
        <v>0</v>
      </c>
      <c r="CK22" s="89" t="b">
        <f t="shared" ref="CK22" si="100">IF($B$3=CN6,TRUE,FALSE)</f>
        <v>0</v>
      </c>
      <c r="CL22" s="89"/>
      <c r="CM22" s="265" t="b">
        <f t="shared" ref="CM22" si="101">IF($B$3=CP6,TRUE,FALSE)</f>
        <v>0</v>
      </c>
      <c r="CN22" s="89" t="b">
        <f t="shared" ref="CN22" si="102">IF($B$3=CP6,TRUE,FALSE)</f>
        <v>0</v>
      </c>
      <c r="CO22" s="265" t="b">
        <f t="shared" ref="CO22" si="103">IF($B$3=CR6,TRUE,FALSE)</f>
        <v>0</v>
      </c>
      <c r="CP22" s="89" t="b">
        <f t="shared" ref="CP22" si="104">IF($B$3=CR6,TRUE,FALSE)</f>
        <v>0</v>
      </c>
      <c r="CQ22" s="265" t="b">
        <f t="shared" ref="CQ22" si="105">IF($B$3=CT6,TRUE,FALSE)</f>
        <v>0</v>
      </c>
      <c r="CR22" s="89" t="b">
        <f t="shared" ref="CR22" si="106">IF($B$3=CT6,TRUE,FALSE)</f>
        <v>0</v>
      </c>
      <c r="CS22" s="265" t="b">
        <f t="shared" ref="CS22" si="107">IF($B$3=CV6,TRUE,FALSE)</f>
        <v>0</v>
      </c>
      <c r="CT22" s="89" t="b">
        <f t="shared" ref="CT22" si="108">IF($B$3=CV6,TRUE,FALSE)</f>
        <v>0</v>
      </c>
      <c r="CU22" s="265" t="b">
        <f t="shared" ref="CU22" si="109">IF($B$3=CX6,TRUE,FALSE)</f>
        <v>0</v>
      </c>
      <c r="CV22" s="89" t="b">
        <f t="shared" ref="CV22" si="110">IF($B$3=CX6,TRUE,FALSE)</f>
        <v>0</v>
      </c>
      <c r="CW22" s="265" t="b">
        <f t="shared" ref="CW22" si="111">IF($B$3=CZ6,TRUE,FALSE)</f>
        <v>0</v>
      </c>
      <c r="CX22" s="89" t="b">
        <f t="shared" ref="CX22" si="112">IF($B$3=CZ6,TRUE,FALSE)</f>
        <v>0</v>
      </c>
      <c r="CY22" s="265" t="b">
        <f t="shared" ref="CY22" si="113">IF($B$3=DB6,TRUE,FALSE)</f>
        <v>0</v>
      </c>
      <c r="CZ22" s="89" t="b">
        <f t="shared" ref="CZ22" si="114">IF($B$3=DB6,TRUE,FALSE)</f>
        <v>0</v>
      </c>
      <c r="DA22" s="265" t="b">
        <f t="shared" ref="DA22" si="115">IF($B$3=DD6,TRUE,FALSE)</f>
        <v>0</v>
      </c>
      <c r="DB22" s="89" t="b">
        <f t="shared" ref="DB22" si="116">IF($B$3=DD6,TRUE,FALSE)</f>
        <v>0</v>
      </c>
      <c r="DC22" s="265" t="b">
        <f t="shared" ref="DC22" si="117">IF($B$3=DF6,TRUE,FALSE)</f>
        <v>0</v>
      </c>
      <c r="DD22" s="89" t="b">
        <f t="shared" ref="DD22" si="118">IF($B$3=DF6,TRUE,FALSE)</f>
        <v>0</v>
      </c>
      <c r="DE22" s="265" t="b">
        <f t="shared" ref="DE22" si="119">IF($B$3=DH6,TRUE,FALSE)</f>
        <v>0</v>
      </c>
      <c r="DF22" s="89" t="b">
        <f t="shared" ref="DF22" si="120">IF($B$3=DH6,TRUE,FALSE)</f>
        <v>0</v>
      </c>
      <c r="DG22" s="265" t="b">
        <f t="shared" ref="DG22" si="121">IF($B$3=DJ6,TRUE,FALSE)</f>
        <v>0</v>
      </c>
      <c r="DH22" s="89" t="b">
        <f t="shared" ref="DH22" si="122">IF($B$3=DJ6,TRUE,FALSE)</f>
        <v>0</v>
      </c>
      <c r="DI22" s="265" t="b">
        <f t="shared" ref="DI22" si="123">IF($B$3=DL6,TRUE,FALSE)</f>
        <v>0</v>
      </c>
      <c r="DJ22" s="89" t="b">
        <f t="shared" ref="DJ22" si="124">IF($B$3=DL6,TRUE,FALSE)</f>
        <v>0</v>
      </c>
      <c r="DK22" s="265" t="b">
        <f t="shared" ref="DK22" si="125">IF($B$3=DN6,TRUE,FALSE)</f>
        <v>0</v>
      </c>
      <c r="DL22" s="89" t="b">
        <f t="shared" ref="DL22" si="126">IF($B$3=DN6,TRUE,FALSE)</f>
        <v>0</v>
      </c>
      <c r="DM22" s="265" t="b">
        <f t="shared" ref="DM22" si="127">IF($B$3=DP6,TRUE,FALSE)</f>
        <v>0</v>
      </c>
      <c r="DN22" s="89" t="b">
        <f t="shared" ref="DN22" si="128">IF($B$3=DP6,TRUE,FALSE)</f>
        <v>0</v>
      </c>
      <c r="DO22" s="265" t="b">
        <f t="shared" ref="DO22" si="129">IF($B$3=DR6,TRUE,FALSE)</f>
        <v>0</v>
      </c>
      <c r="DP22" s="89" t="b">
        <f t="shared" ref="DP22" si="130">IF($B$3=DR6,TRUE,FALSE)</f>
        <v>0</v>
      </c>
      <c r="DQ22" s="265" t="b">
        <f t="shared" ref="DQ22" si="131">IF($B$3=DT6,TRUE,FALSE)</f>
        <v>0</v>
      </c>
      <c r="DR22" s="89" t="b">
        <f t="shared" ref="DR22" si="132">IF($B$3=DT6,TRUE,FALSE)</f>
        <v>0</v>
      </c>
      <c r="DS22" s="265" t="b">
        <f t="shared" ref="DS22" si="133">IF($B$3=DV6,TRUE,FALSE)</f>
        <v>0</v>
      </c>
    </row>
    <row r="23" spans="1:123">
      <c r="B23" s="9" t="s">
        <v>882</v>
      </c>
      <c r="C23" s="9" t="s">
        <v>883</v>
      </c>
      <c r="H23" s="117"/>
      <c r="I23" s="117"/>
      <c r="J23" s="117"/>
      <c r="L23" s="608"/>
      <c r="M23" s="9">
        <v>331</v>
      </c>
      <c r="N23" s="9">
        <v>351</v>
      </c>
      <c r="O23" s="9">
        <v>331</v>
      </c>
      <c r="P23" s="9">
        <v>485</v>
      </c>
      <c r="Q23" s="9">
        <v>559</v>
      </c>
      <c r="R23" s="9">
        <v>570</v>
      </c>
      <c r="S23" s="9">
        <v>574</v>
      </c>
      <c r="T23" s="9">
        <v>592</v>
      </c>
      <c r="U23" s="9">
        <v>601</v>
      </c>
      <c r="V23" s="9">
        <v>607</v>
      </c>
      <c r="W23" s="103">
        <v>646</v>
      </c>
      <c r="X23" s="9">
        <v>735</v>
      </c>
      <c r="Y23" s="265">
        <v>904</v>
      </c>
      <c r="Z23" s="9">
        <v>1103</v>
      </c>
      <c r="AA23" s="9">
        <v>1178</v>
      </c>
      <c r="AB23" s="9">
        <v>1215</v>
      </c>
      <c r="AC23" s="9">
        <v>1225</v>
      </c>
      <c r="AD23" s="9">
        <v>1232</v>
      </c>
      <c r="AE23" s="9">
        <v>1237</v>
      </c>
      <c r="AF23" s="9">
        <v>1242</v>
      </c>
      <c r="AG23" s="9">
        <v>1248</v>
      </c>
      <c r="AH23" s="9">
        <v>1253</v>
      </c>
      <c r="AI23" s="9">
        <v>1260</v>
      </c>
      <c r="AJ23" s="9">
        <v>1275</v>
      </c>
      <c r="AK23" s="925">
        <v>1369</v>
      </c>
      <c r="AL23" s="9">
        <v>1460</v>
      </c>
      <c r="AM23" s="105">
        <v>1543</v>
      </c>
      <c r="AN23" s="9">
        <v>1574</v>
      </c>
      <c r="AO23" s="9">
        <v>1586</v>
      </c>
      <c r="AP23" s="9">
        <v>1592</v>
      </c>
      <c r="AQ23" s="9">
        <v>1599</v>
      </c>
      <c r="AR23" s="9">
        <v>1603</v>
      </c>
      <c r="AS23" s="9">
        <v>1607</v>
      </c>
      <c r="AT23" s="9">
        <v>1612</v>
      </c>
      <c r="AU23" s="9">
        <v>1618</v>
      </c>
      <c r="AV23" s="9">
        <v>1665</v>
      </c>
      <c r="AW23" s="925">
        <v>1769</v>
      </c>
      <c r="AX23" s="9">
        <v>1902</v>
      </c>
      <c r="AY23" s="105">
        <v>1985</v>
      </c>
      <c r="AZ23" s="9">
        <v>2042</v>
      </c>
      <c r="BA23" s="9">
        <v>2042</v>
      </c>
      <c r="BB23" s="105">
        <v>2046</v>
      </c>
      <c r="BC23" s="9">
        <v>2051</v>
      </c>
      <c r="BD23" s="9">
        <v>2055</v>
      </c>
      <c r="BE23" s="9">
        <v>2058</v>
      </c>
      <c r="BF23" s="9">
        <v>2062</v>
      </c>
      <c r="BG23" s="9">
        <v>2067</v>
      </c>
      <c r="BH23" s="9">
        <v>2137</v>
      </c>
      <c r="BI23" s="925">
        <v>2281</v>
      </c>
      <c r="BJ23" s="9">
        <v>2391</v>
      </c>
      <c r="BK23" s="105">
        <v>2496</v>
      </c>
      <c r="BL23" s="105">
        <v>2544</v>
      </c>
      <c r="BM23" s="105">
        <v>2552</v>
      </c>
      <c r="BN23" s="105">
        <v>2558</v>
      </c>
      <c r="BO23" s="105">
        <v>2563</v>
      </c>
      <c r="BP23" s="105">
        <v>2571</v>
      </c>
      <c r="BQ23" s="105">
        <v>2576</v>
      </c>
      <c r="BR23" s="105">
        <v>2581</v>
      </c>
      <c r="BS23" s="105">
        <v>2673</v>
      </c>
      <c r="BT23" s="9">
        <v>2782</v>
      </c>
      <c r="BU23" s="265">
        <v>2959</v>
      </c>
      <c r="BV23" s="9">
        <v>3050</v>
      </c>
      <c r="BW23" s="9">
        <v>3108</v>
      </c>
      <c r="BZ23" s="103"/>
      <c r="CM23" s="265"/>
    </row>
    <row r="24" spans="1:123">
      <c r="B24" s="278"/>
      <c r="C24" s="982" t="s">
        <v>884</v>
      </c>
      <c r="D24" s="278">
        <f>SUM(M24:X24)</f>
        <v>878</v>
      </c>
      <c r="E24" s="278">
        <f>SUM(Y24:AJ24)</f>
        <v>534</v>
      </c>
      <c r="F24" s="278">
        <f>SUM(AK24:AV24)</f>
        <v>390</v>
      </c>
      <c r="G24" s="278">
        <f>SUM(AW24:BH24)</f>
        <v>472</v>
      </c>
      <c r="H24" s="278">
        <f>SUM(BI24:BT24)</f>
        <v>645</v>
      </c>
      <c r="I24" s="289">
        <f>SUM(BU24:CK24)</f>
        <v>634</v>
      </c>
      <c r="J24" s="117"/>
      <c r="L24" s="618">
        <v>20</v>
      </c>
      <c r="M24" s="278">
        <v>144</v>
      </c>
      <c r="N24" s="278">
        <v>183</v>
      </c>
      <c r="O24" s="278">
        <v>147</v>
      </c>
      <c r="P24" s="278">
        <f>P23-O23</f>
        <v>154</v>
      </c>
      <c r="Q24" s="278">
        <f>Q23-P23</f>
        <v>74</v>
      </c>
      <c r="R24" s="278">
        <f t="shared" ref="R24:X24" si="134">R23-Q23</f>
        <v>11</v>
      </c>
      <c r="S24" s="278">
        <f>S23-R23</f>
        <v>4</v>
      </c>
      <c r="T24" s="278">
        <f t="shared" si="134"/>
        <v>18</v>
      </c>
      <c r="U24" s="278">
        <f t="shared" si="134"/>
        <v>9</v>
      </c>
      <c r="V24" s="278">
        <f t="shared" si="134"/>
        <v>6</v>
      </c>
      <c r="W24" s="276">
        <f>W23-V23</f>
        <v>39</v>
      </c>
      <c r="X24" s="1170">
        <f t="shared" si="134"/>
        <v>89</v>
      </c>
      <c r="Y24" s="278">
        <f>Y23-X23</f>
        <v>169</v>
      </c>
      <c r="Z24" s="278">
        <f>Z23-Y23</f>
        <v>199</v>
      </c>
      <c r="AA24" s="278">
        <f>AA23-Z23</f>
        <v>75</v>
      </c>
      <c r="AB24" s="278">
        <f>AB23-AA23</f>
        <v>37</v>
      </c>
      <c r="AC24" s="278">
        <v>4</v>
      </c>
      <c r="AD24" s="278">
        <f>AD23-AC23</f>
        <v>7</v>
      </c>
      <c r="AE24" s="278">
        <f>AE23-AD23</f>
        <v>5</v>
      </c>
      <c r="AF24" s="278">
        <f>AF23-AE23</f>
        <v>5</v>
      </c>
      <c r="AG24" s="278">
        <f>AG23-AF23</f>
        <v>6</v>
      </c>
      <c r="AH24" s="288">
        <f>AH23-AG23</f>
        <v>5</v>
      </c>
      <c r="AI24" s="1146">
        <f t="shared" ref="AI24:BE24" si="135">AI23-AH23</f>
        <v>7</v>
      </c>
      <c r="AJ24" s="1159">
        <f t="shared" si="135"/>
        <v>15</v>
      </c>
      <c r="AK24" s="288">
        <f t="shared" si="135"/>
        <v>94</v>
      </c>
      <c r="AL24" s="288">
        <f t="shared" si="135"/>
        <v>91</v>
      </c>
      <c r="AM24" s="288">
        <f t="shared" si="135"/>
        <v>83</v>
      </c>
      <c r="AN24" s="288">
        <f t="shared" si="135"/>
        <v>31</v>
      </c>
      <c r="AO24" s="288">
        <f t="shared" si="135"/>
        <v>12</v>
      </c>
      <c r="AP24" s="288">
        <f t="shared" si="135"/>
        <v>6</v>
      </c>
      <c r="AQ24" s="288">
        <f t="shared" si="135"/>
        <v>7</v>
      </c>
      <c r="AR24" s="288">
        <f t="shared" si="135"/>
        <v>4</v>
      </c>
      <c r="AS24" s="288">
        <f t="shared" si="135"/>
        <v>4</v>
      </c>
      <c r="AT24" s="288">
        <f t="shared" si="135"/>
        <v>5</v>
      </c>
      <c r="AU24" s="1146">
        <f t="shared" si="135"/>
        <v>6</v>
      </c>
      <c r="AV24" s="1159">
        <f t="shared" si="135"/>
        <v>47</v>
      </c>
      <c r="AW24" s="288">
        <f>AW23-AV23</f>
        <v>104</v>
      </c>
      <c r="AX24" s="288">
        <f>AX23-AW23</f>
        <v>133</v>
      </c>
      <c r="AY24" s="288">
        <f>AY23-AX23</f>
        <v>83</v>
      </c>
      <c r="AZ24" s="288">
        <f t="shared" si="135"/>
        <v>57</v>
      </c>
      <c r="BA24" s="288">
        <f t="shared" si="135"/>
        <v>0</v>
      </c>
      <c r="BB24" s="288">
        <f t="shared" si="135"/>
        <v>4</v>
      </c>
      <c r="BC24" s="288">
        <f t="shared" si="135"/>
        <v>5</v>
      </c>
      <c r="BD24" s="288">
        <f t="shared" si="135"/>
        <v>4</v>
      </c>
      <c r="BE24" s="288">
        <f t="shared" si="135"/>
        <v>3</v>
      </c>
      <c r="BF24" s="288">
        <f t="shared" ref="BF24:BR24" si="136">BF23-BE23</f>
        <v>4</v>
      </c>
      <c r="BG24" s="1146">
        <f t="shared" si="136"/>
        <v>5</v>
      </c>
      <c r="BH24" s="1159">
        <f t="shared" si="136"/>
        <v>70</v>
      </c>
      <c r="BI24" s="288">
        <f t="shared" si="136"/>
        <v>144</v>
      </c>
      <c r="BJ24" s="288">
        <f t="shared" si="136"/>
        <v>110</v>
      </c>
      <c r="BK24" s="288">
        <f t="shared" si="136"/>
        <v>105</v>
      </c>
      <c r="BL24" s="288">
        <f t="shared" si="136"/>
        <v>48</v>
      </c>
      <c r="BM24" s="288">
        <f t="shared" si="136"/>
        <v>8</v>
      </c>
      <c r="BN24" s="288">
        <f t="shared" si="136"/>
        <v>6</v>
      </c>
      <c r="BO24" s="288">
        <f t="shared" si="136"/>
        <v>5</v>
      </c>
      <c r="BP24" s="288">
        <f t="shared" si="136"/>
        <v>8</v>
      </c>
      <c r="BQ24" s="288">
        <f t="shared" si="136"/>
        <v>5</v>
      </c>
      <c r="BR24" s="288">
        <f t="shared" si="136"/>
        <v>5</v>
      </c>
      <c r="BS24" s="1146">
        <f>BS23-BR23</f>
        <v>92</v>
      </c>
      <c r="BT24" s="1159">
        <f>BT23-BS23</f>
        <v>109</v>
      </c>
      <c r="BU24" s="1159">
        <f>BU23-BT23</f>
        <v>177</v>
      </c>
      <c r="BV24" s="1159">
        <f>BV23-BU23</f>
        <v>91</v>
      </c>
      <c r="BW24" s="1159">
        <v>59</v>
      </c>
      <c r="BX24" s="1159">
        <v>12</v>
      </c>
      <c r="BY24" s="1159">
        <v>6</v>
      </c>
      <c r="BZ24" s="1418">
        <v>5</v>
      </c>
      <c r="CA24" s="289"/>
      <c r="CB24" s="289">
        <v>5</v>
      </c>
      <c r="CC24" s="289">
        <v>5</v>
      </c>
      <c r="CD24" s="289">
        <v>5</v>
      </c>
      <c r="CE24" s="289"/>
      <c r="CF24" s="289">
        <v>5</v>
      </c>
      <c r="CG24" s="289">
        <v>5</v>
      </c>
      <c r="CH24" s="289">
        <v>62</v>
      </c>
      <c r="CI24" s="289"/>
      <c r="CJ24" s="289">
        <v>62</v>
      </c>
      <c r="CK24" s="289">
        <v>135</v>
      </c>
      <c r="CL24" s="289"/>
      <c r="CM24" s="414">
        <v>130</v>
      </c>
      <c r="CN24" s="289">
        <v>95</v>
      </c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H24" s="289"/>
      <c r="DI24" s="289"/>
      <c r="DJ24" s="289"/>
      <c r="DK24" s="289"/>
      <c r="DL24" s="289"/>
      <c r="DM24" s="289"/>
      <c r="DN24" s="289"/>
      <c r="DO24" s="289"/>
      <c r="DP24" s="289"/>
      <c r="DQ24" s="289"/>
      <c r="DR24" s="289"/>
      <c r="DS24" s="289"/>
    </row>
    <row r="25" spans="1:123" s="343" customFormat="1">
      <c r="A25" s="9"/>
      <c r="B25" s="9"/>
      <c r="C25" s="983"/>
      <c r="I25" s="379"/>
      <c r="J25" s="379"/>
      <c r="K25" s="9"/>
      <c r="L25" s="619"/>
      <c r="M25" s="343">
        <v>20</v>
      </c>
      <c r="N25" s="343">
        <f>M23+M25</f>
        <v>351</v>
      </c>
      <c r="O25" s="343">
        <f>N25+O23-N23</f>
        <v>331</v>
      </c>
      <c r="P25" s="343">
        <f>O23+P24</f>
        <v>485</v>
      </c>
      <c r="Q25" s="343">
        <f>P23+Q24</f>
        <v>559</v>
      </c>
      <c r="R25" s="343">
        <f t="shared" ref="R25:BP25" si="137">Q23+R24</f>
        <v>570</v>
      </c>
      <c r="S25" s="343">
        <f>R23+S24</f>
        <v>574</v>
      </c>
      <c r="T25" s="343">
        <f t="shared" si="137"/>
        <v>592</v>
      </c>
      <c r="U25" s="343">
        <f t="shared" si="137"/>
        <v>601</v>
      </c>
      <c r="V25" s="343">
        <f t="shared" si="137"/>
        <v>607</v>
      </c>
      <c r="W25" s="373">
        <f t="shared" si="137"/>
        <v>646</v>
      </c>
      <c r="X25" s="1171">
        <f t="shared" si="137"/>
        <v>735</v>
      </c>
      <c r="Y25" s="343">
        <f t="shared" si="137"/>
        <v>904</v>
      </c>
      <c r="Z25" s="343">
        <f>Y23+Z24</f>
        <v>1103</v>
      </c>
      <c r="AA25" s="343">
        <f t="shared" si="137"/>
        <v>1178</v>
      </c>
      <c r="AB25" s="343">
        <f t="shared" si="137"/>
        <v>1215</v>
      </c>
      <c r="AC25" s="343">
        <f t="shared" si="137"/>
        <v>1219</v>
      </c>
      <c r="AD25" s="343">
        <f t="shared" si="137"/>
        <v>1232</v>
      </c>
      <c r="AE25" s="343">
        <f t="shared" si="137"/>
        <v>1237</v>
      </c>
      <c r="AF25" s="343">
        <f t="shared" si="137"/>
        <v>1242</v>
      </c>
      <c r="AG25" s="343">
        <f t="shared" si="137"/>
        <v>1248</v>
      </c>
      <c r="AH25" s="374">
        <f t="shared" si="137"/>
        <v>1253</v>
      </c>
      <c r="AI25" s="1147">
        <f t="shared" si="137"/>
        <v>1260</v>
      </c>
      <c r="AJ25" s="374">
        <f t="shared" si="137"/>
        <v>1275</v>
      </c>
      <c r="AK25" s="343">
        <f t="shared" si="137"/>
        <v>1369</v>
      </c>
      <c r="AL25" s="343">
        <f t="shared" si="137"/>
        <v>1460</v>
      </c>
      <c r="AM25" s="374">
        <f t="shared" si="137"/>
        <v>1543</v>
      </c>
      <c r="AN25" s="374">
        <f t="shared" si="137"/>
        <v>1574</v>
      </c>
      <c r="AO25" s="343">
        <f t="shared" si="137"/>
        <v>1586</v>
      </c>
      <c r="AP25" s="374">
        <f t="shared" si="137"/>
        <v>1592</v>
      </c>
      <c r="AQ25" s="343">
        <f t="shared" si="137"/>
        <v>1599</v>
      </c>
      <c r="AR25" s="374">
        <f t="shared" si="137"/>
        <v>1603</v>
      </c>
      <c r="AS25" s="374">
        <f t="shared" si="137"/>
        <v>1607</v>
      </c>
      <c r="AT25" s="374">
        <f t="shared" si="137"/>
        <v>1612</v>
      </c>
      <c r="AU25" s="1147">
        <f t="shared" si="137"/>
        <v>1618</v>
      </c>
      <c r="AV25" s="374">
        <f t="shared" si="137"/>
        <v>1665</v>
      </c>
      <c r="AW25" s="343">
        <f t="shared" si="137"/>
        <v>1769</v>
      </c>
      <c r="AX25" s="343">
        <f t="shared" si="137"/>
        <v>1902</v>
      </c>
      <c r="AY25" s="374">
        <f t="shared" si="137"/>
        <v>1985</v>
      </c>
      <c r="AZ25" s="374">
        <f t="shared" si="137"/>
        <v>2042</v>
      </c>
      <c r="BA25" s="374">
        <f t="shared" si="137"/>
        <v>2042</v>
      </c>
      <c r="BB25" s="374">
        <f t="shared" si="137"/>
        <v>2046</v>
      </c>
      <c r="BC25" s="374">
        <f t="shared" si="137"/>
        <v>2051</v>
      </c>
      <c r="BD25" s="374">
        <f t="shared" si="137"/>
        <v>2055</v>
      </c>
      <c r="BE25" s="374">
        <f t="shared" si="137"/>
        <v>2058</v>
      </c>
      <c r="BF25" s="374">
        <f t="shared" si="137"/>
        <v>2062</v>
      </c>
      <c r="BG25" s="1147">
        <f t="shared" si="137"/>
        <v>2067</v>
      </c>
      <c r="BH25" s="374">
        <f t="shared" si="137"/>
        <v>2137</v>
      </c>
      <c r="BI25" s="343">
        <f t="shared" si="137"/>
        <v>2281</v>
      </c>
      <c r="BJ25" s="343">
        <f t="shared" si="137"/>
        <v>2391</v>
      </c>
      <c r="BK25" s="374">
        <f t="shared" si="137"/>
        <v>2496</v>
      </c>
      <c r="BL25" s="374">
        <f t="shared" si="137"/>
        <v>2544</v>
      </c>
      <c r="BM25" s="374">
        <f t="shared" si="137"/>
        <v>2552</v>
      </c>
      <c r="BN25" s="374">
        <f t="shared" si="137"/>
        <v>2558</v>
      </c>
      <c r="BO25" s="374">
        <f t="shared" si="137"/>
        <v>2563</v>
      </c>
      <c r="BP25" s="374">
        <f t="shared" si="137"/>
        <v>2571</v>
      </c>
      <c r="BQ25" s="374"/>
      <c r="BR25" s="374"/>
      <c r="BS25" s="1147"/>
      <c r="BT25" s="374"/>
      <c r="BU25" s="374"/>
      <c r="BV25" s="374"/>
      <c r="BZ25" s="373"/>
      <c r="CM25" s="364"/>
    </row>
    <row r="26" spans="1:123">
      <c r="C26" s="981" t="s">
        <v>885</v>
      </c>
      <c r="I26" s="117"/>
      <c r="J26" s="117"/>
      <c r="L26" s="608"/>
      <c r="W26" s="103">
        <v>666</v>
      </c>
      <c r="X26" s="99"/>
      <c r="Y26" s="9">
        <v>828</v>
      </c>
      <c r="AB26" s="9">
        <v>1212</v>
      </c>
      <c r="AC26" s="9">
        <v>1225</v>
      </c>
      <c r="AG26" s="9">
        <v>1247</v>
      </c>
      <c r="AI26" s="1149"/>
      <c r="AJ26" s="105"/>
      <c r="AK26" s="9">
        <v>1363</v>
      </c>
      <c r="AM26" s="105">
        <v>1538</v>
      </c>
      <c r="AN26" s="105"/>
      <c r="AO26" s="9">
        <v>1586</v>
      </c>
      <c r="AP26" s="105"/>
      <c r="AQ26" s="9">
        <v>1598</v>
      </c>
      <c r="AR26" s="105"/>
      <c r="AS26" s="105">
        <v>1607</v>
      </c>
      <c r="AU26" s="1149">
        <v>1618</v>
      </c>
      <c r="AV26" s="105"/>
      <c r="AW26" s="9">
        <v>1760</v>
      </c>
      <c r="AY26" s="105">
        <v>1980</v>
      </c>
      <c r="BA26" s="105">
        <v>2042</v>
      </c>
      <c r="BC26" s="105"/>
      <c r="BD26" s="105"/>
      <c r="BE26" s="9">
        <v>2058</v>
      </c>
      <c r="BG26" s="1149">
        <v>2066</v>
      </c>
      <c r="BH26" s="105"/>
      <c r="BI26" s="9">
        <v>2269</v>
      </c>
      <c r="BK26" s="105">
        <v>2488</v>
      </c>
      <c r="BL26" s="105"/>
      <c r="BM26" s="105">
        <v>2552</v>
      </c>
      <c r="BN26" s="105"/>
      <c r="BO26" s="105">
        <v>2562</v>
      </c>
      <c r="BQ26" s="105">
        <v>2576</v>
      </c>
      <c r="BS26" s="1149"/>
      <c r="BT26" s="105"/>
      <c r="BU26" s="105"/>
      <c r="BV26" s="105"/>
      <c r="BZ26" s="103"/>
      <c r="CM26" s="265"/>
    </row>
    <row r="27" spans="1:123" s="343" customFormat="1">
      <c r="A27" s="9"/>
      <c r="B27" s="9"/>
      <c r="C27" s="983" t="s">
        <v>886</v>
      </c>
      <c r="D27" s="343">
        <f>SUM(M27:X27)</f>
        <v>826</v>
      </c>
      <c r="E27" s="343">
        <f>SUM(Y27:AJ27)</f>
        <v>531</v>
      </c>
      <c r="F27" s="343">
        <f>SUM(AK27:AV27)</f>
        <v>401</v>
      </c>
      <c r="G27" s="343">
        <f>SUM(AW27:BH27)</f>
        <v>521</v>
      </c>
      <c r="H27" s="343">
        <f>SUM(BI27:BT27)</f>
        <v>545</v>
      </c>
      <c r="I27" s="379">
        <f>SUM(BU27:CK27)</f>
        <v>639</v>
      </c>
      <c r="J27" s="379"/>
      <c r="K27" s="9"/>
      <c r="L27" s="619">
        <v>20</v>
      </c>
      <c r="M27" s="343">
        <v>134</v>
      </c>
      <c r="N27" s="343">
        <v>144</v>
      </c>
      <c r="O27" s="343">
        <v>183</v>
      </c>
      <c r="P27" s="343">
        <v>75</v>
      </c>
      <c r="Q27" s="343">
        <v>15</v>
      </c>
      <c r="R27" s="343">
        <v>11</v>
      </c>
      <c r="S27" s="343">
        <v>7</v>
      </c>
      <c r="T27" s="343">
        <v>9</v>
      </c>
      <c r="U27" s="343">
        <v>6</v>
      </c>
      <c r="V27" s="343">
        <v>50</v>
      </c>
      <c r="W27" s="373">
        <v>66</v>
      </c>
      <c r="X27" s="1172">
        <f>172+70-116</f>
        <v>126</v>
      </c>
      <c r="Y27" s="343">
        <v>203</v>
      </c>
      <c r="Z27" s="343">
        <v>76</v>
      </c>
      <c r="AA27" s="343">
        <v>35</v>
      </c>
      <c r="AB27" s="343">
        <v>10</v>
      </c>
      <c r="AC27" s="343">
        <v>7</v>
      </c>
      <c r="AD27" s="343">
        <v>5</v>
      </c>
      <c r="AE27" s="343">
        <v>11</v>
      </c>
      <c r="AF27" s="343">
        <v>6</v>
      </c>
      <c r="AG27" s="343">
        <v>13</v>
      </c>
      <c r="AH27" s="374">
        <v>30</v>
      </c>
      <c r="AI27" s="1150">
        <v>59</v>
      </c>
      <c r="AJ27" s="1158">
        <v>76</v>
      </c>
      <c r="AK27" s="374">
        <v>68</v>
      </c>
      <c r="AL27" s="374">
        <v>58</v>
      </c>
      <c r="AM27" s="374">
        <v>47</v>
      </c>
      <c r="AN27" s="374">
        <v>28</v>
      </c>
      <c r="AO27" s="374">
        <v>16</v>
      </c>
      <c r="AP27" s="374">
        <v>11</v>
      </c>
      <c r="AQ27" s="374">
        <v>4</v>
      </c>
      <c r="AR27" s="374">
        <v>4</v>
      </c>
      <c r="AS27" s="374">
        <v>5</v>
      </c>
      <c r="AT27" s="374">
        <v>6</v>
      </c>
      <c r="AU27" s="1150">
        <v>48</v>
      </c>
      <c r="AV27" s="1158">
        <v>106</v>
      </c>
      <c r="AW27" s="374">
        <v>136</v>
      </c>
      <c r="AX27" s="374">
        <f>79+5</f>
        <v>84</v>
      </c>
      <c r="AY27" s="374">
        <v>41</v>
      </c>
      <c r="AZ27" s="374">
        <v>17</v>
      </c>
      <c r="BA27" s="374">
        <v>4</v>
      </c>
      <c r="BB27" s="374">
        <v>5</v>
      </c>
      <c r="BC27" s="374">
        <v>4</v>
      </c>
      <c r="BD27" s="374">
        <f t="shared" ref="BD27:BI27" si="138">BD24</f>
        <v>4</v>
      </c>
      <c r="BE27" s="374">
        <v>4</v>
      </c>
      <c r="BF27" s="374">
        <f t="shared" si="138"/>
        <v>4</v>
      </c>
      <c r="BG27" s="1150">
        <v>71</v>
      </c>
      <c r="BH27" s="1158">
        <v>147</v>
      </c>
      <c r="BI27" s="374">
        <f t="shared" si="138"/>
        <v>144</v>
      </c>
      <c r="BJ27" s="374">
        <v>105</v>
      </c>
      <c r="BK27" s="374">
        <v>49</v>
      </c>
      <c r="BL27" s="374">
        <v>8</v>
      </c>
      <c r="BM27" s="374">
        <f t="shared" ref="BM27:BQ27" si="139">BN24</f>
        <v>6</v>
      </c>
      <c r="BN27" s="374">
        <v>5</v>
      </c>
      <c r="BO27" s="374">
        <f t="shared" si="139"/>
        <v>8</v>
      </c>
      <c r="BP27" s="374">
        <f t="shared" si="139"/>
        <v>5</v>
      </c>
      <c r="BQ27" s="374">
        <f t="shared" si="139"/>
        <v>5</v>
      </c>
      <c r="BR27" s="374">
        <v>5</v>
      </c>
      <c r="BS27" s="1150">
        <v>83</v>
      </c>
      <c r="BT27" s="1158">
        <v>122</v>
      </c>
      <c r="BU27" s="1158">
        <v>180</v>
      </c>
      <c r="BV27" s="1158">
        <v>93</v>
      </c>
      <c r="BW27" s="374">
        <v>59</v>
      </c>
      <c r="BX27" s="374">
        <v>12</v>
      </c>
      <c r="BY27" s="374">
        <v>6</v>
      </c>
      <c r="BZ27" s="1419">
        <v>5</v>
      </c>
      <c r="CA27" s="379"/>
      <c r="CB27" s="379">
        <v>5</v>
      </c>
      <c r="CC27" s="379">
        <v>5</v>
      </c>
      <c r="CD27" s="379">
        <v>5</v>
      </c>
      <c r="CE27" s="379"/>
      <c r="CF27" s="379">
        <v>5</v>
      </c>
      <c r="CG27" s="379">
        <v>5</v>
      </c>
      <c r="CH27" s="379">
        <v>62</v>
      </c>
      <c r="CI27" s="379"/>
      <c r="CJ27" s="379">
        <v>62</v>
      </c>
      <c r="CK27" s="379">
        <v>135</v>
      </c>
      <c r="CL27" s="379"/>
      <c r="CM27" s="856">
        <v>130</v>
      </c>
      <c r="CN27" s="854">
        <v>95</v>
      </c>
      <c r="CO27" s="379"/>
      <c r="CP27" s="379"/>
      <c r="CQ27" s="379"/>
      <c r="CR27" s="379"/>
      <c r="CS27" s="379"/>
      <c r="CT27" s="379"/>
      <c r="CU27" s="379"/>
      <c r="CV27" s="379"/>
      <c r="CW27" s="379"/>
      <c r="CX27" s="379"/>
      <c r="CY27" s="379"/>
      <c r="CZ27" s="379"/>
      <c r="DA27" s="379"/>
      <c r="DB27" s="379"/>
      <c r="DC27" s="379"/>
      <c r="DD27" s="379"/>
      <c r="DE27" s="379"/>
      <c r="DF27" s="379"/>
      <c r="DG27" s="379"/>
      <c r="DH27" s="379"/>
      <c r="DI27" s="379"/>
      <c r="DJ27" s="379"/>
      <c r="DK27" s="379"/>
      <c r="DL27" s="379"/>
      <c r="DM27" s="379"/>
      <c r="DN27" s="379"/>
      <c r="DO27" s="379"/>
      <c r="DP27" s="379"/>
      <c r="DQ27" s="379"/>
      <c r="DR27" s="379"/>
      <c r="DS27" s="379"/>
    </row>
    <row r="28" spans="1:123" s="19" customFormat="1">
      <c r="A28" s="9"/>
      <c r="C28" s="984" t="s">
        <v>887</v>
      </c>
      <c r="D28" s="19">
        <f>SUM(M28:Z28)</f>
        <v>1206</v>
      </c>
      <c r="E28" s="19">
        <f>SUM(AA28:AL28)</f>
        <v>239</v>
      </c>
      <c r="F28" s="19">
        <f>SUM(AM28:AX28)</f>
        <v>407</v>
      </c>
      <c r="G28" s="19">
        <f>SUM(AY28:BJ28)</f>
        <v>521</v>
      </c>
      <c r="H28" s="19">
        <f>SUM(BK28:BV28)</f>
        <v>545</v>
      </c>
      <c r="I28" s="587">
        <f>SUM(BW28:CN28)</f>
        <v>572</v>
      </c>
      <c r="J28" s="587"/>
      <c r="K28" s="9"/>
      <c r="L28" s="620"/>
      <c r="N28" s="19">
        <v>351</v>
      </c>
      <c r="P28" s="19">
        <v>169</v>
      </c>
      <c r="R28" s="19">
        <v>60</v>
      </c>
      <c r="T28" s="19">
        <v>22</v>
      </c>
      <c r="V28" s="19">
        <v>16</v>
      </c>
      <c r="W28" s="118">
        <v>59</v>
      </c>
      <c r="X28" s="1161">
        <v>116</v>
      </c>
      <c r="Z28" s="19">
        <v>413</v>
      </c>
      <c r="AB28" s="19">
        <v>27</v>
      </c>
      <c r="AD28" s="19">
        <v>17</v>
      </c>
      <c r="AF28" s="19">
        <v>12</v>
      </c>
      <c r="AH28" s="291">
        <v>7</v>
      </c>
      <c r="AI28" s="587"/>
      <c r="AJ28" s="1151">
        <v>65</v>
      </c>
      <c r="AK28" s="1157"/>
      <c r="AL28" s="291">
        <v>111</v>
      </c>
      <c r="AM28" s="291"/>
      <c r="AN28" s="19">
        <v>177</v>
      </c>
      <c r="AP28" s="19">
        <v>44</v>
      </c>
      <c r="AR28" s="19">
        <v>13</v>
      </c>
      <c r="AT28" s="291">
        <v>8</v>
      </c>
      <c r="AU28" s="587"/>
      <c r="AV28" s="1151">
        <v>11</v>
      </c>
      <c r="AW28" s="1157"/>
      <c r="AX28" s="291">
        <v>154</v>
      </c>
      <c r="AY28" s="291"/>
      <c r="AZ28" s="19">
        <f>AW27+AX27</f>
        <v>220</v>
      </c>
      <c r="BB28" s="19">
        <f>AY27+AZ27</f>
        <v>58</v>
      </c>
      <c r="BD28" s="19">
        <f>BA27+BB27</f>
        <v>9</v>
      </c>
      <c r="BE28" s="587"/>
      <c r="BF28" s="291">
        <f>BC27+BD27</f>
        <v>8</v>
      </c>
      <c r="BG28" s="587"/>
      <c r="BH28" s="1151">
        <f>BE27+BF27</f>
        <v>8</v>
      </c>
      <c r="BI28" s="1157"/>
      <c r="BJ28" s="291">
        <f>BG27+BH27</f>
        <v>218</v>
      </c>
      <c r="BK28" s="291"/>
      <c r="BL28" s="291">
        <f>BI27+BJ27</f>
        <v>249</v>
      </c>
      <c r="BM28" s="291"/>
      <c r="BN28" s="291">
        <f>BK27+BL27</f>
        <v>57</v>
      </c>
      <c r="BO28" s="291"/>
      <c r="BP28" s="291">
        <f>BM27+BN27</f>
        <v>11</v>
      </c>
      <c r="BQ28" s="291"/>
      <c r="BR28" s="291">
        <f>BO27+BP27</f>
        <v>13</v>
      </c>
      <c r="BS28" s="291"/>
      <c r="BT28" s="855">
        <f>BQ27+BR27</f>
        <v>10</v>
      </c>
      <c r="BU28" s="587"/>
      <c r="BV28" s="291">
        <f>BS27+BT27</f>
        <v>205</v>
      </c>
      <c r="BW28" s="587"/>
      <c r="BX28" s="291">
        <f>BU27+BV27</f>
        <v>273</v>
      </c>
      <c r="BY28" s="587"/>
      <c r="BZ28" s="1420">
        <f>BW27+BX27</f>
        <v>71</v>
      </c>
      <c r="CA28" s="291"/>
      <c r="CB28" s="587"/>
      <c r="CC28" s="587">
        <f>BY27+BZ27</f>
        <v>11</v>
      </c>
      <c r="CD28" s="587"/>
      <c r="CE28" s="587"/>
      <c r="CF28" s="587"/>
      <c r="CG28" s="587">
        <f>CB27+CC27</f>
        <v>10</v>
      </c>
      <c r="CH28" s="587"/>
      <c r="CI28" s="587"/>
      <c r="CJ28" s="587"/>
      <c r="CK28" s="587">
        <f>CD27+CG27</f>
        <v>10</v>
      </c>
      <c r="CL28" s="587"/>
      <c r="CM28" s="859"/>
      <c r="CN28" s="857">
        <f>CH27+CK27</f>
        <v>197</v>
      </c>
    </row>
    <row r="29" spans="1:123" s="343" customFormat="1">
      <c r="A29" s="9"/>
      <c r="B29" s="9"/>
      <c r="C29" s="983" t="s">
        <v>75</v>
      </c>
      <c r="D29" s="343">
        <f>MROUND(D28/12,1)</f>
        <v>101</v>
      </c>
      <c r="E29" s="343">
        <f t="shared" ref="E29:H29" si="140">MROUND(E28/12,1)</f>
        <v>20</v>
      </c>
      <c r="F29" s="343">
        <f t="shared" si="140"/>
        <v>34</v>
      </c>
      <c r="G29" s="343">
        <f t="shared" si="140"/>
        <v>43</v>
      </c>
      <c r="H29" s="343">
        <f t="shared" si="140"/>
        <v>45</v>
      </c>
      <c r="I29" s="379">
        <f>MROUND(I28/12,1)</f>
        <v>48</v>
      </c>
      <c r="J29" s="379"/>
      <c r="K29" s="9"/>
      <c r="L29" s="619"/>
      <c r="N29" s="343">
        <f>L24</f>
        <v>20</v>
      </c>
      <c r="P29" s="343">
        <f>M24+N24</f>
        <v>327</v>
      </c>
      <c r="R29" s="343">
        <f>O24+P24</f>
        <v>301</v>
      </c>
      <c r="T29" s="343">
        <f>Q24+R24</f>
        <v>85</v>
      </c>
      <c r="V29" s="343">
        <f>S24+T24</f>
        <v>22</v>
      </c>
      <c r="W29" s="373"/>
      <c r="X29" s="1162">
        <f>U24+V24</f>
        <v>15</v>
      </c>
      <c r="Z29" s="343">
        <f>W24+X24</f>
        <v>128</v>
      </c>
      <c r="AB29" s="343">
        <f>Y24+Z24</f>
        <v>368</v>
      </c>
      <c r="AD29" s="343">
        <f>AA24+AB24</f>
        <v>112</v>
      </c>
      <c r="AF29" s="343">
        <f>AC24+AD24</f>
        <v>11</v>
      </c>
      <c r="AH29" s="374">
        <f>AE24+AF24</f>
        <v>10</v>
      </c>
      <c r="AI29" s="379"/>
      <c r="AJ29" s="1148">
        <f>AG24+AH24</f>
        <v>11</v>
      </c>
      <c r="AK29" s="379"/>
      <c r="AL29" s="374">
        <f>AI24+AJ24</f>
        <v>22</v>
      </c>
      <c r="AM29" s="374"/>
      <c r="AN29" s="343">
        <f>AK24+AL24</f>
        <v>185</v>
      </c>
      <c r="AO29" s="379"/>
      <c r="AP29" s="343">
        <f>AM24+AN24</f>
        <v>114</v>
      </c>
      <c r="AQ29" s="379"/>
      <c r="AR29" s="374">
        <f>AO24+AP24</f>
        <v>18</v>
      </c>
      <c r="AS29" s="379"/>
      <c r="AT29" s="374">
        <f>AQ24+AR24</f>
        <v>11</v>
      </c>
      <c r="AU29" s="379"/>
      <c r="AV29" s="1148">
        <f>AS24+AT24</f>
        <v>9</v>
      </c>
      <c r="AW29" s="379"/>
      <c r="AX29" s="374">
        <f>AU24+AV24</f>
        <v>53</v>
      </c>
      <c r="AY29" s="374"/>
      <c r="AZ29" s="374">
        <f>AW24+AX24</f>
        <v>237</v>
      </c>
      <c r="BA29" s="379"/>
      <c r="BB29" s="374">
        <f>AY24+AZ24</f>
        <v>140</v>
      </c>
      <c r="BC29" s="379"/>
      <c r="BD29" s="374">
        <f>BA24+BB24</f>
        <v>4</v>
      </c>
      <c r="BE29" s="379"/>
      <c r="BF29" s="374">
        <f>BC24+BD24</f>
        <v>9</v>
      </c>
      <c r="BG29" s="379"/>
      <c r="BH29" s="1148">
        <f>BE24+BF24</f>
        <v>7</v>
      </c>
      <c r="BI29" s="379"/>
      <c r="BJ29" s="374">
        <f>BG24+BH24</f>
        <v>75</v>
      </c>
      <c r="BK29" s="374"/>
      <c r="BL29" s="374">
        <f>BI24+BJ24</f>
        <v>254</v>
      </c>
      <c r="BM29" s="374"/>
      <c r="BN29" s="374">
        <f>BK24+BL24</f>
        <v>153</v>
      </c>
      <c r="BO29" s="374"/>
      <c r="BP29" s="374">
        <f>BM24+BN24</f>
        <v>14</v>
      </c>
      <c r="BQ29" s="374"/>
      <c r="BR29" s="374">
        <f>BO24+BP24</f>
        <v>13</v>
      </c>
      <c r="BS29" s="374"/>
      <c r="BT29" s="558">
        <f>BQ24+BR24</f>
        <v>10</v>
      </c>
      <c r="BU29" s="379"/>
      <c r="BV29" s="374">
        <f>BS24+BT24</f>
        <v>201</v>
      </c>
      <c r="BW29" s="379"/>
      <c r="BX29" s="374">
        <f>BU24+BV24</f>
        <v>268</v>
      </c>
      <c r="BY29" s="379"/>
      <c r="BZ29" s="1421">
        <f>BW24+BX24</f>
        <v>71</v>
      </c>
      <c r="CA29" s="374"/>
      <c r="CB29" s="379"/>
      <c r="CC29" s="379">
        <f>BY24+BZ24</f>
        <v>11</v>
      </c>
      <c r="CD29" s="379"/>
      <c r="CE29" s="379"/>
      <c r="CF29" s="379"/>
      <c r="CG29" s="379">
        <f>CB24+CC24</f>
        <v>10</v>
      </c>
      <c r="CH29" s="379"/>
      <c r="CI29" s="379"/>
      <c r="CJ29" s="379"/>
      <c r="CK29" s="379">
        <f>CD24+CG24</f>
        <v>10</v>
      </c>
      <c r="CL29" s="379"/>
      <c r="CM29" s="379"/>
      <c r="CN29" s="858">
        <f>CH24+CK24</f>
        <v>197</v>
      </c>
      <c r="CO29" s="379"/>
      <c r="CP29" s="379"/>
      <c r="CQ29" s="379"/>
      <c r="CR29" s="379"/>
      <c r="CS29" s="379"/>
      <c r="CT29" s="379"/>
      <c r="CU29" s="379"/>
      <c r="CV29" s="379"/>
      <c r="CW29" s="379"/>
      <c r="CX29" s="379"/>
      <c r="CY29" s="379"/>
      <c r="CZ29" s="379"/>
      <c r="DA29" s="379"/>
      <c r="DB29" s="379"/>
      <c r="DC29" s="379"/>
      <c r="DD29" s="379"/>
      <c r="DE29" s="379"/>
      <c r="DF29" s="379"/>
      <c r="DG29" s="379"/>
      <c r="DH29" s="379"/>
      <c r="DI29" s="379"/>
      <c r="DJ29" s="379"/>
      <c r="DK29" s="379"/>
      <c r="DL29" s="379"/>
      <c r="DM29" s="379"/>
      <c r="DN29" s="379"/>
      <c r="DO29" s="379"/>
      <c r="DP29" s="379"/>
      <c r="DQ29" s="379"/>
      <c r="DR29" s="379"/>
      <c r="DS29" s="379"/>
    </row>
    <row r="30" spans="1:123">
      <c r="B30" s="14"/>
      <c r="C30" s="981" t="s">
        <v>888</v>
      </c>
      <c r="D30" s="9">
        <f>SUM(M30:Z30)</f>
        <v>308</v>
      </c>
      <c r="E30" s="9">
        <f>SUM(AB30:AL30)</f>
        <v>-295</v>
      </c>
      <c r="F30" s="9">
        <f>SUM(AM30:AX30)</f>
        <v>17</v>
      </c>
      <c r="G30" s="9">
        <f>SUM(AY30:BJ30)</f>
        <v>49</v>
      </c>
      <c r="H30" s="119">
        <f>SUM(BK30:BV30)</f>
        <v>-100</v>
      </c>
      <c r="I30" s="117">
        <f>SUM(BW30:CN30)</f>
        <v>5</v>
      </c>
      <c r="J30" s="117"/>
      <c r="L30" s="608"/>
      <c r="M30" s="9">
        <f>M28-M29</f>
        <v>0</v>
      </c>
      <c r="N30" s="9">
        <f>N28-N29</f>
        <v>331</v>
      </c>
      <c r="P30" s="9">
        <f>P28-P29</f>
        <v>-158</v>
      </c>
      <c r="R30" s="9">
        <f>R28-R29</f>
        <v>-241</v>
      </c>
      <c r="T30" s="9">
        <f>T28-T29</f>
        <v>-63</v>
      </c>
      <c r="V30" s="9">
        <f>V28-V29</f>
        <v>-6</v>
      </c>
      <c r="W30" s="103">
        <f>W28-W29</f>
        <v>59</v>
      </c>
      <c r="X30" s="1164">
        <f>X28-X29</f>
        <v>101</v>
      </c>
      <c r="Y30" s="1173"/>
      <c r="Z30" s="9">
        <f>Z28-Z29</f>
        <v>285</v>
      </c>
      <c r="AB30" s="9">
        <f>AB28-AB29</f>
        <v>-341</v>
      </c>
      <c r="AD30" s="9">
        <f>AD28-AD29</f>
        <v>-95</v>
      </c>
      <c r="AF30" s="9">
        <f>AF28-AF29</f>
        <v>1</v>
      </c>
      <c r="AH30" s="105">
        <f>AH28-AH29</f>
        <v>-3</v>
      </c>
      <c r="AI30" s="1152"/>
      <c r="AJ30" s="1142">
        <f>AJ28-AJ29</f>
        <v>54</v>
      </c>
      <c r="AK30" s="1145"/>
      <c r="AL30" s="105">
        <f>AL28-AL29</f>
        <v>89</v>
      </c>
      <c r="AM30" s="928"/>
      <c r="AN30" s="9">
        <f>AN28-AN29</f>
        <v>-8</v>
      </c>
      <c r="AP30" s="9">
        <f>AP28-AP29</f>
        <v>-70</v>
      </c>
      <c r="AR30" s="9">
        <f>AR28-AR29</f>
        <v>-5</v>
      </c>
      <c r="AT30" s="105">
        <f>AT28-AT29</f>
        <v>-3</v>
      </c>
      <c r="AU30" s="1152"/>
      <c r="AV30" s="1142">
        <f>AV28-AV29</f>
        <v>2</v>
      </c>
      <c r="AW30" s="1145"/>
      <c r="AX30" s="105">
        <f>AX28-AX29</f>
        <v>101</v>
      </c>
      <c r="AY30" s="928"/>
      <c r="AZ30" s="105">
        <f>AZ28-AZ29</f>
        <v>-17</v>
      </c>
      <c r="BB30" s="105">
        <f>BB28-BB29</f>
        <v>-82</v>
      </c>
      <c r="BD30" s="105">
        <f>BD28-BD29</f>
        <v>5</v>
      </c>
      <c r="BF30" s="105">
        <f>BF28-BF29</f>
        <v>-1</v>
      </c>
      <c r="BG30" s="1152"/>
      <c r="BH30" s="1142">
        <f>BH28-BH29</f>
        <v>1</v>
      </c>
      <c r="BI30" s="1145"/>
      <c r="BJ30" s="105">
        <f>BJ28-BJ29</f>
        <v>143</v>
      </c>
      <c r="BK30" s="928"/>
      <c r="BL30" s="929">
        <f>BL28-BL29</f>
        <v>-5</v>
      </c>
      <c r="BM30" s="928"/>
      <c r="BN30" s="929">
        <f>BN28-BN29</f>
        <v>-96</v>
      </c>
      <c r="BO30" s="928"/>
      <c r="BP30" s="929">
        <f>BP28-BP29</f>
        <v>-3</v>
      </c>
      <c r="BQ30" s="928"/>
      <c r="BR30" s="929">
        <f>BR28-BR29</f>
        <v>0</v>
      </c>
      <c r="BS30" s="1141"/>
      <c r="BT30" s="1142">
        <f>BT28-BT29</f>
        <v>0</v>
      </c>
      <c r="BU30" s="1133"/>
      <c r="BV30" s="105">
        <f>BV28-BV29</f>
        <v>4</v>
      </c>
      <c r="BW30" s="117"/>
      <c r="BX30" s="105">
        <f>BX28-BX29</f>
        <v>5</v>
      </c>
      <c r="BY30" s="117"/>
      <c r="BZ30" s="1422">
        <f>BZ28-BZ29</f>
        <v>0</v>
      </c>
      <c r="CA30" s="105"/>
      <c r="CB30" s="117"/>
      <c r="CC30" s="117">
        <f>CC28-CC29</f>
        <v>0</v>
      </c>
      <c r="CD30" s="117"/>
      <c r="CE30" s="117"/>
      <c r="CF30" s="117"/>
      <c r="CG30" s="1361">
        <f>CG28-CG29</f>
        <v>0</v>
      </c>
      <c r="CH30" s="1361"/>
      <c r="CI30" s="1361"/>
      <c r="CJ30" s="1361"/>
      <c r="CK30" s="1361">
        <f>CK28-CK29</f>
        <v>0</v>
      </c>
      <c r="CL30" s="1361"/>
      <c r="CM30" s="1362"/>
      <c r="CN30" s="1363">
        <f>CN28-CN29</f>
        <v>0</v>
      </c>
    </row>
    <row r="31" spans="1:123">
      <c r="D31" s="49"/>
      <c r="E31" s="49"/>
      <c r="F31" s="49"/>
      <c r="G31" s="49"/>
      <c r="H31" s="49" t="s">
        <v>889</v>
      </c>
      <c r="I31" s="49"/>
      <c r="J31" s="49"/>
      <c r="L31" s="608"/>
      <c r="W31" s="103"/>
      <c r="Y31" s="129">
        <f t="shared" ref="Y31:AK31" si="141">(Y27-M27)/M27</f>
        <v>0.5149253731343284</v>
      </c>
      <c r="Z31" s="129">
        <f t="shared" si="141"/>
        <v>-0.47222222222222221</v>
      </c>
      <c r="AA31" s="129">
        <f t="shared" si="141"/>
        <v>-0.80874316939890711</v>
      </c>
      <c r="AB31" s="129">
        <f t="shared" si="141"/>
        <v>-0.8666666666666667</v>
      </c>
      <c r="AC31" s="129">
        <f t="shared" si="141"/>
        <v>-0.53333333333333333</v>
      </c>
      <c r="AD31" s="129">
        <f t="shared" si="141"/>
        <v>-0.54545454545454541</v>
      </c>
      <c r="AE31" s="129">
        <f t="shared" si="141"/>
        <v>0.5714285714285714</v>
      </c>
      <c r="AF31" s="129">
        <f t="shared" si="141"/>
        <v>-0.33333333333333331</v>
      </c>
      <c r="AG31" s="129">
        <f t="shared" si="141"/>
        <v>1.1666666666666667</v>
      </c>
      <c r="AH31" s="1154">
        <f t="shared" si="141"/>
        <v>-0.4</v>
      </c>
      <c r="AI31" s="1153">
        <f t="shared" si="141"/>
        <v>-0.10606060606060606</v>
      </c>
      <c r="AJ31" s="1153">
        <f t="shared" si="141"/>
        <v>-0.3968253968253968</v>
      </c>
      <c r="AK31" s="129">
        <f t="shared" si="141"/>
        <v>-0.66502463054187189</v>
      </c>
      <c r="AL31" s="129">
        <f t="shared" ref="AL31:AP31" si="142">(AL27-Z27)/Z27</f>
        <v>-0.23684210526315788</v>
      </c>
      <c r="AM31" s="928">
        <f t="shared" si="142"/>
        <v>0.34285714285714286</v>
      </c>
      <c r="AN31" s="129">
        <f t="shared" si="142"/>
        <v>1.8</v>
      </c>
      <c r="AO31" s="129">
        <f t="shared" si="142"/>
        <v>1.2857142857142858</v>
      </c>
      <c r="AP31" s="129">
        <f t="shared" si="142"/>
        <v>1.2</v>
      </c>
      <c r="AQ31" s="129">
        <f t="shared" ref="AQ31" si="143">(AQ27-AE27)/AE27</f>
        <v>-0.63636363636363635</v>
      </c>
      <c r="AR31" s="129">
        <f t="shared" ref="AR31:AW31" si="144">(AR27-AF27)/AF27</f>
        <v>-0.33333333333333331</v>
      </c>
      <c r="AS31" s="129">
        <f t="shared" si="144"/>
        <v>-0.61538461538461542</v>
      </c>
      <c r="AT31" s="1154">
        <f t="shared" si="144"/>
        <v>-0.8</v>
      </c>
      <c r="AU31" s="1153">
        <f t="shared" si="144"/>
        <v>-0.1864406779661017</v>
      </c>
      <c r="AV31" s="1153">
        <f>(AV27-AJ27)/AJ27</f>
        <v>0.39473684210526316</v>
      </c>
      <c r="AW31" s="129">
        <f t="shared" si="144"/>
        <v>1</v>
      </c>
      <c r="AX31" s="129">
        <f t="shared" ref="AX31:BD31" si="145">(AX27-AL27)/AL27</f>
        <v>0.44827586206896552</v>
      </c>
      <c r="AY31" s="928">
        <f t="shared" si="145"/>
        <v>-0.1276595744680851</v>
      </c>
      <c r="AZ31" s="129">
        <f t="shared" si="145"/>
        <v>-0.39285714285714285</v>
      </c>
      <c r="BA31" s="129">
        <f t="shared" si="145"/>
        <v>-0.75</v>
      </c>
      <c r="BB31" s="129">
        <f t="shared" si="145"/>
        <v>-0.54545454545454541</v>
      </c>
      <c r="BC31" s="129">
        <f t="shared" si="145"/>
        <v>0</v>
      </c>
      <c r="BD31" s="129">
        <f t="shared" si="145"/>
        <v>0</v>
      </c>
      <c r="BE31" s="129">
        <f t="shared" ref="BE31" si="146">(BE27-AS27)/AS27</f>
        <v>-0.2</v>
      </c>
      <c r="BF31" s="1154">
        <f t="shared" ref="BF31" si="147">(BF27-AT27)/AT27</f>
        <v>-0.33333333333333331</v>
      </c>
      <c r="BG31" s="1153">
        <f t="shared" ref="BG31" si="148">(BG27-AU27)/AU27</f>
        <v>0.47916666666666669</v>
      </c>
      <c r="BH31" s="1153">
        <f>(BH27-AV27)/AV27</f>
        <v>0.3867924528301887</v>
      </c>
      <c r="BI31" s="129">
        <f>(BI27-AW27)/AW27</f>
        <v>5.8823529411764705E-2</v>
      </c>
      <c r="BJ31" s="129">
        <f t="shared" ref="BJ31:BL31" si="149">(BJ27-AX27)/AX27</f>
        <v>0.25</v>
      </c>
      <c r="BK31" s="928">
        <f t="shared" si="149"/>
        <v>0.1951219512195122</v>
      </c>
      <c r="BL31" s="928">
        <f t="shared" si="149"/>
        <v>-0.52941176470588236</v>
      </c>
      <c r="BM31" s="928">
        <f>(BM27-BA27)/BA27</f>
        <v>0.5</v>
      </c>
      <c r="BN31" s="928">
        <f>(BN27-BB27)/BB27</f>
        <v>0</v>
      </c>
      <c r="BO31" s="928">
        <f t="shared" ref="BO31" si="150">(BO27-BC27)/BC27</f>
        <v>1</v>
      </c>
      <c r="BP31" s="928">
        <f t="shared" ref="BP31" si="151">(BP27-BD27)/BD27</f>
        <v>0.25</v>
      </c>
      <c r="BQ31" s="928">
        <f t="shared" ref="BQ31" si="152">(BQ27-BE27)/BE27</f>
        <v>0.25</v>
      </c>
      <c r="BR31" s="1143">
        <f t="shared" ref="BR31" si="153">(BR27-BF27)/BF27</f>
        <v>0.25</v>
      </c>
      <c r="BS31" s="928">
        <f t="shared" ref="BS31" si="154">(BS27-BG27)/BG27</f>
        <v>0.16901408450704225</v>
      </c>
      <c r="BT31" s="129">
        <f t="shared" ref="BT31" si="155">(BT27-BH27)/BH27</f>
        <v>-0.17006802721088435</v>
      </c>
      <c r="BU31" s="129">
        <f t="shared" ref="BU31" si="156">(BU27-BI27)/BI27</f>
        <v>0.25</v>
      </c>
      <c r="BV31" s="129">
        <f>(BV27-BJ27)/BJ27</f>
        <v>-0.11428571428571428</v>
      </c>
      <c r="BW31" s="968">
        <f t="shared" ref="BW31" si="157">(BW27-BK27)/BK27</f>
        <v>0.20408163265306123</v>
      </c>
      <c r="BX31" s="968">
        <f t="shared" ref="BX31" si="158">(BX27-BL27)/BL27</f>
        <v>0.5</v>
      </c>
      <c r="BY31" s="968">
        <f>(BY27-BM27)/BM27</f>
        <v>0</v>
      </c>
      <c r="BZ31" s="1423">
        <f>(BZ27-BN27)/BN27</f>
        <v>0</v>
      </c>
      <c r="CA31" s="968"/>
      <c r="CB31" s="968">
        <f>(CB27-BO27)/BO27</f>
        <v>-0.375</v>
      </c>
      <c r="CC31" s="968">
        <f>(CC27-BP27)/BP27</f>
        <v>0</v>
      </c>
      <c r="CD31" s="968">
        <f>(CD27-BQ27)/BQ27</f>
        <v>0</v>
      </c>
      <c r="CE31" s="968"/>
      <c r="CF31" s="968">
        <f>(CF27-BS27)/BS27</f>
        <v>-0.93975903614457834</v>
      </c>
      <c r="CG31" s="968">
        <f>(CG27-BR27)/BR27</f>
        <v>0</v>
      </c>
      <c r="CH31" s="968">
        <f>(CH27-BS27)/BS27</f>
        <v>-0.25301204819277107</v>
      </c>
      <c r="CI31" s="968"/>
      <c r="CJ31" s="968">
        <f>(CJ27-BU27)/BU27</f>
        <v>-0.65555555555555556</v>
      </c>
      <c r="CK31" s="129">
        <f>(CK27-BT27)/BT27</f>
        <v>0.10655737704918032</v>
      </c>
      <c r="CL31" s="129"/>
      <c r="CM31" s="883">
        <f>(CM27-BU27)/BU27</f>
        <v>-0.27777777777777779</v>
      </c>
      <c r="CN31" s="129">
        <f>(CN27-BV27)/BV27</f>
        <v>2.1505376344086023E-2</v>
      </c>
      <c r="CO31" s="129"/>
      <c r="CP31" s="129"/>
      <c r="CQ31" s="129"/>
      <c r="CR31" s="129"/>
      <c r="CS31" s="129"/>
      <c r="CT31" s="129"/>
      <c r="CU31" s="129"/>
      <c r="CV31" s="129"/>
      <c r="CW31" s="129"/>
      <c r="CX31" s="129"/>
      <c r="CY31" s="129"/>
      <c r="CZ31" s="129"/>
      <c r="DA31" s="129"/>
      <c r="DB31" s="129"/>
      <c r="DC31" s="129"/>
      <c r="DD31" s="129"/>
      <c r="DE31" s="129"/>
      <c r="DF31" s="129"/>
      <c r="DG31" s="129"/>
      <c r="DH31" s="129"/>
      <c r="DI31" s="129"/>
      <c r="DJ31" s="129"/>
      <c r="DK31" s="129"/>
      <c r="DL31" s="129"/>
      <c r="DM31" s="129"/>
      <c r="DN31" s="129"/>
      <c r="DO31" s="129"/>
      <c r="DP31" s="129"/>
      <c r="DQ31" s="129"/>
      <c r="DR31" s="129"/>
      <c r="DS31" s="129"/>
    </row>
    <row r="32" spans="1:123">
      <c r="L32" s="608"/>
      <c r="M32" s="119"/>
      <c r="N32" s="119"/>
      <c r="P32" s="119"/>
      <c r="R32" s="119"/>
      <c r="T32" s="119"/>
      <c r="V32" s="119"/>
      <c r="W32" s="103"/>
      <c r="X32" s="119"/>
      <c r="AH32" s="705"/>
      <c r="AM32" s="105"/>
      <c r="AT32" s="705"/>
      <c r="AY32" s="105"/>
      <c r="BF32" s="705"/>
      <c r="BK32" s="105"/>
      <c r="BL32" s="105"/>
      <c r="BM32" s="105"/>
      <c r="BN32" s="105"/>
      <c r="BO32" s="105"/>
      <c r="BP32" s="105"/>
      <c r="BQ32" s="105"/>
      <c r="BR32" s="1144"/>
      <c r="BS32" s="105"/>
      <c r="BW32" s="117"/>
      <c r="BZ32" s="103"/>
      <c r="CL32" s="705"/>
    </row>
    <row r="33" spans="1:123">
      <c r="B33" s="237"/>
      <c r="C33" s="985" t="s">
        <v>890</v>
      </c>
      <c r="D33" s="467">
        <v>2021</v>
      </c>
      <c r="E33" s="467">
        <v>2022</v>
      </c>
      <c r="F33" s="467">
        <v>2023</v>
      </c>
      <c r="G33" s="467">
        <v>2024</v>
      </c>
      <c r="H33" s="467">
        <v>2025</v>
      </c>
      <c r="I33" s="822">
        <v>2026</v>
      </c>
      <c r="J33" s="822"/>
      <c r="L33" s="621"/>
      <c r="W33" s="103"/>
      <c r="AH33" s="705"/>
      <c r="AM33" s="105"/>
      <c r="AT33" s="705"/>
      <c r="AY33" s="105"/>
      <c r="BF33" s="705"/>
      <c r="BK33" s="105"/>
      <c r="BL33" s="105"/>
      <c r="BM33" s="105"/>
      <c r="BN33" s="105"/>
      <c r="BO33" s="105"/>
      <c r="BP33" s="105"/>
      <c r="BQ33" s="105"/>
      <c r="BR33" s="1144"/>
      <c r="BS33" s="105"/>
      <c r="BZ33" s="103"/>
      <c r="CL33" s="705"/>
      <c r="CO33" s="237"/>
      <c r="CP33" s="237"/>
      <c r="CQ33" s="237"/>
      <c r="CR33" s="237"/>
      <c r="CS33" s="237"/>
      <c r="CT33" s="237"/>
      <c r="CU33" s="237"/>
      <c r="CV33" s="237"/>
      <c r="CW33" s="237"/>
      <c r="CX33" s="237"/>
      <c r="CY33" s="237"/>
      <c r="CZ33" s="237"/>
      <c r="DA33" s="237"/>
      <c r="DB33" s="237"/>
      <c r="DC33" s="237"/>
      <c r="DD33" s="237"/>
      <c r="DE33" s="237"/>
      <c r="DF33" s="237"/>
      <c r="DG33" s="237"/>
      <c r="DH33" s="237"/>
      <c r="DI33" s="237"/>
      <c r="DJ33" s="237"/>
      <c r="DK33" s="237"/>
      <c r="DL33" s="237"/>
      <c r="DM33" s="237"/>
      <c r="DN33" s="237"/>
      <c r="DO33" s="237"/>
      <c r="DP33" s="237"/>
      <c r="DQ33" s="237"/>
      <c r="DR33" s="237"/>
      <c r="DS33" s="237"/>
    </row>
    <row r="34" spans="1:123" s="343" customFormat="1" ht="15.75" thickBot="1">
      <c r="A34" s="9"/>
      <c r="B34" s="370" t="s">
        <v>891</v>
      </c>
      <c r="C34" s="986">
        <f>TRIMMEAN(L34:BR34,2%)</f>
        <v>49.689576271186439</v>
      </c>
      <c r="D34" s="380">
        <f>AVERAGE(M34:X34)</f>
        <v>67.649166666666659</v>
      </c>
      <c r="E34" s="380">
        <f>AVERAGE(Y34:AJ34)</f>
        <v>22.731666666666666</v>
      </c>
      <c r="F34" s="380">
        <f>AVERAGE(AK34:AV34)</f>
        <v>39.980833333333329</v>
      </c>
      <c r="G34" s="380">
        <f>AVERAGE(AW34:BH34)</f>
        <v>65.647499999999994</v>
      </c>
      <c r="H34" s="380">
        <f>AVERAGE(BI34:BT34)</f>
        <v>61.801666666666655</v>
      </c>
      <c r="I34" s="823">
        <f>AVERAGE(BU34:CK34)</f>
        <v>70.582295472852692</v>
      </c>
      <c r="J34" s="823"/>
      <c r="K34" s="9"/>
      <c r="L34" s="839">
        <f>(N17-N13)/2</f>
        <v>109.535</v>
      </c>
      <c r="M34" s="383">
        <f>P17/2</f>
        <v>66.41</v>
      </c>
      <c r="N34" s="383">
        <f>P17-M34</f>
        <v>66.41</v>
      </c>
      <c r="O34" s="383">
        <f>R17/2</f>
        <v>32.94</v>
      </c>
      <c r="P34" s="383">
        <f>R17-O34</f>
        <v>32.94</v>
      </c>
      <c r="Q34" s="383">
        <f>T17/2</f>
        <v>20.445</v>
      </c>
      <c r="R34" s="383">
        <f>T17-Q34</f>
        <v>20.445</v>
      </c>
      <c r="S34" s="383">
        <f>V17/2</f>
        <v>18.5</v>
      </c>
      <c r="T34" s="383">
        <f>V17-S34</f>
        <v>18.5</v>
      </c>
      <c r="U34" s="383">
        <f>X17/2</f>
        <v>81.495000000000005</v>
      </c>
      <c r="V34" s="383">
        <f>X17-U34</f>
        <v>81.495000000000005</v>
      </c>
      <c r="W34" s="382">
        <f>Z17/2</f>
        <v>186.10499999999999</v>
      </c>
      <c r="X34" s="1165">
        <f>Z17-W34</f>
        <v>186.10499999999999</v>
      </c>
      <c r="Y34" s="383">
        <f>AB17/2</f>
        <v>25.700000000000003</v>
      </c>
      <c r="Z34" s="383">
        <f>AB17-Y34</f>
        <v>25.700000000000003</v>
      </c>
      <c r="AA34" s="383">
        <f>AD17/2</f>
        <v>20.079999999999998</v>
      </c>
      <c r="AB34" s="383">
        <f>AD17-AA34</f>
        <v>20.079999999999998</v>
      </c>
      <c r="AC34" s="383">
        <f>AF17/2</f>
        <v>17.515000000000001</v>
      </c>
      <c r="AD34" s="383">
        <f>AF17-AC34</f>
        <v>17.515000000000001</v>
      </c>
      <c r="AE34" s="383">
        <f>AH17/2</f>
        <v>8.6650000000000009</v>
      </c>
      <c r="AF34" s="383">
        <f>AH17-AE34</f>
        <v>8.6650000000000009</v>
      </c>
      <c r="AG34" s="383">
        <f>AJ17/2</f>
        <v>40.195</v>
      </c>
      <c r="AH34" s="1136">
        <f>AJ17-AG34</f>
        <v>40.195</v>
      </c>
      <c r="AI34" s="368">
        <f>AL17/2</f>
        <v>24.234999999999999</v>
      </c>
      <c r="AJ34" s="368">
        <f>AL17-AI34</f>
        <v>24.234999999999999</v>
      </c>
      <c r="AK34" s="368">
        <f>AN17/2</f>
        <v>56.239999999999995</v>
      </c>
      <c r="AL34" s="368">
        <f>AN17-AK34</f>
        <v>56.239999999999995</v>
      </c>
      <c r="AM34" s="368">
        <f>AP17/2</f>
        <v>29.19</v>
      </c>
      <c r="AN34" s="383">
        <f>AP17-AM34</f>
        <v>29.19</v>
      </c>
      <c r="AO34" s="383">
        <f>AR17/2</f>
        <v>19.675000000000001</v>
      </c>
      <c r="AP34" s="383">
        <f>AR17-AO34</f>
        <v>19.675000000000001</v>
      </c>
      <c r="AQ34" s="831">
        <f>AT17/2</f>
        <v>17.25</v>
      </c>
      <c r="AR34" s="831">
        <f>AT17-AQ34</f>
        <v>17.25</v>
      </c>
      <c r="AS34" s="831">
        <f>AV17/2</f>
        <v>18.829999999999998</v>
      </c>
      <c r="AT34" s="1136">
        <f>AV17-AS34</f>
        <v>18.829999999999998</v>
      </c>
      <c r="AU34" s="368">
        <f>AX17/2</f>
        <v>98.7</v>
      </c>
      <c r="AV34" s="368">
        <f>AX17-AU34</f>
        <v>98.7</v>
      </c>
      <c r="AW34" s="368">
        <f>AZ17/2</f>
        <v>134.19999999999999</v>
      </c>
      <c r="AX34" s="368">
        <f>AZ17-AW34</f>
        <v>134.19999999999999</v>
      </c>
      <c r="AY34" s="368">
        <f>BB17/2</f>
        <v>53.879999999999995</v>
      </c>
      <c r="AZ34" s="832">
        <f>BB17-AY34</f>
        <v>53.879999999999995</v>
      </c>
      <c r="BA34" s="832">
        <f>BD17/2</f>
        <v>24.379999999999995</v>
      </c>
      <c r="BB34" s="832">
        <f>BD17-BA34</f>
        <v>24.379999999999995</v>
      </c>
      <c r="BC34" s="832">
        <f>BF17/2</f>
        <v>22.645</v>
      </c>
      <c r="BD34" s="832">
        <f>BF17-BC34</f>
        <v>22.645</v>
      </c>
      <c r="BE34" s="368">
        <f>BH17/2</f>
        <v>23.765000000000001</v>
      </c>
      <c r="BF34" s="1136">
        <f>BH17-BE34</f>
        <v>23.765000000000001</v>
      </c>
      <c r="BG34" s="368">
        <f>BJ17/2</f>
        <v>135.01499999999999</v>
      </c>
      <c r="BH34" s="368">
        <f>BJ17-BG34</f>
        <v>135.01499999999999</v>
      </c>
      <c r="BI34" s="368">
        <f>BL17/2</f>
        <v>113.92</v>
      </c>
      <c r="BJ34" s="368">
        <f>BL17-BI34</f>
        <v>113.92</v>
      </c>
      <c r="BK34" s="368">
        <f>BN17/2</f>
        <v>47.995000000000005</v>
      </c>
      <c r="BL34" s="368">
        <f>BN17-BK34</f>
        <v>47.995000000000005</v>
      </c>
      <c r="BM34" s="368">
        <f>BP17/2</f>
        <v>24.64</v>
      </c>
      <c r="BN34" s="368">
        <f>BP17-BM34</f>
        <v>24.64</v>
      </c>
      <c r="BO34" s="368">
        <f>BR17/2</f>
        <v>23.655000000000001</v>
      </c>
      <c r="BP34" s="368">
        <f>BR17-BO34</f>
        <v>23.655000000000001</v>
      </c>
      <c r="BQ34" s="368">
        <f>BT17/2</f>
        <v>24.81</v>
      </c>
      <c r="BR34" s="1134">
        <f>BT17-BQ34</f>
        <v>24.81</v>
      </c>
      <c r="BS34" s="368">
        <f>BV17/2</f>
        <v>135.79</v>
      </c>
      <c r="BT34" s="368">
        <f>BV17-BS34</f>
        <v>135.79</v>
      </c>
      <c r="BU34" s="368">
        <f>BX17/2</f>
        <v>159.66</v>
      </c>
      <c r="BV34" s="368">
        <f>BX17-BU34</f>
        <v>159.66</v>
      </c>
      <c r="BW34" s="368">
        <f>BZ17/2</f>
        <v>60.234999999999999</v>
      </c>
      <c r="BX34" s="368">
        <f>BZ17-BW34</f>
        <v>60.234999999999999</v>
      </c>
      <c r="BY34" s="369">
        <f>CC17/2</f>
        <v>28.273030076841788</v>
      </c>
      <c r="BZ34" s="1424">
        <f>CC17-BY34</f>
        <v>28.273030076841788</v>
      </c>
      <c r="CA34" s="369">
        <f>CG17/2</f>
        <v>27.742515878415141</v>
      </c>
      <c r="CC34" s="369">
        <f>CG17-CA34</f>
        <v>27.742515878415141</v>
      </c>
      <c r="CE34" s="369">
        <f>CK17/2</f>
        <v>27.742515878415141</v>
      </c>
      <c r="CF34" s="369">
        <f>CN17/2</f>
        <v>126.94867098419785</v>
      </c>
      <c r="CG34" s="369">
        <f>CK17-CE34</f>
        <v>27.742515878415141</v>
      </c>
      <c r="CH34" s="369">
        <f>CN17/2</f>
        <v>126.94867098419785</v>
      </c>
      <c r="CI34" s="369"/>
      <c r="CJ34" s="369">
        <f>CP17/2</f>
        <v>0</v>
      </c>
      <c r="CK34" s="369">
        <f>CN17-CH34</f>
        <v>126.94867098419785</v>
      </c>
      <c r="CL34" s="1183"/>
      <c r="CM34" s="369">
        <f>CP17/2</f>
        <v>0</v>
      </c>
      <c r="CN34" s="369">
        <f>CP17-CM34</f>
        <v>0</v>
      </c>
      <c r="CO34" s="416"/>
      <c r="CP34" s="416"/>
      <c r="CQ34" s="416"/>
      <c r="CR34" s="416"/>
      <c r="CS34" s="416"/>
      <c r="CT34" s="416"/>
      <c r="CU34" s="416"/>
      <c r="CV34" s="416"/>
      <c r="CW34" s="416"/>
      <c r="CX34" s="416"/>
      <c r="CY34" s="416"/>
      <c r="CZ34" s="416"/>
      <c r="DA34" s="416"/>
      <c r="DB34" s="416"/>
      <c r="DC34" s="416"/>
      <c r="DD34" s="416"/>
      <c r="DE34" s="416"/>
      <c r="DF34" s="416"/>
      <c r="DG34" s="416"/>
      <c r="DH34" s="416"/>
      <c r="DI34" s="416"/>
      <c r="DJ34" s="416"/>
      <c r="DK34" s="416"/>
      <c r="DL34" s="416"/>
      <c r="DM34" s="416"/>
      <c r="DN34" s="416"/>
      <c r="DO34" s="416"/>
      <c r="DP34" s="416"/>
      <c r="DQ34" s="416"/>
      <c r="DR34" s="416"/>
      <c r="DS34" s="416"/>
    </row>
    <row r="35" spans="1:123" ht="15.75" thickBot="1">
      <c r="B35" s="49" t="s">
        <v>881</v>
      </c>
      <c r="C35" s="987">
        <f>TRIMMEAN(AW16:BJ16,5%)</f>
        <v>0.40820179895195846</v>
      </c>
      <c r="D35" s="112"/>
      <c r="E35" s="112"/>
      <c r="F35" s="112"/>
      <c r="G35" s="112"/>
      <c r="H35" s="112"/>
      <c r="I35" s="112"/>
      <c r="J35" s="112"/>
      <c r="L35" s="608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2"/>
      <c r="X35" s="1166"/>
      <c r="Y35" s="123"/>
      <c r="Z35" s="123"/>
      <c r="AA35" s="123"/>
      <c r="AB35" s="123"/>
      <c r="AC35" s="123"/>
      <c r="AD35" s="123"/>
      <c r="AE35" s="123"/>
      <c r="AF35" s="123"/>
      <c r="AG35" s="123"/>
      <c r="AH35" s="1135"/>
      <c r="AI35" s="84"/>
      <c r="AJ35" s="84"/>
      <c r="AK35" s="84"/>
      <c r="AL35" s="84"/>
      <c r="AM35" s="84"/>
      <c r="AN35" s="123"/>
      <c r="AO35" s="123"/>
      <c r="AP35" s="123"/>
      <c r="AQ35" s="833"/>
      <c r="AR35" s="833"/>
      <c r="AS35" s="123"/>
      <c r="AT35" s="1135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1135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1135"/>
      <c r="BS35" s="84"/>
      <c r="BT35" s="84"/>
      <c r="BU35" s="84"/>
      <c r="BV35" s="84"/>
      <c r="BW35" s="84"/>
      <c r="BX35" s="84"/>
      <c r="BY35" s="970"/>
      <c r="BZ35" s="1425"/>
      <c r="CA35" s="970"/>
      <c r="CC35" s="970"/>
      <c r="CE35" s="970"/>
      <c r="CF35" s="970"/>
      <c r="CG35" s="970"/>
      <c r="CH35" s="970"/>
      <c r="CI35" s="970"/>
      <c r="CJ35" s="970"/>
      <c r="CK35" s="37"/>
      <c r="CL35" s="714"/>
      <c r="CM35" s="970"/>
      <c r="CN35" s="970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</row>
    <row r="36" spans="1:123" s="365" customFormat="1" ht="15.6" customHeight="1">
      <c r="A36" s="9"/>
      <c r="B36" s="466" t="s">
        <v>892</v>
      </c>
      <c r="C36" s="988">
        <f>SUM(N7,P7,R7,T7,V7,W7,X7,Z7,AB7,AD7,AF7,AH7,AJ7,AL7,AN7,AP7,AR7,AT7,AV7,AX7,AZ7,BB7,BD7,BF7,BH7)/COUNTA(N7,P7,R7,T7,V7,W7,X7,Z7,AB7,AD7,AF7,AH7,AJ7,AL7,AN7,AP7,AR7,AT7,AV7,AX7,AZ7,BB7,BD7,BF7,BH7,BJ7,BL7,BN7,BP7,BR7,BT7)</f>
        <v>49.037096774193557</v>
      </c>
      <c r="D36" s="799">
        <f>AVERAGE(M36:X36)</f>
        <v>28.188333333333333</v>
      </c>
      <c r="E36" s="799">
        <f>AVERAGE(Y36:AJ36)</f>
        <v>6.5100000000000007</v>
      </c>
      <c r="F36" s="799">
        <f>AVERAGE(AK36:AV36)</f>
        <v>20.685833333333335</v>
      </c>
      <c r="G36" s="799">
        <f>AVERAGE(AW36:BH36)</f>
        <v>25.650833333333328</v>
      </c>
      <c r="H36" s="799">
        <f>AVERAGE(BI36:BT36)</f>
        <v>32.011666666666656</v>
      </c>
      <c r="I36" s="824">
        <f>AVERAGE(BU36:CK36)</f>
        <v>36.654721840898496</v>
      </c>
      <c r="J36" s="824"/>
      <c r="K36" s="9"/>
      <c r="L36" s="623">
        <f>N9/2</f>
        <v>43.575000000000003</v>
      </c>
      <c r="M36" s="385">
        <f>P9/2</f>
        <v>16.010000000000002</v>
      </c>
      <c r="N36" s="385">
        <f>P9/2</f>
        <v>16.010000000000002</v>
      </c>
      <c r="O36" s="385">
        <f>R9/2</f>
        <v>2.4499999999999993</v>
      </c>
      <c r="P36" s="385">
        <f>R9/2</f>
        <v>2.4499999999999993</v>
      </c>
      <c r="Q36" s="385">
        <f>T9/2</f>
        <v>-2.2650000000000006</v>
      </c>
      <c r="R36" s="385">
        <f>T9/2</f>
        <v>-2.2650000000000006</v>
      </c>
      <c r="S36" s="385">
        <f>V9/2</f>
        <v>1.9849999999999994</v>
      </c>
      <c r="T36" s="385">
        <f>V9/2</f>
        <v>1.9849999999999994</v>
      </c>
      <c r="U36" s="385">
        <f>X9/2</f>
        <v>33.79</v>
      </c>
      <c r="V36" s="385">
        <f>X9/2</f>
        <v>33.79</v>
      </c>
      <c r="W36" s="384">
        <f>Z9/2</f>
        <v>117.16</v>
      </c>
      <c r="X36" s="1167">
        <f>Z9/2</f>
        <v>117.16</v>
      </c>
      <c r="Y36" s="385">
        <f>AB9/2</f>
        <v>2.7950000000000017</v>
      </c>
      <c r="Z36" s="385">
        <f>AB9/2</f>
        <v>2.7950000000000017</v>
      </c>
      <c r="AA36" s="385">
        <f>AD9/2</f>
        <v>4.9499999999999993</v>
      </c>
      <c r="AB36" s="385">
        <f>AD9/2</f>
        <v>4.9499999999999993</v>
      </c>
      <c r="AC36" s="385">
        <f>AF9/2</f>
        <v>3.49</v>
      </c>
      <c r="AD36" s="385">
        <f>AF9/2</f>
        <v>3.49</v>
      </c>
      <c r="AE36" s="385">
        <f>AH9/2</f>
        <v>-2.9649999999999999</v>
      </c>
      <c r="AF36" s="385">
        <f>AH9/2</f>
        <v>-2.9649999999999999</v>
      </c>
      <c r="AG36" s="385">
        <f>AJ9/2</f>
        <v>18.914999999999999</v>
      </c>
      <c r="AH36" s="1136">
        <f>AJ9/2</f>
        <v>18.914999999999999</v>
      </c>
      <c r="AI36" s="831">
        <f>AL9/2</f>
        <v>11.875</v>
      </c>
      <c r="AJ36" s="831">
        <f>AL9/2</f>
        <v>11.875</v>
      </c>
      <c r="AK36" s="831">
        <f>AN9/2</f>
        <v>52.305</v>
      </c>
      <c r="AL36" s="831">
        <f>AN9/2</f>
        <v>52.305</v>
      </c>
      <c r="AM36" s="831">
        <f>AP9/2</f>
        <v>13</v>
      </c>
      <c r="AN36" s="385">
        <f>AP9/2</f>
        <v>13</v>
      </c>
      <c r="AO36" s="385">
        <f>AR9/2</f>
        <v>3.8450000000000006</v>
      </c>
      <c r="AP36" s="385">
        <f>AR9/2</f>
        <v>3.8450000000000006</v>
      </c>
      <c r="AQ36" s="831">
        <f>AT9/2</f>
        <v>2.3599999999999994</v>
      </c>
      <c r="AR36" s="831">
        <f>AT9/2</f>
        <v>2.3599999999999994</v>
      </c>
      <c r="AS36" s="831">
        <f>AV9/2</f>
        <v>3.2550000000000008</v>
      </c>
      <c r="AT36" s="1136">
        <f>AV9/2</f>
        <v>3.2550000000000008</v>
      </c>
      <c r="AU36" s="831">
        <f>AX9/2</f>
        <v>49.35</v>
      </c>
      <c r="AV36" s="831">
        <f>AX9/2</f>
        <v>49.35</v>
      </c>
      <c r="AW36" s="831">
        <f>AZ9/2</f>
        <v>72.984999999999999</v>
      </c>
      <c r="AX36" s="831">
        <f>AZ9/2</f>
        <v>72.984999999999999</v>
      </c>
      <c r="AY36" s="831">
        <f>BB9/2</f>
        <v>19.579999999999998</v>
      </c>
      <c r="AZ36" s="831">
        <f>BB9/2</f>
        <v>19.579999999999998</v>
      </c>
      <c r="BA36" s="831">
        <f>BD9/2</f>
        <v>2.9499999999999993</v>
      </c>
      <c r="BB36" s="831">
        <f>BD9/2</f>
        <v>2.9499999999999993</v>
      </c>
      <c r="BC36" s="831">
        <f>BF9/2</f>
        <v>1.75</v>
      </c>
      <c r="BD36" s="831">
        <f>BF9/2</f>
        <v>1.75</v>
      </c>
      <c r="BE36" s="831">
        <f>BH9/2</f>
        <v>2.25</v>
      </c>
      <c r="BF36" s="1136">
        <f>BH9/2</f>
        <v>2.25</v>
      </c>
      <c r="BG36" s="831">
        <f>BJ9/2</f>
        <v>54.39</v>
      </c>
      <c r="BH36" s="831">
        <f>BJ9/2</f>
        <v>54.39</v>
      </c>
      <c r="BI36" s="831">
        <f>BL9/2</f>
        <v>53.34</v>
      </c>
      <c r="BJ36" s="831">
        <f>BL9/2</f>
        <v>53.34</v>
      </c>
      <c r="BK36" s="831">
        <f>BN7/2</f>
        <v>25.885000000000002</v>
      </c>
      <c r="BL36" s="831">
        <f>BN7/2</f>
        <v>25.885000000000002</v>
      </c>
      <c r="BM36" s="831">
        <f>BP7/2</f>
        <v>14.545</v>
      </c>
      <c r="BN36" s="831">
        <f>BP7/2</f>
        <v>14.545</v>
      </c>
      <c r="BO36" s="831">
        <f>BR7/2</f>
        <v>14.23</v>
      </c>
      <c r="BP36" s="831">
        <f>BR7/2</f>
        <v>14.23</v>
      </c>
      <c r="BQ36" s="831">
        <f>BT7/2</f>
        <v>14.79</v>
      </c>
      <c r="BR36" s="1136">
        <f>BT7/2</f>
        <v>14.79</v>
      </c>
      <c r="BS36" s="831">
        <f>BV7/2</f>
        <v>69.28</v>
      </c>
      <c r="BT36" s="831">
        <f>BV7/2</f>
        <v>69.28</v>
      </c>
      <c r="BU36" s="831">
        <f>BX9/2</f>
        <v>77.73</v>
      </c>
      <c r="BV36" s="831">
        <f>BX9/2</f>
        <v>77.73</v>
      </c>
      <c r="BW36" s="831">
        <f>BZ7/2</f>
        <v>32.215000000000003</v>
      </c>
      <c r="BX36" s="831">
        <f>BZ7/2</f>
        <v>32.215000000000003</v>
      </c>
      <c r="BY36" s="416">
        <f>CC7/2</f>
        <v>15.121037003825986</v>
      </c>
      <c r="BZ36" s="1426">
        <f>CC7/2</f>
        <v>15.121037003825986</v>
      </c>
      <c r="CA36" s="416">
        <f>CG7/2</f>
        <v>14.837306367114532</v>
      </c>
      <c r="CC36" s="416">
        <f>CG7/2</f>
        <v>14.837306367114532</v>
      </c>
      <c r="CE36" s="416">
        <f>CK7/2</f>
        <v>14.837306367114532</v>
      </c>
      <c r="CF36" s="416">
        <f>CN7/2</f>
        <v>67.894935432156288</v>
      </c>
      <c r="CG36" s="416">
        <f>CK7/2</f>
        <v>14.837306367114532</v>
      </c>
      <c r="CH36" s="416">
        <f>CN7/2</f>
        <v>67.894935432156288</v>
      </c>
      <c r="CI36" s="416"/>
      <c r="CJ36" s="416">
        <f>CP7/2</f>
        <v>0</v>
      </c>
      <c r="CK36" s="416">
        <f>CN7/2</f>
        <v>67.894935432156288</v>
      </c>
      <c r="CL36" s="1451"/>
      <c r="CM36" s="416">
        <f>CP9/2</f>
        <v>0</v>
      </c>
      <c r="CN36" s="416">
        <f>CP9/2</f>
        <v>0</v>
      </c>
      <c r="CO36" s="416"/>
      <c r="CP36" s="416"/>
      <c r="CQ36" s="416"/>
      <c r="CR36" s="416"/>
      <c r="CS36" s="416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</row>
    <row r="37" spans="1:123" s="64" customFormat="1" ht="15.6" customHeight="1">
      <c r="A37" s="9"/>
      <c r="B37" s="593" t="s">
        <v>893</v>
      </c>
      <c r="C37" s="989"/>
      <c r="D37" s="800">
        <f>AVERAGE(M37:X37)</f>
        <v>40.309951299782512</v>
      </c>
      <c r="E37" s="800">
        <f>AVERAGE(Y37:AJ37)</f>
        <v>24.516530744970229</v>
      </c>
      <c r="F37" s="800">
        <f>AVERAGE(AK37:AV37)</f>
        <v>17.905331442955788</v>
      </c>
      <c r="G37" s="800">
        <f>AVERAGE(AW37:BH37)</f>
        <v>21.670042156602904</v>
      </c>
      <c r="H37" s="800">
        <f>AVERAGE(BI37:BT37)</f>
        <v>29.612663540273029</v>
      </c>
      <c r="I37" s="825">
        <f>AVERAGE(BU37:CK37)</f>
        <v>24.949406889744985</v>
      </c>
      <c r="J37" s="825"/>
      <c r="K37" s="9"/>
      <c r="L37" s="624">
        <f>((L24*$C$40))</f>
        <v>11.018665503357408</v>
      </c>
      <c r="M37" s="595">
        <f>((M24*$C$40))</f>
        <v>79.334391624173335</v>
      </c>
      <c r="N37" s="595">
        <f>((N24*$C$40))</f>
        <v>100.82078935572028</v>
      </c>
      <c r="O37" s="595">
        <f>((O24*$C$40))</f>
        <v>80.987191449676942</v>
      </c>
      <c r="P37" s="595">
        <f t="shared" ref="P37:BT37" si="159">((P24*$C$40))</f>
        <v>84.843724375852034</v>
      </c>
      <c r="Q37" s="595">
        <f t="shared" si="159"/>
        <v>40.76906236242241</v>
      </c>
      <c r="R37" s="595">
        <f t="shared" si="159"/>
        <v>6.0602660268465742</v>
      </c>
      <c r="S37" s="595">
        <f t="shared" si="159"/>
        <v>2.2037331006714815</v>
      </c>
      <c r="T37" s="595">
        <f t="shared" si="159"/>
        <v>9.9167989530216669</v>
      </c>
      <c r="U37" s="595">
        <f t="shared" si="159"/>
        <v>4.9583994765108335</v>
      </c>
      <c r="V37" s="595">
        <f t="shared" si="159"/>
        <v>3.3055996510072223</v>
      </c>
      <c r="W37" s="594">
        <f t="shared" si="159"/>
        <v>21.486397731546944</v>
      </c>
      <c r="X37" s="1168">
        <f t="shared" si="159"/>
        <v>49.033061489940465</v>
      </c>
      <c r="Y37" s="595">
        <f t="shared" si="159"/>
        <v>93.107723503370096</v>
      </c>
      <c r="Z37" s="595">
        <f t="shared" si="159"/>
        <v>109.63572175840621</v>
      </c>
      <c r="AA37" s="595">
        <f t="shared" si="159"/>
        <v>41.319995637590281</v>
      </c>
      <c r="AB37" s="595">
        <f t="shared" si="159"/>
        <v>20.384531181211205</v>
      </c>
      <c r="AC37" s="595">
        <f t="shared" si="159"/>
        <v>2.2037331006714815</v>
      </c>
      <c r="AD37" s="595">
        <f t="shared" si="159"/>
        <v>3.8565329261750927</v>
      </c>
      <c r="AE37" s="595">
        <f t="shared" si="159"/>
        <v>2.7546663758393519</v>
      </c>
      <c r="AF37" s="595">
        <f t="shared" si="159"/>
        <v>2.7546663758393519</v>
      </c>
      <c r="AG37" s="595">
        <f t="shared" si="159"/>
        <v>3.3055996510072223</v>
      </c>
      <c r="AH37" s="1137">
        <f t="shared" si="159"/>
        <v>2.7546663758393519</v>
      </c>
      <c r="AI37" s="834">
        <f t="shared" si="159"/>
        <v>3.8565329261750927</v>
      </c>
      <c r="AJ37" s="834">
        <f t="shared" si="159"/>
        <v>8.2639991275180549</v>
      </c>
      <c r="AK37" s="834">
        <f t="shared" si="159"/>
        <v>51.787727865779814</v>
      </c>
      <c r="AL37" s="834">
        <f t="shared" si="159"/>
        <v>50.134928040276208</v>
      </c>
      <c r="AM37" s="834">
        <f t="shared" si="159"/>
        <v>45.727461838933245</v>
      </c>
      <c r="AN37" s="595">
        <f t="shared" si="159"/>
        <v>17.078931530203981</v>
      </c>
      <c r="AO37" s="595">
        <f t="shared" si="159"/>
        <v>6.6111993020144446</v>
      </c>
      <c r="AP37" s="595">
        <f t="shared" si="159"/>
        <v>3.3055996510072223</v>
      </c>
      <c r="AQ37" s="834">
        <f t="shared" si="159"/>
        <v>3.8565329261750927</v>
      </c>
      <c r="AR37" s="834">
        <f t="shared" si="159"/>
        <v>2.2037331006714815</v>
      </c>
      <c r="AS37" s="834">
        <f t="shared" si="159"/>
        <v>2.2037331006714815</v>
      </c>
      <c r="AT37" s="1137">
        <f t="shared" si="159"/>
        <v>2.7546663758393519</v>
      </c>
      <c r="AU37" s="834">
        <f t="shared" si="159"/>
        <v>3.3055996510072223</v>
      </c>
      <c r="AV37" s="834">
        <f t="shared" si="159"/>
        <v>25.893863932889907</v>
      </c>
      <c r="AW37" s="834">
        <f t="shared" si="159"/>
        <v>57.29706061745852</v>
      </c>
      <c r="AX37" s="834">
        <f t="shared" si="159"/>
        <v>73.274125597326758</v>
      </c>
      <c r="AY37" s="834">
        <f t="shared" si="159"/>
        <v>45.727461838933245</v>
      </c>
      <c r="AZ37" s="834">
        <f t="shared" si="159"/>
        <v>31.403196684568613</v>
      </c>
      <c r="BA37" s="834">
        <f t="shared" si="159"/>
        <v>0</v>
      </c>
      <c r="BB37" s="834">
        <f t="shared" si="159"/>
        <v>2.2037331006714815</v>
      </c>
      <c r="BC37" s="834">
        <f t="shared" si="159"/>
        <v>2.7546663758393519</v>
      </c>
      <c r="BD37" s="834">
        <f t="shared" si="159"/>
        <v>2.2037331006714815</v>
      </c>
      <c r="BE37" s="834">
        <f t="shared" si="159"/>
        <v>1.6527998255036112</v>
      </c>
      <c r="BF37" s="1137">
        <f t="shared" si="159"/>
        <v>2.2037331006714815</v>
      </c>
      <c r="BG37" s="834">
        <f t="shared" si="159"/>
        <v>2.7546663758393519</v>
      </c>
      <c r="BH37" s="834">
        <f t="shared" si="159"/>
        <v>38.565329261750925</v>
      </c>
      <c r="BI37" s="834">
        <f t="shared" si="159"/>
        <v>79.334391624173335</v>
      </c>
      <c r="BJ37" s="834">
        <f t="shared" si="159"/>
        <v>60.602660268465741</v>
      </c>
      <c r="BK37" s="834">
        <f>((BK24*$C$40))</f>
        <v>57.847993892626391</v>
      </c>
      <c r="BL37" s="834">
        <f t="shared" si="159"/>
        <v>26.444797208057778</v>
      </c>
      <c r="BM37" s="834">
        <f t="shared" si="159"/>
        <v>4.4074662013429631</v>
      </c>
      <c r="BN37" s="834">
        <f t="shared" si="159"/>
        <v>3.3055996510072223</v>
      </c>
      <c r="BO37" s="834">
        <f t="shared" si="159"/>
        <v>2.7546663758393519</v>
      </c>
      <c r="BP37" s="834">
        <f t="shared" si="159"/>
        <v>4.4074662013429631</v>
      </c>
      <c r="BQ37" s="834">
        <f t="shared" si="159"/>
        <v>2.7546663758393519</v>
      </c>
      <c r="BR37" s="1137">
        <f t="shared" si="159"/>
        <v>2.7546663758393519</v>
      </c>
      <c r="BS37" s="834">
        <f t="shared" si="159"/>
        <v>50.685861315444072</v>
      </c>
      <c r="BT37" s="834">
        <f t="shared" si="159"/>
        <v>60.051726993297869</v>
      </c>
      <c r="BU37" s="834">
        <f>((BU24*$C$40))</f>
        <v>97.515189704713052</v>
      </c>
      <c r="BV37" s="834">
        <f>((BV24*$C$40))</f>
        <v>50.134928040276208</v>
      </c>
      <c r="BW37" s="834">
        <f>((BW24*$C$40))</f>
        <v>32.505063234904355</v>
      </c>
      <c r="BX37" s="834">
        <f t="shared" ref="BX37:CN37" si="160">((BX24*$C$40))</f>
        <v>6.6111993020144446</v>
      </c>
      <c r="BY37" s="596">
        <f t="shared" si="160"/>
        <v>3.3055996510072223</v>
      </c>
      <c r="BZ37" s="1427">
        <f t="shared" si="160"/>
        <v>2.7546663758393519</v>
      </c>
      <c r="CA37" s="596">
        <f>((CB24*$C$40))</f>
        <v>2.7546663758393519</v>
      </c>
      <c r="CC37" s="596">
        <f t="shared" si="160"/>
        <v>2.7546663758393519</v>
      </c>
      <c r="CE37" s="596">
        <f>((CD24*$C$40))</f>
        <v>2.7546663758393519</v>
      </c>
      <c r="CF37" s="596">
        <f t="shared" ref="CF37" si="161">((CF24*$C$40))</f>
        <v>2.7546663758393519</v>
      </c>
      <c r="CG37" s="596">
        <f t="shared" si="160"/>
        <v>2.7546663758393519</v>
      </c>
      <c r="CH37" s="596">
        <f t="shared" si="160"/>
        <v>34.157863060407962</v>
      </c>
      <c r="CI37" s="596"/>
      <c r="CJ37" s="596">
        <f t="shared" ref="CJ37" si="162">((CJ24*$C$40))</f>
        <v>34.157863060407962</v>
      </c>
      <c r="CK37" s="596">
        <f t="shared" si="160"/>
        <v>74.375992147662501</v>
      </c>
      <c r="CL37" s="1452"/>
      <c r="CM37" s="596">
        <f t="shared" si="160"/>
        <v>71.621325771823152</v>
      </c>
      <c r="CN37" s="596">
        <f t="shared" si="160"/>
        <v>52.338661140947686</v>
      </c>
      <c r="CO37" s="596"/>
      <c r="CP37" s="596"/>
      <c r="CQ37" s="596"/>
      <c r="CR37" s="596"/>
      <c r="CS37" s="596"/>
      <c r="CT37" s="596"/>
      <c r="CU37" s="596"/>
      <c r="CV37" s="596"/>
      <c r="CW37" s="596"/>
      <c r="CX37" s="596"/>
      <c r="CY37" s="596"/>
      <c r="CZ37" s="596"/>
      <c r="DA37" s="596"/>
      <c r="DB37" s="596"/>
      <c r="DC37" s="596"/>
      <c r="DD37" s="596"/>
      <c r="DE37" s="596"/>
      <c r="DF37" s="596"/>
      <c r="DG37" s="596"/>
      <c r="DH37" s="596"/>
      <c r="DI37" s="596"/>
      <c r="DJ37" s="596"/>
      <c r="DK37" s="596"/>
      <c r="DL37" s="596"/>
      <c r="DM37" s="596"/>
      <c r="DN37" s="596"/>
      <c r="DO37" s="596"/>
      <c r="DP37" s="596"/>
      <c r="DQ37" s="596"/>
      <c r="DR37" s="596"/>
      <c r="DS37" s="596"/>
    </row>
    <row r="38" spans="1:123" s="598" customFormat="1">
      <c r="A38" s="9"/>
      <c r="B38" s="597" t="s">
        <v>894</v>
      </c>
      <c r="C38" s="990"/>
      <c r="D38" s="921">
        <f>AVERAGE(M38:X38)</f>
        <v>70.846563925539144</v>
      </c>
      <c r="E38" s="921">
        <f>AVERAGE(Y38:AJ38)</f>
        <v>48.606240688647659</v>
      </c>
      <c r="F38" s="921">
        <f>AVERAGE(AK38:AV38)</f>
        <v>39.296337938320995</v>
      </c>
      <c r="G38" s="921">
        <f>AVERAGE(AW38:BH38)</f>
        <v>46.710113036240507</v>
      </c>
      <c r="H38" s="921">
        <f>AVERAGE(BI38:BT38)</f>
        <v>58.599027656595048</v>
      </c>
      <c r="I38" s="922">
        <f>AVERAGE(BU38:CK38)</f>
        <v>38.156328535737281</v>
      </c>
      <c r="J38" s="922"/>
      <c r="K38" s="343"/>
      <c r="L38" s="623">
        <f>((L24*$C$40)+10)*(1+$C$35)</f>
        <v>29.598522573397371</v>
      </c>
      <c r="M38" s="385">
        <f>((M24*$C$40)+10)*(1+$C$35)</f>
        <v>125.80085099343965</v>
      </c>
      <c r="N38" s="385">
        <f>((N24*$C$40)+10)*(1+$C$35)</f>
        <v>156.05803493200133</v>
      </c>
      <c r="O38" s="385">
        <f>((O24*$C$40)+10)*(1+$C$35)</f>
        <v>128.12832668102132</v>
      </c>
      <c r="P38" s="385">
        <f t="shared" ref="P38:AY38" si="163">((P24*$C$40)+10)*(1+$C$35)</f>
        <v>133.55910328537854</v>
      </c>
      <c r="Q38" s="385">
        <f t="shared" si="163"/>
        <v>71.493084949867395</v>
      </c>
      <c r="R38" s="385">
        <f t="shared" si="163"/>
        <v>22.616095510652364</v>
      </c>
      <c r="S38" s="385">
        <f t="shared" si="163"/>
        <v>17.185318906295141</v>
      </c>
      <c r="T38" s="385">
        <f t="shared" si="163"/>
        <v>28.046872115009595</v>
      </c>
      <c r="U38" s="385">
        <f t="shared" si="163"/>
        <v>21.064445052264588</v>
      </c>
      <c r="V38" s="385">
        <f t="shared" si="163"/>
        <v>18.736969364682921</v>
      </c>
      <c r="W38" s="384">
        <f t="shared" si="163"/>
        <v>44.339201928081266</v>
      </c>
      <c r="X38" s="1167">
        <f>((X24*$C$40)+10)*(1+$C$35)</f>
        <v>83.130463387775734</v>
      </c>
      <c r="Y38" s="385">
        <f t="shared" si="163"/>
        <v>145.19648172328689</v>
      </c>
      <c r="Z38" s="385">
        <f t="shared" si="163"/>
        <v>168.47123859910357</v>
      </c>
      <c r="AA38" s="385">
        <f t="shared" si="163"/>
        <v>72.268910179061294</v>
      </c>
      <c r="AB38" s="385">
        <f t="shared" si="163"/>
        <v>42.78755146969349</v>
      </c>
      <c r="AC38" s="385">
        <f t="shared" si="163"/>
        <v>17.185318906295141</v>
      </c>
      <c r="AD38" s="385">
        <f t="shared" si="163"/>
        <v>19.512794593876809</v>
      </c>
      <c r="AE38" s="385">
        <f t="shared" si="163"/>
        <v>17.961144135489032</v>
      </c>
      <c r="AF38" s="385">
        <f t="shared" si="163"/>
        <v>17.961144135489032</v>
      </c>
      <c r="AG38" s="385">
        <f t="shared" si="163"/>
        <v>18.736969364682921</v>
      </c>
      <c r="AH38" s="1136">
        <f t="shared" si="163"/>
        <v>17.961144135489032</v>
      </c>
      <c r="AI38" s="368">
        <f t="shared" si="163"/>
        <v>19.512794593876809</v>
      </c>
      <c r="AJ38" s="368">
        <f t="shared" si="163"/>
        <v>25.719396427427924</v>
      </c>
      <c r="AK38" s="368">
        <f t="shared" si="163"/>
        <v>87.009589533745185</v>
      </c>
      <c r="AL38" s="368">
        <f t="shared" si="163"/>
        <v>84.682113846163517</v>
      </c>
      <c r="AM38" s="368">
        <f t="shared" si="163"/>
        <v>78.475512012612413</v>
      </c>
      <c r="AN38" s="831">
        <f t="shared" si="163"/>
        <v>38.132600094530154</v>
      </c>
      <c r="AO38" s="831">
        <f t="shared" si="163"/>
        <v>23.391920739846256</v>
      </c>
      <c r="AP38" s="831">
        <f t="shared" si="163"/>
        <v>18.736969364682921</v>
      </c>
      <c r="AQ38" s="831">
        <f t="shared" si="163"/>
        <v>19.512794593876809</v>
      </c>
      <c r="AR38" s="831">
        <f t="shared" si="163"/>
        <v>17.185318906295141</v>
      </c>
      <c r="AS38" s="831">
        <f t="shared" si="163"/>
        <v>17.185318906295141</v>
      </c>
      <c r="AT38" s="1136">
        <f t="shared" si="163"/>
        <v>17.961144135489032</v>
      </c>
      <c r="AU38" s="368">
        <f t="shared" si="163"/>
        <v>18.736969364682921</v>
      </c>
      <c r="AV38" s="368">
        <f t="shared" si="163"/>
        <v>50.545803761632385</v>
      </c>
      <c r="AW38" s="368">
        <f t="shared" si="163"/>
        <v>94.767841825684087</v>
      </c>
      <c r="AX38" s="368">
        <f t="shared" si="163"/>
        <v>117.26677347230687</v>
      </c>
      <c r="AY38" s="368">
        <f t="shared" si="163"/>
        <v>78.475512012612413</v>
      </c>
      <c r="AZ38" s="831">
        <f>((AZ24*$C$40)+12)*(1+$C$35)</f>
        <v>61.120459651475194</v>
      </c>
      <c r="BA38" s="831">
        <f t="shared" ref="BA38:BT38" si="164">((BA24*$C$40)+12)*(1+$C$35)</f>
        <v>16.898421587423499</v>
      </c>
      <c r="BB38" s="831">
        <f t="shared" si="164"/>
        <v>20.001722504199059</v>
      </c>
      <c r="BC38" s="831">
        <f t="shared" si="164"/>
        <v>20.77754773339295</v>
      </c>
      <c r="BD38" s="831">
        <f t="shared" si="164"/>
        <v>20.001722504199059</v>
      </c>
      <c r="BE38" s="368">
        <f t="shared" si="164"/>
        <v>19.225897275005167</v>
      </c>
      <c r="BF38" s="1136">
        <f t="shared" si="164"/>
        <v>20.001722504199059</v>
      </c>
      <c r="BG38" s="368">
        <f t="shared" si="164"/>
        <v>20.77754773339295</v>
      </c>
      <c r="BH38" s="368">
        <f t="shared" si="164"/>
        <v>71.206187630995757</v>
      </c>
      <c r="BI38" s="368">
        <f t="shared" si="164"/>
        <v>128.61725459134357</v>
      </c>
      <c r="BJ38" s="368">
        <f t="shared" si="164"/>
        <v>102.23919679875134</v>
      </c>
      <c r="BK38" s="368">
        <f t="shared" si="164"/>
        <v>98.360070652781886</v>
      </c>
      <c r="BL38" s="368">
        <f t="shared" si="164"/>
        <v>54.138032588730191</v>
      </c>
      <c r="BM38" s="368">
        <f t="shared" si="164"/>
        <v>23.105023420974614</v>
      </c>
      <c r="BN38" s="368">
        <f t="shared" si="164"/>
        <v>21.553372962586838</v>
      </c>
      <c r="BO38" s="368">
        <f t="shared" si="164"/>
        <v>20.77754773339295</v>
      </c>
      <c r="BP38" s="368">
        <f t="shared" si="164"/>
        <v>23.105023420974614</v>
      </c>
      <c r="BQ38" s="368">
        <f t="shared" si="164"/>
        <v>20.77754773339295</v>
      </c>
      <c r="BR38" s="1134">
        <f t="shared" si="164"/>
        <v>20.77754773339295</v>
      </c>
      <c r="BS38" s="368">
        <f t="shared" si="164"/>
        <v>88.274342673261316</v>
      </c>
      <c r="BT38" s="368">
        <f t="shared" si="164"/>
        <v>101.46337156955745</v>
      </c>
      <c r="BU38" s="368">
        <f>((BU24*$C$40)+12)*(1+$C$35)</f>
        <v>154.21948715474193</v>
      </c>
      <c r="BV38" s="368">
        <f>((BV24*$C$40)+12)*(1+$C$35)</f>
        <v>87.498517444067446</v>
      </c>
      <c r="BW38" s="368">
        <f t="shared" ref="BW38:CK38" si="165">((BW24*$C$40*$C$46)*(1+$C$35))</f>
        <v>47.146899178112669</v>
      </c>
      <c r="BX38" s="368">
        <f t="shared" si="165"/>
        <v>9.5891998328364743</v>
      </c>
      <c r="BY38" s="369">
        <f t="shared" si="165"/>
        <v>4.7945999164182371</v>
      </c>
      <c r="BZ38" s="1424">
        <f t="shared" si="165"/>
        <v>3.9954999303485303</v>
      </c>
      <c r="CA38" s="369">
        <f>((CB24*$C$40*$C$46)*(1+$C$35))</f>
        <v>3.9954999303485303</v>
      </c>
      <c r="CC38" s="369">
        <f t="shared" si="165"/>
        <v>3.9954999303485303</v>
      </c>
      <c r="CE38" s="369">
        <f>((CD24*$C$40*$C$46)*(1+$C$35))</f>
        <v>3.9954999303485303</v>
      </c>
      <c r="CF38" s="369">
        <f t="shared" ref="CF38" si="166">((CF24*$C$40*$C$46)*(1+$C$35))</f>
        <v>3.9954999303485303</v>
      </c>
      <c r="CG38" s="369">
        <f t="shared" si="165"/>
        <v>3.9954999303485303</v>
      </c>
      <c r="CH38" s="369">
        <f t="shared" si="165"/>
        <v>49.54419913632178</v>
      </c>
      <c r="CI38" s="369"/>
      <c r="CJ38" s="369">
        <f t="shared" ref="CJ38" si="167">((CJ24*$C$40*$C$46)*(1+$C$35))</f>
        <v>49.54419913632178</v>
      </c>
      <c r="CK38" s="369">
        <f t="shared" si="165"/>
        <v>107.87849811941031</v>
      </c>
      <c r="CL38" s="1183"/>
      <c r="CM38" s="369">
        <f t="shared" ref="CM38:CN38" si="168">((CM24*$C$40)+12)*(1+$C$35)</f>
        <v>117.75570138262913</v>
      </c>
      <c r="CN38" s="369">
        <f t="shared" si="168"/>
        <v>90.601818360842998</v>
      </c>
      <c r="CO38" s="416"/>
      <c r="CP38" s="416"/>
      <c r="CQ38" s="416"/>
      <c r="CR38" s="416"/>
      <c r="CS38" s="416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</row>
    <row r="39" spans="1:123" s="602" customFormat="1">
      <c r="A39" s="916"/>
      <c r="B39" s="599" t="s">
        <v>895</v>
      </c>
      <c r="C39" s="991">
        <f>AVERAGEA(M39:BH39)</f>
        <v>2.3625222305204163</v>
      </c>
      <c r="D39" s="801">
        <f>AVERAGE(M39:X39)</f>
        <v>3.1973972588724942</v>
      </c>
      <c r="E39" s="801">
        <f>AVERAGE(Y39:AJ39)</f>
        <v>25.874574021980994</v>
      </c>
      <c r="F39" s="801">
        <f>AVERAGE(AK39:AV39)</f>
        <v>-0.68449539501234347</v>
      </c>
      <c r="G39" s="801">
        <f>AVERAGE(AW39:BH39)</f>
        <v>-18.93738696375949</v>
      </c>
      <c r="H39" s="801">
        <f>AVERAGE(BI39:BT39)</f>
        <v>-3.202639010071612</v>
      </c>
      <c r="I39" s="826">
        <f>AVERAGE(BU39:CK39)</f>
        <v>-32.425966937115419</v>
      </c>
      <c r="J39" s="826"/>
      <c r="K39" s="916"/>
      <c r="L39" s="625">
        <f t="shared" ref="L39:AQ39" si="169">L38-L34</f>
        <v>-79.936477426602622</v>
      </c>
      <c r="M39" s="601">
        <f t="shared" si="169"/>
        <v>59.390850993439656</v>
      </c>
      <c r="N39" s="601">
        <f t="shared" si="169"/>
        <v>89.648034932001337</v>
      </c>
      <c r="O39" s="601">
        <f t="shared" si="169"/>
        <v>95.188326681021323</v>
      </c>
      <c r="P39" s="601">
        <f t="shared" si="169"/>
        <v>100.61910328537854</v>
      </c>
      <c r="Q39" s="601">
        <f t="shared" si="169"/>
        <v>51.048084949867395</v>
      </c>
      <c r="R39" s="601">
        <f t="shared" si="169"/>
        <v>2.1710955106523642</v>
      </c>
      <c r="S39" s="601">
        <f t="shared" si="169"/>
        <v>-1.3146810937048592</v>
      </c>
      <c r="T39" s="601">
        <f t="shared" si="169"/>
        <v>9.5468721150095952</v>
      </c>
      <c r="U39" s="601">
        <f t="shared" si="169"/>
        <v>-60.430554947735416</v>
      </c>
      <c r="V39" s="601">
        <f t="shared" si="169"/>
        <v>-62.758030635317084</v>
      </c>
      <c r="W39" s="600">
        <f t="shared" si="169"/>
        <v>-141.76579807191871</v>
      </c>
      <c r="X39" s="1169">
        <f t="shared" si="169"/>
        <v>-102.97453661222426</v>
      </c>
      <c r="Y39" s="601">
        <f t="shared" si="169"/>
        <v>119.49648172328689</v>
      </c>
      <c r="Z39" s="601">
        <f t="shared" si="169"/>
        <v>142.77123859910358</v>
      </c>
      <c r="AA39" s="601">
        <f t="shared" si="169"/>
        <v>52.188910179061295</v>
      </c>
      <c r="AB39" s="601">
        <f t="shared" si="169"/>
        <v>22.707551469693492</v>
      </c>
      <c r="AC39" s="601">
        <f t="shared" si="169"/>
        <v>-0.32968109370485976</v>
      </c>
      <c r="AD39" s="601">
        <f t="shared" si="169"/>
        <v>1.997794593876808</v>
      </c>
      <c r="AE39" s="601">
        <f t="shared" si="169"/>
        <v>9.2961441354890315</v>
      </c>
      <c r="AF39" s="601">
        <f t="shared" si="169"/>
        <v>9.2961441354890315</v>
      </c>
      <c r="AG39" s="601">
        <f t="shared" si="169"/>
        <v>-21.45803063531708</v>
      </c>
      <c r="AH39" s="1155">
        <f t="shared" si="169"/>
        <v>-22.233855864510968</v>
      </c>
      <c r="AI39" s="1156">
        <f t="shared" si="169"/>
        <v>-4.7222054061231908</v>
      </c>
      <c r="AJ39" s="1160">
        <f t="shared" si="169"/>
        <v>1.4843964274279244</v>
      </c>
      <c r="AK39" s="82">
        <f t="shared" si="169"/>
        <v>30.76958953374519</v>
      </c>
      <c r="AL39" s="82">
        <f t="shared" si="169"/>
        <v>28.442113846163522</v>
      </c>
      <c r="AM39" s="82">
        <f t="shared" si="169"/>
        <v>49.285512012612415</v>
      </c>
      <c r="AN39" s="601">
        <f t="shared" si="169"/>
        <v>8.9426000945301531</v>
      </c>
      <c r="AO39" s="601">
        <f t="shared" si="169"/>
        <v>3.7169207398462554</v>
      </c>
      <c r="AP39" s="601">
        <f t="shared" si="169"/>
        <v>-0.9380306353170802</v>
      </c>
      <c r="AQ39" s="601">
        <f t="shared" si="169"/>
        <v>2.2627945938768086</v>
      </c>
      <c r="AR39" s="601">
        <f t="shared" ref="AR39:BT39" si="170">AR38-AR34</f>
        <v>-6.4681093704859194E-2</v>
      </c>
      <c r="AS39" s="601">
        <f t="shared" si="170"/>
        <v>-1.6446810937048575</v>
      </c>
      <c r="AT39" s="1155">
        <f t="shared" si="170"/>
        <v>-0.86885586451096586</v>
      </c>
      <c r="AU39" s="1156">
        <f t="shared" si="170"/>
        <v>-79.963030635317082</v>
      </c>
      <c r="AV39" s="1160">
        <f t="shared" si="170"/>
        <v>-48.154196238367618</v>
      </c>
      <c r="AW39" s="82">
        <f t="shared" si="170"/>
        <v>-39.432158174315902</v>
      </c>
      <c r="AX39" s="82">
        <f t="shared" si="170"/>
        <v>-16.933226527693122</v>
      </c>
      <c r="AY39" s="82">
        <f t="shared" si="170"/>
        <v>24.595512012612417</v>
      </c>
      <c r="AZ39" s="835">
        <f t="shared" si="170"/>
        <v>7.2404596514751987</v>
      </c>
      <c r="BA39" s="835">
        <f t="shared" si="170"/>
        <v>-7.4815784125764964</v>
      </c>
      <c r="BB39" s="835">
        <f t="shared" si="170"/>
        <v>-4.3782774958009369</v>
      </c>
      <c r="BC39" s="835">
        <f t="shared" si="170"/>
        <v>-1.8674522666070494</v>
      </c>
      <c r="BD39" s="835">
        <f t="shared" si="170"/>
        <v>-2.6432774958009411</v>
      </c>
      <c r="BE39" s="835">
        <f t="shared" si="170"/>
        <v>-4.5391027249948337</v>
      </c>
      <c r="BF39" s="1155">
        <f t="shared" si="170"/>
        <v>-3.7632774958009421</v>
      </c>
      <c r="BG39" s="1156">
        <f t="shared" si="170"/>
        <v>-114.23745226660704</v>
      </c>
      <c r="BH39" s="1160">
        <f t="shared" si="170"/>
        <v>-63.808812369004229</v>
      </c>
      <c r="BI39" s="82">
        <f t="shared" si="170"/>
        <v>14.697254591343565</v>
      </c>
      <c r="BJ39" s="82">
        <f t="shared" si="170"/>
        <v>-11.680803201248665</v>
      </c>
      <c r="BK39" s="82">
        <f t="shared" si="170"/>
        <v>50.365070652781881</v>
      </c>
      <c r="BL39" s="82">
        <f t="shared" si="170"/>
        <v>6.1430325887301862</v>
      </c>
      <c r="BM39" s="82">
        <f t="shared" si="170"/>
        <v>-1.5349765790253862</v>
      </c>
      <c r="BN39" s="82">
        <f t="shared" si="170"/>
        <v>-3.0866270374131624</v>
      </c>
      <c r="BO39" s="82">
        <f t="shared" si="170"/>
        <v>-2.877452266607051</v>
      </c>
      <c r="BP39" s="82">
        <f t="shared" si="170"/>
        <v>-0.54997657902538677</v>
      </c>
      <c r="BQ39" s="82">
        <f t="shared" si="170"/>
        <v>-4.0324522666070486</v>
      </c>
      <c r="BR39" s="1138">
        <f t="shared" si="170"/>
        <v>-4.0324522666070486</v>
      </c>
      <c r="BS39" s="1156">
        <f t="shared" si="170"/>
        <v>-47.515657326738676</v>
      </c>
      <c r="BT39" s="1160">
        <f t="shared" si="170"/>
        <v>-34.32662843044254</v>
      </c>
      <c r="BU39" s="82">
        <f t="shared" ref="BU39:CK39" si="171">BU38-BU34</f>
        <v>-5.4405128452580698</v>
      </c>
      <c r="BV39" s="82">
        <f t="shared" si="171"/>
        <v>-72.161482555932551</v>
      </c>
      <c r="BW39" s="82">
        <f t="shared" si="171"/>
        <v>-13.08810082188733</v>
      </c>
      <c r="BX39" s="82">
        <f t="shared" si="171"/>
        <v>-50.645800167163529</v>
      </c>
      <c r="BY39" s="917">
        <f t="shared" si="171"/>
        <v>-23.478430160423549</v>
      </c>
      <c r="BZ39" s="1428">
        <f t="shared" si="171"/>
        <v>-24.277530146493259</v>
      </c>
      <c r="CA39" s="917">
        <f>CA38-CA34</f>
        <v>-23.747015948066611</v>
      </c>
      <c r="CC39" s="917">
        <f t="shared" si="171"/>
        <v>-23.747015948066611</v>
      </c>
      <c r="CD39" s="1454"/>
      <c r="CE39" s="917">
        <f>CE38-CE34</f>
        <v>-23.747015948066611</v>
      </c>
      <c r="CF39" s="917">
        <f t="shared" ref="CF39" si="172">CF38-CF34</f>
        <v>-122.95317105384932</v>
      </c>
      <c r="CG39" s="917">
        <f t="shared" si="171"/>
        <v>-23.747015948066611</v>
      </c>
      <c r="CH39" s="917">
        <f t="shared" si="171"/>
        <v>-77.404471847876067</v>
      </c>
      <c r="CI39" s="917"/>
      <c r="CJ39" s="917">
        <f t="shared" ref="CJ39" si="173">CJ38-CJ34</f>
        <v>49.54419913632178</v>
      </c>
      <c r="CK39" s="917">
        <f t="shared" si="171"/>
        <v>-19.070172864787537</v>
      </c>
      <c r="CL39" s="1453"/>
      <c r="CM39" s="917">
        <f t="shared" ref="CM39:CN39" si="174">CM38-CM34</f>
        <v>117.75570138262913</v>
      </c>
      <c r="CN39" s="917">
        <f t="shared" si="174"/>
        <v>90.601818360842998</v>
      </c>
      <c r="CO39" s="918"/>
      <c r="CP39" s="918"/>
      <c r="CQ39" s="918"/>
      <c r="CR39" s="918"/>
      <c r="CS39" s="918"/>
      <c r="CT39" s="918"/>
      <c r="CU39" s="918"/>
      <c r="CV39" s="918"/>
      <c r="CW39" s="918"/>
      <c r="CX39" s="918"/>
      <c r="CY39" s="918"/>
      <c r="CZ39" s="918"/>
      <c r="DA39" s="918"/>
      <c r="DB39" s="918"/>
      <c r="DC39" s="918"/>
      <c r="DD39" s="918"/>
      <c r="DE39" s="918"/>
      <c r="DF39" s="918"/>
      <c r="DG39" s="918"/>
      <c r="DH39" s="918"/>
      <c r="DI39" s="918"/>
      <c r="DJ39" s="918"/>
      <c r="DK39" s="918"/>
      <c r="DL39" s="918"/>
      <c r="DM39" s="918"/>
      <c r="DN39" s="918"/>
      <c r="DO39" s="918"/>
      <c r="DP39" s="918"/>
      <c r="DQ39" s="918"/>
      <c r="DR39" s="918"/>
      <c r="DS39" s="918"/>
    </row>
    <row r="40" spans="1:123" s="19" customFormat="1">
      <c r="A40" s="9"/>
      <c r="B40" s="17" t="s">
        <v>896</v>
      </c>
      <c r="C40" s="992">
        <f>TRIMMEAN(AK40:BT40,5%)</f>
        <v>0.55093327516787038</v>
      </c>
      <c r="D40" s="802">
        <f>AVERAGE(O40:Z40)</f>
        <v>0.2445387984807168</v>
      </c>
      <c r="E40" s="802">
        <f>AVERAGE(AA40:AL40)</f>
        <v>0.21997962528354686</v>
      </c>
      <c r="F40" s="802">
        <f>AVERAGE(AM40:AX40)</f>
        <v>0.59936529572122799</v>
      </c>
      <c r="G40" s="802">
        <f>AVERAGE(AY40:BJ40)</f>
        <v>0.5955959896489792</v>
      </c>
      <c r="H40" s="802">
        <f>AVERAGE(BK40:BV40)</f>
        <v>0.51531609085485697</v>
      </c>
      <c r="I40" s="827">
        <f>AVERAGE(BW40:CN40)</f>
        <v>0.5681220438100808</v>
      </c>
      <c r="J40" s="827"/>
      <c r="L40" s="626"/>
      <c r="N40" s="836">
        <f>N9/N28</f>
        <v>0.2482905982905983</v>
      </c>
      <c r="O40" s="836"/>
      <c r="P40" s="836">
        <f>P9/P28</f>
        <v>0.18946745562130179</v>
      </c>
      <c r="Q40" s="836"/>
      <c r="R40" s="836">
        <f>R9/R28</f>
        <v>8.1666666666666637E-2</v>
      </c>
      <c r="S40" s="836"/>
      <c r="T40" s="836">
        <f>T9/T28</f>
        <v>-0.20590909090909096</v>
      </c>
      <c r="U40" s="836"/>
      <c r="V40" s="836">
        <f>V9/V28</f>
        <v>0.24812499999999993</v>
      </c>
      <c r="W40" s="603">
        <f>W9/W28</f>
        <v>0.24847457627118644</v>
      </c>
      <c r="X40" s="841">
        <f>X9/X28</f>
        <v>0.58258620689655172</v>
      </c>
      <c r="Y40" s="604"/>
      <c r="Z40" s="836">
        <f>Z9/Z28</f>
        <v>0.56736077481840197</v>
      </c>
      <c r="AA40" s="836"/>
      <c r="AB40" s="836">
        <f>AB9/AB28</f>
        <v>0.20703703703703716</v>
      </c>
      <c r="AC40" s="836"/>
      <c r="AD40" s="836">
        <f>AD9/AD28</f>
        <v>0.58235294117647052</v>
      </c>
      <c r="AE40" s="836"/>
      <c r="AF40" s="836">
        <f>AF9/AF28</f>
        <v>0.58166666666666667</v>
      </c>
      <c r="AG40" s="836"/>
      <c r="AH40" s="604">
        <f>AH9/AH28</f>
        <v>-0.84714285714285709</v>
      </c>
      <c r="AI40" s="587"/>
      <c r="AJ40" s="1139">
        <f>AJ9/AJ28</f>
        <v>0.58199999999999996</v>
      </c>
      <c r="AK40" s="837"/>
      <c r="AL40" s="884">
        <f>AL9/AL28</f>
        <v>0.21396396396396397</v>
      </c>
      <c r="AM40" s="291"/>
      <c r="AN40" s="836">
        <f>AN9/AN28</f>
        <v>0.59101694915254233</v>
      </c>
      <c r="AO40" s="836"/>
      <c r="AP40" s="836">
        <f>AP9/AP28</f>
        <v>0.59090909090909094</v>
      </c>
      <c r="AQ40" s="836"/>
      <c r="AR40" s="836">
        <f>AR9/AR28</f>
        <v>0.59153846153846168</v>
      </c>
      <c r="AS40" s="836"/>
      <c r="AT40" s="604">
        <f>AT9/AT28</f>
        <v>0.58999999999999986</v>
      </c>
      <c r="AU40" s="587"/>
      <c r="AV40" s="1139">
        <f>AV9/AV28</f>
        <v>0.59181818181818191</v>
      </c>
      <c r="AW40" s="837"/>
      <c r="AX40" s="884">
        <f>AX9/AX28</f>
        <v>0.64090909090909087</v>
      </c>
      <c r="AY40" s="291"/>
      <c r="AZ40" s="604">
        <f>AZ9/AZ28</f>
        <v>0.66349999999999998</v>
      </c>
      <c r="BB40" s="604">
        <f>BB9/BB28</f>
        <v>0.67517241379310344</v>
      </c>
      <c r="BD40" s="604">
        <f>BD9/BD28</f>
        <v>0.65555555555555545</v>
      </c>
      <c r="BE40" s="587"/>
      <c r="BF40" s="604">
        <f>BF9/BF28</f>
        <v>0.4375</v>
      </c>
      <c r="BG40" s="587"/>
      <c r="BH40" s="1139">
        <f>BH9/BH29</f>
        <v>0.6428571428571429</v>
      </c>
      <c r="BI40" s="837"/>
      <c r="BJ40" s="884">
        <f>BJ9/BJ28</f>
        <v>0.4989908256880734</v>
      </c>
      <c r="BK40" s="291"/>
      <c r="BL40" s="884">
        <f>BL9/BL28</f>
        <v>0.42843373493975906</v>
      </c>
      <c r="BM40" s="291"/>
      <c r="BN40" s="884">
        <f>BN9/BN28</f>
        <v>0.4871929824561404</v>
      </c>
      <c r="BO40" s="291"/>
      <c r="BP40" s="884">
        <f>BP9/BP28</f>
        <v>0.71636363636363631</v>
      </c>
      <c r="BQ40" s="587"/>
      <c r="BR40" s="884">
        <f>BR9/BR28</f>
        <v>0.34307692307692317</v>
      </c>
      <c r="BS40" s="587"/>
      <c r="BT40" s="1139">
        <f>BT9/BT28</f>
        <v>0.55799999999999983</v>
      </c>
      <c r="BU40" s="587"/>
      <c r="BV40" s="884">
        <f>BV9/BV28</f>
        <v>0.55882926829268298</v>
      </c>
      <c r="BW40" s="587"/>
      <c r="BX40" s="884">
        <f>BX9/BX28</f>
        <v>0.56945054945054951</v>
      </c>
      <c r="BY40" s="587"/>
      <c r="BZ40" s="1429">
        <f>BZ9/BZ28</f>
        <v>0.56943661971830994</v>
      </c>
      <c r="CA40" s="884"/>
      <c r="CB40" s="587"/>
      <c r="CC40" s="837">
        <f>CC9/CC28</f>
        <v>0.56746127342290653</v>
      </c>
      <c r="CD40" s="587"/>
      <c r="CE40" s="587"/>
      <c r="CF40" s="587"/>
      <c r="CG40" s="837">
        <f>CG9/CG28</f>
        <v>0.56746127342290653</v>
      </c>
      <c r="CH40" s="587"/>
      <c r="CI40" s="587"/>
      <c r="CJ40" s="587"/>
      <c r="CK40" s="837">
        <f>CK9/CK28</f>
        <v>0.56746127342290653</v>
      </c>
      <c r="CL40" s="837"/>
      <c r="CM40" s="885"/>
      <c r="CN40" s="971">
        <f>CN9/CN28</f>
        <v>0.56746127342290653</v>
      </c>
    </row>
    <row r="41" spans="1:123" s="343" customFormat="1">
      <c r="A41" s="9"/>
      <c r="B41" s="592" t="s">
        <v>897</v>
      </c>
      <c r="C41" s="986">
        <f>TRIMMEAN(AK41:BT41,5%)</f>
        <v>2.9060976206196503</v>
      </c>
      <c r="D41" s="381">
        <f>AVERAGE(O41:Z41)</f>
        <v>1.3118186470468152</v>
      </c>
      <c r="E41" s="381">
        <f>AVERAGE(AA41:AL41)</f>
        <v>1.889062249116171</v>
      </c>
      <c r="F41" s="381">
        <f>AVERAGE(AM41:AX41)</f>
        <v>2.3345293383640842</v>
      </c>
      <c r="G41" s="381">
        <f>AVERAGE(AY41:BJ41)</f>
        <v>3.6976047561718626</v>
      </c>
      <c r="H41" s="381">
        <f>AVERAGE(BK41:BV41)</f>
        <v>2.8341777375127051</v>
      </c>
      <c r="I41" s="589">
        <f>AVERAGE(BW41:CN41)</f>
        <v>3.3988011937070404</v>
      </c>
      <c r="J41" s="589"/>
      <c r="L41" s="622"/>
      <c r="N41" s="383">
        <f>N17/N28</f>
        <v>0.77512820512820513</v>
      </c>
      <c r="P41" s="383">
        <f>P17/P28</f>
        <v>0.78591715976331356</v>
      </c>
      <c r="Q41" s="383"/>
      <c r="R41" s="383">
        <f>R17/R28</f>
        <v>1.0979999999999999</v>
      </c>
      <c r="S41" s="383"/>
      <c r="T41" s="383">
        <f>T17/T28</f>
        <v>1.8586363636363636</v>
      </c>
      <c r="U41" s="383"/>
      <c r="V41" s="383">
        <f>V17/V28</f>
        <v>2.3125</v>
      </c>
      <c r="W41" s="382">
        <f>W17/W28</f>
        <v>0.82135593220338987</v>
      </c>
      <c r="X41" s="840">
        <f>X17/X28</f>
        <v>1.4050862068965517</v>
      </c>
      <c r="Y41" s="383"/>
      <c r="Z41" s="383">
        <f>Z17/Z28</f>
        <v>0.90123486682808707</v>
      </c>
      <c r="AA41" s="383"/>
      <c r="AB41" s="383">
        <f>AB17/AB28</f>
        <v>1.9037037037037039</v>
      </c>
      <c r="AC41" s="383"/>
      <c r="AD41" s="383">
        <f>AD17/AD28</f>
        <v>2.3623529411764705</v>
      </c>
      <c r="AE41" s="383"/>
      <c r="AF41" s="383">
        <f>AF17/AF28</f>
        <v>2.9191666666666669</v>
      </c>
      <c r="AG41" s="383"/>
      <c r="AH41" s="383">
        <f>AH17/AH28</f>
        <v>2.475714285714286</v>
      </c>
      <c r="AI41" s="345"/>
      <c r="AJ41" s="1140">
        <f>AJ17/AJ28</f>
        <v>1.2367692307692308</v>
      </c>
      <c r="AK41" s="838"/>
      <c r="AL41" s="832">
        <f>AL17/AL28</f>
        <v>0.43666666666666665</v>
      </c>
      <c r="AM41" s="396"/>
      <c r="AN41" s="383">
        <f>AN17/AN28</f>
        <v>0.63548022598870046</v>
      </c>
      <c r="AO41" s="383"/>
      <c r="AP41" s="383">
        <f>AP17/AP28</f>
        <v>1.3268181818181819</v>
      </c>
      <c r="AQ41" s="383"/>
      <c r="AR41" s="383">
        <f>AR17/AR28</f>
        <v>3.0269230769230768</v>
      </c>
      <c r="AS41" s="383"/>
      <c r="AT41" s="383">
        <f>AT17/AT28</f>
        <v>4.3125</v>
      </c>
      <c r="AU41" s="345"/>
      <c r="AV41" s="1140">
        <f>AV17/AV28</f>
        <v>3.4236363636363634</v>
      </c>
      <c r="AW41" s="838"/>
      <c r="AX41" s="832">
        <f>AX17/AX28</f>
        <v>1.2818181818181817</v>
      </c>
      <c r="AY41" s="396"/>
      <c r="AZ41" s="383">
        <f>AZ17/AZ28</f>
        <v>1.22</v>
      </c>
      <c r="BB41" s="383">
        <f>BB17/BB28</f>
        <v>1.8579310344827584</v>
      </c>
      <c r="BD41" s="383">
        <f>BD17/BD28</f>
        <v>5.4177777777777765</v>
      </c>
      <c r="BE41" s="345"/>
      <c r="BF41" s="383">
        <f>BF17/BF28</f>
        <v>5.6612499999999999</v>
      </c>
      <c r="BG41" s="345"/>
      <c r="BH41" s="1140">
        <f>BH17/BH29</f>
        <v>6.79</v>
      </c>
      <c r="BI41" s="838"/>
      <c r="BJ41" s="832">
        <f>BJ17/BJ28</f>
        <v>1.238669724770642</v>
      </c>
      <c r="BK41" s="396"/>
      <c r="BL41" s="832">
        <f>BL17/BL28</f>
        <v>0.91502008032128512</v>
      </c>
      <c r="BM41" s="396"/>
      <c r="BN41" s="832">
        <f>BN17/BN28</f>
        <v>1.6840350877192984</v>
      </c>
      <c r="BO41" s="396"/>
      <c r="BP41" s="832">
        <f>BP17/BP28</f>
        <v>4.4800000000000004</v>
      </c>
      <c r="BQ41" s="345"/>
      <c r="BR41" s="832">
        <f>BR17/BR28</f>
        <v>3.6392307692307693</v>
      </c>
      <c r="BS41" s="345"/>
      <c r="BT41" s="1140">
        <f>BT17/BT28</f>
        <v>4.9619999999999997</v>
      </c>
      <c r="BU41" s="969"/>
      <c r="BV41" s="832">
        <f>BV17/BV28</f>
        <v>1.3247804878048779</v>
      </c>
      <c r="BW41" s="345"/>
      <c r="BX41" s="832">
        <f>BX17/BX28</f>
        <v>1.1696703296703297</v>
      </c>
      <c r="BY41" s="345"/>
      <c r="BZ41" s="1430">
        <f>BZ17/BZ28</f>
        <v>1.6967605633802816</v>
      </c>
      <c r="CA41" s="832"/>
      <c r="CB41" s="345"/>
      <c r="CC41" s="838">
        <f>CC17/CC28</f>
        <v>5.1405509230621433</v>
      </c>
      <c r="CD41" s="345"/>
      <c r="CE41" s="345"/>
      <c r="CF41" s="345"/>
      <c r="CG41" s="838">
        <f>CG17/CG28</f>
        <v>5.5485031756830283</v>
      </c>
      <c r="CH41" s="345"/>
      <c r="CI41" s="345"/>
      <c r="CJ41" s="345"/>
      <c r="CK41" s="838">
        <f>CK17/CK28</f>
        <v>5.5485031756830283</v>
      </c>
      <c r="CL41" s="838"/>
      <c r="CM41" s="838"/>
      <c r="CN41" s="838">
        <f>CN17/CN28</f>
        <v>1.2888189947634299</v>
      </c>
    </row>
    <row r="42" spans="1:123" s="19" customFormat="1">
      <c r="B42" s="17"/>
      <c r="C42" s="120"/>
      <c r="D42" s="120"/>
      <c r="E42" s="120"/>
      <c r="F42" s="120"/>
      <c r="G42" s="120"/>
      <c r="H42" s="120"/>
      <c r="I42" s="120"/>
      <c r="J42" s="120"/>
      <c r="L42" s="9"/>
      <c r="M42" s="9"/>
      <c r="N42" s="407"/>
      <c r="O42" s="405"/>
      <c r="P42" s="405"/>
      <c r="Q42" s="405"/>
      <c r="R42" s="405"/>
      <c r="S42" s="405"/>
      <c r="T42" s="405"/>
      <c r="U42" s="405"/>
      <c r="V42" s="405"/>
      <c r="W42" s="407"/>
      <c r="X42" s="407"/>
      <c r="Y42" s="407"/>
      <c r="Z42" s="405"/>
      <c r="AA42" s="405"/>
      <c r="AB42" s="405"/>
      <c r="AC42" s="405"/>
      <c r="AD42" s="405"/>
      <c r="AE42" s="405"/>
      <c r="AF42" s="405"/>
      <c r="AG42" s="405"/>
      <c r="AH42" s="405"/>
      <c r="AI42" s="405"/>
      <c r="AJ42" s="405"/>
      <c r="AK42" s="407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7"/>
      <c r="AX42" s="404"/>
      <c r="AY42" s="291"/>
      <c r="AZ42" s="404"/>
      <c r="BB42" s="404"/>
      <c r="BI42" s="407"/>
    </row>
    <row r="43" spans="1:123" s="19" customFormat="1">
      <c r="B43" s="511" t="s">
        <v>898</v>
      </c>
      <c r="C43" s="569">
        <v>0.57999999999999996</v>
      </c>
      <c r="D43" s="722"/>
      <c r="E43" s="722"/>
      <c r="F43" s="722"/>
      <c r="G43" s="722"/>
      <c r="H43" s="722"/>
      <c r="I43" s="722"/>
      <c r="J43" s="722"/>
      <c r="L43" s="9"/>
      <c r="M43" s="9"/>
      <c r="N43" s="407"/>
      <c r="O43" s="405"/>
      <c r="P43" s="405"/>
      <c r="Q43" s="405"/>
      <c r="R43" s="405"/>
      <c r="S43" s="405"/>
      <c r="T43" s="405"/>
      <c r="U43" s="405"/>
      <c r="V43" s="405"/>
      <c r="W43" s="407"/>
      <c r="X43" s="407"/>
      <c r="Y43" s="407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7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  <c r="AV43" s="405"/>
      <c r="AW43" s="407"/>
      <c r="AX43" s="404"/>
      <c r="AY43" s="291"/>
      <c r="AZ43" s="404"/>
      <c r="BB43" s="404"/>
      <c r="BI43" s="407"/>
    </row>
    <row r="44" spans="1:123" s="19" customFormat="1">
      <c r="B44" s="511" t="s">
        <v>899</v>
      </c>
      <c r="C44" s="509">
        <v>0.05</v>
      </c>
      <c r="D44" s="508"/>
      <c r="E44" s="508"/>
      <c r="F44" s="508"/>
      <c r="G44" s="508"/>
      <c r="H44" s="508"/>
      <c r="I44" s="508"/>
      <c r="J44" s="508"/>
      <c r="L44" s="9"/>
      <c r="M44" s="9"/>
      <c r="N44" s="407"/>
      <c r="O44" s="405"/>
      <c r="P44" s="405"/>
      <c r="Q44" s="405"/>
      <c r="R44" s="405"/>
      <c r="S44" s="405"/>
      <c r="T44" s="405"/>
      <c r="U44" s="405"/>
      <c r="V44" s="405"/>
      <c r="W44" s="407"/>
      <c r="X44" s="407"/>
      <c r="Y44" s="407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7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7"/>
      <c r="AX44" s="404"/>
      <c r="AY44" s="291"/>
      <c r="AZ44" s="404"/>
      <c r="BB44" s="404"/>
      <c r="BI44" s="407"/>
    </row>
    <row r="45" spans="1:123">
      <c r="B45" s="511" t="s">
        <v>900</v>
      </c>
      <c r="C45" s="510">
        <v>12</v>
      </c>
      <c r="E45" s="723"/>
      <c r="F45" s="723"/>
      <c r="G45" s="723"/>
      <c r="H45" s="723"/>
      <c r="I45" s="723"/>
      <c r="J45" s="723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Z45" s="21"/>
      <c r="BB45" s="21"/>
    </row>
    <row r="46" spans="1:123" ht="71.25" customHeight="1">
      <c r="B46" s="46" t="s">
        <v>901</v>
      </c>
      <c r="C46" s="1302">
        <v>1.03</v>
      </c>
      <c r="AP46" s="125"/>
    </row>
    <row r="47" spans="1:123" ht="45.75" customHeight="1"/>
    <row r="48" spans="1:123" ht="20.25" customHeight="1">
      <c r="BN48" s="124"/>
    </row>
    <row r="49" spans="1:131" ht="15" customHeight="1">
      <c r="B49" s="1488" t="s">
        <v>902</v>
      </c>
      <c r="C49" s="1488"/>
      <c r="D49" s="1370"/>
      <c r="E49" s="1370"/>
      <c r="F49" s="1370"/>
      <c r="G49" s="1370"/>
      <c r="H49" s="1370"/>
      <c r="I49" s="1370"/>
      <c r="J49" s="1370"/>
      <c r="L49" s="1479">
        <v>2020</v>
      </c>
      <c r="M49" s="1480"/>
      <c r="N49" s="1481"/>
      <c r="O49" s="1479">
        <v>2021</v>
      </c>
      <c r="P49" s="1480"/>
      <c r="Q49" s="1480"/>
      <c r="R49" s="1480"/>
      <c r="S49" s="1480"/>
      <c r="T49" s="1480"/>
      <c r="U49" s="1480"/>
      <c r="V49" s="1480"/>
      <c r="W49" s="1480"/>
      <c r="X49" s="1480"/>
      <c r="Y49" s="1480"/>
      <c r="Z49" s="1481"/>
      <c r="AA49" s="1480">
        <v>2022</v>
      </c>
      <c r="AB49" s="1480"/>
      <c r="AC49" s="1480"/>
      <c r="AD49" s="1480"/>
      <c r="AE49" s="1480"/>
      <c r="AF49" s="1480"/>
      <c r="AG49" s="1480"/>
      <c r="AH49" s="1480"/>
      <c r="AI49" s="1480"/>
      <c r="AJ49" s="1480"/>
      <c r="AK49" s="1480"/>
      <c r="AL49" s="1481"/>
      <c r="AM49" s="1479">
        <v>2023</v>
      </c>
      <c r="AN49" s="1480"/>
      <c r="AO49" s="1480"/>
      <c r="AP49" s="1480"/>
      <c r="AQ49" s="1480"/>
      <c r="AR49" s="1480"/>
      <c r="AS49" s="1480"/>
      <c r="AT49" s="1480"/>
      <c r="AU49" s="1480"/>
      <c r="AV49" s="1480"/>
      <c r="AW49" s="1480"/>
      <c r="AX49" s="1481"/>
      <c r="AY49" s="1479">
        <v>2024</v>
      </c>
      <c r="AZ49" s="1480"/>
      <c r="BA49" s="1480"/>
      <c r="BB49" s="1480"/>
      <c r="BC49" s="1480"/>
      <c r="BD49" s="1480"/>
      <c r="BE49" s="1480"/>
      <c r="BF49" s="1480"/>
      <c r="BG49" s="1480"/>
      <c r="BH49" s="1480"/>
      <c r="BI49" s="1480"/>
      <c r="BJ49" s="1481"/>
      <c r="BK49" s="1479">
        <v>2025</v>
      </c>
      <c r="BL49" s="1480"/>
      <c r="BM49" s="1480"/>
      <c r="BN49" s="1480"/>
      <c r="BO49" s="1480"/>
      <c r="BP49" s="1480"/>
      <c r="BQ49" s="1480"/>
      <c r="BR49" s="1480"/>
      <c r="BS49" s="1480"/>
      <c r="BT49" s="1480"/>
      <c r="BU49" s="1480"/>
      <c r="BV49" s="1480"/>
      <c r="BW49" s="1480">
        <v>2026</v>
      </c>
      <c r="BX49" s="1480"/>
      <c r="BY49" s="1480"/>
      <c r="BZ49" s="1480"/>
      <c r="CA49" s="1480"/>
      <c r="CB49" s="1480"/>
      <c r="CC49" s="1480"/>
      <c r="CD49" s="1480"/>
      <c r="CE49" s="1480"/>
      <c r="CF49" s="1480"/>
      <c r="CG49" s="1480"/>
      <c r="CH49" s="1480"/>
      <c r="CI49" s="1480"/>
      <c r="CJ49" s="1480"/>
      <c r="CK49" s="1480"/>
      <c r="CL49" s="1480"/>
      <c r="CM49" s="1480"/>
      <c r="CN49" s="1481"/>
      <c r="CO49" s="1479">
        <v>2027</v>
      </c>
      <c r="CP49" s="1480"/>
      <c r="CQ49" s="1480"/>
      <c r="CR49" s="1480"/>
      <c r="CS49" s="1480"/>
      <c r="CT49" s="1480"/>
      <c r="CU49" s="1480"/>
      <c r="CV49" s="1480"/>
      <c r="CW49" s="1480"/>
      <c r="CX49" s="1480"/>
      <c r="CY49" s="1480"/>
      <c r="CZ49" s="1481"/>
    </row>
    <row r="50" spans="1:131" s="314" customFormat="1">
      <c r="D50" s="804">
        <v>2021</v>
      </c>
      <c r="E50" s="804">
        <v>2022</v>
      </c>
      <c r="F50" s="804">
        <v>2023</v>
      </c>
      <c r="G50" s="804">
        <v>2024</v>
      </c>
      <c r="H50" s="1261">
        <v>2025</v>
      </c>
      <c r="I50" s="821">
        <v>2026</v>
      </c>
      <c r="J50" s="822"/>
      <c r="L50" s="1256">
        <v>44166</v>
      </c>
      <c r="M50" s="947">
        <f t="shared" ref="M50:BB50" si="175">M6</f>
        <v>44197</v>
      </c>
      <c r="N50" s="948">
        <f t="shared" si="175"/>
        <v>44228</v>
      </c>
      <c r="O50" s="947">
        <f t="shared" si="175"/>
        <v>44256</v>
      </c>
      <c r="P50" s="947">
        <f t="shared" si="175"/>
        <v>44287</v>
      </c>
      <c r="Q50" s="947">
        <f t="shared" si="175"/>
        <v>44317</v>
      </c>
      <c r="R50" s="947">
        <f t="shared" si="175"/>
        <v>44348</v>
      </c>
      <c r="S50" s="947">
        <f t="shared" si="175"/>
        <v>44378</v>
      </c>
      <c r="T50" s="947">
        <f t="shared" si="175"/>
        <v>44409</v>
      </c>
      <c r="U50" s="947">
        <f t="shared" si="175"/>
        <v>44440</v>
      </c>
      <c r="V50" s="947">
        <f t="shared" si="175"/>
        <v>44470</v>
      </c>
      <c r="W50" s="1256">
        <f t="shared" si="175"/>
        <v>44501</v>
      </c>
      <c r="X50" s="947">
        <f t="shared" si="175"/>
        <v>44531</v>
      </c>
      <c r="Y50" s="947">
        <f t="shared" si="175"/>
        <v>44562</v>
      </c>
      <c r="Z50" s="947">
        <f t="shared" si="175"/>
        <v>44593</v>
      </c>
      <c r="AA50" s="1257">
        <f t="shared" si="175"/>
        <v>44621</v>
      </c>
      <c r="AB50" s="947">
        <f t="shared" si="175"/>
        <v>44652</v>
      </c>
      <c r="AC50" s="947">
        <f t="shared" si="175"/>
        <v>44682</v>
      </c>
      <c r="AD50" s="947">
        <f t="shared" si="175"/>
        <v>44713</v>
      </c>
      <c r="AE50" s="947">
        <f t="shared" si="175"/>
        <v>44743</v>
      </c>
      <c r="AF50" s="947">
        <f t="shared" si="175"/>
        <v>44774</v>
      </c>
      <c r="AG50" s="947">
        <f t="shared" si="175"/>
        <v>44805</v>
      </c>
      <c r="AH50" s="947">
        <f t="shared" si="175"/>
        <v>44835</v>
      </c>
      <c r="AI50" s="947">
        <f t="shared" si="175"/>
        <v>44866</v>
      </c>
      <c r="AJ50" s="947">
        <f t="shared" si="175"/>
        <v>44896</v>
      </c>
      <c r="AK50" s="947">
        <f t="shared" si="175"/>
        <v>44927</v>
      </c>
      <c r="AL50" s="948">
        <f t="shared" si="175"/>
        <v>44958</v>
      </c>
      <c r="AM50" s="947">
        <f t="shared" si="175"/>
        <v>44986</v>
      </c>
      <c r="AN50" s="947">
        <f t="shared" si="175"/>
        <v>45017</v>
      </c>
      <c r="AO50" s="947">
        <f t="shared" si="175"/>
        <v>45047</v>
      </c>
      <c r="AP50" s="947">
        <f t="shared" si="175"/>
        <v>45078</v>
      </c>
      <c r="AQ50" s="947">
        <f t="shared" si="175"/>
        <v>45108</v>
      </c>
      <c r="AR50" s="947">
        <f t="shared" si="175"/>
        <v>45139</v>
      </c>
      <c r="AS50" s="947">
        <f t="shared" si="175"/>
        <v>45170</v>
      </c>
      <c r="AT50" s="947">
        <f t="shared" si="175"/>
        <v>45200</v>
      </c>
      <c r="AU50" s="947">
        <f t="shared" si="175"/>
        <v>45231</v>
      </c>
      <c r="AV50" s="947">
        <f t="shared" si="175"/>
        <v>45261</v>
      </c>
      <c r="AW50" s="947">
        <f t="shared" si="175"/>
        <v>45292</v>
      </c>
      <c r="AX50" s="948">
        <f t="shared" si="175"/>
        <v>45323</v>
      </c>
      <c r="AY50" s="947">
        <f t="shared" si="175"/>
        <v>45352</v>
      </c>
      <c r="AZ50" s="947">
        <f t="shared" si="175"/>
        <v>45383</v>
      </c>
      <c r="BA50" s="947">
        <f t="shared" si="175"/>
        <v>45413</v>
      </c>
      <c r="BB50" s="947">
        <f t="shared" si="175"/>
        <v>45444</v>
      </c>
      <c r="BC50" s="947">
        <v>45474</v>
      </c>
      <c r="BD50" s="947">
        <v>45505</v>
      </c>
      <c r="BE50" s="947">
        <v>45536</v>
      </c>
      <c r="BF50" s="947">
        <v>45566</v>
      </c>
      <c r="BG50" s="947">
        <v>45597</v>
      </c>
      <c r="BH50" s="1187">
        <v>45627</v>
      </c>
      <c r="BI50" s="947">
        <v>45658</v>
      </c>
      <c r="BJ50" s="947">
        <v>45689</v>
      </c>
      <c r="BK50" s="947">
        <v>45717</v>
      </c>
      <c r="BL50" s="947">
        <v>45748</v>
      </c>
      <c r="BM50" s="947">
        <v>45778</v>
      </c>
      <c r="BN50" s="947">
        <v>45809</v>
      </c>
      <c r="BO50" s="947">
        <v>45839</v>
      </c>
      <c r="BP50" s="947">
        <v>45870</v>
      </c>
      <c r="BQ50" s="947">
        <v>45901</v>
      </c>
      <c r="BR50" s="947">
        <v>45931</v>
      </c>
      <c r="BS50" s="947">
        <v>45962</v>
      </c>
      <c r="BT50" s="1187">
        <v>45992</v>
      </c>
      <c r="BU50" s="947">
        <v>46023</v>
      </c>
      <c r="BV50" s="1196">
        <v>46054</v>
      </c>
      <c r="BW50" s="947">
        <v>46082</v>
      </c>
      <c r="BX50" s="947">
        <v>46113</v>
      </c>
      <c r="BY50" s="949">
        <v>46143</v>
      </c>
      <c r="BZ50" s="1448">
        <v>46174</v>
      </c>
      <c r="CA50" s="1447">
        <v>46204</v>
      </c>
      <c r="CB50" s="1196"/>
      <c r="CC50" s="947">
        <v>46235</v>
      </c>
      <c r="CE50" s="949">
        <v>46266</v>
      </c>
      <c r="CG50" s="947">
        <v>46296</v>
      </c>
      <c r="CH50" s="947">
        <v>46327</v>
      </c>
      <c r="CI50" s="947"/>
      <c r="CJ50" s="947">
        <v>46327</v>
      </c>
      <c r="CK50" s="1187">
        <v>46357</v>
      </c>
      <c r="CL50" s="947"/>
      <c r="CM50" s="947">
        <v>46388</v>
      </c>
      <c r="CN50" s="1196">
        <v>46419</v>
      </c>
      <c r="CO50" s="947">
        <v>46447</v>
      </c>
      <c r="CP50" s="947">
        <v>46478</v>
      </c>
      <c r="CQ50" s="949">
        <v>46508</v>
      </c>
      <c r="CR50" s="947">
        <v>46539</v>
      </c>
      <c r="CS50" s="949">
        <v>46569</v>
      </c>
      <c r="CT50" s="947">
        <v>46600</v>
      </c>
      <c r="CU50" s="949">
        <v>46631</v>
      </c>
      <c r="CV50" s="947">
        <v>46661</v>
      </c>
      <c r="CW50" s="947">
        <v>46692</v>
      </c>
      <c r="CX50" s="1187">
        <v>46722</v>
      </c>
      <c r="CY50" s="947">
        <v>46753</v>
      </c>
      <c r="CZ50" s="1196">
        <v>46784</v>
      </c>
      <c r="DA50" s="947">
        <v>46813</v>
      </c>
      <c r="DB50" s="947">
        <v>46844</v>
      </c>
      <c r="DC50" s="949">
        <v>46874</v>
      </c>
      <c r="DD50" s="947">
        <v>46905</v>
      </c>
      <c r="DE50" s="949">
        <v>46935</v>
      </c>
      <c r="DF50" s="947">
        <v>46966</v>
      </c>
      <c r="DG50" s="949">
        <v>46997</v>
      </c>
      <c r="DH50" s="947">
        <v>47027</v>
      </c>
      <c r="DI50" s="947">
        <v>47058</v>
      </c>
      <c r="DJ50" s="1187">
        <v>47088</v>
      </c>
      <c r="DK50" s="947">
        <v>47119</v>
      </c>
      <c r="DL50" s="1196">
        <v>47150</v>
      </c>
      <c r="DM50" s="947">
        <v>47178</v>
      </c>
      <c r="DN50" s="947">
        <v>47209</v>
      </c>
      <c r="DO50" s="949">
        <v>47239</v>
      </c>
      <c r="DP50" s="947">
        <v>47270</v>
      </c>
      <c r="DQ50" s="949">
        <v>47300</v>
      </c>
      <c r="DR50" s="947">
        <v>47331</v>
      </c>
      <c r="DS50" s="949">
        <v>47362</v>
      </c>
      <c r="DT50" s="403"/>
      <c r="DU50" s="403"/>
      <c r="DV50" s="403"/>
      <c r="DW50" s="403"/>
      <c r="DX50" s="403"/>
      <c r="DY50" s="403"/>
      <c r="DZ50" s="403"/>
      <c r="EA50" s="403"/>
    </row>
    <row r="51" spans="1:131">
      <c r="B51" s="100">
        <f t="shared" ref="B51:B57" si="176">AVERAGE(O51,Q51,S51,U51,Y51,AA51,AC51,AE51,AG51,AI51,AK51,AM51,AO51,AQ51,AS51,AU51,AW51,AY51,BA51,BC51)</f>
        <v>0.58302489148331593</v>
      </c>
      <c r="C51" s="993" t="s">
        <v>870</v>
      </c>
      <c r="D51" s="471">
        <f t="shared" ref="D51:D57" si="177">N51+P51+R51+T51+V51+W51+X51+Z51</f>
        <v>376.74</v>
      </c>
      <c r="E51" s="471">
        <f t="shared" ref="E51:E57" si="178">AB51+AD51+AF51+AH51+AJ51+AL51</f>
        <v>356.21000000000004</v>
      </c>
      <c r="F51" s="471">
        <f t="shared" ref="F51:F57" si="179">AN51+AP51+AR51+AT51+AV51+AX51</f>
        <v>356.90000000000003</v>
      </c>
      <c r="G51" s="471">
        <f t="shared" ref="G51:G57" si="180">AZ51+BB51+BD51+BF51+BH51+BJ51</f>
        <v>451.87</v>
      </c>
      <c r="H51" s="1262">
        <f t="shared" ref="H51:H57" si="181">BL51+BN51+BP51+BR51+BT51+BV51</f>
        <v>394.61</v>
      </c>
      <c r="I51" s="820">
        <f t="shared" ref="I51:I57" si="182">BX51+BZ51+CC51+CG51+CK51+CN51</f>
        <v>350.49958067485574</v>
      </c>
      <c r="J51" s="816"/>
      <c r="L51" s="293"/>
      <c r="M51" s="292"/>
      <c r="N51" s="843">
        <v>29.08</v>
      </c>
      <c r="O51" s="277">
        <f t="shared" ref="O51:O57" si="183">N51/N$60</f>
        <v>0.26231282698899511</v>
      </c>
      <c r="P51" s="292">
        <v>50.49</v>
      </c>
      <c r="Q51" s="277">
        <f t="shared" ref="Q51:Q57" si="184">P51/P$60</f>
        <v>0.50510204081632648</v>
      </c>
      <c r="R51" s="292">
        <v>60.38</v>
      </c>
      <c r="S51" s="277">
        <f t="shared" ref="S51:S57" si="185">R51/R$60</f>
        <v>0.52177670238506746</v>
      </c>
      <c r="T51" s="292">
        <v>59.02</v>
      </c>
      <c r="U51" s="277">
        <f t="shared" ref="U51:U57" si="186">T51/T$60</f>
        <v>0.53228715728715736</v>
      </c>
      <c r="V51" s="292">
        <v>58.6</v>
      </c>
      <c r="W51" s="293">
        <v>32.26</v>
      </c>
      <c r="X51" s="1222">
        <v>15.24</v>
      </c>
      <c r="Y51" s="277">
        <f>(+W51+X51)/(X$60+W$60)</f>
        <v>0.36132663928191083</v>
      </c>
      <c r="Z51" s="292">
        <v>71.67</v>
      </c>
      <c r="AA51" s="277">
        <f t="shared" ref="AA51:AA57" si="187">Z51/Z$60</f>
        <v>0.7072930030593112</v>
      </c>
      <c r="AB51" s="292">
        <v>34.47</v>
      </c>
      <c r="AC51" s="277">
        <f t="shared" ref="AC51:AC57" si="188">AB51/AB$60</f>
        <v>0.55435831457060136</v>
      </c>
      <c r="AD51" s="292">
        <v>59.75</v>
      </c>
      <c r="AE51" s="277">
        <f t="shared" ref="AE51:AE57" si="189">AD51/AD$60</f>
        <v>0.61846599730876717</v>
      </c>
      <c r="AF51" s="292">
        <v>62.71</v>
      </c>
      <c r="AG51" s="277">
        <f t="shared" ref="AG51:AG57" si="190">AF51/AF$60</f>
        <v>0.62930255895634724</v>
      </c>
      <c r="AH51" s="294">
        <v>75.98</v>
      </c>
      <c r="AI51" s="277">
        <f t="shared" ref="AI51:AI57" si="191">AH51/AH$60</f>
        <v>0.72148893742284681</v>
      </c>
      <c r="AJ51" s="1197">
        <v>60.56</v>
      </c>
      <c r="AK51" s="277">
        <f t="shared" ref="AK51:AK57" si="192">AJ51/AJ$60</f>
        <v>0.62157446371754088</v>
      </c>
      <c r="AL51" s="294">
        <v>62.74</v>
      </c>
      <c r="AM51" s="866">
        <f t="shared" ref="AM51:AM57" si="193">AL51/AL$60</f>
        <v>0.78670846394984328</v>
      </c>
      <c r="AN51" s="292">
        <v>52.5</v>
      </c>
      <c r="AO51" s="277">
        <f t="shared" ref="AO51:AO57" si="194">AN51/AN$60</f>
        <v>0.59897318881916706</v>
      </c>
      <c r="AP51" s="292">
        <v>48</v>
      </c>
      <c r="AQ51" s="277">
        <f t="shared" ref="AQ51:AQ57" si="195">AP51/AP$60</f>
        <v>0.55872424630427198</v>
      </c>
      <c r="AR51" s="294">
        <v>55.28</v>
      </c>
      <c r="AS51" s="277">
        <f t="shared" ref="AS51:AS57" si="196">AR51/AR$60</f>
        <v>0.62364620938628157</v>
      </c>
      <c r="AT51" s="294">
        <v>70.83</v>
      </c>
      <c r="AU51" s="277">
        <f>AT51/AT$60</f>
        <v>0.56782106782106778</v>
      </c>
      <c r="AV51" s="1197">
        <v>59.59</v>
      </c>
      <c r="AW51" s="277">
        <f t="shared" ref="AW51:AW57" si="197">AV51/AV$60</f>
        <v>0.58136585365853666</v>
      </c>
      <c r="AX51" s="294">
        <v>70.7</v>
      </c>
      <c r="AY51" s="866">
        <f t="shared" ref="AY51:BA57" si="198">AX51/AX$60</f>
        <v>0.66610137554173732</v>
      </c>
      <c r="AZ51" s="294">
        <v>80.73</v>
      </c>
      <c r="BA51" s="277">
        <f t="shared" si="198"/>
        <v>0.62532920216886145</v>
      </c>
      <c r="BB51" s="294">
        <v>78.430000000000007</v>
      </c>
      <c r="BC51" s="277">
        <f>BB51/BB$60</f>
        <v>0.61653958022168065</v>
      </c>
      <c r="BD51" s="294">
        <v>85.16</v>
      </c>
      <c r="BE51" s="277">
        <f t="shared" ref="BC51:BE57" si="199">BD51/BD$60</f>
        <v>0.61880540619096058</v>
      </c>
      <c r="BF51" s="294">
        <v>83.7</v>
      </c>
      <c r="BG51" s="277">
        <f>BF51/BF60</f>
        <v>0.56977535738597684</v>
      </c>
      <c r="BH51" s="1197">
        <v>61.7</v>
      </c>
      <c r="BI51" s="277">
        <f>BH51/BH60</f>
        <v>0.58896525391370746</v>
      </c>
      <c r="BJ51" s="294">
        <v>62.15</v>
      </c>
      <c r="BK51" s="866">
        <f>BJ51/BJ60</f>
        <v>0.57717310549777112</v>
      </c>
      <c r="BL51" s="294">
        <v>69.33</v>
      </c>
      <c r="BM51" s="277">
        <f>BL51/BL60</f>
        <v>0.54637875325084717</v>
      </c>
      <c r="BN51" s="294">
        <v>67.989999999999995</v>
      </c>
      <c r="BO51" s="277">
        <f>BN51/BN60</f>
        <v>0.54522854851643943</v>
      </c>
      <c r="BP51" s="294">
        <v>72.61</v>
      </c>
      <c r="BQ51" s="277">
        <f>BP51/BP60</f>
        <v>0.49732876712328766</v>
      </c>
      <c r="BR51" s="294">
        <f>75.23</f>
        <v>75.23</v>
      </c>
      <c r="BS51" s="277">
        <f>BR51/BR60</f>
        <v>0.44446413801252516</v>
      </c>
      <c r="BT51" s="1197">
        <f>53.82</f>
        <v>53.82</v>
      </c>
      <c r="BU51" s="277">
        <f>BT51/BT60</f>
        <v>0.41428681394811784</v>
      </c>
      <c r="BV51" s="294">
        <v>55.63</v>
      </c>
      <c r="BW51" s="866">
        <f>BV51/BV60</f>
        <v>0.42317054617374117</v>
      </c>
      <c r="BX51" s="294">
        <v>54.91</v>
      </c>
      <c r="BY51" s="866">
        <f>BX51/BX60</f>
        <v>0.397552852591949</v>
      </c>
      <c r="BZ51" s="1437">
        <v>58.17</v>
      </c>
      <c r="CA51" s="294"/>
      <c r="CB51" s="866">
        <f>BZ51/BZ60</f>
        <v>0.43332836710369493</v>
      </c>
      <c r="CC51" s="295">
        <f>(CC72*$C$80*$C$86)</f>
        <v>68.547208996524574</v>
      </c>
      <c r="CD51" s="295"/>
      <c r="CE51" s="295"/>
      <c r="CF51" s="295"/>
      <c r="CG51" s="295">
        <f>(CG72*$C$80*$C$86)</f>
        <v>65.885181462678958</v>
      </c>
      <c r="CH51" s="277"/>
      <c r="CI51" s="277"/>
      <c r="CJ51" s="277"/>
      <c r="CK51" s="1188">
        <f>(CK72*$C$80*$C$86)</f>
        <v>56.568085094219306</v>
      </c>
      <c r="CL51" s="295"/>
      <c r="CM51" s="295"/>
      <c r="CN51" s="295">
        <f>(CN72*$C$80*$C$86)</f>
        <v>46.419105121432899</v>
      </c>
      <c r="CO51" s="295"/>
      <c r="CP51" s="295">
        <f>(CP72*$C$80*$C$86)</f>
        <v>52.907797235181583</v>
      </c>
      <c r="CQ51" s="295"/>
      <c r="CR51" s="295"/>
      <c r="CS51" s="295"/>
      <c r="CT51" s="295"/>
      <c r="CU51" s="295"/>
      <c r="CV51" s="295"/>
      <c r="CW51" s="277"/>
      <c r="CX51" s="1188"/>
      <c r="CY51" s="295"/>
      <c r="CZ51" s="295"/>
      <c r="DA51" s="295"/>
      <c r="DB51" s="295"/>
      <c r="DC51" s="295"/>
      <c r="DD51" s="295"/>
      <c r="DE51" s="295"/>
      <c r="DF51" s="295"/>
      <c r="DG51" s="295"/>
      <c r="DH51" s="295"/>
      <c r="DI51" s="277"/>
      <c r="DJ51" s="1188"/>
      <c r="DK51" s="295"/>
      <c r="DL51" s="295"/>
      <c r="DM51" s="295"/>
      <c r="DN51" s="295"/>
      <c r="DO51" s="295"/>
      <c r="DP51" s="295"/>
      <c r="DQ51" s="295"/>
      <c r="DR51" s="295"/>
      <c r="DS51" s="295"/>
      <c r="DT51" s="295"/>
      <c r="DU51" s="295"/>
      <c r="DV51" s="295"/>
      <c r="DW51" s="295"/>
      <c r="DX51" s="295"/>
      <c r="DY51" s="295"/>
      <c r="DZ51" s="295"/>
      <c r="EA51" s="295"/>
    </row>
    <row r="52" spans="1:131" s="659" customFormat="1">
      <c r="A52" s="227"/>
      <c r="B52" s="896">
        <f t="shared" si="176"/>
        <v>-4.7640126091708278E-2</v>
      </c>
      <c r="C52" s="994" t="s">
        <v>873</v>
      </c>
      <c r="D52" s="371">
        <f t="shared" si="177"/>
        <v>-42.48</v>
      </c>
      <c r="E52" s="371">
        <f t="shared" si="178"/>
        <v>-25.150000000000002</v>
      </c>
      <c r="F52" s="371">
        <f t="shared" si="179"/>
        <v>-31.259999999999998</v>
      </c>
      <c r="G52" s="371">
        <f t="shared" si="180"/>
        <v>-14.22</v>
      </c>
      <c r="H52" s="1263">
        <f t="shared" si="181"/>
        <v>-3.8</v>
      </c>
      <c r="I52" s="815">
        <f t="shared" si="182"/>
        <v>0</v>
      </c>
      <c r="J52" s="815"/>
      <c r="K52" s="105"/>
      <c r="L52" s="660"/>
      <c r="M52" s="656"/>
      <c r="N52" s="658">
        <v>-4.63</v>
      </c>
      <c r="O52" s="657">
        <f t="shared" si="183"/>
        <v>-4.1764387515785678E-2</v>
      </c>
      <c r="P52" s="656">
        <v>-6.68</v>
      </c>
      <c r="Q52" s="657">
        <f t="shared" si="184"/>
        <v>-6.6826730692276903E-2</v>
      </c>
      <c r="R52" s="656">
        <v>-7.44</v>
      </c>
      <c r="S52" s="657">
        <f t="shared" si="185"/>
        <v>-6.4293121327341871E-2</v>
      </c>
      <c r="T52" s="656">
        <v>-7.42</v>
      </c>
      <c r="U52" s="657">
        <f t="shared" si="186"/>
        <v>-6.691919191919192E-2</v>
      </c>
      <c r="V52" s="656">
        <v>-7.44</v>
      </c>
      <c r="W52" s="655">
        <v>-4.3899999999999997</v>
      </c>
      <c r="X52" s="1223">
        <v>-0.26</v>
      </c>
      <c r="Y52" s="657">
        <f t="shared" ref="Y52:Y59" si="200">(+W52+X52)/(X$60+W$60)</f>
        <v>-3.5371976266544952E-2</v>
      </c>
      <c r="Z52" s="656">
        <v>-4.22</v>
      </c>
      <c r="AA52" s="657">
        <f t="shared" si="187"/>
        <v>-4.1646106779828281E-2</v>
      </c>
      <c r="AB52" s="656">
        <v>-2.2599999999999998</v>
      </c>
      <c r="AC52" s="657">
        <f t="shared" si="188"/>
        <v>-3.6346091990993881E-2</v>
      </c>
      <c r="AD52" s="656">
        <v>-3.76</v>
      </c>
      <c r="AE52" s="657">
        <f t="shared" si="189"/>
        <v>-3.8919366525204425E-2</v>
      </c>
      <c r="AF52" s="656">
        <v>-4.12</v>
      </c>
      <c r="AG52" s="657">
        <f t="shared" si="190"/>
        <v>-4.1344706472654286E-2</v>
      </c>
      <c r="AH52" s="656">
        <v>-5.24</v>
      </c>
      <c r="AI52" s="657">
        <f t="shared" si="191"/>
        <v>-4.9757857753299779E-2</v>
      </c>
      <c r="AJ52" s="1189">
        <v>-3.88</v>
      </c>
      <c r="AK52" s="657">
        <f t="shared" si="192"/>
        <v>-3.9823462999076263E-2</v>
      </c>
      <c r="AL52" s="656">
        <v>-5.89</v>
      </c>
      <c r="AM52" s="657">
        <f t="shared" si="193"/>
        <v>-7.3855799373040751E-2</v>
      </c>
      <c r="AN52" s="656">
        <v>-4.75</v>
      </c>
      <c r="AO52" s="657">
        <f t="shared" si="194"/>
        <v>-5.4192812321734167E-2</v>
      </c>
      <c r="AP52" s="656">
        <v>-4.13</v>
      </c>
      <c r="AQ52" s="657">
        <f t="shared" si="195"/>
        <v>-4.807356535909673E-2</v>
      </c>
      <c r="AR52" s="656">
        <v>-5.1100000000000003</v>
      </c>
      <c r="AS52" s="657">
        <f t="shared" si="196"/>
        <v>-5.7648916967509026E-2</v>
      </c>
      <c r="AT52" s="656">
        <v>-7.2</v>
      </c>
      <c r="AU52" s="657">
        <f t="shared" ref="AU52:AU57" si="201">AT52/AT$60</f>
        <v>-5.7720057720057727E-2</v>
      </c>
      <c r="AV52" s="1189">
        <v>-5.72</v>
      </c>
      <c r="AW52" s="657">
        <f t="shared" si="197"/>
        <v>-5.5804878048780489E-2</v>
      </c>
      <c r="AX52" s="656">
        <v>-4.3499999999999996</v>
      </c>
      <c r="AY52" s="657">
        <f t="shared" si="198"/>
        <v>-4.0983606557377039E-2</v>
      </c>
      <c r="AZ52" s="656">
        <v>-2.7</v>
      </c>
      <c r="BA52" s="657">
        <f t="shared" si="198"/>
        <v>-2.0914020139426802E-2</v>
      </c>
      <c r="BB52" s="656">
        <v>-2.62</v>
      </c>
      <c r="BC52" s="657">
        <f t="shared" si="199"/>
        <v>-2.0595865104944579E-2</v>
      </c>
      <c r="BD52" s="656">
        <v>-2.97</v>
      </c>
      <c r="BE52" s="657">
        <f t="shared" si="199"/>
        <v>-2.1581165528266243E-2</v>
      </c>
      <c r="BF52" s="656">
        <v>-2.61</v>
      </c>
      <c r="BG52" s="657">
        <f>BF52/BF60</f>
        <v>-1.7767188563648739E-2</v>
      </c>
      <c r="BH52" s="1189">
        <v>-1.64</v>
      </c>
      <c r="BI52" s="657">
        <f>BH52/BH60</f>
        <v>-1.5654830087819777E-2</v>
      </c>
      <c r="BJ52" s="656">
        <v>-1.68</v>
      </c>
      <c r="BK52" s="657">
        <f>BJ52/BJ60</f>
        <v>-1.5601783060921246E-2</v>
      </c>
      <c r="BL52" s="656">
        <v>-1.92</v>
      </c>
      <c r="BM52" s="657">
        <f>BL52/BL60</f>
        <v>-1.5131216013870281E-2</v>
      </c>
      <c r="BN52" s="656">
        <v>-1.88</v>
      </c>
      <c r="BO52" s="657">
        <f>BN52/BN60</f>
        <v>-1.507618283881315E-2</v>
      </c>
      <c r="BP52" s="656">
        <v>0</v>
      </c>
      <c r="BQ52" s="657">
        <f>BP52/BP60</f>
        <v>0</v>
      </c>
      <c r="BR52" s="656">
        <v>0</v>
      </c>
      <c r="BS52" s="657">
        <f>BR52/BR60</f>
        <v>0</v>
      </c>
      <c r="BT52" s="1134">
        <v>0</v>
      </c>
      <c r="BU52" s="657">
        <f>BT52/BT60</f>
        <v>0</v>
      </c>
      <c r="BV52" s="368">
        <v>0</v>
      </c>
      <c r="BW52" s="657">
        <f>BV52/BV60</f>
        <v>0</v>
      </c>
      <c r="BX52" s="368">
        <v>0</v>
      </c>
      <c r="BY52" s="657">
        <f>BX52/BX60</f>
        <v>0</v>
      </c>
      <c r="BZ52" s="660">
        <v>0</v>
      </c>
      <c r="CA52" s="368"/>
      <c r="CB52" s="657">
        <f>BZ52/BZ60</f>
        <v>0</v>
      </c>
      <c r="CC52" s="656">
        <f>CC51*CD52</f>
        <v>0</v>
      </c>
      <c r="CD52" s="1276">
        <f>BZ52/BZ60</f>
        <v>0</v>
      </c>
      <c r="CE52" s="1276"/>
      <c r="CF52" s="1276" t="e">
        <f>CB52/CB60</f>
        <v>#DIV/0!</v>
      </c>
      <c r="CG52" s="656">
        <f>CG51*CH52</f>
        <v>0</v>
      </c>
      <c r="CH52" s="1276">
        <f>CC52/CC60</f>
        <v>0</v>
      </c>
      <c r="CI52" s="1276"/>
      <c r="CJ52" s="1276" t="e">
        <f>CE52/CE60</f>
        <v>#DIV/0!</v>
      </c>
      <c r="CK52" s="1189">
        <f>CK51*CM52</f>
        <v>0</v>
      </c>
      <c r="CL52" s="656"/>
      <c r="CM52" s="657">
        <f>CG52/CG60</f>
        <v>0</v>
      </c>
      <c r="CN52" s="656">
        <f>CN51*CO52</f>
        <v>0</v>
      </c>
      <c r="CO52" s="657">
        <f>CK52/CK60</f>
        <v>0</v>
      </c>
      <c r="CP52" s="656">
        <f>CP51*CQ52</f>
        <v>0</v>
      </c>
      <c r="CQ52" s="1276">
        <f>CN52/CN60</f>
        <v>0</v>
      </c>
      <c r="CR52" s="656"/>
      <c r="CS52" s="656"/>
      <c r="CT52" s="656"/>
      <c r="CU52" s="656"/>
      <c r="CV52" s="656"/>
      <c r="CW52" s="657"/>
      <c r="CX52" s="1189"/>
      <c r="CY52" s="657"/>
      <c r="CZ52" s="656"/>
      <c r="DA52" s="657"/>
      <c r="DB52" s="656"/>
      <c r="DC52" s="656"/>
      <c r="DD52" s="656"/>
      <c r="DE52" s="656"/>
      <c r="DF52" s="656"/>
      <c r="DG52" s="656"/>
      <c r="DH52" s="656"/>
      <c r="DI52" s="657"/>
      <c r="DJ52" s="1189"/>
      <c r="DK52" s="657"/>
      <c r="DL52" s="656"/>
      <c r="DM52" s="657"/>
      <c r="DN52" s="656"/>
      <c r="DO52" s="656"/>
      <c r="DP52" s="656"/>
      <c r="DQ52" s="656"/>
      <c r="DR52" s="656"/>
      <c r="DS52" s="656"/>
      <c r="DT52" s="656"/>
      <c r="DU52" s="656"/>
      <c r="DV52" s="656"/>
      <c r="DW52" s="656"/>
      <c r="DX52" s="656"/>
      <c r="DY52" s="656"/>
      <c r="DZ52" s="656"/>
      <c r="EA52" s="656"/>
    </row>
    <row r="53" spans="1:131" ht="15.75" customHeight="1">
      <c r="B53" s="100">
        <f t="shared" si="176"/>
        <v>0.15560081816622701</v>
      </c>
      <c r="C53" s="995" t="s">
        <v>903</v>
      </c>
      <c r="D53" s="101">
        <f t="shared" si="177"/>
        <v>116.97999999999999</v>
      </c>
      <c r="E53" s="101">
        <f t="shared" si="178"/>
        <v>87.03</v>
      </c>
      <c r="F53" s="101">
        <f t="shared" si="179"/>
        <v>95.24</v>
      </c>
      <c r="G53" s="101">
        <f t="shared" si="180"/>
        <v>111.22</v>
      </c>
      <c r="H53" s="1264">
        <f t="shared" si="181"/>
        <v>142.06</v>
      </c>
      <c r="I53" s="816">
        <f t="shared" si="182"/>
        <v>147.23258463363001</v>
      </c>
      <c r="J53" s="816"/>
      <c r="L53" s="126"/>
      <c r="M53" s="64">
        <f>AVERAGE(N53:AZ53)</f>
        <v>8.2094952694445364</v>
      </c>
      <c r="N53" s="315">
        <v>14.87</v>
      </c>
      <c r="O53" s="129">
        <f t="shared" si="183"/>
        <v>0.13413314089843045</v>
      </c>
      <c r="P53" s="64">
        <v>16.809999999999999</v>
      </c>
      <c r="Q53" s="129">
        <f t="shared" si="184"/>
        <v>0.16816726690676267</v>
      </c>
      <c r="R53" s="64">
        <v>17.54</v>
      </c>
      <c r="S53" s="129">
        <f t="shared" si="185"/>
        <v>0.15157276183892152</v>
      </c>
      <c r="T53" s="64">
        <v>17.489999999999998</v>
      </c>
      <c r="U53" s="129">
        <f t="shared" si="186"/>
        <v>0.15773809523809523</v>
      </c>
      <c r="V53" s="64">
        <v>17.66</v>
      </c>
      <c r="W53" s="126">
        <v>11.09</v>
      </c>
      <c r="X53" s="1224">
        <v>5.0999999999999996</v>
      </c>
      <c r="Y53" s="129">
        <f t="shared" si="200"/>
        <v>0.12315533242050812</v>
      </c>
      <c r="Z53" s="64">
        <v>16.420000000000002</v>
      </c>
      <c r="AA53" s="129">
        <f t="shared" si="187"/>
        <v>0.16204480410539823</v>
      </c>
      <c r="AB53" s="64">
        <v>7.93</v>
      </c>
      <c r="AC53" s="129">
        <f t="shared" si="188"/>
        <v>0.1275329688002573</v>
      </c>
      <c r="AD53" s="64">
        <v>15.47</v>
      </c>
      <c r="AE53" s="129">
        <f t="shared" si="189"/>
        <v>0.16012835110237034</v>
      </c>
      <c r="AF53" s="64">
        <v>15.64</v>
      </c>
      <c r="AG53" s="129">
        <f t="shared" si="190"/>
        <v>0.15694932262920219</v>
      </c>
      <c r="AH53" s="279">
        <f>16.27+0.54</f>
        <v>16.809999999999999</v>
      </c>
      <c r="AI53" s="129">
        <f t="shared" si="191"/>
        <v>0.1596239673345361</v>
      </c>
      <c r="AJ53" s="1198">
        <v>15.53</v>
      </c>
      <c r="AK53" s="129">
        <f t="shared" si="192"/>
        <v>0.15939648978753979</v>
      </c>
      <c r="AL53" s="279">
        <v>15.65</v>
      </c>
      <c r="AM53" s="861">
        <f t="shared" si="193"/>
        <v>0.1962382445141066</v>
      </c>
      <c r="AN53" s="64">
        <v>15.57</v>
      </c>
      <c r="AO53" s="129">
        <f t="shared" si="194"/>
        <v>0.17763833428408443</v>
      </c>
      <c r="AP53" s="64">
        <v>15.33</v>
      </c>
      <c r="AQ53" s="129">
        <f t="shared" si="195"/>
        <v>0.17844255616342686</v>
      </c>
      <c r="AR53" s="279">
        <v>15.73</v>
      </c>
      <c r="AS53" s="129">
        <f t="shared" si="196"/>
        <v>0.17745938628158844</v>
      </c>
      <c r="AT53" s="279">
        <v>16.53</v>
      </c>
      <c r="AU53" s="129">
        <f t="shared" si="201"/>
        <v>0.13251563251563253</v>
      </c>
      <c r="AV53" s="1198">
        <v>15.95</v>
      </c>
      <c r="AW53" s="129">
        <f t="shared" si="197"/>
        <v>0.15560975609756098</v>
      </c>
      <c r="AX53" s="279">
        <v>16.13</v>
      </c>
      <c r="AY53" s="861">
        <f t="shared" si="198"/>
        <v>0.15196909741850384</v>
      </c>
      <c r="AZ53" s="64">
        <v>18.09</v>
      </c>
      <c r="BA53" s="129">
        <f t="shared" si="198"/>
        <v>0.14012393493415956</v>
      </c>
      <c r="BB53" s="64">
        <v>18.010000000000002</v>
      </c>
      <c r="BC53" s="129">
        <f t="shared" si="199"/>
        <v>0.14157692005345493</v>
      </c>
      <c r="BD53" s="279">
        <v>18.48</v>
      </c>
      <c r="BE53" s="129">
        <f t="shared" si="199"/>
        <v>0.13428280773143439</v>
      </c>
      <c r="BF53" s="279">
        <v>20.14</v>
      </c>
      <c r="BG53" s="129">
        <f>BF53/BF60</f>
        <v>0.1371000680735194</v>
      </c>
      <c r="BH53" s="1198">
        <v>18.22</v>
      </c>
      <c r="BI53" s="129">
        <f>BH53/BH60</f>
        <v>0.17392134402443679</v>
      </c>
      <c r="BJ53" s="279">
        <v>18.28</v>
      </c>
      <c r="BK53" s="861">
        <f>BJ53/BJ60</f>
        <v>0.16976225854383359</v>
      </c>
      <c r="BL53" s="279">
        <v>20.74</v>
      </c>
      <c r="BM53" s="861">
        <f>BL53/BL60</f>
        <v>0.16344865631649458</v>
      </c>
      <c r="BN53" s="279">
        <v>20.67</v>
      </c>
      <c r="BO53" s="861">
        <f>BN53/BN60</f>
        <v>0.16575781876503609</v>
      </c>
      <c r="BP53" s="279">
        <v>28.02</v>
      </c>
      <c r="BQ53" s="861">
        <f>BP53/BP60</f>
        <v>0.19191780821917809</v>
      </c>
      <c r="BR53" s="279">
        <v>24.21</v>
      </c>
      <c r="BS53" s="861">
        <f>BR53/BR60</f>
        <v>0.14303438496986887</v>
      </c>
      <c r="BT53" s="1198">
        <v>24.21</v>
      </c>
      <c r="BU53" s="129">
        <f>BT53/BT51</f>
        <v>0.44983277591973247</v>
      </c>
      <c r="BV53" s="279">
        <v>24.21</v>
      </c>
      <c r="BW53" s="861">
        <f>BV53/BV51</f>
        <v>0.43519683623943917</v>
      </c>
      <c r="BX53" s="279">
        <v>24.21</v>
      </c>
      <c r="BY53" s="861">
        <f>BX53/BX51</f>
        <v>0.44090329630304137</v>
      </c>
      <c r="BZ53" s="1438">
        <v>24.21</v>
      </c>
      <c r="CA53" s="279"/>
      <c r="CB53" s="861">
        <f>BZ53/BZ51</f>
        <v>0.41619391438886022</v>
      </c>
      <c r="CC53" s="124">
        <f>CC51*CD53</f>
        <v>28.528931232694859</v>
      </c>
      <c r="CD53" s="565">
        <f>BZ53/BZ51</f>
        <v>0.41619391438886022</v>
      </c>
      <c r="CE53" s="565"/>
      <c r="CF53" s="565">
        <f>CB53/CB51</f>
        <v>0.96045850210693806</v>
      </c>
      <c r="CG53" s="124">
        <f>CG51*CH53</f>
        <v>27.421011573172727</v>
      </c>
      <c r="CH53" s="565">
        <f>CC53/CC51</f>
        <v>0.41619391438886022</v>
      </c>
      <c r="CI53" s="565"/>
      <c r="CJ53" s="565" t="e">
        <f>CE53/CE51</f>
        <v>#DIV/0!</v>
      </c>
      <c r="CK53" s="1184">
        <f>CK51*CM53</f>
        <v>23.543292764845269</v>
      </c>
      <c r="CL53" s="124"/>
      <c r="CM53" s="565">
        <f>CG53/CG51</f>
        <v>0.41619391438886022</v>
      </c>
      <c r="CN53" s="124">
        <f>CN51*CO53</f>
        <v>19.319349062917148</v>
      </c>
      <c r="CO53" s="565">
        <f>CK53/CK51</f>
        <v>0.41619391438886022</v>
      </c>
      <c r="CP53" s="124">
        <f>CP51*CQ53</f>
        <v>22.019903233002339</v>
      </c>
      <c r="CQ53" s="565">
        <f>CN53/CN51</f>
        <v>0.41619391438886022</v>
      </c>
      <c r="CR53" s="124"/>
      <c r="CS53" s="124"/>
      <c r="CT53" s="124"/>
      <c r="CU53" s="124"/>
      <c r="CV53" s="124"/>
      <c r="CW53" s="861"/>
      <c r="CX53" s="1184"/>
      <c r="CY53" s="565"/>
      <c r="CZ53" s="124"/>
      <c r="DA53" s="565"/>
      <c r="DB53" s="124"/>
      <c r="DC53" s="124"/>
      <c r="DD53" s="124"/>
      <c r="DE53" s="124"/>
      <c r="DF53" s="124"/>
      <c r="DG53" s="124"/>
      <c r="DH53" s="124"/>
      <c r="DI53" s="861"/>
      <c r="DJ53" s="1184"/>
      <c r="DK53" s="565"/>
      <c r="DL53" s="124"/>
      <c r="DM53" s="565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</row>
    <row r="54" spans="1:131" s="343" customFormat="1">
      <c r="A54" s="9"/>
      <c r="B54" s="100">
        <f t="shared" si="176"/>
        <v>4.434090133035682E-2</v>
      </c>
      <c r="C54" s="996" t="s">
        <v>875</v>
      </c>
      <c r="D54" s="371">
        <f t="shared" si="177"/>
        <v>64.959999999999994</v>
      </c>
      <c r="E54" s="371">
        <f t="shared" si="178"/>
        <v>0</v>
      </c>
      <c r="F54" s="371">
        <f t="shared" si="179"/>
        <v>32.379999999999995</v>
      </c>
      <c r="G54" s="371">
        <f t="shared" si="180"/>
        <v>67.11</v>
      </c>
      <c r="H54" s="1263">
        <f t="shared" si="181"/>
        <v>129.41</v>
      </c>
      <c r="I54" s="815">
        <f t="shared" si="182"/>
        <v>185.80382180055554</v>
      </c>
      <c r="J54" s="815"/>
      <c r="K54" s="9"/>
      <c r="L54" s="367"/>
      <c r="M54" s="365"/>
      <c r="N54" s="844">
        <v>4.47</v>
      </c>
      <c r="O54" s="366">
        <f t="shared" si="183"/>
        <v>4.0321125744181847E-2</v>
      </c>
      <c r="P54" s="365">
        <v>12.95</v>
      </c>
      <c r="Q54" s="366">
        <f t="shared" si="184"/>
        <v>0.1295518207282913</v>
      </c>
      <c r="R54" s="365">
        <v>16.46</v>
      </c>
      <c r="S54" s="366">
        <f t="shared" si="185"/>
        <v>0.14223988938817836</v>
      </c>
      <c r="T54" s="365">
        <v>13.38</v>
      </c>
      <c r="U54" s="366">
        <f t="shared" si="186"/>
        <v>0.12067099567099568</v>
      </c>
      <c r="V54" s="365">
        <v>17.23</v>
      </c>
      <c r="W54" s="367">
        <v>0.47</v>
      </c>
      <c r="X54" s="1225">
        <v>0</v>
      </c>
      <c r="Y54" s="366">
        <f t="shared" si="200"/>
        <v>3.5752320097368014E-3</v>
      </c>
      <c r="Z54" s="365">
        <v>0</v>
      </c>
      <c r="AA54" s="366">
        <f t="shared" si="187"/>
        <v>0</v>
      </c>
      <c r="AB54" s="365">
        <v>0</v>
      </c>
      <c r="AC54" s="366">
        <f t="shared" si="188"/>
        <v>0</v>
      </c>
      <c r="AD54" s="365">
        <v>0</v>
      </c>
      <c r="AE54" s="366">
        <f t="shared" si="189"/>
        <v>0</v>
      </c>
      <c r="AF54" s="365">
        <v>0</v>
      </c>
      <c r="AG54" s="366">
        <f t="shared" si="190"/>
        <v>0</v>
      </c>
      <c r="AH54" s="368">
        <v>0</v>
      </c>
      <c r="AI54" s="366">
        <f t="shared" si="191"/>
        <v>0</v>
      </c>
      <c r="AJ54" s="1134">
        <v>0</v>
      </c>
      <c r="AK54" s="366">
        <f t="shared" si="192"/>
        <v>0</v>
      </c>
      <c r="AL54" s="368">
        <v>0</v>
      </c>
      <c r="AM54" s="860">
        <f t="shared" si="193"/>
        <v>0</v>
      </c>
      <c r="AN54" s="365">
        <v>0</v>
      </c>
      <c r="AO54" s="366">
        <f t="shared" si="194"/>
        <v>0</v>
      </c>
      <c r="AP54" s="365">
        <v>2.54</v>
      </c>
      <c r="AQ54" s="366">
        <f t="shared" si="195"/>
        <v>2.9565824700267723E-2</v>
      </c>
      <c r="AR54" s="368">
        <v>6.5</v>
      </c>
      <c r="AS54" s="366">
        <f t="shared" si="196"/>
        <v>7.3330324909747294E-2</v>
      </c>
      <c r="AT54" s="368">
        <v>8.69</v>
      </c>
      <c r="AU54" s="366">
        <f t="shared" si="201"/>
        <v>6.9664902998236328E-2</v>
      </c>
      <c r="AV54" s="1134">
        <v>7</v>
      </c>
      <c r="AW54" s="366">
        <f t="shared" si="197"/>
        <v>6.8292682926829273E-2</v>
      </c>
      <c r="AX54" s="368">
        <v>7.65</v>
      </c>
      <c r="AY54" s="860">
        <f t="shared" si="198"/>
        <v>7.2074618428490667E-2</v>
      </c>
      <c r="AZ54" s="365">
        <v>8.52</v>
      </c>
      <c r="BA54" s="366">
        <f t="shared" si="198"/>
        <v>6.5995352439969013E-2</v>
      </c>
      <c r="BB54" s="365">
        <v>9.1</v>
      </c>
      <c r="BC54" s="366">
        <f t="shared" si="199"/>
        <v>7.1535256662212082E-2</v>
      </c>
      <c r="BD54" s="368">
        <v>11.44</v>
      </c>
      <c r="BE54" s="366">
        <f t="shared" si="199"/>
        <v>8.3127452405173663E-2</v>
      </c>
      <c r="BF54" s="368">
        <v>16.68</v>
      </c>
      <c r="BG54" s="366">
        <f>BF54/BF60</f>
        <v>0.11354663036078964</v>
      </c>
      <c r="BH54" s="1134">
        <v>10.59</v>
      </c>
      <c r="BI54" s="366">
        <f>BH54/BH60</f>
        <v>0.10108820160366551</v>
      </c>
      <c r="BJ54" s="368">
        <v>10.78</v>
      </c>
      <c r="BK54" s="860">
        <f>BJ54/BJ60</f>
        <v>0.100111441307578</v>
      </c>
      <c r="BL54" s="368">
        <v>10.23</v>
      </c>
      <c r="BM54" s="860">
        <f>BL54/BL60</f>
        <v>8.0621010323902592E-2</v>
      </c>
      <c r="BN54" s="368">
        <v>9.9499999999999993</v>
      </c>
      <c r="BO54" s="860">
        <f>BN54/BN60</f>
        <v>7.9791499599037682E-2</v>
      </c>
      <c r="BP54" s="368">
        <v>12.64</v>
      </c>
      <c r="BQ54" s="860">
        <f>BP54/BP60</f>
        <v>8.6575342465753435E-2</v>
      </c>
      <c r="BR54" s="368">
        <f>18.97+3.8+12.64</f>
        <v>35.409999999999997</v>
      </c>
      <c r="BS54" s="860">
        <f>BR54/BR60</f>
        <v>0.20920477372090274</v>
      </c>
      <c r="BT54" s="1134">
        <f>13.77+3.8+12.64</f>
        <v>30.21</v>
      </c>
      <c r="BU54" s="366">
        <f>BT54/BT51</f>
        <v>0.56131549609810483</v>
      </c>
      <c r="BV54" s="368">
        <f>14.53+3.8+12.64</f>
        <v>30.97</v>
      </c>
      <c r="BW54" s="860">
        <f>BV54/BV51</f>
        <v>0.55671400323566411</v>
      </c>
      <c r="BX54" s="368">
        <f>13.95+3.84+11.86</f>
        <v>29.65</v>
      </c>
      <c r="BY54" s="860">
        <f>BX54/BX51</f>
        <v>0.53997450373338185</v>
      </c>
      <c r="BZ54" s="660">
        <f>15.03+3.84+11.86</f>
        <v>30.729999999999997</v>
      </c>
      <c r="CA54" s="368"/>
      <c r="CB54" s="860">
        <f>BZ54/BZ51</f>
        <v>0.52827918170878452</v>
      </c>
      <c r="CC54" s="369">
        <f>CC51*CD54</f>
        <v>36.212063477105033</v>
      </c>
      <c r="CD54" s="564">
        <f>BZ54/BZ51</f>
        <v>0.52827918170878452</v>
      </c>
      <c r="CE54" s="564"/>
      <c r="CF54" s="564">
        <f>CB54/CB51</f>
        <v>1.2191197757020324</v>
      </c>
      <c r="CG54" s="369">
        <f>CG51*CH54</f>
        <v>34.805769749838817</v>
      </c>
      <c r="CH54" s="564">
        <f>CC54/CC51</f>
        <v>0.52827918170878452</v>
      </c>
      <c r="CI54" s="564"/>
      <c r="CJ54" s="564" t="e">
        <f>CE54/CE51</f>
        <v>#DIV/0!</v>
      </c>
      <c r="CK54" s="1183">
        <f>CK51*CM54</f>
        <v>29.883741704407065</v>
      </c>
      <c r="CL54" s="369"/>
      <c r="CM54" s="564">
        <f>CG54/CG51</f>
        <v>0.52827918170878452</v>
      </c>
      <c r="CN54" s="369">
        <f>CN51*CO54</f>
        <v>24.522246869204622</v>
      </c>
      <c r="CO54" s="564">
        <f>CK54/CK51</f>
        <v>0.52827918170878452</v>
      </c>
      <c r="CP54" s="369">
        <f>CP51*CQ54</f>
        <v>27.95008782941602</v>
      </c>
      <c r="CQ54" s="564">
        <f>CN54/CN51</f>
        <v>0.52827918170878452</v>
      </c>
      <c r="CR54" s="369"/>
      <c r="CS54" s="369"/>
      <c r="CT54" s="369"/>
      <c r="CU54" s="369"/>
      <c r="CV54" s="369"/>
      <c r="CW54" s="860"/>
      <c r="CX54" s="1183"/>
      <c r="CY54" s="564"/>
      <c r="CZ54" s="369"/>
      <c r="DA54" s="564"/>
      <c r="DB54" s="369"/>
      <c r="DC54" s="369"/>
      <c r="DD54" s="369"/>
      <c r="DE54" s="369"/>
      <c r="DF54" s="369"/>
      <c r="DG54" s="369"/>
      <c r="DH54" s="369"/>
      <c r="DI54" s="860"/>
      <c r="DJ54" s="1183"/>
      <c r="DK54" s="564"/>
      <c r="DL54" s="369"/>
      <c r="DM54" s="564"/>
      <c r="DN54" s="369"/>
      <c r="DO54" s="369"/>
      <c r="DP54" s="369"/>
      <c r="DQ54" s="369"/>
      <c r="DR54" s="369"/>
      <c r="DS54" s="369"/>
      <c r="DT54" s="369"/>
      <c r="DU54" s="369"/>
      <c r="DV54" s="369"/>
      <c r="DW54" s="369"/>
      <c r="DX54" s="369"/>
      <c r="DY54" s="369"/>
      <c r="DZ54" s="369"/>
      <c r="EA54" s="369"/>
    </row>
    <row r="55" spans="1:131">
      <c r="B55" s="100">
        <f t="shared" si="176"/>
        <v>4.3127138258982872E-2</v>
      </c>
      <c r="C55" s="995" t="s">
        <v>876</v>
      </c>
      <c r="D55" s="101">
        <f t="shared" si="177"/>
        <v>104.32</v>
      </c>
      <c r="E55" s="101">
        <f t="shared" si="178"/>
        <v>0</v>
      </c>
      <c r="F55" s="101">
        <f t="shared" si="179"/>
        <v>0</v>
      </c>
      <c r="G55" s="101">
        <f t="shared" si="180"/>
        <v>0</v>
      </c>
      <c r="H55" s="1264">
        <f t="shared" si="181"/>
        <v>1.41</v>
      </c>
      <c r="I55" s="816">
        <f t="shared" si="182"/>
        <v>0</v>
      </c>
      <c r="J55" s="816"/>
      <c r="L55" s="126"/>
      <c r="M55" s="64"/>
      <c r="N55" s="315">
        <v>48.81</v>
      </c>
      <c r="O55" s="129">
        <f t="shared" si="183"/>
        <v>0.44028504419989178</v>
      </c>
      <c r="P55" s="64"/>
      <c r="Q55" s="129">
        <f t="shared" si="184"/>
        <v>0</v>
      </c>
      <c r="R55" s="64"/>
      <c r="S55" s="129">
        <f t="shared" si="185"/>
        <v>0</v>
      </c>
      <c r="T55" s="64"/>
      <c r="U55" s="129">
        <f t="shared" si="186"/>
        <v>0</v>
      </c>
      <c r="V55" s="64"/>
      <c r="W55" s="126"/>
      <c r="X55" s="1224">
        <v>55.51</v>
      </c>
      <c r="Y55" s="129">
        <f t="shared" si="200"/>
        <v>0.42225772097976566</v>
      </c>
      <c r="Z55" s="64">
        <v>0</v>
      </c>
      <c r="AA55" s="129">
        <f t="shared" si="187"/>
        <v>0</v>
      </c>
      <c r="AB55" s="64">
        <v>0</v>
      </c>
      <c r="AC55" s="129">
        <f t="shared" si="188"/>
        <v>0</v>
      </c>
      <c r="AD55" s="64">
        <v>0</v>
      </c>
      <c r="AE55" s="129">
        <f t="shared" si="189"/>
        <v>0</v>
      </c>
      <c r="AF55" s="64">
        <v>0</v>
      </c>
      <c r="AG55" s="129">
        <f t="shared" si="190"/>
        <v>0</v>
      </c>
      <c r="AH55" s="279">
        <v>0</v>
      </c>
      <c r="AI55" s="129">
        <f t="shared" si="191"/>
        <v>0</v>
      </c>
      <c r="AJ55" s="1198">
        <v>0</v>
      </c>
      <c r="AK55" s="129">
        <f t="shared" si="192"/>
        <v>0</v>
      </c>
      <c r="AL55" s="279">
        <v>0</v>
      </c>
      <c r="AM55" s="861">
        <f t="shared" si="193"/>
        <v>0</v>
      </c>
      <c r="AN55" s="64">
        <v>0</v>
      </c>
      <c r="AO55" s="129">
        <f t="shared" si="194"/>
        <v>0</v>
      </c>
      <c r="AP55" s="64">
        <v>0</v>
      </c>
      <c r="AQ55" s="129">
        <f t="shared" si="195"/>
        <v>0</v>
      </c>
      <c r="AR55" s="279">
        <v>0</v>
      </c>
      <c r="AS55" s="129">
        <f t="shared" si="196"/>
        <v>0</v>
      </c>
      <c r="AT55" s="279">
        <v>0</v>
      </c>
      <c r="AU55" s="129">
        <f t="shared" si="201"/>
        <v>0</v>
      </c>
      <c r="AV55" s="1198">
        <v>0</v>
      </c>
      <c r="AW55" s="129">
        <f t="shared" si="197"/>
        <v>0</v>
      </c>
      <c r="AX55" s="279">
        <v>0</v>
      </c>
      <c r="AY55" s="861">
        <f t="shared" si="198"/>
        <v>0</v>
      </c>
      <c r="AZ55" s="64">
        <v>0</v>
      </c>
      <c r="BA55" s="129">
        <f t="shared" si="198"/>
        <v>0</v>
      </c>
      <c r="BB55" s="64">
        <v>0</v>
      </c>
      <c r="BC55" s="129">
        <f t="shared" si="199"/>
        <v>0</v>
      </c>
      <c r="BD55" s="279">
        <v>0</v>
      </c>
      <c r="BE55" s="129">
        <f t="shared" si="199"/>
        <v>0</v>
      </c>
      <c r="BF55" s="279">
        <v>0</v>
      </c>
      <c r="BG55" s="129">
        <f>BF55/BF60</f>
        <v>0</v>
      </c>
      <c r="BH55" s="1198">
        <v>0</v>
      </c>
      <c r="BI55" s="129">
        <f>BH55/BH60</f>
        <v>0</v>
      </c>
      <c r="BJ55" s="279">
        <v>0</v>
      </c>
      <c r="BK55" s="861">
        <f>BJ55/BJ60</f>
        <v>0</v>
      </c>
      <c r="BL55" s="279">
        <v>0</v>
      </c>
      <c r="BM55" s="861">
        <f>BL55/BL60</f>
        <v>0</v>
      </c>
      <c r="BN55" s="279">
        <v>0</v>
      </c>
      <c r="BO55" s="861">
        <f>BN55/BN60</f>
        <v>0</v>
      </c>
      <c r="BP55" s="279">
        <v>0</v>
      </c>
      <c r="BQ55" s="861">
        <f>BP55/BP60</f>
        <v>0</v>
      </c>
      <c r="BR55" s="279">
        <v>0</v>
      </c>
      <c r="BS55" s="861">
        <f>BR55/BR60</f>
        <v>0</v>
      </c>
      <c r="BT55" s="1198">
        <v>1.41</v>
      </c>
      <c r="BU55" s="129">
        <f>BT55/BT51</f>
        <v>2.61984392419175E-2</v>
      </c>
      <c r="BV55" s="279">
        <v>0</v>
      </c>
      <c r="BW55" s="861">
        <f>BV55/BV51</f>
        <v>0</v>
      </c>
      <c r="BX55" s="279">
        <v>0</v>
      </c>
      <c r="BY55" s="861">
        <f>BX55/BX51</f>
        <v>0</v>
      </c>
      <c r="BZ55" s="1438">
        <v>0</v>
      </c>
      <c r="CA55" s="279"/>
      <c r="CB55" s="861">
        <f>BZ55/BZ51</f>
        <v>0</v>
      </c>
      <c r="CC55" s="124">
        <f>CC51*CD55</f>
        <v>0</v>
      </c>
      <c r="CD55" s="565">
        <f>BZ55/BZ51</f>
        <v>0</v>
      </c>
      <c r="CE55" s="565"/>
      <c r="CF55" s="565">
        <f>CB55/CB51</f>
        <v>0</v>
      </c>
      <c r="CG55" s="124">
        <f>CG51*CH55</f>
        <v>0</v>
      </c>
      <c r="CH55" s="565">
        <f>CC55/CC51</f>
        <v>0</v>
      </c>
      <c r="CI55" s="565"/>
      <c r="CJ55" s="565" t="e">
        <f>CE55/CE51</f>
        <v>#DIV/0!</v>
      </c>
      <c r="CK55" s="1184">
        <f>CK51*CM55</f>
        <v>0</v>
      </c>
      <c r="CL55" s="124"/>
      <c r="CM55" s="565">
        <f>CG55/CG51</f>
        <v>0</v>
      </c>
      <c r="CN55" s="124">
        <f>CN51*CO55</f>
        <v>0</v>
      </c>
      <c r="CO55" s="565">
        <f>CK55/CK51</f>
        <v>0</v>
      </c>
      <c r="CP55" s="124">
        <f>CP51*CQ55</f>
        <v>0</v>
      </c>
      <c r="CQ55" s="565">
        <f>CN55/CN51</f>
        <v>0</v>
      </c>
      <c r="CR55" s="124"/>
      <c r="CS55" s="124"/>
      <c r="CT55" s="124"/>
      <c r="CU55" s="124"/>
      <c r="CV55" s="124"/>
      <c r="CW55" s="861"/>
      <c r="CX55" s="1184"/>
      <c r="CY55" s="565"/>
      <c r="CZ55" s="124"/>
      <c r="DA55" s="565"/>
      <c r="DB55" s="124"/>
      <c r="DC55" s="124"/>
      <c r="DD55" s="124"/>
      <c r="DE55" s="124"/>
      <c r="DF55" s="124"/>
      <c r="DG55" s="124"/>
      <c r="DH55" s="124"/>
      <c r="DI55" s="861"/>
      <c r="DJ55" s="1184"/>
      <c r="DK55" s="565"/>
      <c r="DL55" s="124"/>
      <c r="DM55" s="565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</row>
    <row r="56" spans="1:131" s="343" customFormat="1">
      <c r="A56" s="9"/>
      <c r="B56" s="100">
        <f t="shared" si="176"/>
        <v>3.9378497041736103E-3</v>
      </c>
      <c r="C56" s="996" t="s">
        <v>877</v>
      </c>
      <c r="D56" s="371">
        <f t="shared" si="177"/>
        <v>14.91</v>
      </c>
      <c r="E56" s="371">
        <f t="shared" si="178"/>
        <v>0.02</v>
      </c>
      <c r="F56" s="371">
        <f t="shared" si="179"/>
        <v>0</v>
      </c>
      <c r="G56" s="371">
        <f t="shared" si="180"/>
        <v>3.3600000000000003</v>
      </c>
      <c r="H56" s="1263">
        <f t="shared" si="181"/>
        <v>4.49</v>
      </c>
      <c r="I56" s="815">
        <f t="shared" si="182"/>
        <v>0.43</v>
      </c>
      <c r="J56" s="815"/>
      <c r="K56" s="9"/>
      <c r="L56" s="367"/>
      <c r="M56" s="365"/>
      <c r="N56" s="844">
        <v>0</v>
      </c>
      <c r="O56" s="366">
        <f t="shared" si="183"/>
        <v>0</v>
      </c>
      <c r="P56" s="365">
        <v>0.94</v>
      </c>
      <c r="Q56" s="366">
        <f t="shared" si="184"/>
        <v>9.4037615046018395E-3</v>
      </c>
      <c r="R56" s="365">
        <v>1.9</v>
      </c>
      <c r="S56" s="366">
        <f t="shared" si="185"/>
        <v>1.6418942274455582E-2</v>
      </c>
      <c r="T56" s="365">
        <v>1.97</v>
      </c>
      <c r="U56" s="366">
        <f t="shared" si="186"/>
        <v>1.7766955266955268E-2</v>
      </c>
      <c r="V56" s="365">
        <v>5.54</v>
      </c>
      <c r="W56" s="367">
        <v>4.49</v>
      </c>
      <c r="X56" s="1225">
        <v>0</v>
      </c>
      <c r="Y56" s="366">
        <f t="shared" si="200"/>
        <v>3.4154876007911152E-2</v>
      </c>
      <c r="Z56" s="365">
        <v>7.0000000000000007E-2</v>
      </c>
      <c r="AA56" s="366">
        <f t="shared" si="187"/>
        <v>6.9081219776966356E-4</v>
      </c>
      <c r="AB56" s="365">
        <v>0.02</v>
      </c>
      <c r="AC56" s="366">
        <f t="shared" si="188"/>
        <v>3.2164683177870698E-4</v>
      </c>
      <c r="AD56" s="365"/>
      <c r="AE56" s="366">
        <f t="shared" si="189"/>
        <v>0</v>
      </c>
      <c r="AF56" s="365"/>
      <c r="AG56" s="366">
        <f t="shared" si="190"/>
        <v>0</v>
      </c>
      <c r="AH56" s="368">
        <v>0</v>
      </c>
      <c r="AI56" s="366">
        <f t="shared" si="191"/>
        <v>0</v>
      </c>
      <c r="AJ56" s="1134">
        <v>0</v>
      </c>
      <c r="AK56" s="366">
        <f t="shared" si="192"/>
        <v>0</v>
      </c>
      <c r="AL56" s="368">
        <v>0</v>
      </c>
      <c r="AM56" s="860">
        <f t="shared" si="193"/>
        <v>0</v>
      </c>
      <c r="AN56" s="365">
        <v>0</v>
      </c>
      <c r="AO56" s="366">
        <f t="shared" si="194"/>
        <v>0</v>
      </c>
      <c r="AP56" s="365">
        <v>0</v>
      </c>
      <c r="AQ56" s="366">
        <f t="shared" si="195"/>
        <v>0</v>
      </c>
      <c r="AR56" s="368">
        <v>0</v>
      </c>
      <c r="AS56" s="366">
        <f t="shared" si="196"/>
        <v>0</v>
      </c>
      <c r="AT56" s="368">
        <v>0</v>
      </c>
      <c r="AU56" s="366">
        <f t="shared" si="201"/>
        <v>0</v>
      </c>
      <c r="AV56" s="1134">
        <v>0</v>
      </c>
      <c r="AW56" s="366">
        <f t="shared" si="197"/>
        <v>0</v>
      </c>
      <c r="AX56" s="368">
        <v>0</v>
      </c>
      <c r="AY56" s="860">
        <f t="shared" si="198"/>
        <v>0</v>
      </c>
      <c r="AZ56" s="365">
        <v>0</v>
      </c>
      <c r="BA56" s="366">
        <f t="shared" si="198"/>
        <v>0</v>
      </c>
      <c r="BB56" s="365">
        <v>0</v>
      </c>
      <c r="BC56" s="366">
        <f t="shared" si="199"/>
        <v>0</v>
      </c>
      <c r="BD56" s="368">
        <v>0.27</v>
      </c>
      <c r="BE56" s="366">
        <f t="shared" si="199"/>
        <v>1.9619241389332944E-3</v>
      </c>
      <c r="BF56" s="368">
        <v>2.91</v>
      </c>
      <c r="BG56" s="366">
        <f>BF56/BF60</f>
        <v>1.9809394145677332E-2</v>
      </c>
      <c r="BH56" s="1134">
        <v>0</v>
      </c>
      <c r="BI56" s="366">
        <f>BH56/BH60</f>
        <v>0</v>
      </c>
      <c r="BJ56" s="368">
        <v>0.18</v>
      </c>
      <c r="BK56" s="860">
        <f>BJ56/BJ60</f>
        <v>1.6716196136701336E-3</v>
      </c>
      <c r="BL56" s="368">
        <v>0.61</v>
      </c>
      <c r="BM56" s="860">
        <f>BL56/BL60</f>
        <v>4.8073134210733703E-3</v>
      </c>
      <c r="BN56" s="368">
        <v>0.27</v>
      </c>
      <c r="BO56" s="860">
        <f>BN56/BN60</f>
        <v>2.165196471531676E-3</v>
      </c>
      <c r="BP56" s="368">
        <v>3.09</v>
      </c>
      <c r="BQ56" s="860">
        <f>BP56/BP60</f>
        <v>2.1164383561643834E-2</v>
      </c>
      <c r="BR56" s="368">
        <v>0</v>
      </c>
      <c r="BS56" s="860">
        <f>BR56/BR60</f>
        <v>0</v>
      </c>
      <c r="BT56" s="1134">
        <v>0</v>
      </c>
      <c r="BU56" s="366">
        <f>BT56/BT51</f>
        <v>0</v>
      </c>
      <c r="BV56" s="368">
        <v>0.52</v>
      </c>
      <c r="BW56" s="860">
        <f>BV56/BV51</f>
        <v>9.3474743843250038E-3</v>
      </c>
      <c r="BX56" s="368">
        <v>0.43</v>
      </c>
      <c r="BY56" s="860">
        <f>BX56/BX51</f>
        <v>7.8309961755600073E-3</v>
      </c>
      <c r="BZ56" s="660">
        <v>0</v>
      </c>
      <c r="CA56" s="368"/>
      <c r="CB56" s="860">
        <f>BZ56/BZ51</f>
        <v>0</v>
      </c>
      <c r="CC56" s="369">
        <f>CC51*CD56</f>
        <v>0</v>
      </c>
      <c r="CD56" s="564">
        <f>BZ56/BZ51</f>
        <v>0</v>
      </c>
      <c r="CE56" s="564"/>
      <c r="CF56" s="564">
        <f>CB56/CB51</f>
        <v>0</v>
      </c>
      <c r="CG56" s="369">
        <f>CG51*CH56</f>
        <v>0</v>
      </c>
      <c r="CH56" s="564">
        <f>CC56/CC51</f>
        <v>0</v>
      </c>
      <c r="CI56" s="564"/>
      <c r="CJ56" s="564" t="e">
        <f>CE56/CE51</f>
        <v>#DIV/0!</v>
      </c>
      <c r="CK56" s="1183">
        <f>CK51*CM56</f>
        <v>0</v>
      </c>
      <c r="CL56" s="369"/>
      <c r="CM56" s="564">
        <f>CG56/CG51</f>
        <v>0</v>
      </c>
      <c r="CN56" s="369">
        <f>CN51*CO56</f>
        <v>0</v>
      </c>
      <c r="CO56" s="564">
        <f>CK56/CK51</f>
        <v>0</v>
      </c>
      <c r="CP56" s="369">
        <f>CP51*CQ56</f>
        <v>0</v>
      </c>
      <c r="CQ56" s="564">
        <f>CN56/CN51</f>
        <v>0</v>
      </c>
      <c r="CR56" s="369"/>
      <c r="CS56" s="369"/>
      <c r="CT56" s="369"/>
      <c r="CU56" s="369"/>
      <c r="CV56" s="369"/>
      <c r="CW56" s="860"/>
      <c r="CX56" s="1183"/>
      <c r="CY56" s="564"/>
      <c r="CZ56" s="369"/>
      <c r="DA56" s="564"/>
      <c r="DB56" s="369"/>
      <c r="DC56" s="369"/>
      <c r="DD56" s="369"/>
      <c r="DE56" s="369"/>
      <c r="DF56" s="369"/>
      <c r="DG56" s="369"/>
      <c r="DH56" s="369"/>
      <c r="DI56" s="860"/>
      <c r="DJ56" s="1183"/>
      <c r="DK56" s="564"/>
      <c r="DL56" s="369"/>
      <c r="DM56" s="564"/>
      <c r="DN56" s="369"/>
      <c r="DO56" s="369"/>
      <c r="DP56" s="369"/>
      <c r="DQ56" s="369"/>
      <c r="DR56" s="369"/>
      <c r="DS56" s="369"/>
      <c r="DT56" s="369"/>
      <c r="DU56" s="369"/>
      <c r="DV56" s="369"/>
      <c r="DW56" s="369"/>
      <c r="DX56" s="369"/>
      <c r="DY56" s="369"/>
      <c r="DZ56" s="369"/>
      <c r="EA56" s="369"/>
    </row>
    <row r="57" spans="1:131">
      <c r="B57" s="100">
        <f t="shared" si="176"/>
        <v>7.8232214187857155E-2</v>
      </c>
      <c r="C57" s="997" t="s">
        <v>878</v>
      </c>
      <c r="D57" s="101">
        <f t="shared" si="177"/>
        <v>63.53</v>
      </c>
      <c r="E57" s="101">
        <f t="shared" si="178"/>
        <v>41.82</v>
      </c>
      <c r="F57" s="101">
        <f t="shared" si="179"/>
        <v>45.32</v>
      </c>
      <c r="G57" s="101">
        <f t="shared" si="180"/>
        <v>61.93</v>
      </c>
      <c r="H57" s="1264">
        <f t="shared" si="181"/>
        <v>70.040000000000006</v>
      </c>
      <c r="I57" s="816">
        <f t="shared" si="182"/>
        <v>72.558329269142178</v>
      </c>
      <c r="J57" s="816"/>
      <c r="L57" s="298"/>
      <c r="M57" s="296"/>
      <c r="N57" s="845">
        <v>9.26</v>
      </c>
      <c r="O57" s="297">
        <f t="shared" si="183"/>
        <v>8.3528775031571356E-2</v>
      </c>
      <c r="P57" s="296">
        <v>7.45</v>
      </c>
      <c r="Q57" s="297">
        <f t="shared" si="184"/>
        <v>7.4529811924769901E-2</v>
      </c>
      <c r="R57" s="296">
        <v>8.8800000000000008</v>
      </c>
      <c r="S57" s="297">
        <f t="shared" si="185"/>
        <v>7.6736951261666103E-2</v>
      </c>
      <c r="T57" s="296">
        <v>8.44</v>
      </c>
      <c r="U57" s="297">
        <f t="shared" si="186"/>
        <v>7.6118326118326113E-2</v>
      </c>
      <c r="V57" s="296">
        <v>9.16</v>
      </c>
      <c r="W57" s="298">
        <v>4.3899999999999997</v>
      </c>
      <c r="X57" s="1226">
        <v>7.56</v>
      </c>
      <c r="Y57" s="297">
        <f t="shared" si="200"/>
        <v>9.0902175566712304E-2</v>
      </c>
      <c r="Z57" s="296">
        <v>8.39</v>
      </c>
      <c r="AA57" s="297">
        <f t="shared" si="187"/>
        <v>8.2798776275535391E-2</v>
      </c>
      <c r="AB57" s="296">
        <v>4.0199999999999996</v>
      </c>
      <c r="AC57" s="297">
        <f t="shared" si="188"/>
        <v>6.465101318752009E-2</v>
      </c>
      <c r="AD57" s="296">
        <v>7.15</v>
      </c>
      <c r="AE57" s="297">
        <f t="shared" si="189"/>
        <v>7.4008901770003105E-2</v>
      </c>
      <c r="AF57" s="296">
        <v>7.42</v>
      </c>
      <c r="AG57" s="297">
        <f t="shared" si="190"/>
        <v>7.4460612142498744E-2</v>
      </c>
      <c r="AH57" s="299">
        <v>8.76</v>
      </c>
      <c r="AI57" s="297">
        <f t="shared" si="191"/>
        <v>8.3182983572310312E-2</v>
      </c>
      <c r="AJ57" s="1199">
        <v>7.22</v>
      </c>
      <c r="AK57" s="297">
        <f t="shared" si="192"/>
        <v>7.4104485271476964E-2</v>
      </c>
      <c r="AL57" s="299">
        <v>7.25</v>
      </c>
      <c r="AM57" s="862">
        <f t="shared" si="193"/>
        <v>9.0909090909090912E-2</v>
      </c>
      <c r="AN57" s="296">
        <v>6.33</v>
      </c>
      <c r="AO57" s="297">
        <f t="shared" si="194"/>
        <v>7.2219053051911009E-2</v>
      </c>
      <c r="AP57" s="296">
        <v>6.17</v>
      </c>
      <c r="AQ57" s="297">
        <f t="shared" si="195"/>
        <v>7.1819345827028286E-2</v>
      </c>
      <c r="AR57" s="299">
        <v>7.24</v>
      </c>
      <c r="AS57" s="297">
        <f t="shared" si="196"/>
        <v>8.1678700361010825E-2</v>
      </c>
      <c r="AT57" s="299">
        <v>8.89</v>
      </c>
      <c r="AU57" s="297">
        <f t="shared" si="201"/>
        <v>7.126823793490461E-2</v>
      </c>
      <c r="AV57" s="1199">
        <v>7.68</v>
      </c>
      <c r="AW57" s="297">
        <f t="shared" si="197"/>
        <v>7.492682926829268E-2</v>
      </c>
      <c r="AX57" s="299">
        <v>9.01</v>
      </c>
      <c r="AY57" s="862">
        <f t="shared" si="198"/>
        <v>8.4887883926889007E-2</v>
      </c>
      <c r="AZ57" s="296">
        <v>10.46</v>
      </c>
      <c r="BA57" s="297">
        <f t="shared" si="198"/>
        <v>8.1022463206816428E-2</v>
      </c>
      <c r="BB57" s="296">
        <v>10.29</v>
      </c>
      <c r="BC57" s="297">
        <f t="shared" si="199"/>
        <v>8.0889867148809039E-2</v>
      </c>
      <c r="BD57" s="299">
        <v>11.24</v>
      </c>
      <c r="BE57" s="297">
        <f t="shared" si="199"/>
        <v>8.1674175265223081E-2</v>
      </c>
      <c r="BF57" s="299">
        <v>12.08</v>
      </c>
      <c r="BG57" s="297">
        <f>BF57/BF60</f>
        <v>8.2232811436351264E-2</v>
      </c>
      <c r="BH57" s="1199">
        <v>8.89</v>
      </c>
      <c r="BI57" s="297">
        <f>BH57/BH60</f>
        <v>8.4860633829705989E-2</v>
      </c>
      <c r="BJ57" s="299">
        <v>8.9700000000000006</v>
      </c>
      <c r="BK57" s="862">
        <f>BJ57/BJ60</f>
        <v>8.330237741456166E-2</v>
      </c>
      <c r="BL57" s="299">
        <v>9.9</v>
      </c>
      <c r="BM57" s="862">
        <f>BL57/BL60</f>
        <v>7.8020332571518636E-2</v>
      </c>
      <c r="BN57" s="299">
        <v>9.6999999999999993</v>
      </c>
      <c r="BO57" s="862">
        <f>BN57/BN60</f>
        <v>7.7786688051323175E-2</v>
      </c>
      <c r="BP57" s="299">
        <v>11.64</v>
      </c>
      <c r="BQ57" s="862">
        <f>BP57/BP60</f>
        <v>7.9726027397260271E-2</v>
      </c>
      <c r="BR57" s="299">
        <v>16.41</v>
      </c>
      <c r="BS57" s="862">
        <f>BR57/BR60</f>
        <v>9.6951435661113083E-2</v>
      </c>
      <c r="BT57" s="1199">
        <v>11.26</v>
      </c>
      <c r="BU57" s="297">
        <f>BT57/BT51</f>
        <v>0.20921590486807878</v>
      </c>
      <c r="BV57" s="299">
        <v>11.13</v>
      </c>
      <c r="BW57" s="862">
        <f>BV57/BV51</f>
        <v>0.20007190364911021</v>
      </c>
      <c r="BX57" s="299">
        <v>10.92</v>
      </c>
      <c r="BY57" s="862">
        <f>BX57/BX51</f>
        <v>0.19887087962119834</v>
      </c>
      <c r="BZ57" s="1439">
        <v>12.13</v>
      </c>
      <c r="CA57" s="299"/>
      <c r="CB57" s="862">
        <f>BZ57/BZ51</f>
        <v>0.20852673199243596</v>
      </c>
      <c r="CC57" s="300">
        <f>CC51*CD57</f>
        <v>14.293925479247775</v>
      </c>
      <c r="CD57" s="301">
        <f>BZ57/BZ51</f>
        <v>0.20852673199243596</v>
      </c>
      <c r="CE57" s="301"/>
      <c r="CF57" s="301">
        <f>CB57/CB51</f>
        <v>0.48122105041541341</v>
      </c>
      <c r="CG57" s="300">
        <f>CG51*CH57</f>
        <v>13.738821577141065</v>
      </c>
      <c r="CH57" s="301">
        <f>CC57/CC51</f>
        <v>0.20852673199243596</v>
      </c>
      <c r="CI57" s="301"/>
      <c r="CJ57" s="301" t="e">
        <f>CE57/CE51</f>
        <v>#DIV/0!</v>
      </c>
      <c r="CK57" s="1190">
        <f>CK51*CM57</f>
        <v>11.795957919767581</v>
      </c>
      <c r="CL57" s="300"/>
      <c r="CM57" s="301">
        <f>CG57/CG51</f>
        <v>0.20852673199243596</v>
      </c>
      <c r="CN57" s="300">
        <f>CN51*CO57</f>
        <v>9.6796242929857499</v>
      </c>
      <c r="CO57" s="301">
        <f>CK57/CK51</f>
        <v>0.20852673199243596</v>
      </c>
      <c r="CP57" s="300">
        <f>CP51*CQ57</f>
        <v>11.032690054370855</v>
      </c>
      <c r="CQ57" s="301">
        <f>CN57/CN51</f>
        <v>0.20852673199243596</v>
      </c>
      <c r="CR57" s="300"/>
      <c r="CS57" s="300"/>
      <c r="CT57" s="300"/>
      <c r="CU57" s="300"/>
      <c r="CV57" s="300"/>
      <c r="CW57" s="862"/>
      <c r="CX57" s="1190"/>
      <c r="CY57" s="301"/>
      <c r="CZ57" s="300"/>
      <c r="DA57" s="301"/>
      <c r="DB57" s="300"/>
      <c r="DC57" s="300"/>
      <c r="DD57" s="300"/>
      <c r="DE57" s="300"/>
      <c r="DF57" s="300"/>
      <c r="DG57" s="300"/>
      <c r="DH57" s="300"/>
      <c r="DI57" s="862"/>
      <c r="DJ57" s="1190"/>
      <c r="DK57" s="301"/>
      <c r="DL57" s="300"/>
      <c r="DM57" s="301"/>
      <c r="DN57" s="300"/>
      <c r="DO57" s="300"/>
      <c r="DP57" s="300"/>
      <c r="DQ57" s="300"/>
      <c r="DR57" s="300"/>
      <c r="DS57" s="300"/>
      <c r="DT57" s="300"/>
      <c r="DU57" s="300"/>
      <c r="DV57" s="300"/>
      <c r="DW57" s="300"/>
      <c r="DX57" s="300"/>
      <c r="DY57" s="300"/>
      <c r="DZ57" s="300"/>
      <c r="EA57" s="300"/>
    </row>
    <row r="58" spans="1:131" s="375" customFormat="1">
      <c r="A58" s="9"/>
      <c r="B58" s="897"/>
      <c r="C58" s="998" t="s">
        <v>879</v>
      </c>
      <c r="D58" s="376">
        <f>AVERAGE(N58,P58,R58,T58,V58,W58,X58,Z58)</f>
        <v>1.3948392321697329</v>
      </c>
      <c r="E58" s="376">
        <f>AVERAGE(AB58,AD58,AF58,AH58,AJ58,AL58)</f>
        <v>0.36179252932822714</v>
      </c>
      <c r="F58" s="376">
        <f>AVERAGE(AN58,AP58,AR58,AT58,AV58,AX58)</f>
        <v>0.48507651230365806</v>
      </c>
      <c r="G58" s="376">
        <f>AVERAGE(AZ58,BB58,BD58,BF58,BH58,BJ58)</f>
        <v>0.53562467817588089</v>
      </c>
      <c r="H58" s="1265">
        <f>AVERAGE(BL58,BN58,BP58,BR58,BT58,BV58)</f>
        <v>0.89355371040621712</v>
      </c>
      <c r="I58" s="817">
        <f>AVERAGE(BX58,BZ58,CC58,CG58,CK58,CN58)</f>
        <v>1.1587631360472639</v>
      </c>
      <c r="J58" s="1058"/>
      <c r="K58" s="9"/>
      <c r="L58" s="377"/>
      <c r="M58" s="378"/>
      <c r="N58" s="846">
        <f>SUM(N53:N57)/(N51)</f>
        <v>2.661966987620358</v>
      </c>
      <c r="O58" s="386"/>
      <c r="P58" s="386">
        <f>SUM(P53:P57)/(P51)</f>
        <v>0.7555951673598732</v>
      </c>
      <c r="Q58" s="386"/>
      <c r="R58" s="386">
        <f>SUM(R53:R57)/(R51)</f>
        <v>0.74163630341172571</v>
      </c>
      <c r="S58" s="386"/>
      <c r="T58" s="386">
        <f>SUM(T53:T57)/(T51)</f>
        <v>0.69942392409352749</v>
      </c>
      <c r="U58" s="386"/>
      <c r="V58" s="386">
        <f>SUM(V53:V57)/(V51)</f>
        <v>0.84624573378839596</v>
      </c>
      <c r="W58" s="387">
        <f>SUM(W53:W57)/(W51)</f>
        <v>0.63360198388096722</v>
      </c>
      <c r="X58" s="1227">
        <f>SUM(X53:X57)/(X51)</f>
        <v>4.4730971128608923</v>
      </c>
      <c r="Y58" s="386"/>
      <c r="Z58" s="386">
        <f>SUM(Z53:Z57)/(Z51)</f>
        <v>0.34714664434212367</v>
      </c>
      <c r="AA58" s="386"/>
      <c r="AB58" s="386">
        <f>SUM(AB53:AB57)/(AB51)</f>
        <v>0.34725848563968664</v>
      </c>
      <c r="AC58" s="386"/>
      <c r="AD58" s="386">
        <f>SUM(AD53:AD57)/(AD51)</f>
        <v>0.37857740585774058</v>
      </c>
      <c r="AE58" s="386"/>
      <c r="AF58" s="386">
        <f>SUM(AF53:AF57)/(AF51)</f>
        <v>0.36772444586190406</v>
      </c>
      <c r="AG58" s="386"/>
      <c r="AH58" s="388">
        <f>SUM(AH53:AH57)/(AH51)</f>
        <v>0.33653593050802844</v>
      </c>
      <c r="AI58" s="386"/>
      <c r="AJ58" s="1200">
        <f>SUM(AJ53:AJ57)/(AJ51)</f>
        <v>0.37566050198150591</v>
      </c>
      <c r="AK58" s="386"/>
      <c r="AL58" s="388">
        <f>SUM(AL53:AL57)/(AL51)</f>
        <v>0.36499840612049728</v>
      </c>
      <c r="AM58" s="388"/>
      <c r="AN58" s="388">
        <f>SUM(AN53:AN57)/(AN51)</f>
        <v>0.41714285714285709</v>
      </c>
      <c r="AO58" s="386"/>
      <c r="AP58" s="388">
        <f>SUM(AP53:AP57)/(AP51)</f>
        <v>0.50083333333333335</v>
      </c>
      <c r="AQ58" s="386"/>
      <c r="AR58" s="388">
        <f>SUM(AR53:AR57)/(AR51)</f>
        <v>0.53310419681620835</v>
      </c>
      <c r="AS58" s="386"/>
      <c r="AT58" s="388">
        <f>SUM(AT53:AT57)/(AT51)</f>
        <v>0.48157560355781448</v>
      </c>
      <c r="AU58" s="386"/>
      <c r="AV58" s="1200">
        <f>SUM(AV53:AV57)/(AV51)</f>
        <v>0.51401241819097154</v>
      </c>
      <c r="AW58" s="386"/>
      <c r="AX58" s="388">
        <f>SUM(AX53:AX57)/(AX51)</f>
        <v>0.46379066478076375</v>
      </c>
      <c r="AY58" s="388"/>
      <c r="AZ58" s="388">
        <f>SUM(AZ53:AZ57)/(AZ51)</f>
        <v>0.45918493744580702</v>
      </c>
      <c r="BA58" s="386"/>
      <c r="BB58" s="388">
        <f>SUM(BB53:BB57)/(BB51)</f>
        <v>0.4768583450210378</v>
      </c>
      <c r="BC58" s="386"/>
      <c r="BD58" s="388">
        <f>SUM(BD53:BD57)/(BD51)</f>
        <v>0.48649600751526539</v>
      </c>
      <c r="BE58" s="386"/>
      <c r="BF58" s="388">
        <f>SUM(BF53:BF57)/(BF51)</f>
        <v>0.61899641577060938</v>
      </c>
      <c r="BG58" s="386"/>
      <c r="BH58" s="1200">
        <f>SUM(BH52:BH57)/(BH51)</f>
        <v>0.58444084278768238</v>
      </c>
      <c r="BI58" s="386"/>
      <c r="BJ58" s="388">
        <f>SUM(BJ52:BJ57)/(BJ51)</f>
        <v>0.58777152051488335</v>
      </c>
      <c r="BK58" s="388"/>
      <c r="BL58" s="388">
        <f>SUM(BL52:BL57)/(BL51)</f>
        <v>0.57060435597865289</v>
      </c>
      <c r="BM58" s="388"/>
      <c r="BN58" s="388">
        <f>SUM(BN52:BN57)/(BN51)</f>
        <v>0.56934843359317555</v>
      </c>
      <c r="BO58" s="388"/>
      <c r="BP58" s="388">
        <f>SUM(BP52:BP57)/(BP51)</f>
        <v>0.76284258366616164</v>
      </c>
      <c r="BQ58" s="388"/>
      <c r="BR58" s="388">
        <f>SUM(BR52:BR57)/(BR51)</f>
        <v>1.0106340555629403</v>
      </c>
      <c r="BS58" s="388"/>
      <c r="BT58" s="1200">
        <f>SUM(BT52:BT57)/(BT51)</f>
        <v>1.2465626161278336</v>
      </c>
      <c r="BU58" s="386"/>
      <c r="BV58" s="388">
        <f>SUM(BV52:BV57)/(BV51)</f>
        <v>1.2013302175085385</v>
      </c>
      <c r="BW58" s="388"/>
      <c r="BX58" s="388">
        <f>SUM(BX52:BX57)/(BX51)</f>
        <v>1.1875796758331816</v>
      </c>
      <c r="BY58" s="388"/>
      <c r="BZ58" s="1440">
        <f>SUM(BZ52:BZ57)/(BZ51)</f>
        <v>1.1529998280900806</v>
      </c>
      <c r="CA58" s="388"/>
      <c r="CB58" s="388"/>
      <c r="CC58" s="389">
        <f>SUM(CC52:CC57)/(CC51)</f>
        <v>1.1529998280900806</v>
      </c>
      <c r="CD58" s="389"/>
      <c r="CE58" s="389"/>
      <c r="CF58" s="389"/>
      <c r="CG58" s="389">
        <f>SUM(CG52:CG57)/(CG51)</f>
        <v>1.1529998280900806</v>
      </c>
      <c r="CH58" s="389"/>
      <c r="CI58" s="389"/>
      <c r="CJ58" s="389"/>
      <c r="CK58" s="1191">
        <f>SUM(CK52:CK57)/(CK51)</f>
        <v>1.1529998280900806</v>
      </c>
      <c r="CL58" s="389"/>
      <c r="CM58" s="389"/>
      <c r="CN58" s="389">
        <f>SUM(CN52:CN57)/(CN51)</f>
        <v>1.1529998280900808</v>
      </c>
      <c r="CO58" s="389"/>
      <c r="CP58" s="389">
        <f>SUM(CP52:CP57)/(CP51)</f>
        <v>1.1529998280900806</v>
      </c>
      <c r="CQ58" s="389"/>
      <c r="CR58" s="389"/>
      <c r="CS58" s="389"/>
      <c r="CT58" s="389"/>
      <c r="CU58" s="389"/>
      <c r="CV58" s="389"/>
      <c r="CW58" s="388"/>
      <c r="CX58" s="1191"/>
      <c r="CY58" s="389"/>
      <c r="CZ58" s="389"/>
      <c r="DA58" s="389"/>
      <c r="DB58" s="389"/>
      <c r="DC58" s="389"/>
      <c r="DD58" s="389"/>
      <c r="DE58" s="389"/>
      <c r="DF58" s="389"/>
      <c r="DG58" s="389"/>
      <c r="DH58" s="389"/>
      <c r="DI58" s="388"/>
      <c r="DJ58" s="1191"/>
      <c r="DK58" s="389"/>
      <c r="DL58" s="389"/>
      <c r="DM58" s="389"/>
      <c r="DN58" s="389"/>
      <c r="DO58" s="389"/>
      <c r="DP58" s="389"/>
      <c r="DQ58" s="389"/>
      <c r="DR58" s="389"/>
      <c r="DS58" s="389"/>
      <c r="DT58" s="389"/>
      <c r="DU58" s="389"/>
      <c r="DV58" s="389"/>
      <c r="DW58" s="389"/>
      <c r="DX58" s="389"/>
      <c r="DY58" s="389"/>
      <c r="DZ58" s="389"/>
      <c r="EA58" s="389"/>
    </row>
    <row r="59" spans="1:131">
      <c r="B59" s="100">
        <f>AVERAGE(O59,Q59,S59,U59,Y59,AA59,AC59,AE59,AG59,AI59,AK59,AM59,AO59,AQ59,AS59,AU59,AW59,AY59,BA59,BC59)</f>
        <v>0.13937631296079483</v>
      </c>
      <c r="C59" s="999" t="s">
        <v>904</v>
      </c>
      <c r="D59" s="101">
        <f>N59+P59+R59+T59+V59+W59+X59+Z59</f>
        <v>81</v>
      </c>
      <c r="E59" s="101">
        <f>AB59+AD59+AF59+AH59+AJ59+AL59</f>
        <v>81</v>
      </c>
      <c r="F59" s="101">
        <f t="shared" ref="F59" si="202">AN59+AP59+AR59+AT59+AV59+AX59</f>
        <v>97</v>
      </c>
      <c r="G59" s="101">
        <f t="shared" ref="G59" si="203">AZ59+BB59+BD59+BF59+BH59+BJ59</f>
        <v>72</v>
      </c>
      <c r="H59" s="1264">
        <f>BL59+BN59+BP59+BR59+BT59+BV59</f>
        <v>90</v>
      </c>
      <c r="I59" s="816">
        <f>BX59+BZ59+CC59+CG59+CK59+CN59</f>
        <v>90</v>
      </c>
      <c r="J59" s="816"/>
      <c r="L59" s="303"/>
      <c r="M59" s="302"/>
      <c r="N59" s="847">
        <v>9</v>
      </c>
      <c r="O59" s="286">
        <f>N59/N$60</f>
        <v>8.1183474652715137E-2</v>
      </c>
      <c r="P59" s="302">
        <v>18</v>
      </c>
      <c r="Q59" s="286">
        <f>P59/P$60</f>
        <v>0.18007202881152459</v>
      </c>
      <c r="R59" s="302">
        <v>18</v>
      </c>
      <c r="S59" s="286">
        <f>R59/R$60</f>
        <v>0.15554787417905289</v>
      </c>
      <c r="T59" s="302">
        <v>18</v>
      </c>
      <c r="U59" s="286">
        <f>T59/T$60</f>
        <v>0.16233766233766234</v>
      </c>
      <c r="V59" s="302">
        <v>9</v>
      </c>
      <c r="W59" s="303"/>
      <c r="X59" s="1228"/>
      <c r="Y59" s="286">
        <f t="shared" si="200"/>
        <v>0</v>
      </c>
      <c r="Z59" s="302">
        <v>9</v>
      </c>
      <c r="AA59" s="286">
        <f>Z59/Z$60</f>
        <v>8.8818711141813875E-2</v>
      </c>
      <c r="AB59" s="302">
        <v>18</v>
      </c>
      <c r="AC59" s="286">
        <f>AB59/AB$60</f>
        <v>0.28948214860083626</v>
      </c>
      <c r="AD59" s="302">
        <v>18</v>
      </c>
      <c r="AE59" s="286">
        <f>AD59/AD$60</f>
        <v>0.18631611634406373</v>
      </c>
      <c r="AF59" s="302">
        <v>18</v>
      </c>
      <c r="AG59" s="286">
        <f>AF59/AF$60</f>
        <v>0.18063221274460611</v>
      </c>
      <c r="AH59" s="304">
        <v>9</v>
      </c>
      <c r="AI59" s="286">
        <f>AH59/AH$60</f>
        <v>8.5461969423606482E-2</v>
      </c>
      <c r="AJ59" s="1201">
        <v>18</v>
      </c>
      <c r="AK59" s="286">
        <f>AJ59/AJ$60</f>
        <v>0.18474802422251874</v>
      </c>
      <c r="AL59" s="304"/>
      <c r="AM59" s="863">
        <f>AL59/AL$60</f>
        <v>0</v>
      </c>
      <c r="AN59" s="302">
        <v>18</v>
      </c>
      <c r="AO59" s="286">
        <f>AN59/AN$60</f>
        <v>0.20536223616657157</v>
      </c>
      <c r="AP59" s="302">
        <v>18</v>
      </c>
      <c r="AQ59" s="286">
        <f>AP59/AP$60</f>
        <v>0.20952159236410198</v>
      </c>
      <c r="AR59" s="304">
        <v>9</v>
      </c>
      <c r="AS59" s="286">
        <f>AR59/AR$60</f>
        <v>0.10153429602888087</v>
      </c>
      <c r="AT59" s="304">
        <v>27</v>
      </c>
      <c r="AU59" s="286">
        <f>AT59/AT$60</f>
        <v>0.21645021645021645</v>
      </c>
      <c r="AV59" s="1201">
        <v>18</v>
      </c>
      <c r="AW59" s="286">
        <f>AV59/AV$60</f>
        <v>0.17560975609756097</v>
      </c>
      <c r="AX59" s="304">
        <v>7</v>
      </c>
      <c r="AY59" s="863">
        <f>AX59/AX$60</f>
        <v>6.5950631241756166E-2</v>
      </c>
      <c r="AZ59" s="302">
        <f>14</f>
        <v>14</v>
      </c>
      <c r="BA59" s="286">
        <f>AZ59/AZ$60</f>
        <v>0.10844306738962045</v>
      </c>
      <c r="BB59" s="302">
        <v>14</v>
      </c>
      <c r="BC59" s="286">
        <f>BB59/BB$60</f>
        <v>0.11005424101878783</v>
      </c>
      <c r="BD59" s="304">
        <v>14</v>
      </c>
      <c r="BE59" s="286">
        <f>BD59/BD$60</f>
        <v>0.10172939979654119</v>
      </c>
      <c r="BF59" s="304">
        <v>14</v>
      </c>
      <c r="BG59" s="286">
        <f>BF59/BF60</f>
        <v>9.5302927161334233E-2</v>
      </c>
      <c r="BH59" s="1201">
        <v>7</v>
      </c>
      <c r="BI59" s="286">
        <f>BH59/BH60</f>
        <v>6.6819396716303936E-2</v>
      </c>
      <c r="BJ59" s="304">
        <v>9</v>
      </c>
      <c r="BK59" s="863">
        <f>BJ59/BJ60</f>
        <v>8.3580980683506681E-2</v>
      </c>
      <c r="BL59" s="304">
        <v>18</v>
      </c>
      <c r="BM59" s="863">
        <f>BL59/BL60</f>
        <v>0.14185515013003389</v>
      </c>
      <c r="BN59" s="304">
        <v>18</v>
      </c>
      <c r="BO59" s="863">
        <f>BN59/BN60</f>
        <v>0.14434643143544507</v>
      </c>
      <c r="BP59" s="304">
        <v>18</v>
      </c>
      <c r="BQ59" s="863">
        <f>BP59/BP60</f>
        <v>0.12328767123287671</v>
      </c>
      <c r="BR59" s="304">
        <v>18</v>
      </c>
      <c r="BS59" s="863">
        <f>BR59/BR60</f>
        <v>0.10634526763559023</v>
      </c>
      <c r="BT59" s="1201">
        <v>9</v>
      </c>
      <c r="BU59" s="286">
        <f>BT59/BT$60</f>
        <v>6.9278731429451151E-2</v>
      </c>
      <c r="BV59" s="304">
        <v>9</v>
      </c>
      <c r="BW59" s="863">
        <f>BV59/BV$60</f>
        <v>6.8461889548151536E-2</v>
      </c>
      <c r="BX59" s="304">
        <v>18</v>
      </c>
      <c r="BY59" s="863">
        <f>BX59/BX$60</f>
        <v>0.13032145960034752</v>
      </c>
      <c r="BZ59" s="1441">
        <v>9</v>
      </c>
      <c r="CA59" s="304"/>
      <c r="CB59" s="863">
        <f>BZ59/BZ$60</f>
        <v>6.7044100119189515E-2</v>
      </c>
      <c r="CC59" s="305">
        <v>18</v>
      </c>
      <c r="CD59" s="306">
        <f>CC59/CC$60</f>
        <v>0.10870738339055254</v>
      </c>
      <c r="CE59" s="306"/>
      <c r="CF59" s="306" t="e">
        <f>CE59/CE$60</f>
        <v>#DIV/0!</v>
      </c>
      <c r="CG59" s="305">
        <v>18</v>
      </c>
      <c r="CH59" s="306">
        <f>CG59/CG$60</f>
        <v>0.11260501518180446</v>
      </c>
      <c r="CI59" s="306"/>
      <c r="CJ59" s="306" t="e">
        <f>CI59/CI$60</f>
        <v>#DIV/0!</v>
      </c>
      <c r="CK59" s="1192">
        <v>9</v>
      </c>
      <c r="CL59" s="305"/>
      <c r="CM59" s="306">
        <f>CK59/CK$60</f>
        <v>6.8812033459647468E-2</v>
      </c>
      <c r="CN59" s="305">
        <v>18</v>
      </c>
      <c r="CO59" s="306">
        <f>CN59/CN$60</f>
        <v>0.15261955524636001</v>
      </c>
      <c r="CP59" s="305">
        <v>18</v>
      </c>
      <c r="CQ59" s="306">
        <f>CP59/CP$60</f>
        <v>0.13645618016766953</v>
      </c>
      <c r="CR59" s="305"/>
      <c r="CS59" s="305"/>
      <c r="CT59" s="305"/>
      <c r="CU59" s="305"/>
      <c r="CV59" s="305"/>
      <c r="CW59" s="863"/>
      <c r="CX59" s="1192"/>
      <c r="CY59" s="306"/>
      <c r="CZ59" s="305"/>
      <c r="DA59" s="306"/>
      <c r="DB59" s="305"/>
      <c r="DC59" s="305"/>
      <c r="DD59" s="305"/>
      <c r="DE59" s="305"/>
      <c r="DF59" s="305"/>
      <c r="DG59" s="305"/>
      <c r="DH59" s="305"/>
      <c r="DI59" s="863"/>
      <c r="DJ59" s="1192"/>
      <c r="DK59" s="306"/>
      <c r="DL59" s="305"/>
      <c r="DM59" s="306"/>
      <c r="DN59" s="305"/>
      <c r="DO59" s="305"/>
      <c r="DP59" s="305"/>
      <c r="DQ59" s="305"/>
      <c r="DR59" s="305"/>
      <c r="DS59" s="305"/>
      <c r="DT59" s="305"/>
      <c r="DU59" s="305"/>
      <c r="DV59" s="305"/>
      <c r="DW59" s="305"/>
      <c r="DX59" s="305"/>
      <c r="DY59" s="305"/>
      <c r="DZ59" s="305"/>
      <c r="EA59" s="305"/>
    </row>
    <row r="60" spans="1:131" s="343" customFormat="1">
      <c r="A60" s="9"/>
      <c r="B60" s="9"/>
      <c r="C60" s="1000" t="s">
        <v>79</v>
      </c>
      <c r="D60" s="805">
        <f>N60+P60+R60+T60+V60+W60+X60+Z60</f>
        <v>779.95999999999992</v>
      </c>
      <c r="E60" s="805">
        <f>AB60+AD60+AF60+AH60+AJ60+AL60</f>
        <v>540.93000000000006</v>
      </c>
      <c r="F60" s="805">
        <f t="shared" ref="F60" si="204">AN60+AP60+AR60+AT60+AV60+AX60</f>
        <v>595.58000000000004</v>
      </c>
      <c r="G60" s="805">
        <f>AZ60+BB60+BD60+BF60+BH60+BJ60</f>
        <v>753.27</v>
      </c>
      <c r="H60" s="1266">
        <f>BL60+BN60+BP60+BR60+BT60+BV60</f>
        <v>828.22</v>
      </c>
      <c r="I60" s="818">
        <f>BX60+BZ60+CC60+CG60+CK60+CN60</f>
        <v>846.52431637818336</v>
      </c>
      <c r="J60" s="1059"/>
      <c r="K60" s="9"/>
      <c r="L60" s="399"/>
      <c r="M60" s="390"/>
      <c r="N60" s="848">
        <f>SUM(N51:N57)+N59</f>
        <v>110.86</v>
      </c>
      <c r="O60" s="391"/>
      <c r="P60" s="391">
        <f>SUM(P51:P57)+P59</f>
        <v>99.960000000000008</v>
      </c>
      <c r="Q60" s="391"/>
      <c r="R60" s="391">
        <f>SUM(R51:R57)+R59</f>
        <v>115.72</v>
      </c>
      <c r="S60" s="391"/>
      <c r="T60" s="391">
        <f>SUM(T51:T57)+T59</f>
        <v>110.88</v>
      </c>
      <c r="U60" s="391"/>
      <c r="V60" s="391">
        <f>SUM(V51:V57)+V59</f>
        <v>109.75000000000001</v>
      </c>
      <c r="W60" s="392">
        <f>SUM(W51:W57)+W59</f>
        <v>48.309999999999995</v>
      </c>
      <c r="X60" s="1229">
        <f>SUM(X51:X57)+X59</f>
        <v>83.15</v>
      </c>
      <c r="Y60" s="391"/>
      <c r="Z60" s="391">
        <f>SUM(Z51:Z57)+Z59</f>
        <v>101.33</v>
      </c>
      <c r="AA60" s="391"/>
      <c r="AB60" s="391">
        <f>SUM(AB51:AB57)+AB59</f>
        <v>62.180000000000007</v>
      </c>
      <c r="AC60" s="391"/>
      <c r="AD60" s="391">
        <f>SUM(AD51:AD57)+AD59</f>
        <v>96.610000000000014</v>
      </c>
      <c r="AE60" s="391"/>
      <c r="AF60" s="391">
        <f>SUM(AF51:AF57)+AF59</f>
        <v>99.65</v>
      </c>
      <c r="AG60" s="391"/>
      <c r="AH60" s="394">
        <f>SUM(AH51:AH57)+AH59</f>
        <v>105.31000000000002</v>
      </c>
      <c r="AI60" s="393"/>
      <c r="AJ60" s="1202">
        <f>SUM(AJ51:AJ57)+AJ59</f>
        <v>97.429999999999993</v>
      </c>
      <c r="AK60" s="391"/>
      <c r="AL60" s="394">
        <f>SUM(AL51:AL57)+AL59</f>
        <v>79.75</v>
      </c>
      <c r="AM60" s="867"/>
      <c r="AN60" s="391">
        <f>SUM(AN51:AN57)+AN59</f>
        <v>87.65</v>
      </c>
      <c r="AO60" s="391"/>
      <c r="AP60" s="391">
        <f>SUM(AP51:AP57)+AP59</f>
        <v>85.91</v>
      </c>
      <c r="AQ60" s="391"/>
      <c r="AR60" s="394">
        <f>SUM(AR51:AR57)+AR59</f>
        <v>88.64</v>
      </c>
      <c r="AS60" s="393"/>
      <c r="AT60" s="394">
        <f>SUM(AT51:AT57)+AT59</f>
        <v>124.74</v>
      </c>
      <c r="AU60" s="393"/>
      <c r="AV60" s="1202">
        <f>SUM(AV51:AV57)+AV59</f>
        <v>102.5</v>
      </c>
      <c r="AW60" s="391"/>
      <c r="AX60" s="394">
        <f>SUM(AX51:AX57)+AX59</f>
        <v>106.14000000000001</v>
      </c>
      <c r="AY60" s="867"/>
      <c r="AZ60" s="391">
        <f>SUM(AZ51:AZ57)+AZ59</f>
        <v>129.1</v>
      </c>
      <c r="BA60" s="391"/>
      <c r="BB60" s="391">
        <f>SUM(BB51:BB57)+BB59</f>
        <v>127.21000000000001</v>
      </c>
      <c r="BC60" s="391"/>
      <c r="BD60" s="394">
        <f>SUM(BD51:BD57)+BD59</f>
        <v>137.62</v>
      </c>
      <c r="BE60" s="393"/>
      <c r="BF60" s="394">
        <f>SUM(BF51:BF57)+BF59</f>
        <v>146.9</v>
      </c>
      <c r="BG60" s="393"/>
      <c r="BH60" s="1202">
        <f>SUM(BH51:BH57)+BH59</f>
        <v>104.76</v>
      </c>
      <c r="BI60" s="391"/>
      <c r="BJ60" s="394">
        <f>SUM(BJ51:BJ57)+BJ59</f>
        <v>107.68</v>
      </c>
      <c r="BK60" s="867"/>
      <c r="BL60" s="394">
        <f>SUM(BL51:BL57)+BL59</f>
        <v>126.89</v>
      </c>
      <c r="BM60" s="394"/>
      <c r="BN60" s="394">
        <f>SUM(BN51:BN57)+BN59</f>
        <v>124.7</v>
      </c>
      <c r="BO60" s="394"/>
      <c r="BP60" s="394">
        <f>SUM(BP51:BP57)+BP59</f>
        <v>146</v>
      </c>
      <c r="BQ60" s="394"/>
      <c r="BR60" s="394">
        <f>SUM(BR51:BR57)+BR59</f>
        <v>169.26</v>
      </c>
      <c r="BS60" s="393"/>
      <c r="BT60" s="1202">
        <f>SUM(BT51:BT57)+BT59</f>
        <v>129.91000000000003</v>
      </c>
      <c r="BU60" s="391"/>
      <c r="BV60" s="394">
        <f>SUM(BV51:BV57)+BV59</f>
        <v>131.45999999999998</v>
      </c>
      <c r="BW60" s="867"/>
      <c r="BX60" s="394">
        <f>SUM(BX51:BX57)+BX59</f>
        <v>138.12</v>
      </c>
      <c r="BY60" s="867"/>
      <c r="BZ60" s="1442">
        <f>SUM(BZ51:BZ57)+BZ59</f>
        <v>134.23999999999998</v>
      </c>
      <c r="CA60" s="394"/>
      <c r="CB60" s="393"/>
      <c r="CC60" s="393">
        <f>SUM(CC51:CC57)+CC59</f>
        <v>165.58212918557223</v>
      </c>
      <c r="CD60" s="393"/>
      <c r="CE60" s="393"/>
      <c r="CF60" s="393"/>
      <c r="CG60" s="393">
        <f>SUM(CG51:CG57)+CG59</f>
        <v>159.85078436283158</v>
      </c>
      <c r="CH60" s="393"/>
      <c r="CI60" s="393"/>
      <c r="CJ60" s="393"/>
      <c r="CK60" s="1193">
        <f>SUM(CK51:CK57)+CK59</f>
        <v>130.79107748323921</v>
      </c>
      <c r="CL60" s="393"/>
      <c r="CM60" s="393"/>
      <c r="CN60" s="393">
        <f>SUM(CN51:CN57)+CN59</f>
        <v>117.94032534654042</v>
      </c>
      <c r="CO60" s="393"/>
      <c r="CP60" s="393">
        <f>SUM(CP51:CP57)+CP59</f>
        <v>131.91047835197082</v>
      </c>
      <c r="CQ60" s="393"/>
      <c r="CR60" s="393"/>
      <c r="CS60" s="393"/>
      <c r="CT60" s="393"/>
      <c r="CU60" s="393"/>
      <c r="CV60" s="393"/>
      <c r="CW60" s="393"/>
      <c r="CX60" s="1193"/>
      <c r="CY60" s="393"/>
      <c r="CZ60" s="393"/>
      <c r="DA60" s="393"/>
      <c r="DB60" s="393"/>
      <c r="DC60" s="393"/>
      <c r="DD60" s="393"/>
      <c r="DE60" s="393"/>
      <c r="DF60" s="393"/>
      <c r="DG60" s="393"/>
      <c r="DH60" s="393"/>
      <c r="DI60" s="393"/>
      <c r="DJ60" s="1193"/>
      <c r="DK60" s="393"/>
      <c r="DL60" s="393"/>
      <c r="DM60" s="393"/>
      <c r="DN60" s="393"/>
      <c r="DO60" s="393"/>
      <c r="DP60" s="393"/>
      <c r="DQ60" s="393"/>
      <c r="DR60" s="393"/>
      <c r="DS60" s="393"/>
      <c r="DT60" s="393"/>
      <c r="DU60" s="393"/>
      <c r="DV60" s="393"/>
      <c r="DW60" s="393"/>
      <c r="DX60" s="393"/>
      <c r="DY60" s="393"/>
      <c r="DZ60" s="393"/>
      <c r="EA60" s="393"/>
    </row>
    <row r="61" spans="1:131">
      <c r="H61" s="105"/>
      <c r="I61" s="117"/>
      <c r="J61" s="117"/>
      <c r="L61" s="103"/>
      <c r="N61" s="266"/>
      <c r="W61" s="103"/>
      <c r="X61" s="1163"/>
      <c r="AJ61" s="705"/>
      <c r="AL61" s="105"/>
      <c r="AM61" s="105"/>
      <c r="AV61" s="705"/>
      <c r="AX61" s="105"/>
      <c r="AY61" s="105"/>
      <c r="BD61" s="105"/>
      <c r="BH61" s="705"/>
      <c r="BJ61" s="105"/>
      <c r="BK61" s="105"/>
      <c r="BL61" s="105"/>
      <c r="BM61" s="105"/>
      <c r="BN61" s="105"/>
      <c r="BO61" s="105"/>
      <c r="BP61" s="105"/>
      <c r="BQ61" s="105"/>
      <c r="BR61" s="105"/>
      <c r="BT61" s="1144"/>
      <c r="BV61" s="105"/>
      <c r="BW61" s="105"/>
      <c r="BX61" s="105"/>
      <c r="BY61" s="105"/>
      <c r="BZ61" s="1422"/>
      <c r="CA61" s="105"/>
      <c r="CK61" s="705"/>
      <c r="CX61" s="705"/>
      <c r="DJ61" s="705"/>
    </row>
    <row r="62" spans="1:131" s="349" customFormat="1">
      <c r="A62" s="9"/>
      <c r="B62" s="898"/>
      <c r="C62" s="1001" t="s">
        <v>905</v>
      </c>
      <c r="D62" s="803">
        <f>N62+P62+R62+T62+V62+W62+X62+Z62</f>
        <v>594.64</v>
      </c>
      <c r="E62" s="803">
        <f>AB62+AD62+AF62+AH62+AJ62+AL62</f>
        <v>459.93000000000006</v>
      </c>
      <c r="F62" s="803">
        <f t="shared" ref="F62:F63" si="205">AN62+AP62+AR62+AT62+AV62+AX62</f>
        <v>498.58000000000004</v>
      </c>
      <c r="G62" s="803">
        <f t="shared" ref="G62:G63" si="206">AZ62+BB62+BD62+BF62+BH62+BJ62</f>
        <v>681.27</v>
      </c>
      <c r="H62" s="1267">
        <f>BL62+BN62+BP62+BR62+BT62+BV62</f>
        <v>738.22</v>
      </c>
      <c r="I62" s="819">
        <f>BX62+BZ62+CC62+CG62+CK62+CN62</f>
        <v>756.52431637818336</v>
      </c>
      <c r="J62" s="819"/>
      <c r="K62" s="9"/>
      <c r="L62" s="395"/>
      <c r="M62" s="361"/>
      <c r="N62" s="398">
        <f>N60-N59-N55</f>
        <v>53.05</v>
      </c>
      <c r="O62" s="361"/>
      <c r="P62" s="361">
        <f>P60-P59-P55</f>
        <v>81.960000000000008</v>
      </c>
      <c r="Q62" s="361"/>
      <c r="R62" s="361">
        <f>R60-R59-R55</f>
        <v>97.72</v>
      </c>
      <c r="S62" s="361"/>
      <c r="T62" s="361">
        <f>T60-T59-T55</f>
        <v>92.88</v>
      </c>
      <c r="U62" s="361"/>
      <c r="V62" s="361">
        <f>V60-V59-V55</f>
        <v>100.75000000000001</v>
      </c>
      <c r="W62" s="395">
        <f>W60-W59-W55</f>
        <v>48.309999999999995</v>
      </c>
      <c r="X62" s="1230">
        <f>X60-X59-X55</f>
        <v>27.640000000000008</v>
      </c>
      <c r="Y62" s="361"/>
      <c r="Z62" s="361">
        <f>Z60-Z59-Z55</f>
        <v>92.33</v>
      </c>
      <c r="AA62" s="361"/>
      <c r="AB62" s="361">
        <f>AB60-AB59-AB55</f>
        <v>44.180000000000007</v>
      </c>
      <c r="AC62" s="361"/>
      <c r="AD62" s="361">
        <f>AD60-AD59-AD55</f>
        <v>78.610000000000014</v>
      </c>
      <c r="AE62" s="361"/>
      <c r="AF62" s="361">
        <f>AF60-AF59-AF55</f>
        <v>81.650000000000006</v>
      </c>
      <c r="AG62" s="361"/>
      <c r="AH62" s="396">
        <f>AH60-AH59-AH55</f>
        <v>96.310000000000016</v>
      </c>
      <c r="AI62" s="345"/>
      <c r="AJ62" s="1203">
        <f>AJ60-AJ59</f>
        <v>79.429999999999993</v>
      </c>
      <c r="AK62" s="361"/>
      <c r="AL62" s="396">
        <f>AL60-AL59</f>
        <v>79.75</v>
      </c>
      <c r="AM62" s="396"/>
      <c r="AN62" s="361">
        <f>AN60-AN59</f>
        <v>69.650000000000006</v>
      </c>
      <c r="AO62" s="361"/>
      <c r="AP62" s="361">
        <f>AP60-AP59</f>
        <v>67.91</v>
      </c>
      <c r="AQ62" s="361"/>
      <c r="AR62" s="396">
        <f>AR60-AR59</f>
        <v>79.64</v>
      </c>
      <c r="AS62" s="397"/>
      <c r="AT62" s="396">
        <f>AT60-AT59</f>
        <v>97.74</v>
      </c>
      <c r="AU62" s="345"/>
      <c r="AV62" s="1203">
        <f>AV60-AV59</f>
        <v>84.5</v>
      </c>
      <c r="AW62" s="361"/>
      <c r="AX62" s="396">
        <f>AX60-AX59</f>
        <v>99.140000000000015</v>
      </c>
      <c r="AY62" s="396"/>
      <c r="AZ62" s="361">
        <f>AZ60-AZ59</f>
        <v>115.1</v>
      </c>
      <c r="BA62" s="361"/>
      <c r="BB62" s="361">
        <f>BB60-BB59</f>
        <v>113.21000000000001</v>
      </c>
      <c r="BC62" s="361"/>
      <c r="BD62" s="396">
        <f>BD60-BD59</f>
        <v>123.62</v>
      </c>
      <c r="BE62" s="345"/>
      <c r="BF62" s="396">
        <f>BF60-BF59</f>
        <v>132.9</v>
      </c>
      <c r="BG62" s="345"/>
      <c r="BH62" s="1203">
        <f>BH60-BH59</f>
        <v>97.76</v>
      </c>
      <c r="BI62" s="361"/>
      <c r="BJ62" s="396">
        <f>BJ60-BJ59</f>
        <v>98.68</v>
      </c>
      <c r="BK62" s="396"/>
      <c r="BL62" s="396">
        <f>BL60-BL59</f>
        <v>108.89</v>
      </c>
      <c r="BM62" s="396"/>
      <c r="BN62" s="396">
        <f>BN60-BN59</f>
        <v>106.7</v>
      </c>
      <c r="BO62" s="396"/>
      <c r="BP62" s="396">
        <f>BP60-BP59</f>
        <v>128</v>
      </c>
      <c r="BQ62" s="396"/>
      <c r="BR62" s="396">
        <f>BR60-BR59</f>
        <v>151.26</v>
      </c>
      <c r="BS62" s="345"/>
      <c r="BT62" s="1203">
        <f>BT60-BT59</f>
        <v>120.91000000000003</v>
      </c>
      <c r="BU62" s="361"/>
      <c r="BV62" s="396">
        <f>BV60-BV59</f>
        <v>122.45999999999998</v>
      </c>
      <c r="BW62" s="396"/>
      <c r="BX62" s="396">
        <f>BX60-BX59</f>
        <v>120.12</v>
      </c>
      <c r="BY62" s="396"/>
      <c r="BZ62" s="1443">
        <f>BZ60-BZ59</f>
        <v>125.23999999999998</v>
      </c>
      <c r="CA62" s="396"/>
      <c r="CB62" s="345"/>
      <c r="CC62" s="345">
        <f>CC60-CC59</f>
        <v>147.58212918557223</v>
      </c>
      <c r="CD62" s="345"/>
      <c r="CE62" s="345"/>
      <c r="CF62" s="345"/>
      <c r="CG62" s="345">
        <f>CG60-CG59</f>
        <v>141.85078436283158</v>
      </c>
      <c r="CH62" s="345"/>
      <c r="CI62" s="345"/>
      <c r="CJ62" s="345"/>
      <c r="CK62" s="1185">
        <f>CK60-CK59</f>
        <v>121.79107748323921</v>
      </c>
      <c r="CL62" s="345"/>
      <c r="CM62" s="345"/>
      <c r="CN62" s="345">
        <f>CN60-CN59</f>
        <v>99.940325346540419</v>
      </c>
      <c r="CO62" s="345"/>
      <c r="CP62" s="345">
        <f>CP60-CP59</f>
        <v>113.91047835197082</v>
      </c>
      <c r="CQ62" s="361"/>
      <c r="CR62" s="361"/>
      <c r="CS62" s="361"/>
      <c r="CT62" s="361"/>
      <c r="CU62" s="361"/>
      <c r="CV62" s="361"/>
      <c r="CW62" s="345"/>
      <c r="CX62" s="1185"/>
      <c r="CY62" s="345"/>
      <c r="CZ62" s="345"/>
      <c r="DA62" s="345"/>
      <c r="DB62" s="361"/>
      <c r="DC62" s="361"/>
      <c r="DD62" s="361"/>
      <c r="DE62" s="361"/>
      <c r="DF62" s="361"/>
      <c r="DG62" s="361"/>
      <c r="DH62" s="361"/>
      <c r="DI62" s="345"/>
      <c r="DJ62" s="1185"/>
      <c r="DK62" s="345"/>
      <c r="DL62" s="345"/>
      <c r="DM62" s="345"/>
      <c r="DN62" s="361"/>
      <c r="DO62" s="361"/>
      <c r="DP62" s="361"/>
      <c r="DQ62" s="361"/>
      <c r="DR62" s="361"/>
      <c r="DS62" s="361"/>
      <c r="DT62" s="361"/>
      <c r="DU62" s="361"/>
      <c r="DV62" s="361"/>
      <c r="DW62" s="361"/>
      <c r="DX62" s="361"/>
      <c r="DY62" s="361"/>
      <c r="DZ62" s="361"/>
      <c r="EA62" s="361"/>
    </row>
    <row r="63" spans="1:131" s="21" customFormat="1" ht="14.25" customHeight="1">
      <c r="A63" s="9"/>
      <c r="B63" s="898"/>
      <c r="C63" s="1002" t="s">
        <v>880</v>
      </c>
      <c r="D63" s="80">
        <f>N63+P63+R63+T63+V63+W63+X63+Z63</f>
        <v>217.90000000000003</v>
      </c>
      <c r="E63" s="80">
        <f>AB63+AD63+AF63+AH63+AJ63+AL63</f>
        <v>103.72000000000001</v>
      </c>
      <c r="F63" s="80">
        <f t="shared" si="205"/>
        <v>141.68</v>
      </c>
      <c r="G63" s="80">
        <f t="shared" si="206"/>
        <v>229.4</v>
      </c>
      <c r="H63" s="1047">
        <f>BL63+BN63+BP63+BR63+BT63+BV63</f>
        <v>342.2</v>
      </c>
      <c r="I63" s="573">
        <f>BX63+BZ63+CC63+CG63+CK63+CN63</f>
        <v>406.02473570332768</v>
      </c>
      <c r="J63" s="573"/>
      <c r="K63" s="9"/>
      <c r="L63" s="127"/>
      <c r="M63" s="28"/>
      <c r="N63" s="310">
        <f>SUM(N52:N57)-N55</f>
        <v>23.97</v>
      </c>
      <c r="O63" s="28"/>
      <c r="P63" s="28">
        <f t="shared" ref="P63:AR63" si="207">SUM(P52:P57)-P55</f>
        <v>31.47</v>
      </c>
      <c r="Q63" s="28"/>
      <c r="R63" s="28">
        <f t="shared" si="207"/>
        <v>37.339999999999996</v>
      </c>
      <c r="S63" s="28"/>
      <c r="T63" s="28">
        <f t="shared" si="207"/>
        <v>33.86</v>
      </c>
      <c r="U63" s="28"/>
      <c r="V63" s="28">
        <f t="shared" si="207"/>
        <v>42.150000000000006</v>
      </c>
      <c r="W63" s="127">
        <f t="shared" si="207"/>
        <v>16.05</v>
      </c>
      <c r="X63" s="1231">
        <f t="shared" si="207"/>
        <v>12.399999999999999</v>
      </c>
      <c r="Y63" s="28"/>
      <c r="Z63" s="28">
        <f t="shared" si="207"/>
        <v>20.660000000000004</v>
      </c>
      <c r="AA63" s="28"/>
      <c r="AB63" s="28">
        <f t="shared" si="207"/>
        <v>9.7099999999999991</v>
      </c>
      <c r="AC63" s="28"/>
      <c r="AD63" s="28">
        <f t="shared" si="207"/>
        <v>18.86</v>
      </c>
      <c r="AE63" s="28"/>
      <c r="AF63" s="28">
        <f t="shared" si="207"/>
        <v>18.939999999999998</v>
      </c>
      <c r="AG63" s="28"/>
      <c r="AH63" s="308">
        <f>SUM(AH52:AH57)-AH55</f>
        <v>20.329999999999998</v>
      </c>
      <c r="AI63" s="25"/>
      <c r="AJ63" s="1204">
        <f t="shared" si="207"/>
        <v>18.869999999999997</v>
      </c>
      <c r="AK63" s="28"/>
      <c r="AL63" s="308">
        <f t="shared" si="207"/>
        <v>17.010000000000002</v>
      </c>
      <c r="AM63" s="308"/>
      <c r="AN63" s="28">
        <f t="shared" si="207"/>
        <v>17.149999999999999</v>
      </c>
      <c r="AO63" s="28"/>
      <c r="AP63" s="28">
        <f t="shared" si="207"/>
        <v>19.909999999999997</v>
      </c>
      <c r="AQ63" s="28"/>
      <c r="AR63" s="308">
        <f t="shared" si="207"/>
        <v>24.36</v>
      </c>
      <c r="AS63" s="309"/>
      <c r="AT63" s="308">
        <f>SUM(AT52:AT57)-AT55</f>
        <v>26.910000000000004</v>
      </c>
      <c r="AU63" s="25"/>
      <c r="AV63" s="1204">
        <f>SUM(AV52:AV57)-AV55</f>
        <v>24.91</v>
      </c>
      <c r="AW63" s="28"/>
      <c r="AX63" s="308">
        <f t="shared" ref="AX63" si="208">SUM(AX52:AX57)-AX55</f>
        <v>28.439999999999998</v>
      </c>
      <c r="AY63" s="308"/>
      <c r="AZ63" s="28">
        <f>SUM(AZ52:AZ57)-AZ55</f>
        <v>34.370000000000005</v>
      </c>
      <c r="BA63" s="28"/>
      <c r="BB63" s="28">
        <f t="shared" ref="BB63" si="209">SUM(BB52:BB57)-BB55</f>
        <v>34.78</v>
      </c>
      <c r="BC63" s="28"/>
      <c r="BD63" s="308">
        <f t="shared" ref="BD63" si="210">SUM(BD52:BD57)-BD55</f>
        <v>38.46</v>
      </c>
      <c r="BE63" s="25"/>
      <c r="BF63" s="308">
        <f>SUM(BF52:BF57)-BF55</f>
        <v>49.2</v>
      </c>
      <c r="BG63" s="25"/>
      <c r="BH63" s="1204">
        <f>SUM(BH52:BH57)-BH55</f>
        <v>36.06</v>
      </c>
      <c r="BI63" s="28"/>
      <c r="BJ63" s="308">
        <f>SUM(BJ52:BJ57)-BJ55</f>
        <v>36.53</v>
      </c>
      <c r="BK63" s="308"/>
      <c r="BL63" s="308">
        <f>SUM(BL52:BL57)-BL55</f>
        <v>39.56</v>
      </c>
      <c r="BM63" s="308"/>
      <c r="BN63" s="308">
        <f>SUM(BN52:BN57)-BN55</f>
        <v>38.71</v>
      </c>
      <c r="BO63" s="308"/>
      <c r="BP63" s="308">
        <f>SUM(BP52:BP57)-BP55</f>
        <v>55.39</v>
      </c>
      <c r="BQ63" s="308"/>
      <c r="BR63" s="308">
        <f>SUM(BR52:BR57)-BR55</f>
        <v>76.03</v>
      </c>
      <c r="BS63" s="25"/>
      <c r="BT63" s="1204">
        <f>SUM(BT52:BT57)-BT55</f>
        <v>65.680000000000007</v>
      </c>
      <c r="BU63" s="28"/>
      <c r="BV63" s="308">
        <f>SUM(BV52:BV57)-BV55</f>
        <v>66.83</v>
      </c>
      <c r="BW63" s="308"/>
      <c r="BX63" s="308">
        <f>SUM(BX52:BX57)-BX55</f>
        <v>65.209999999999994</v>
      </c>
      <c r="BY63" s="308"/>
      <c r="BZ63" s="1415">
        <f>SUM(BZ52:BZ57)-BZ55</f>
        <v>67.069999999999993</v>
      </c>
      <c r="CA63" s="308"/>
      <c r="CB63" s="25"/>
      <c r="CC63" s="25">
        <f>SUM(CC52:CC57)-CC55</f>
        <v>79.034920189047668</v>
      </c>
      <c r="CD63" s="25"/>
      <c r="CE63" s="25"/>
      <c r="CF63" s="25"/>
      <c r="CG63" s="25">
        <f>SUM(CG52:CG57)-CG55</f>
        <v>75.965602900152604</v>
      </c>
      <c r="CH63" s="25"/>
      <c r="CI63" s="25"/>
      <c r="CJ63" s="25"/>
      <c r="CK63" s="1194">
        <f>SUM(CK52:CK57)-CK55</f>
        <v>65.222992389019907</v>
      </c>
      <c r="CL63" s="25"/>
      <c r="CM63" s="25"/>
      <c r="CN63" s="25">
        <f>SUM(CN52:CN57)-CN55</f>
        <v>53.52122022510752</v>
      </c>
      <c r="CO63" s="25"/>
      <c r="CP63" s="25">
        <f>SUM(CP52:CP57)-CP55</f>
        <v>61.002681116789212</v>
      </c>
      <c r="CQ63" s="28"/>
      <c r="CR63" s="28"/>
      <c r="CS63" s="28"/>
      <c r="CT63" s="28"/>
      <c r="CU63" s="28"/>
      <c r="CV63" s="28"/>
      <c r="CW63" s="25"/>
      <c r="CX63" s="1194"/>
      <c r="CY63" s="25"/>
      <c r="CZ63" s="25"/>
      <c r="DA63" s="25"/>
      <c r="DB63" s="28"/>
      <c r="DC63" s="28"/>
      <c r="DD63" s="28"/>
      <c r="DE63" s="28"/>
      <c r="DF63" s="28"/>
      <c r="DG63" s="28"/>
      <c r="DH63" s="28"/>
      <c r="DI63" s="25"/>
      <c r="DJ63" s="1194"/>
      <c r="DK63" s="25"/>
      <c r="DL63" s="25"/>
      <c r="DM63" s="25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</row>
    <row r="64" spans="1:131" s="895" customFormat="1">
      <c r="A64" s="19"/>
      <c r="B64" s="899"/>
      <c r="C64" s="1003" t="s">
        <v>881</v>
      </c>
      <c r="D64" s="887">
        <f>AVERAGE(N64,P64,R64,T64,V64,W64,X64,Z64)</f>
        <v>0.31118020788003176</v>
      </c>
      <c r="E64" s="887">
        <f>AVERAGE(AB64,AD64,AF64,AH64,AJ64,AL64)</f>
        <v>0.22560256611102411</v>
      </c>
      <c r="F64" s="887">
        <f>AVERAGE(AN64,AP64,AR64,AT64,AV64,AX64)</f>
        <v>0.28371199872193631</v>
      </c>
      <c r="G64" s="887">
        <f>AVERAGE(AZ64,BB64,BD64,BF64,BH64,BJ64)</f>
        <v>0.33769890496321397</v>
      </c>
      <c r="H64" s="1268">
        <f>AVERAGE(BL64,BN64,BP64,BR64,BT64,BV64)</f>
        <v>0.45840288321127654</v>
      </c>
      <c r="I64" s="888">
        <f>AVERAGE(BX64,BZ64,CC64,CG64,CK64,CN64)</f>
        <v>0.53675544796592389</v>
      </c>
      <c r="J64" s="888"/>
      <c r="K64" s="19"/>
      <c r="L64" s="889"/>
      <c r="M64" s="886"/>
      <c r="N64" s="890">
        <f>N63/(N60-N59)</f>
        <v>0.23532299234243079</v>
      </c>
      <c r="O64" s="891"/>
      <c r="P64" s="891">
        <f t="shared" ref="P64:AF64" si="211">P63/(P60-P59)</f>
        <v>0.38396778916544649</v>
      </c>
      <c r="Q64" s="891"/>
      <c r="R64" s="891">
        <f t="shared" si="211"/>
        <v>0.38211215718379038</v>
      </c>
      <c r="S64" s="891"/>
      <c r="T64" s="891">
        <f t="shared" si="211"/>
        <v>0.3645564168819983</v>
      </c>
      <c r="U64" s="891"/>
      <c r="V64" s="891">
        <f t="shared" si="211"/>
        <v>0.41836228287841193</v>
      </c>
      <c r="W64" s="892">
        <f t="shared" si="211"/>
        <v>0.33222935210101434</v>
      </c>
      <c r="X64" s="1232">
        <f>X63/(X60-X59)</f>
        <v>0.14912808177991579</v>
      </c>
      <c r="Y64" s="891"/>
      <c r="Z64" s="891">
        <f t="shared" si="211"/>
        <v>0.2237625907072458</v>
      </c>
      <c r="AA64" s="891"/>
      <c r="AB64" s="891">
        <f t="shared" si="211"/>
        <v>0.21978270710728831</v>
      </c>
      <c r="AC64" s="891"/>
      <c r="AD64" s="891">
        <f t="shared" si="211"/>
        <v>0.23991858542170202</v>
      </c>
      <c r="AE64" s="891"/>
      <c r="AF64" s="891">
        <f t="shared" si="211"/>
        <v>0.23196570728720142</v>
      </c>
      <c r="AG64" s="891"/>
      <c r="AH64" s="893">
        <f>AH63/(AH60-AH59)</f>
        <v>0.21108919115356656</v>
      </c>
      <c r="AI64" s="894"/>
      <c r="AJ64" s="1205">
        <f>AJ63/(AJ60-AJ59)</f>
        <v>0.23756766964622938</v>
      </c>
      <c r="AK64" s="891"/>
      <c r="AL64" s="893">
        <f>AL63/(AL60-AL59)</f>
        <v>0.21329153605015677</v>
      </c>
      <c r="AM64" s="893"/>
      <c r="AN64" s="891">
        <f>AN63/(AN60-AN59)</f>
        <v>0.24623115577889443</v>
      </c>
      <c r="AO64" s="891"/>
      <c r="AP64" s="891">
        <f>AP63/(AP60-AP59)</f>
        <v>0.29318215284935939</v>
      </c>
      <c r="AQ64" s="891"/>
      <c r="AR64" s="891">
        <f>AR63/(AR60-AR59)</f>
        <v>0.30587644399799097</v>
      </c>
      <c r="AS64" s="891"/>
      <c r="AT64" s="893">
        <f>AT63/(AT60-AT59)</f>
        <v>0.2753222836095765</v>
      </c>
      <c r="AU64" s="894"/>
      <c r="AV64" s="1205">
        <f>AV63/(AV60-AV59)</f>
        <v>0.29479289940828401</v>
      </c>
      <c r="AW64" s="891"/>
      <c r="AX64" s="893">
        <f>AX63/(AX60-AX59)</f>
        <v>0.28686705668751256</v>
      </c>
      <c r="AY64" s="893"/>
      <c r="AZ64" s="891">
        <f>AZ63/(AZ60-AZ59)</f>
        <v>0.29860990443092966</v>
      </c>
      <c r="BA64" s="891"/>
      <c r="BB64" s="891">
        <f>BB63/(BB60-BB59)</f>
        <v>0.30721667697199895</v>
      </c>
      <c r="BC64" s="891"/>
      <c r="BD64" s="893">
        <f>BD63/(BD60-BD59)</f>
        <v>0.31111470635819444</v>
      </c>
      <c r="BE64" s="894"/>
      <c r="BF64" s="893">
        <f>BF63/(BF60-BF59)</f>
        <v>0.37020316027088035</v>
      </c>
      <c r="BG64" s="894"/>
      <c r="BH64" s="1205">
        <f>BH63/(BH60-BH59)</f>
        <v>0.36886252045826512</v>
      </c>
      <c r="BI64" s="891"/>
      <c r="BJ64" s="893">
        <f>BJ63/(BJ60-BJ59)</f>
        <v>0.370186461289015</v>
      </c>
      <c r="BK64" s="893"/>
      <c r="BL64" s="893">
        <f>BL63/(BL60-BL59)</f>
        <v>0.36330241528147672</v>
      </c>
      <c r="BM64" s="893"/>
      <c r="BN64" s="893">
        <f>BN63/(BN60-BN59)</f>
        <v>0.36279287722586689</v>
      </c>
      <c r="BO64" s="893"/>
      <c r="BP64" s="893">
        <f>BP63/(BP60-BP59)</f>
        <v>0.432734375</v>
      </c>
      <c r="BQ64" s="893"/>
      <c r="BR64" s="893">
        <f>BR63/(BR60-BR59)</f>
        <v>0.50264445325928864</v>
      </c>
      <c r="BS64" s="894"/>
      <c r="BT64" s="1205">
        <f>BT63/(BT60-BT59)</f>
        <v>0.54321396079728723</v>
      </c>
      <c r="BU64" s="891"/>
      <c r="BV64" s="893">
        <f>BV63/(BV60-BV59)</f>
        <v>0.54572921770374005</v>
      </c>
      <c r="BW64" s="893"/>
      <c r="BX64" s="893">
        <f>BX63/(BX60-BX59)</f>
        <v>0.54287379287379278</v>
      </c>
      <c r="BY64" s="893"/>
      <c r="BZ64" s="1444">
        <f>BZ63/(BZ60-BZ59)</f>
        <v>0.53553177898435012</v>
      </c>
      <c r="CA64" s="893"/>
      <c r="CB64" s="894"/>
      <c r="CC64" s="894">
        <f>CC63/(CC60-CC59)</f>
        <v>0.53553177898435012</v>
      </c>
      <c r="CD64" s="894"/>
      <c r="CE64" s="894"/>
      <c r="CF64" s="894"/>
      <c r="CG64" s="894">
        <f>CG63/(CG60-CG59)</f>
        <v>0.53553177898435</v>
      </c>
      <c r="CH64" s="894"/>
      <c r="CI64" s="894"/>
      <c r="CJ64" s="894"/>
      <c r="CK64" s="1195">
        <f>CK63/(CK60-CK59)</f>
        <v>0.53553177898435</v>
      </c>
      <c r="CL64" s="894"/>
      <c r="CM64" s="894"/>
      <c r="CN64" s="894">
        <f>CN63/(CN60-CN59)</f>
        <v>0.53553177898435</v>
      </c>
      <c r="CO64" s="894"/>
      <c r="CP64" s="894">
        <f>CP63/(CP60-CP59)</f>
        <v>0.53553177898434989</v>
      </c>
      <c r="CQ64" s="891"/>
      <c r="CR64" s="891"/>
      <c r="CS64" s="891"/>
      <c r="CT64" s="891"/>
      <c r="CU64" s="891"/>
      <c r="CV64" s="891"/>
      <c r="CW64" s="894"/>
      <c r="CX64" s="1195"/>
      <c r="CY64" s="894"/>
      <c r="CZ64" s="894"/>
      <c r="DA64" s="894"/>
      <c r="DB64" s="891"/>
      <c r="DC64" s="891"/>
      <c r="DD64" s="891"/>
      <c r="DE64" s="891"/>
      <c r="DF64" s="891"/>
      <c r="DG64" s="891"/>
      <c r="DH64" s="891"/>
      <c r="DI64" s="894"/>
      <c r="DJ64" s="1195"/>
      <c r="DK64" s="894"/>
      <c r="DL64" s="894"/>
      <c r="DM64" s="894"/>
      <c r="DN64" s="891"/>
      <c r="DO64" s="891"/>
      <c r="DP64" s="891"/>
      <c r="DQ64" s="891"/>
      <c r="DR64" s="891"/>
      <c r="DS64" s="891"/>
      <c r="DT64" s="891"/>
      <c r="DU64" s="891"/>
      <c r="DV64" s="891"/>
      <c r="DW64" s="891"/>
      <c r="DX64" s="891"/>
      <c r="DY64" s="891"/>
      <c r="DZ64" s="891"/>
      <c r="EA64" s="891"/>
    </row>
    <row r="65" spans="1:131">
      <c r="H65" s="105"/>
      <c r="I65" s="117"/>
      <c r="J65" s="117"/>
      <c r="L65" s="103"/>
      <c r="N65" s="266"/>
      <c r="W65" s="103"/>
      <c r="X65" s="1163"/>
      <c r="Y65" s="1173"/>
      <c r="AJ65" s="705"/>
      <c r="AK65" s="105"/>
      <c r="AL65" s="105"/>
      <c r="AV65" s="705"/>
      <c r="AW65" s="105"/>
      <c r="AX65" s="105"/>
      <c r="BH65" s="705"/>
      <c r="BI65" s="105"/>
      <c r="BJ65" s="105"/>
      <c r="BS65" s="1152"/>
      <c r="BT65" s="1279"/>
      <c r="BU65" s="117"/>
      <c r="BV65" s="117"/>
      <c r="BW65" s="117"/>
      <c r="BX65" s="117"/>
      <c r="BY65" s="117"/>
      <c r="BZ65" s="1433"/>
      <c r="CA65" s="117"/>
      <c r="CB65" s="117"/>
      <c r="CC65" s="117"/>
      <c r="CD65" s="117"/>
      <c r="CE65" s="117"/>
      <c r="CF65" s="117"/>
      <c r="CG65" s="117"/>
      <c r="CH65" s="1152"/>
      <c r="CI65" s="1152"/>
      <c r="CJ65" s="1152"/>
      <c r="CK65" s="1142"/>
      <c r="CM65" s="117"/>
      <c r="CN65" s="117"/>
      <c r="CO65" s="117"/>
      <c r="CP65" s="117"/>
      <c r="CW65" s="1152"/>
      <c r="CX65" s="1142"/>
      <c r="CY65" s="117"/>
      <c r="CZ65" s="117"/>
      <c r="DA65" s="117"/>
      <c r="DI65" s="1152"/>
      <c r="DJ65" s="1142"/>
      <c r="DK65" s="117"/>
      <c r="DL65" s="117"/>
      <c r="DM65" s="117"/>
    </row>
    <row r="66" spans="1:131" hidden="1">
      <c r="H66" s="105"/>
      <c r="I66" s="117"/>
      <c r="J66" s="117"/>
      <c r="K66" s="9" t="b">
        <f>IF($B$3=N54,TRUE,FALSE)</f>
        <v>0</v>
      </c>
      <c r="L66" s="608" t="b">
        <f>IF($B$3=N50,TRUE,FALSE)</f>
        <v>0</v>
      </c>
      <c r="M66" s="9" t="b">
        <f>IF($B$3=P50,TRUE,FALSE)</f>
        <v>0</v>
      </c>
      <c r="N66" s="9" t="b">
        <f>IF($B$3=P50,TRUE,FALSE)</f>
        <v>0</v>
      </c>
      <c r="O66" s="9" t="b">
        <f>IF($B$3=R50,TRUE,FALSE)</f>
        <v>0</v>
      </c>
      <c r="P66" s="9" t="b">
        <f>IF($B$3=R50,TRUE,FALSE)</f>
        <v>0</v>
      </c>
      <c r="Q66" s="9" t="b">
        <f>IF($B$3=T50,TRUE,FALSE)</f>
        <v>0</v>
      </c>
      <c r="R66" s="9" t="b">
        <f>IF($B$3=T50,TRUE,FALSE)</f>
        <v>0</v>
      </c>
      <c r="S66" s="9" t="b">
        <f>IF($B$3=V50,TRUE,FALSE)</f>
        <v>0</v>
      </c>
      <c r="T66" s="9" t="b">
        <f>IF($B$3=V50,TRUE,FALSE)</f>
        <v>0</v>
      </c>
      <c r="U66" s="9" t="b">
        <f>IF($B$3=X50,TRUE,FALSE)</f>
        <v>0</v>
      </c>
      <c r="V66" s="9" t="b">
        <f>IF($B$3=X50,TRUE,FALSE)</f>
        <v>0</v>
      </c>
      <c r="W66" s="103" t="b">
        <f>IF($B$3=Z50,TRUE,FALSE)</f>
        <v>0</v>
      </c>
      <c r="X66" s="9" t="b">
        <f>IF($B$3=Z50,TRUE,FALSE)</f>
        <v>0</v>
      </c>
      <c r="Y66" s="265" t="b">
        <f>IF($B$3=AB50,TRUE,FALSE)</f>
        <v>0</v>
      </c>
      <c r="Z66" s="9" t="b">
        <f>IF($B$3=AB50,TRUE,FALSE)</f>
        <v>0</v>
      </c>
      <c r="AA66" s="9" t="b">
        <f>IF($B$3=AD50,TRUE,FALSE)</f>
        <v>0</v>
      </c>
      <c r="AB66" s="9" t="b">
        <f>IF($B$3=AD50,TRUE,FALSE)</f>
        <v>0</v>
      </c>
      <c r="AC66" s="9" t="b">
        <f>IF($B$3=AF50,TRUE,FALSE)</f>
        <v>0</v>
      </c>
      <c r="AD66" s="9" t="b">
        <f>IF($B$3=AF50,TRUE,FALSE)</f>
        <v>0</v>
      </c>
      <c r="AE66" s="9" t="b">
        <f>IF($B$3=AH50,TRUE,FALSE)</f>
        <v>0</v>
      </c>
      <c r="AF66" s="9" t="b">
        <f>IF($B$3=AH50,TRUE,FALSE)</f>
        <v>0</v>
      </c>
      <c r="AG66" s="9" t="b">
        <f>IF($B$3=AJ50,TRUE,FALSE)</f>
        <v>0</v>
      </c>
      <c r="AH66" s="9" t="b">
        <f>IF($B$3=AJ50,TRUE,FALSE)</f>
        <v>0</v>
      </c>
      <c r="AI66" s="9" t="b">
        <f>IF($B$3=AL50,TRUE,FALSE)</f>
        <v>0</v>
      </c>
      <c r="AJ66" s="9" t="b">
        <f>IF($B$3=AL50,TRUE,FALSE)</f>
        <v>0</v>
      </c>
      <c r="AK66" s="265" t="b">
        <f>IF($B$3=AN50,TRUE,FALSE)</f>
        <v>0</v>
      </c>
      <c r="AL66" s="89" t="b">
        <f>IF($B$3=AN50,TRUE,FALSE)</f>
        <v>0</v>
      </c>
      <c r="AM66" s="9" t="b">
        <f>IF($B$3=AP50,TRUE,FALSE)</f>
        <v>0</v>
      </c>
      <c r="AN66" s="9" t="b">
        <f>IF($B$3=AP50,TRUE,FALSE)</f>
        <v>0</v>
      </c>
      <c r="AO66" s="9" t="b">
        <f>IF($B$3=AR50,TRUE,FALSE)</f>
        <v>0</v>
      </c>
      <c r="AP66" s="9" t="b">
        <f>IF($B$3=AR50,TRUE,FALSE)</f>
        <v>0</v>
      </c>
      <c r="AQ66" s="9" t="b">
        <f>IF($B$3=AT50,TRUE,FALSE)</f>
        <v>0</v>
      </c>
      <c r="AR66" s="9" t="b">
        <f>IF($B$3=AT50,TRUE,FALSE)</f>
        <v>0</v>
      </c>
      <c r="AS66" s="9" t="b">
        <f>IF($B$3=AV50,TRUE,FALSE)</f>
        <v>0</v>
      </c>
      <c r="AT66" s="9" t="b">
        <f>IF($B$3=AV50,TRUE,FALSE)</f>
        <v>0</v>
      </c>
      <c r="AU66" s="9" t="b">
        <f>IF($B$3=AX50,TRUE,FALSE)</f>
        <v>0</v>
      </c>
      <c r="AV66" s="9" t="b">
        <f>IF($B$3=AX50,TRUE,FALSE)</f>
        <v>0</v>
      </c>
      <c r="AW66" s="265" t="b">
        <f>IF($B$3=AZ50,TRUE,FALSE)</f>
        <v>0</v>
      </c>
      <c r="AX66" s="89" t="b">
        <f>IF($B$3=AZ50,TRUE,FALSE)</f>
        <v>0</v>
      </c>
      <c r="AY66" s="9" t="b">
        <f>IF($B$3=BB50,TRUE,FALSE)</f>
        <v>0</v>
      </c>
      <c r="AZ66" s="9" t="b">
        <f>IF($B$3=BB50,TRUE,FALSE)</f>
        <v>0</v>
      </c>
      <c r="BA66" s="9" t="b">
        <f>IF($B$3=BD50,TRUE,FALSE)</f>
        <v>0</v>
      </c>
      <c r="BB66" s="9" t="b">
        <f>IF($B$3=BD50,TRUE,FALSE)</f>
        <v>0</v>
      </c>
      <c r="BC66" s="9" t="b">
        <f>IF($B$3=BF50,TRUE,FALSE)</f>
        <v>0</v>
      </c>
      <c r="BD66" s="9" t="b">
        <f>IF($B$3=BF50,TRUE,FALSE)</f>
        <v>0</v>
      </c>
      <c r="BE66" s="9" t="b">
        <f>IF($B$3=BH50,TRUE,FALSE)</f>
        <v>0</v>
      </c>
      <c r="BF66" s="9" t="b">
        <f>IF($B$3=BH50,TRUE,FALSE)</f>
        <v>0</v>
      </c>
      <c r="BG66" s="9" t="b">
        <f>IF($B$3=BJ50,TRUE,FALSE)</f>
        <v>0</v>
      </c>
      <c r="BH66" s="9" t="b">
        <f>IF($B$3=BJ50,TRUE,FALSE)</f>
        <v>0</v>
      </c>
      <c r="BI66" s="265" t="b">
        <f>IF($B$3=BL50,TRUE,FALSE)</f>
        <v>0</v>
      </c>
      <c r="BJ66" s="89" t="b">
        <f>IF($B$3=BL50,TRUE,FALSE)</f>
        <v>0</v>
      </c>
      <c r="BK66" s="9" t="b">
        <f>IF($B$3=BN50,TRUE,FALSE)</f>
        <v>0</v>
      </c>
      <c r="BL66" s="9" t="b">
        <f>IF($B$3=BN50,TRUE,FALSE)</f>
        <v>0</v>
      </c>
      <c r="BM66" s="9" t="b">
        <f>IF($B$3=BP50,TRUE,FALSE)</f>
        <v>0</v>
      </c>
      <c r="BN66" s="9" t="b">
        <f>IF($B$3=BP50,TRUE,FALSE)</f>
        <v>0</v>
      </c>
      <c r="BO66" s="9" t="b">
        <f>IF($B$3=BR50,TRUE,FALSE)</f>
        <v>0</v>
      </c>
      <c r="BP66" s="9" t="b">
        <f>IF($B$3=BR50,TRUE,FALSE)</f>
        <v>0</v>
      </c>
      <c r="BQ66" s="9" t="b">
        <f>IF($B$3=BT50,TRUE,FALSE)</f>
        <v>0</v>
      </c>
      <c r="BR66" s="9" t="b">
        <f>IF($B$3=BT50,TRUE,FALSE)</f>
        <v>0</v>
      </c>
      <c r="BS66" s="9" t="b">
        <f>IF($B$3=BV50,TRUE,FALSE)</f>
        <v>0</v>
      </c>
      <c r="BT66" s="9" t="b">
        <f>IF($B$3=BV50,TRUE,FALSE)</f>
        <v>0</v>
      </c>
      <c r="BU66" s="974" t="b">
        <f>IF($B$3=BX50,TRUE,FALSE)</f>
        <v>0</v>
      </c>
      <c r="BV66" s="117" t="b">
        <f>IF($B$3=BX50,TRUE,FALSE)</f>
        <v>0</v>
      </c>
      <c r="BW66" s="117" t="b">
        <f>IF($B$3=BZ50,TRUE,FALSE)</f>
        <v>1</v>
      </c>
      <c r="BX66" s="117" t="b">
        <f>IF($B$3=BZ50,TRUE,FALSE)</f>
        <v>1</v>
      </c>
      <c r="BY66" s="117" t="b">
        <f>IF($B$3=CC50,TRUE,FALSE)</f>
        <v>0</v>
      </c>
      <c r="BZ66" s="1433" t="b">
        <f>IF($B$3=CC50,TRUE,FALSE)</f>
        <v>0</v>
      </c>
      <c r="CA66" s="117"/>
      <c r="CB66" s="117" t="b">
        <f>IF($B$3=CG50,TRUE,FALSE)</f>
        <v>0</v>
      </c>
      <c r="CC66" s="117" t="b">
        <f>IF($B$3=CG50,TRUE,FALSE)</f>
        <v>0</v>
      </c>
      <c r="CD66" s="117" t="b">
        <f>IF($B$3=CK50,TRUE,FALSE)</f>
        <v>0</v>
      </c>
      <c r="CE66" s="117"/>
      <c r="CF66" s="117" t="b">
        <f>IF($B$3=CN50,TRUE,FALSE)</f>
        <v>0</v>
      </c>
      <c r="CG66" s="117" t="b">
        <f>IF($B$3=CK50,TRUE,FALSE)</f>
        <v>0</v>
      </c>
      <c r="CH66" s="9" t="b">
        <f>IF($B$3=CN50,TRUE,FALSE)</f>
        <v>0</v>
      </c>
      <c r="CJ66" s="9" t="b">
        <f>IF($B$3=CP50,TRUE,FALSE)</f>
        <v>0</v>
      </c>
      <c r="CK66" s="9" t="b">
        <f>IF($B$3=CN50,TRUE,FALSE)</f>
        <v>0</v>
      </c>
      <c r="CM66" s="974" t="b">
        <f>IF($B$3=CP50,TRUE,FALSE)</f>
        <v>0</v>
      </c>
      <c r="CN66" s="117" t="b">
        <f>IF($B$3=CP50,TRUE,FALSE)</f>
        <v>0</v>
      </c>
      <c r="CO66" s="117" t="b">
        <f>IF($B$3=CR50,TRUE,FALSE)</f>
        <v>0</v>
      </c>
      <c r="CP66" s="117" t="b">
        <f>IF($B$3=CR50,TRUE,FALSE)</f>
        <v>0</v>
      </c>
      <c r="CQ66" s="9" t="b">
        <f>IF($B$3=CT50,TRUE,FALSE)</f>
        <v>0</v>
      </c>
      <c r="CR66" s="9" t="b">
        <f>IF($B$3=CT50,TRUE,FALSE)</f>
        <v>0</v>
      </c>
      <c r="CS66" s="9" t="b">
        <f>IF($B$3=CV50,TRUE,FALSE)</f>
        <v>0</v>
      </c>
      <c r="CT66" s="9" t="b">
        <f>IF($B$3=CV50,TRUE,FALSE)</f>
        <v>0</v>
      </c>
      <c r="CU66" s="9" t="b">
        <f>IF($B$3=CX50,TRUE,FALSE)</f>
        <v>0</v>
      </c>
      <c r="CV66" s="9" t="b">
        <f>IF($B$3=CX50,TRUE,FALSE)</f>
        <v>0</v>
      </c>
      <c r="CW66" s="9" t="b">
        <f>IF($B$3=CZ50,TRUE,FALSE)</f>
        <v>0</v>
      </c>
      <c r="CX66" s="9" t="b">
        <f>IF($B$3=CZ50,TRUE,FALSE)</f>
        <v>0</v>
      </c>
      <c r="CY66" s="974" t="b">
        <f>IF($B$3=DB50,TRUE,FALSE)</f>
        <v>0</v>
      </c>
      <c r="CZ66" s="117" t="b">
        <f>IF($B$3=DB50,TRUE,FALSE)</f>
        <v>0</v>
      </c>
      <c r="DA66" s="117" t="b">
        <f>IF($B$3=DD50,TRUE,FALSE)</f>
        <v>0</v>
      </c>
      <c r="DB66" s="9" t="b">
        <f>IF($B$3=DD50,TRUE,FALSE)</f>
        <v>0</v>
      </c>
      <c r="DC66" s="9" t="b">
        <f>IF($B$3=DF50,TRUE,FALSE)</f>
        <v>0</v>
      </c>
      <c r="DD66" s="9" t="b">
        <f>IF($B$3=DF50,TRUE,FALSE)</f>
        <v>0</v>
      </c>
      <c r="DE66" s="9" t="b">
        <f>IF($B$3=DH50,TRUE,FALSE)</f>
        <v>0</v>
      </c>
      <c r="DF66" s="9" t="b">
        <f>IF($B$3=DH50,TRUE,FALSE)</f>
        <v>0</v>
      </c>
      <c r="DG66" s="9" t="b">
        <f>IF($B$3=DJ50,TRUE,FALSE)</f>
        <v>0</v>
      </c>
      <c r="DH66" s="9" t="b">
        <f>IF($B$3=DJ50,TRUE,FALSE)</f>
        <v>0</v>
      </c>
      <c r="DI66" s="9" t="b">
        <f>IF($B$3=DL50,TRUE,FALSE)</f>
        <v>0</v>
      </c>
      <c r="DJ66" s="9" t="b">
        <f>IF($B$3=DL50,TRUE,FALSE)</f>
        <v>0</v>
      </c>
      <c r="DK66" s="974" t="b">
        <f>IF($B$3=DN50,TRUE,FALSE)</f>
        <v>0</v>
      </c>
      <c r="DL66" s="117" t="b">
        <f>IF($B$3=DN50,TRUE,FALSE)</f>
        <v>0</v>
      </c>
      <c r="DM66" s="117" t="b">
        <f>IF($B$3=DP50,TRUE,FALSE)</f>
        <v>0</v>
      </c>
      <c r="DN66" s="9" t="b">
        <f>IF($B$3=DP50,TRUE,FALSE)</f>
        <v>0</v>
      </c>
      <c r="DO66" s="9" t="b">
        <f>IF($B$3=DR50,TRUE,FALSE)</f>
        <v>0</v>
      </c>
      <c r="DP66" s="9" t="b">
        <f>IF($B$3=DR50,TRUE,FALSE)</f>
        <v>0</v>
      </c>
      <c r="DQ66" s="9" t="b">
        <f>IF($B$3=DT50,TRUE,FALSE)</f>
        <v>0</v>
      </c>
      <c r="DR66" s="9" t="b">
        <f>IF($B$3=DT50,TRUE,FALSE)</f>
        <v>0</v>
      </c>
      <c r="DS66" s="9" t="b">
        <f>IF($B$3=DV50,TRUE,FALSE)</f>
        <v>0</v>
      </c>
    </row>
    <row r="67" spans="1:131">
      <c r="C67" s="1004" t="s">
        <v>906</v>
      </c>
      <c r="D67" s="9">
        <f>SUM(M67:X67)</f>
        <v>611</v>
      </c>
      <c r="E67" s="9">
        <f>SUM(Y67:AJ67)</f>
        <v>406</v>
      </c>
      <c r="F67" s="9">
        <f>SUM(AK67:AV67)</f>
        <v>338</v>
      </c>
      <c r="G67" s="9">
        <f>SUM(AW67:BH67)</f>
        <v>455</v>
      </c>
      <c r="H67" s="105">
        <f>SUM(BI67:BT67)</f>
        <v>531</v>
      </c>
      <c r="I67" s="117">
        <f>SUM(BU67:CK67)</f>
        <v>544</v>
      </c>
      <c r="J67" s="117"/>
      <c r="L67" s="280">
        <v>19</v>
      </c>
      <c r="M67" s="852">
        <v>48</v>
      </c>
      <c r="N67" s="704">
        <v>64</v>
      </c>
      <c r="O67" s="237">
        <v>58</v>
      </c>
      <c r="P67" s="237">
        <v>57</v>
      </c>
      <c r="Q67" s="237">
        <v>61</v>
      </c>
      <c r="R67" s="237">
        <v>51</v>
      </c>
      <c r="S67" s="237">
        <v>67</v>
      </c>
      <c r="T67" s="237">
        <v>71</v>
      </c>
      <c r="U67" s="237">
        <v>39</v>
      </c>
      <c r="V67" s="1234">
        <v>34</v>
      </c>
      <c r="W67" s="1233">
        <v>20</v>
      </c>
      <c r="X67" s="1249">
        <v>41</v>
      </c>
      <c r="Y67" s="237">
        <v>35</v>
      </c>
      <c r="Z67" s="237">
        <v>28</v>
      </c>
      <c r="AA67" s="237">
        <v>30</v>
      </c>
      <c r="AB67" s="237">
        <v>27</v>
      </c>
      <c r="AC67" s="237">
        <v>33</v>
      </c>
      <c r="AD67" s="237">
        <v>37</v>
      </c>
      <c r="AE67" s="237">
        <v>39</v>
      </c>
      <c r="AF67" s="237">
        <v>50</v>
      </c>
      <c r="AG67" s="237">
        <v>33</v>
      </c>
      <c r="AH67" s="1208">
        <v>31</v>
      </c>
      <c r="AI67" s="1206">
        <v>29</v>
      </c>
      <c r="AJ67" s="1206">
        <v>34</v>
      </c>
      <c r="AK67" s="281">
        <v>26</v>
      </c>
      <c r="AL67" s="281">
        <v>20</v>
      </c>
      <c r="AM67" s="281">
        <v>18</v>
      </c>
      <c r="AN67" s="237">
        <v>18</v>
      </c>
      <c r="AO67" s="237">
        <v>21</v>
      </c>
      <c r="AP67" s="237">
        <v>32</v>
      </c>
      <c r="AQ67" s="237">
        <v>34</v>
      </c>
      <c r="AR67" s="237">
        <v>49</v>
      </c>
      <c r="AS67" s="281">
        <v>28</v>
      </c>
      <c r="AT67" s="1208">
        <v>33</v>
      </c>
      <c r="AU67" s="1206">
        <v>29</v>
      </c>
      <c r="AV67" s="1206">
        <v>30</v>
      </c>
      <c r="AW67" s="281">
        <v>36</v>
      </c>
      <c r="AX67" s="281">
        <v>29</v>
      </c>
      <c r="AY67" s="281">
        <v>29</v>
      </c>
      <c r="AZ67" s="281">
        <v>29</v>
      </c>
      <c r="BA67" s="281">
        <v>39</v>
      </c>
      <c r="BB67" s="281">
        <v>39</v>
      </c>
      <c r="BC67" s="281">
        <v>53</v>
      </c>
      <c r="BD67" s="281">
        <v>57</v>
      </c>
      <c r="BE67" s="281">
        <v>39</v>
      </c>
      <c r="BF67" s="1208">
        <v>37</v>
      </c>
      <c r="BG67" s="1206">
        <v>32</v>
      </c>
      <c r="BH67" s="1207">
        <v>36</v>
      </c>
      <c r="BI67" s="1220">
        <v>42</v>
      </c>
      <c r="BJ67" s="281">
        <v>35</v>
      </c>
      <c r="BK67" s="281">
        <v>37</v>
      </c>
      <c r="BL67" s="281">
        <v>37</v>
      </c>
      <c r="BM67" s="281">
        <v>43</v>
      </c>
      <c r="BN67" s="281">
        <v>54</v>
      </c>
      <c r="BO67" s="281">
        <v>53</v>
      </c>
      <c r="BP67" s="281">
        <v>55</v>
      </c>
      <c r="BQ67" s="281">
        <v>46</v>
      </c>
      <c r="BR67" s="1280">
        <v>47</v>
      </c>
      <c r="BS67" s="105">
        <v>37</v>
      </c>
      <c r="BT67" s="281">
        <v>45</v>
      </c>
      <c r="BU67" s="281">
        <v>39</v>
      </c>
      <c r="BV67" s="281">
        <v>34</v>
      </c>
      <c r="BW67" s="281">
        <v>41</v>
      </c>
      <c r="BX67" s="281">
        <v>60</v>
      </c>
      <c r="BY67" s="311">
        <v>43</v>
      </c>
      <c r="BZ67" s="1432">
        <v>54</v>
      </c>
      <c r="CA67" s="311"/>
      <c r="CB67" s="311">
        <v>29</v>
      </c>
      <c r="CC67" s="311">
        <v>29</v>
      </c>
      <c r="CD67" s="311">
        <v>43</v>
      </c>
      <c r="CE67" s="311"/>
      <c r="CF67" s="311">
        <v>43</v>
      </c>
      <c r="CG67" s="311">
        <v>43</v>
      </c>
      <c r="CH67" s="117">
        <v>25</v>
      </c>
      <c r="CI67" s="117"/>
      <c r="CJ67" s="117">
        <v>25</v>
      </c>
      <c r="CK67" s="311">
        <v>36</v>
      </c>
      <c r="CL67" s="311"/>
      <c r="CM67" s="311">
        <v>42</v>
      </c>
      <c r="CN67" s="311">
        <v>35</v>
      </c>
      <c r="CO67" s="311">
        <v>37</v>
      </c>
      <c r="CP67" s="311">
        <v>37</v>
      </c>
      <c r="CQ67" s="311">
        <v>43</v>
      </c>
      <c r="CR67" s="311">
        <v>54</v>
      </c>
      <c r="CS67" s="311">
        <v>29</v>
      </c>
      <c r="CT67" s="311">
        <v>29</v>
      </c>
      <c r="CU67" s="311">
        <v>43</v>
      </c>
      <c r="CV67" s="311">
        <v>43</v>
      </c>
      <c r="CW67" s="117">
        <v>25</v>
      </c>
      <c r="CX67" s="311">
        <v>36</v>
      </c>
      <c r="CY67" s="311"/>
      <c r="CZ67" s="311"/>
      <c r="DA67" s="311"/>
      <c r="DB67" s="311"/>
      <c r="DC67" s="311"/>
      <c r="DD67" s="311"/>
      <c r="DE67" s="311"/>
      <c r="DF67" s="311"/>
      <c r="DG67" s="311"/>
      <c r="DH67" s="311"/>
      <c r="DI67" s="117"/>
      <c r="DJ67" s="311"/>
      <c r="DK67" s="311"/>
      <c r="DL67" s="311"/>
      <c r="DM67" s="311"/>
      <c r="DN67" s="311"/>
      <c r="DO67" s="311"/>
      <c r="DP67" s="311"/>
      <c r="DQ67" s="311"/>
      <c r="DR67" s="311"/>
      <c r="DS67" s="311"/>
      <c r="DT67" s="311"/>
      <c r="DU67" s="311"/>
      <c r="DV67" s="311"/>
      <c r="DW67" s="311"/>
      <c r="DX67" s="311"/>
      <c r="DY67" s="311"/>
      <c r="DZ67" s="311"/>
      <c r="EA67" s="311"/>
    </row>
    <row r="68" spans="1:131">
      <c r="C68" s="982" t="s">
        <v>907</v>
      </c>
      <c r="D68" s="278">
        <f>SUM(M68:X68)</f>
        <v>510</v>
      </c>
      <c r="E68" s="278">
        <f>SUM(Y68:AJ68)</f>
        <v>0</v>
      </c>
      <c r="F68" s="278">
        <f>SUM(AK68:AV68)</f>
        <v>0</v>
      </c>
      <c r="G68" s="278">
        <f>SUM(AW68:BH68)</f>
        <v>0</v>
      </c>
      <c r="H68" s="288">
        <f>SUM(BI68:BT68)</f>
        <v>0</v>
      </c>
      <c r="I68" s="289">
        <f>SUM(BU68:CK68)</f>
        <v>0</v>
      </c>
      <c r="J68" s="117"/>
      <c r="L68" s="276">
        <v>7</v>
      </c>
      <c r="M68" s="278">
        <v>23</v>
      </c>
      <c r="N68" s="278">
        <v>55</v>
      </c>
      <c r="O68" s="278">
        <v>56</v>
      </c>
      <c r="P68" s="278">
        <v>57</v>
      </c>
      <c r="Q68" s="278">
        <v>55</v>
      </c>
      <c r="R68" s="278">
        <v>48</v>
      </c>
      <c r="S68" s="278">
        <v>65</v>
      </c>
      <c r="T68" s="278">
        <v>56</v>
      </c>
      <c r="U68" s="278">
        <v>49</v>
      </c>
      <c r="V68" s="1174">
        <v>46</v>
      </c>
      <c r="W68" s="276"/>
      <c r="X68" s="1170"/>
      <c r="Y68" s="278"/>
      <c r="Z68" s="278"/>
      <c r="AA68" s="278"/>
      <c r="AB68" s="278"/>
      <c r="AC68" s="278"/>
      <c r="AD68" s="278"/>
      <c r="AE68" s="278"/>
      <c r="AF68" s="278"/>
      <c r="AG68" s="278"/>
      <c r="AH68" s="1209"/>
      <c r="AI68" s="647"/>
      <c r="AJ68" s="647"/>
      <c r="AK68" s="288"/>
      <c r="AL68" s="288"/>
      <c r="AM68" s="288"/>
      <c r="AN68" s="278"/>
      <c r="AO68" s="278"/>
      <c r="AP68" s="278"/>
      <c r="AQ68" s="278"/>
      <c r="AR68" s="278"/>
      <c r="AS68" s="288"/>
      <c r="AT68" s="1209"/>
      <c r="AU68" s="647"/>
      <c r="AV68" s="647"/>
      <c r="AW68" s="288"/>
      <c r="AX68" s="288"/>
      <c r="AY68" s="288"/>
      <c r="AZ68" s="288"/>
      <c r="BA68" s="288"/>
      <c r="BB68" s="288"/>
      <c r="BC68" s="288"/>
      <c r="BD68" s="288"/>
      <c r="BE68" s="288"/>
      <c r="BF68" s="1209"/>
      <c r="BG68" s="647"/>
      <c r="BH68" s="853"/>
      <c r="BI68" s="288"/>
      <c r="BJ68" s="288"/>
      <c r="BK68" s="288"/>
      <c r="BL68" s="288"/>
      <c r="BM68" s="288"/>
      <c r="BN68" s="288"/>
      <c r="BO68" s="288"/>
      <c r="BP68" s="288"/>
      <c r="BQ68" s="288"/>
      <c r="BR68" s="1281"/>
      <c r="BS68" s="288"/>
      <c r="BT68" s="288"/>
      <c r="BU68" s="288"/>
      <c r="BV68" s="288"/>
      <c r="BW68" s="288"/>
      <c r="BX68" s="288"/>
      <c r="BY68" s="289"/>
      <c r="BZ68" s="1418"/>
      <c r="CA68" s="289"/>
      <c r="CB68" s="289"/>
      <c r="CC68" s="289"/>
      <c r="CD68" s="289"/>
      <c r="CE68" s="289"/>
      <c r="CF68" s="289"/>
      <c r="CG68" s="289"/>
      <c r="CH68" s="278"/>
      <c r="CI68" s="278"/>
      <c r="CJ68" s="278"/>
      <c r="CK68" s="278"/>
      <c r="CL68" s="278"/>
      <c r="CM68" s="289"/>
      <c r="CN68" s="289"/>
      <c r="CO68" s="289"/>
      <c r="CP68" s="289"/>
      <c r="CQ68" s="289"/>
      <c r="CR68" s="289"/>
      <c r="CS68" s="289"/>
      <c r="CT68" s="289"/>
      <c r="CU68" s="289"/>
      <c r="CV68" s="289"/>
      <c r="CW68" s="278"/>
      <c r="CX68" s="278"/>
      <c r="CY68" s="289"/>
      <c r="CZ68" s="289"/>
      <c r="DA68" s="289"/>
      <c r="DB68" s="278"/>
      <c r="DC68" s="278"/>
      <c r="DD68" s="278"/>
      <c r="DE68" s="278"/>
      <c r="DF68" s="278"/>
      <c r="DG68" s="278"/>
      <c r="DH68" s="278"/>
      <c r="DI68" s="278"/>
      <c r="DJ68" s="278"/>
      <c r="DK68" s="289"/>
      <c r="DL68" s="289"/>
      <c r="DM68" s="289"/>
      <c r="DN68" s="278"/>
      <c r="DO68" s="278"/>
      <c r="DP68" s="278"/>
      <c r="DQ68" s="278"/>
      <c r="DR68" s="278"/>
      <c r="DS68" s="278"/>
      <c r="DT68" s="278"/>
      <c r="DU68" s="278"/>
      <c r="DV68" s="278"/>
      <c r="DW68" s="278"/>
      <c r="DX68" s="278"/>
      <c r="DY68" s="278"/>
      <c r="DZ68" s="278"/>
      <c r="EA68" s="278"/>
    </row>
    <row r="69" spans="1:131">
      <c r="C69" s="981" t="s">
        <v>908</v>
      </c>
      <c r="D69" s="9">
        <f>SUM(M69:X69)</f>
        <v>652</v>
      </c>
      <c r="E69" s="9">
        <f>SUM(Y69:AJ69)</f>
        <v>0</v>
      </c>
      <c r="F69" s="9">
        <f>SUM(AK69:AV69)</f>
        <v>438</v>
      </c>
      <c r="G69" s="9">
        <f>SUM(AW69:BH69)</f>
        <v>523</v>
      </c>
      <c r="H69" s="105">
        <f>SUM(BI69:BT69)</f>
        <v>610</v>
      </c>
      <c r="I69" s="117">
        <f>SUM(BU69:CK69)</f>
        <v>715</v>
      </c>
      <c r="J69" s="117"/>
      <c r="L69" s="103">
        <v>10</v>
      </c>
      <c r="M69" s="9">
        <v>23</v>
      </c>
      <c r="N69" s="9">
        <v>47</v>
      </c>
      <c r="O69" s="9">
        <v>60</v>
      </c>
      <c r="P69" s="9">
        <v>76</v>
      </c>
      <c r="Q69" s="9">
        <v>79</v>
      </c>
      <c r="R69" s="9">
        <v>82</v>
      </c>
      <c r="S69" s="9">
        <v>81</v>
      </c>
      <c r="T69" s="9">
        <v>87</v>
      </c>
      <c r="U69" s="9">
        <v>59</v>
      </c>
      <c r="V69" s="705">
        <v>58</v>
      </c>
      <c r="W69" s="103"/>
      <c r="X69" s="99"/>
      <c r="AH69" s="1210"/>
      <c r="AI69" s="128"/>
      <c r="AJ69" s="128"/>
      <c r="AK69" s="105">
        <v>39</v>
      </c>
      <c r="AL69" s="105">
        <v>35</v>
      </c>
      <c r="AM69" s="105">
        <v>35</v>
      </c>
      <c r="AN69" s="9">
        <v>28</v>
      </c>
      <c r="AO69" s="9">
        <v>30</v>
      </c>
      <c r="AP69" s="9">
        <v>37</v>
      </c>
      <c r="AQ69" s="9">
        <v>50</v>
      </c>
      <c r="AR69" s="9">
        <v>41</v>
      </c>
      <c r="AS69" s="105">
        <v>35</v>
      </c>
      <c r="AT69" s="1210">
        <v>40</v>
      </c>
      <c r="AU69" s="128">
        <v>39</v>
      </c>
      <c r="AV69" s="128">
        <v>29</v>
      </c>
      <c r="AW69" s="105">
        <v>41</v>
      </c>
      <c r="AX69" s="105">
        <v>38</v>
      </c>
      <c r="AY69" s="105">
        <v>39</v>
      </c>
      <c r="AZ69" s="105">
        <v>40</v>
      </c>
      <c r="BA69" s="105">
        <v>37</v>
      </c>
      <c r="BB69" s="105">
        <v>48</v>
      </c>
      <c r="BC69" s="105">
        <v>60</v>
      </c>
      <c r="BD69" s="105">
        <v>64</v>
      </c>
      <c r="BE69" s="105">
        <v>41</v>
      </c>
      <c r="BF69" s="1210">
        <v>37</v>
      </c>
      <c r="BG69" s="128">
        <v>36</v>
      </c>
      <c r="BH69" s="661">
        <v>42</v>
      </c>
      <c r="BI69" s="105">
        <v>50</v>
      </c>
      <c r="BJ69" s="105">
        <v>46</v>
      </c>
      <c r="BK69" s="105">
        <v>50</v>
      </c>
      <c r="BL69" s="105">
        <v>42</v>
      </c>
      <c r="BM69" s="105">
        <v>52</v>
      </c>
      <c r="BN69" s="105">
        <v>71</v>
      </c>
      <c r="BO69" s="105">
        <v>64</v>
      </c>
      <c r="BP69" s="105">
        <v>53</v>
      </c>
      <c r="BQ69" s="105">
        <v>50</v>
      </c>
      <c r="BR69" s="1144">
        <v>41</v>
      </c>
      <c r="BS69" s="105">
        <v>45</v>
      </c>
      <c r="BT69" s="105">
        <v>46</v>
      </c>
      <c r="BU69" s="105">
        <v>44</v>
      </c>
      <c r="BV69" s="105">
        <v>51</v>
      </c>
      <c r="BW69" s="105">
        <v>48</v>
      </c>
      <c r="BX69" s="105">
        <v>37</v>
      </c>
      <c r="BY69" s="117">
        <v>52</v>
      </c>
      <c r="BZ69" s="1433">
        <v>71</v>
      </c>
      <c r="CA69" s="117"/>
      <c r="CB69" s="117">
        <v>72</v>
      </c>
      <c r="CC69" s="117">
        <f>BP69</f>
        <v>53</v>
      </c>
      <c r="CD69" s="117">
        <v>52</v>
      </c>
      <c r="CE69" s="117"/>
      <c r="CF69" s="117">
        <v>52</v>
      </c>
      <c r="CG69" s="117">
        <v>52</v>
      </c>
      <c r="CH69" s="117">
        <f>BS69</f>
        <v>45</v>
      </c>
      <c r="CI69" s="117"/>
      <c r="CJ69" s="117">
        <f>BU69</f>
        <v>44</v>
      </c>
      <c r="CK69" s="117">
        <v>42</v>
      </c>
      <c r="CL69" s="117"/>
      <c r="CM69" s="117">
        <v>50</v>
      </c>
      <c r="CN69" s="117">
        <v>46</v>
      </c>
      <c r="CO69" s="117">
        <v>50</v>
      </c>
      <c r="CP69" s="117">
        <v>42</v>
      </c>
      <c r="CQ69" s="117">
        <v>52</v>
      </c>
      <c r="CR69" s="117">
        <v>71</v>
      </c>
      <c r="CS69" s="117">
        <v>39</v>
      </c>
      <c r="CT69" s="117">
        <f>CC69</f>
        <v>53</v>
      </c>
      <c r="CU69" s="117">
        <v>52</v>
      </c>
      <c r="CV69" s="117">
        <v>52</v>
      </c>
      <c r="CW69" s="117">
        <f t="shared" ref="CW69:CW70" si="212">CH69</f>
        <v>45</v>
      </c>
      <c r="CX69" s="117">
        <v>42</v>
      </c>
      <c r="CY69" s="117"/>
      <c r="CZ69" s="117"/>
      <c r="DA69" s="117"/>
      <c r="DI69" s="117"/>
      <c r="DJ69" s="117"/>
      <c r="DK69" s="117"/>
      <c r="DL69" s="117"/>
      <c r="DM69" s="117"/>
    </row>
    <row r="70" spans="1:131">
      <c r="C70" s="1004" t="s">
        <v>909</v>
      </c>
      <c r="D70" s="9">
        <f>SUM(M70:X70)</f>
        <v>1341</v>
      </c>
      <c r="E70" s="9">
        <f>SUM(Y70:AJ70)</f>
        <v>1193</v>
      </c>
      <c r="F70" s="9">
        <f>SUM(AK70:AV70)</f>
        <v>608</v>
      </c>
      <c r="G70" s="9">
        <f>SUM(AW70:BH70)</f>
        <v>822</v>
      </c>
      <c r="H70" s="105">
        <f>SUM(BI70:BT70)</f>
        <v>956</v>
      </c>
      <c r="I70" s="117">
        <f>SUM(BU70:CK70)</f>
        <v>1153</v>
      </c>
      <c r="J70" s="117"/>
      <c r="L70" s="280">
        <f>SUM(L68:L69)</f>
        <v>17</v>
      </c>
      <c r="M70" s="237">
        <f t="shared" ref="M70:V70" si="213">SUM(M68:M69)</f>
        <v>46</v>
      </c>
      <c r="N70" s="237">
        <f t="shared" si="213"/>
        <v>102</v>
      </c>
      <c r="O70" s="237">
        <f t="shared" si="213"/>
        <v>116</v>
      </c>
      <c r="P70" s="237">
        <f t="shared" si="213"/>
        <v>133</v>
      </c>
      <c r="Q70" s="237">
        <f t="shared" si="213"/>
        <v>134</v>
      </c>
      <c r="R70" s="237">
        <f t="shared" si="213"/>
        <v>130</v>
      </c>
      <c r="S70" s="237">
        <f t="shared" si="213"/>
        <v>146</v>
      </c>
      <c r="T70" s="237">
        <f t="shared" si="213"/>
        <v>143</v>
      </c>
      <c r="U70" s="237">
        <f t="shared" si="213"/>
        <v>108</v>
      </c>
      <c r="V70" s="1234">
        <f t="shared" si="213"/>
        <v>104</v>
      </c>
      <c r="W70" s="280">
        <v>64</v>
      </c>
      <c r="X70" s="1248">
        <v>115</v>
      </c>
      <c r="Y70" s="237">
        <v>114</v>
      </c>
      <c r="Z70" s="237">
        <v>88</v>
      </c>
      <c r="AA70" s="237">
        <v>90</v>
      </c>
      <c r="AB70" s="237">
        <v>92</v>
      </c>
      <c r="AC70" s="237">
        <v>92</v>
      </c>
      <c r="AD70" s="237">
        <v>97</v>
      </c>
      <c r="AE70" s="237">
        <v>130</v>
      </c>
      <c r="AF70" s="237">
        <v>111</v>
      </c>
      <c r="AG70" s="237">
        <v>91</v>
      </c>
      <c r="AH70" s="1208">
        <v>91</v>
      </c>
      <c r="AI70" s="313">
        <v>91</v>
      </c>
      <c r="AJ70" s="313">
        <v>106</v>
      </c>
      <c r="AK70" s="281">
        <v>47</v>
      </c>
      <c r="AL70" s="281">
        <v>31</v>
      </c>
      <c r="AM70" s="281">
        <v>36</v>
      </c>
      <c r="AN70" s="237">
        <v>38</v>
      </c>
      <c r="AO70" s="237">
        <v>40</v>
      </c>
      <c r="AP70" s="237">
        <v>55</v>
      </c>
      <c r="AQ70" s="237">
        <v>67</v>
      </c>
      <c r="AR70" s="237">
        <v>60</v>
      </c>
      <c r="AS70" s="281">
        <v>43</v>
      </c>
      <c r="AT70" s="1208">
        <v>60</v>
      </c>
      <c r="AU70" s="313">
        <v>57</v>
      </c>
      <c r="AV70" s="313">
        <v>74</v>
      </c>
      <c r="AW70" s="281">
        <v>70</v>
      </c>
      <c r="AX70" s="281">
        <v>49</v>
      </c>
      <c r="AY70" s="281">
        <v>58</v>
      </c>
      <c r="AZ70" s="281">
        <v>61</v>
      </c>
      <c r="BA70" s="281">
        <v>60</v>
      </c>
      <c r="BB70" s="281">
        <v>73</v>
      </c>
      <c r="BC70" s="281">
        <v>97</v>
      </c>
      <c r="BD70" s="281">
        <v>101</v>
      </c>
      <c r="BE70" s="281">
        <v>63</v>
      </c>
      <c r="BF70" s="1208">
        <v>57</v>
      </c>
      <c r="BG70" s="313">
        <v>51</v>
      </c>
      <c r="BH70" s="850">
        <v>82</v>
      </c>
      <c r="BI70" s="281">
        <v>79</v>
      </c>
      <c r="BJ70" s="281">
        <v>66</v>
      </c>
      <c r="BK70" s="281">
        <v>73</v>
      </c>
      <c r="BL70" s="281">
        <v>74</v>
      </c>
      <c r="BM70" s="281">
        <v>75</v>
      </c>
      <c r="BN70" s="281">
        <v>117</v>
      </c>
      <c r="BO70" s="281">
        <v>101</v>
      </c>
      <c r="BP70" s="281">
        <v>97</v>
      </c>
      <c r="BQ70" s="281">
        <v>64</v>
      </c>
      <c r="BR70" s="1280">
        <v>59</v>
      </c>
      <c r="BS70" s="1298">
        <v>73</v>
      </c>
      <c r="BT70" s="1299">
        <v>78</v>
      </c>
      <c r="BU70" s="281">
        <v>78</v>
      </c>
      <c r="BV70" s="281">
        <v>64</v>
      </c>
      <c r="BW70" s="281">
        <v>73</v>
      </c>
      <c r="BX70" s="281">
        <v>75</v>
      </c>
      <c r="BY70" s="311">
        <v>75</v>
      </c>
      <c r="BZ70" s="1432">
        <v>117</v>
      </c>
      <c r="CA70" s="311"/>
      <c r="CB70" s="311">
        <v>116</v>
      </c>
      <c r="CC70" s="311">
        <f>BP70</f>
        <v>97</v>
      </c>
      <c r="CD70" s="311">
        <v>75</v>
      </c>
      <c r="CE70" s="311"/>
      <c r="CF70" s="311">
        <v>75</v>
      </c>
      <c r="CG70" s="311">
        <v>75</v>
      </c>
      <c r="CH70" s="1175">
        <f>BS70</f>
        <v>73</v>
      </c>
      <c r="CI70" s="1181"/>
      <c r="CJ70" s="1175">
        <f>BU70</f>
        <v>78</v>
      </c>
      <c r="CK70" s="1181">
        <v>82</v>
      </c>
      <c r="CL70" s="117"/>
      <c r="CM70" s="311">
        <v>79</v>
      </c>
      <c r="CN70" s="311">
        <v>66</v>
      </c>
      <c r="CO70" s="311">
        <v>73</v>
      </c>
      <c r="CP70" s="311">
        <v>74</v>
      </c>
      <c r="CQ70" s="311">
        <v>75</v>
      </c>
      <c r="CR70" s="311">
        <v>117</v>
      </c>
      <c r="CS70" s="311">
        <v>55</v>
      </c>
      <c r="CT70" s="311">
        <f>CC70</f>
        <v>97</v>
      </c>
      <c r="CU70" s="311">
        <v>75</v>
      </c>
      <c r="CV70" s="311">
        <v>75</v>
      </c>
      <c r="CW70" s="1175">
        <f t="shared" si="212"/>
        <v>73</v>
      </c>
      <c r="CX70" s="1181">
        <v>82</v>
      </c>
      <c r="CY70" s="311"/>
      <c r="CZ70" s="311"/>
      <c r="DA70" s="311"/>
      <c r="DB70" s="237"/>
      <c r="DC70" s="237"/>
      <c r="DD70" s="237"/>
      <c r="DE70" s="237"/>
      <c r="DF70" s="237"/>
      <c r="DG70" s="237"/>
      <c r="DH70" s="237"/>
      <c r="DI70" s="1175"/>
      <c r="DJ70" s="1181"/>
      <c r="DK70" s="311"/>
      <c r="DL70" s="311"/>
      <c r="DM70" s="311"/>
      <c r="DN70" s="237"/>
      <c r="DO70" s="237"/>
      <c r="DP70" s="237"/>
      <c r="DQ70" s="237"/>
      <c r="DR70" s="237"/>
      <c r="DS70" s="237"/>
      <c r="DT70" s="237"/>
      <c r="DU70" s="237"/>
      <c r="DV70" s="237"/>
      <c r="DW70" s="237"/>
      <c r="DX70" s="237"/>
      <c r="DY70" s="237"/>
      <c r="DZ70" s="237"/>
      <c r="EA70" s="237"/>
    </row>
    <row r="71" spans="1:131">
      <c r="C71" s="981" t="s">
        <v>910</v>
      </c>
      <c r="D71" s="278">
        <f>SUM(M71:X71)</f>
        <v>1952</v>
      </c>
      <c r="E71" s="278">
        <f>SUM(Y71:AJ71)</f>
        <v>1599</v>
      </c>
      <c r="F71" s="278">
        <f>SUM(AK71:AV71)</f>
        <v>1384</v>
      </c>
      <c r="G71" s="1045">
        <f>SUM(AW71:BH71)</f>
        <v>1800</v>
      </c>
      <c r="H71" s="288">
        <f>SUM(BI71:BT71)</f>
        <v>2097</v>
      </c>
      <c r="I71" s="289">
        <f>SUM(BU71:CK71)</f>
        <v>2412</v>
      </c>
      <c r="J71" s="117"/>
      <c r="L71" s="103">
        <f>+L67+L70</f>
        <v>36</v>
      </c>
      <c r="M71" s="852">
        <f t="shared" ref="M71:AG71" si="214">+M67+M70</f>
        <v>94</v>
      </c>
      <c r="N71" s="704">
        <f t="shared" si="214"/>
        <v>166</v>
      </c>
      <c r="O71" s="9">
        <f t="shared" si="214"/>
        <v>174</v>
      </c>
      <c r="P71" s="9">
        <f t="shared" si="214"/>
        <v>190</v>
      </c>
      <c r="Q71" s="9">
        <f t="shared" si="214"/>
        <v>195</v>
      </c>
      <c r="R71" s="9">
        <f t="shared" si="214"/>
        <v>181</v>
      </c>
      <c r="S71" s="9">
        <f t="shared" si="214"/>
        <v>213</v>
      </c>
      <c r="T71" s="9">
        <f t="shared" si="214"/>
        <v>214</v>
      </c>
      <c r="U71" s="9">
        <f>+U67+U70</f>
        <v>147</v>
      </c>
      <c r="V71" s="705">
        <f>+V67+V70</f>
        <v>138</v>
      </c>
      <c r="W71" s="1235">
        <f t="shared" si="214"/>
        <v>84</v>
      </c>
      <c r="X71" s="1246">
        <f>+X67+X70</f>
        <v>156</v>
      </c>
      <c r="Y71" s="278">
        <f>+Y67+Y70</f>
        <v>149</v>
      </c>
      <c r="Z71" s="278">
        <f t="shared" si="214"/>
        <v>116</v>
      </c>
      <c r="AA71" s="9">
        <f t="shared" si="214"/>
        <v>120</v>
      </c>
      <c r="AB71" s="9">
        <f t="shared" si="214"/>
        <v>119</v>
      </c>
      <c r="AC71" s="9">
        <f t="shared" si="214"/>
        <v>125</v>
      </c>
      <c r="AD71" s="9">
        <f t="shared" si="214"/>
        <v>134</v>
      </c>
      <c r="AE71" s="9">
        <f t="shared" si="214"/>
        <v>169</v>
      </c>
      <c r="AF71" s="9">
        <f t="shared" si="214"/>
        <v>161</v>
      </c>
      <c r="AG71" s="9">
        <f t="shared" si="214"/>
        <v>124</v>
      </c>
      <c r="AH71" s="1210">
        <f t="shared" ref="AH71:AJ71" si="215">+AH67+AH70</f>
        <v>122</v>
      </c>
      <c r="AI71" s="1211">
        <f t="shared" si="215"/>
        <v>120</v>
      </c>
      <c r="AJ71" s="1244">
        <f t="shared" si="215"/>
        <v>140</v>
      </c>
      <c r="AK71" s="288">
        <f>AK69+AK67+AK70</f>
        <v>112</v>
      </c>
      <c r="AL71" s="288">
        <f>AL69+AL67+AL70</f>
        <v>86</v>
      </c>
      <c r="AM71" s="105">
        <f t="shared" ref="AM71:AU71" si="216">+AM67+AM70+AM69</f>
        <v>89</v>
      </c>
      <c r="AN71" s="105">
        <f t="shared" si="216"/>
        <v>84</v>
      </c>
      <c r="AO71" s="105">
        <f t="shared" si="216"/>
        <v>91</v>
      </c>
      <c r="AP71" s="105">
        <f t="shared" si="216"/>
        <v>124</v>
      </c>
      <c r="AQ71" s="105">
        <f t="shared" si="216"/>
        <v>151</v>
      </c>
      <c r="AR71" s="105">
        <f t="shared" si="216"/>
        <v>150</v>
      </c>
      <c r="AS71" s="105">
        <f t="shared" si="216"/>
        <v>106</v>
      </c>
      <c r="AT71" s="1210">
        <f t="shared" si="216"/>
        <v>133</v>
      </c>
      <c r="AU71" s="1211">
        <f t="shared" si="216"/>
        <v>125</v>
      </c>
      <c r="AV71" s="1244">
        <f t="shared" ref="AV71:BR71" si="217">+AV67+AV70+AV69</f>
        <v>133</v>
      </c>
      <c r="AW71" s="288">
        <f t="shared" si="217"/>
        <v>147</v>
      </c>
      <c r="AX71" s="288">
        <f t="shared" si="217"/>
        <v>116</v>
      </c>
      <c r="AY71" s="105">
        <f t="shared" si="217"/>
        <v>126</v>
      </c>
      <c r="AZ71" s="128">
        <f t="shared" si="217"/>
        <v>130</v>
      </c>
      <c r="BA71" s="128">
        <f t="shared" si="217"/>
        <v>136</v>
      </c>
      <c r="BB71" s="128">
        <f t="shared" si="217"/>
        <v>160</v>
      </c>
      <c r="BC71" s="128">
        <f t="shared" si="217"/>
        <v>210</v>
      </c>
      <c r="BD71" s="105">
        <f t="shared" si="217"/>
        <v>222</v>
      </c>
      <c r="BE71" s="105">
        <f>+BE67+BE70+BE69</f>
        <v>143</v>
      </c>
      <c r="BF71" s="1210">
        <f t="shared" si="217"/>
        <v>131</v>
      </c>
      <c r="BG71" s="1211">
        <f t="shared" si="217"/>
        <v>119</v>
      </c>
      <c r="BH71" s="1212">
        <f t="shared" si="217"/>
        <v>160</v>
      </c>
      <c r="BI71" s="864">
        <f t="shared" si="217"/>
        <v>171</v>
      </c>
      <c r="BJ71" s="864">
        <f t="shared" si="217"/>
        <v>147</v>
      </c>
      <c r="BK71" s="105">
        <f t="shared" si="217"/>
        <v>160</v>
      </c>
      <c r="BL71" s="105">
        <f t="shared" si="217"/>
        <v>153</v>
      </c>
      <c r="BM71" s="105">
        <f t="shared" si="217"/>
        <v>170</v>
      </c>
      <c r="BN71" s="105">
        <f t="shared" si="217"/>
        <v>242</v>
      </c>
      <c r="BO71" s="105">
        <f t="shared" si="217"/>
        <v>218</v>
      </c>
      <c r="BP71" s="105">
        <f t="shared" si="217"/>
        <v>205</v>
      </c>
      <c r="BQ71" s="105">
        <f>SUM(BQ67:BQ70)</f>
        <v>160</v>
      </c>
      <c r="BR71" s="288">
        <f t="shared" si="217"/>
        <v>147</v>
      </c>
      <c r="BS71" s="1300">
        <f t="shared" ref="BS71:BT71" si="218">+BS67+BS70+BS69</f>
        <v>155</v>
      </c>
      <c r="BT71" s="1301">
        <f t="shared" si="218"/>
        <v>169</v>
      </c>
      <c r="BU71" s="288">
        <f>SUM(BU67:BU70)</f>
        <v>161</v>
      </c>
      <c r="BV71" s="288">
        <f>SUM(BV67:BV70)</f>
        <v>149</v>
      </c>
      <c r="BW71" s="105">
        <f t="shared" ref="BW71:BZ71" si="219">+BW67+BW70+BW69</f>
        <v>162</v>
      </c>
      <c r="BX71" s="105">
        <f t="shared" si="219"/>
        <v>172</v>
      </c>
      <c r="BY71" s="117">
        <f t="shared" si="219"/>
        <v>170</v>
      </c>
      <c r="BZ71" s="1433">
        <f t="shared" si="219"/>
        <v>242</v>
      </c>
      <c r="CA71" s="117"/>
      <c r="CB71" s="117">
        <f>SUM(CB67:CB70)</f>
        <v>217</v>
      </c>
      <c r="CC71" s="117">
        <f>SUM(CC67:CC70)</f>
        <v>179</v>
      </c>
      <c r="CD71" s="117">
        <v>170</v>
      </c>
      <c r="CE71" s="117"/>
      <c r="CF71" s="117">
        <v>170</v>
      </c>
      <c r="CG71" s="117">
        <v>170</v>
      </c>
      <c r="CH71" s="1176">
        <f t="shared" ref="CH71:CJ71" si="220">+CH67+CH70+CH69</f>
        <v>143</v>
      </c>
      <c r="CI71" s="1177"/>
      <c r="CJ71" s="1176">
        <f t="shared" si="220"/>
        <v>147</v>
      </c>
      <c r="CK71" s="1177">
        <v>160</v>
      </c>
      <c r="CL71" s="117"/>
      <c r="CM71" s="289">
        <f t="shared" ref="CM71:CO71" si="221">+CM67+CM70+CM69</f>
        <v>171</v>
      </c>
      <c r="CN71" s="289">
        <f t="shared" si="221"/>
        <v>147</v>
      </c>
      <c r="CO71" s="117">
        <f t="shared" si="221"/>
        <v>160</v>
      </c>
      <c r="CP71" s="117">
        <f t="shared" ref="CP71:CR71" si="222">+CP67+CP70+CP69</f>
        <v>153</v>
      </c>
      <c r="CQ71" s="117">
        <f t="shared" si="222"/>
        <v>170</v>
      </c>
      <c r="CR71" s="117">
        <f t="shared" si="222"/>
        <v>242</v>
      </c>
      <c r="CS71" s="117">
        <v>217</v>
      </c>
      <c r="CT71" s="117">
        <v>214</v>
      </c>
      <c r="CU71" s="117">
        <v>170</v>
      </c>
      <c r="CV71" s="117">
        <v>170</v>
      </c>
      <c r="CW71" s="1176">
        <f t="shared" ref="CW71" si="223">+CW67+CW70+CW69</f>
        <v>143</v>
      </c>
      <c r="CX71" s="1177">
        <v>160</v>
      </c>
      <c r="CY71" s="289"/>
      <c r="CZ71" s="289"/>
      <c r="DA71" s="117"/>
      <c r="DB71" s="117"/>
      <c r="DC71" s="117"/>
      <c r="DD71" s="117"/>
      <c r="DE71" s="117"/>
      <c r="DF71" s="117"/>
      <c r="DG71" s="117"/>
      <c r="DH71" s="117"/>
      <c r="DI71" s="1176"/>
      <c r="DJ71" s="1177"/>
      <c r="DK71" s="289"/>
      <c r="DL71" s="289"/>
      <c r="DM71" s="117"/>
      <c r="DN71" s="117"/>
      <c r="DO71" s="117"/>
      <c r="DP71" s="117"/>
      <c r="DQ71" s="117"/>
      <c r="DR71" s="117"/>
      <c r="DS71" s="117"/>
      <c r="DT71" s="117"/>
      <c r="DU71" s="117"/>
      <c r="DV71" s="117"/>
      <c r="DW71" s="117"/>
      <c r="DX71" s="117"/>
      <c r="DY71" s="117"/>
      <c r="DZ71" s="117"/>
      <c r="EA71" s="117"/>
    </row>
    <row r="72" spans="1:131" s="19" customFormat="1">
      <c r="C72" s="19" t="s">
        <v>887</v>
      </c>
      <c r="D72" s="19">
        <f>SUM(O72:Z72)</f>
        <v>2045</v>
      </c>
      <c r="E72" s="19">
        <f>SUM(AA72:AL72)</f>
        <v>1476</v>
      </c>
      <c r="F72" s="19">
        <f>SUM(AM72:AX72)</f>
        <v>1384</v>
      </c>
      <c r="G72" s="19">
        <f>SUM(AY72:BJ72)</f>
        <v>1800</v>
      </c>
      <c r="H72" s="291">
        <f>SUM(BK72:BV72)</f>
        <v>2097</v>
      </c>
      <c r="I72" s="587">
        <f>SUM(BW72:CN72)</f>
        <v>2071</v>
      </c>
      <c r="J72" s="587"/>
      <c r="L72" s="118"/>
      <c r="M72" s="874"/>
      <c r="N72" s="875">
        <v>107</v>
      </c>
      <c r="O72" s="290"/>
      <c r="P72" s="19">
        <v>310</v>
      </c>
      <c r="R72" s="19">
        <v>394</v>
      </c>
      <c r="T72" s="19">
        <v>388</v>
      </c>
      <c r="V72" s="19">
        <v>392</v>
      </c>
      <c r="W72" s="1236">
        <v>198</v>
      </c>
      <c r="X72" s="1237">
        <v>55</v>
      </c>
      <c r="Y72" s="1247"/>
      <c r="Z72" s="19">
        <v>308</v>
      </c>
      <c r="AB72" s="19">
        <v>142</v>
      </c>
      <c r="AD72" s="19">
        <f>239</f>
        <v>239</v>
      </c>
      <c r="AF72" s="19">
        <v>259</v>
      </c>
      <c r="AH72" s="876">
        <v>330</v>
      </c>
      <c r="AI72" s="1178"/>
      <c r="AJ72" s="1213">
        <f>AG71+AH71</f>
        <v>246</v>
      </c>
      <c r="AK72" s="1245"/>
      <c r="AL72" s="291">
        <f>AI71+AJ71</f>
        <v>260</v>
      </c>
      <c r="AN72" s="291">
        <f>AK71+AL71</f>
        <v>198</v>
      </c>
      <c r="AP72" s="291">
        <f>AM71+AN71</f>
        <v>173</v>
      </c>
      <c r="AR72" s="291">
        <f>AO71+AP71</f>
        <v>215</v>
      </c>
      <c r="AT72" s="876">
        <f>AQ71+AR71</f>
        <v>301</v>
      </c>
      <c r="AU72" s="1178"/>
      <c r="AV72" s="1254">
        <f>AS71+AT71</f>
        <v>239</v>
      </c>
      <c r="AW72" s="291"/>
      <c r="AX72" s="291">
        <f>AU71+AV71</f>
        <v>258</v>
      </c>
      <c r="AZ72" s="876">
        <f>AW71+AX71</f>
        <v>263</v>
      </c>
      <c r="BB72" s="876">
        <f>AY71+AZ71</f>
        <v>256</v>
      </c>
      <c r="BD72" s="876">
        <f>BA71+BB71</f>
        <v>296</v>
      </c>
      <c r="BF72" s="876">
        <f>BC71+BD71</f>
        <v>432</v>
      </c>
      <c r="BG72" s="1178"/>
      <c r="BH72" s="1213">
        <f>BE71+BF71</f>
        <v>274</v>
      </c>
      <c r="BI72" s="877"/>
      <c r="BJ72" s="878">
        <v>279</v>
      </c>
      <c r="BK72" s="290"/>
      <c r="BL72" s="291">
        <f>BI71+BJ71</f>
        <v>318</v>
      </c>
      <c r="BN72" s="291">
        <f>BK71+BL71</f>
        <v>313</v>
      </c>
      <c r="BP72" s="291">
        <f>BM71+BN71</f>
        <v>412</v>
      </c>
      <c r="BR72" s="291">
        <f>BO71+BP71</f>
        <v>423</v>
      </c>
      <c r="BS72" s="1178"/>
      <c r="BT72" s="1282">
        <f>BQ71+BR71</f>
        <v>307</v>
      </c>
      <c r="BU72" s="1157"/>
      <c r="BV72" s="291">
        <f>BS71+BT71</f>
        <v>324</v>
      </c>
      <c r="BW72" s="587"/>
      <c r="BX72" s="291">
        <f>BU71+BV71</f>
        <v>310</v>
      </c>
      <c r="BY72" s="587"/>
      <c r="BZ72" s="1420">
        <f>BW71+BX71</f>
        <v>334</v>
      </c>
      <c r="CA72" s="291"/>
      <c r="CB72" s="587"/>
      <c r="CC72" s="587">
        <f>BY71+BZ71</f>
        <v>412</v>
      </c>
      <c r="CD72" s="587"/>
      <c r="CE72" s="587"/>
      <c r="CF72" s="587"/>
      <c r="CG72" s="587">
        <f>CB71+CC71</f>
        <v>396</v>
      </c>
      <c r="CH72" s="1178"/>
      <c r="CI72" s="1178"/>
      <c r="CJ72" s="1178"/>
      <c r="CK72" s="1179">
        <f>CD71+CG71</f>
        <v>340</v>
      </c>
      <c r="CL72" s="587"/>
      <c r="CM72" s="1157"/>
      <c r="CN72" s="587">
        <v>279</v>
      </c>
      <c r="CO72" s="587"/>
      <c r="CP72" s="587">
        <f>CM71+CN71</f>
        <v>318</v>
      </c>
      <c r="CQ72" s="587"/>
      <c r="CR72" s="587">
        <f>CO71+CP71</f>
        <v>313</v>
      </c>
      <c r="CS72" s="587"/>
      <c r="CT72" s="587">
        <f>CQ71+CR71</f>
        <v>412</v>
      </c>
      <c r="CU72" s="587"/>
      <c r="CV72" s="587">
        <f>CS71+CT71</f>
        <v>431</v>
      </c>
      <c r="CW72" s="1178"/>
      <c r="CX72" s="1179">
        <f>CU71+CV71</f>
        <v>340</v>
      </c>
      <c r="CY72" s="1157"/>
      <c r="CZ72" s="587"/>
      <c r="DA72" s="587"/>
      <c r="DB72" s="587"/>
      <c r="DC72" s="587"/>
      <c r="DD72" s="587"/>
      <c r="DE72" s="587"/>
      <c r="DF72" s="587"/>
      <c r="DG72" s="587"/>
      <c r="DH72" s="587"/>
      <c r="DI72" s="1178"/>
      <c r="DJ72" s="1179"/>
      <c r="DK72" s="1157"/>
      <c r="DL72" s="587"/>
      <c r="DM72" s="587"/>
      <c r="DN72" s="587"/>
      <c r="DO72" s="587"/>
      <c r="DP72" s="587"/>
      <c r="DQ72" s="587"/>
      <c r="DR72" s="587"/>
      <c r="DS72" s="587"/>
      <c r="DT72" s="587"/>
      <c r="DU72" s="587"/>
      <c r="DV72" s="587"/>
      <c r="DW72" s="587"/>
      <c r="DX72" s="587"/>
      <c r="DY72" s="587"/>
      <c r="DZ72" s="587"/>
      <c r="EA72" s="587"/>
    </row>
    <row r="73" spans="1:131">
      <c r="D73" s="49"/>
      <c r="E73" s="49"/>
      <c r="F73" s="49"/>
      <c r="G73" s="49"/>
      <c r="H73" s="1053" t="s">
        <v>889</v>
      </c>
      <c r="I73" s="49"/>
      <c r="J73" s="49"/>
      <c r="M73" s="99"/>
      <c r="V73" s="1234"/>
      <c r="W73" s="103"/>
      <c r="X73" s="413">
        <f t="shared" ref="X73:AK73" si="224">(X71-L71)/L71</f>
        <v>3.3333333333333335</v>
      </c>
      <c r="Y73" s="297">
        <f t="shared" si="224"/>
        <v>0.58510638297872342</v>
      </c>
      <c r="Z73" s="297">
        <f t="shared" si="224"/>
        <v>-0.30120481927710846</v>
      </c>
      <c r="AA73" s="297">
        <f t="shared" si="224"/>
        <v>-0.31034482758620691</v>
      </c>
      <c r="AB73" s="104">
        <f t="shared" si="224"/>
        <v>-0.37368421052631579</v>
      </c>
      <c r="AC73" s="104">
        <f t="shared" si="224"/>
        <v>-0.35897435897435898</v>
      </c>
      <c r="AD73" s="104">
        <f t="shared" si="224"/>
        <v>-0.25966850828729282</v>
      </c>
      <c r="AE73" s="104">
        <f t="shared" si="224"/>
        <v>-0.20657276995305165</v>
      </c>
      <c r="AF73" s="104">
        <f t="shared" si="224"/>
        <v>-0.24766355140186916</v>
      </c>
      <c r="AG73" s="104">
        <f t="shared" si="224"/>
        <v>-0.15646258503401361</v>
      </c>
      <c r="AH73" s="1214">
        <f t="shared" si="224"/>
        <v>-0.11594202898550725</v>
      </c>
      <c r="AI73" s="565">
        <f t="shared" si="224"/>
        <v>0.42857142857142855</v>
      </c>
      <c r="AJ73" s="301">
        <f t="shared" si="224"/>
        <v>-0.10256410256410256</v>
      </c>
      <c r="AK73" s="297">
        <f t="shared" si="224"/>
        <v>-0.24832214765100671</v>
      </c>
      <c r="AL73" s="297">
        <f t="shared" ref="AL73:AM73" si="225">(AL71-Z71)/Z71</f>
        <v>-0.25862068965517243</v>
      </c>
      <c r="AM73" s="297">
        <f t="shared" si="225"/>
        <v>-0.25833333333333336</v>
      </c>
      <c r="AN73" s="104">
        <f t="shared" ref="AN73:AR73" si="226">(AN71-AB71)/AB71</f>
        <v>-0.29411764705882354</v>
      </c>
      <c r="AO73" s="104">
        <f t="shared" si="226"/>
        <v>-0.27200000000000002</v>
      </c>
      <c r="AP73" s="104">
        <f t="shared" si="226"/>
        <v>-7.4626865671641784E-2</v>
      </c>
      <c r="AQ73" s="104">
        <f t="shared" si="226"/>
        <v>-0.10650887573964497</v>
      </c>
      <c r="AR73" s="104">
        <f t="shared" si="226"/>
        <v>-6.8322981366459631E-2</v>
      </c>
      <c r="AS73" s="104">
        <f>(AS71-AG71)/AG71</f>
        <v>-0.14516129032258066</v>
      </c>
      <c r="AT73" s="1214">
        <f>(AT71-AH71)/AH71</f>
        <v>9.0163934426229511E-2</v>
      </c>
      <c r="AU73" s="565">
        <f t="shared" ref="AU73:AV73" si="227">(AU71-AI71)/AI71</f>
        <v>4.1666666666666664E-2</v>
      </c>
      <c r="AV73" s="851">
        <f t="shared" si="227"/>
        <v>-0.05</v>
      </c>
      <c r="AW73" s="104">
        <f t="shared" ref="AW73" si="228">(AW71-AK71)/AK71</f>
        <v>0.3125</v>
      </c>
      <c r="AX73" s="297">
        <f t="shared" ref="AX73" si="229">(AX71-AL71)/AL71</f>
        <v>0.34883720930232559</v>
      </c>
      <c r="AY73" s="297">
        <f t="shared" ref="AY73" si="230">(AY71-AM71)/AM71</f>
        <v>0.4157303370786517</v>
      </c>
      <c r="AZ73" s="565">
        <f t="shared" ref="AZ73" si="231">(AZ71-AN71)/AN71</f>
        <v>0.54761904761904767</v>
      </c>
      <c r="BA73" s="565">
        <f t="shared" ref="BA73" si="232">(BA71-AO71)/AO71</f>
        <v>0.49450549450549453</v>
      </c>
      <c r="BB73" s="565">
        <f t="shared" ref="BB73" si="233">(BB71-AP71)/AP71</f>
        <v>0.29032258064516131</v>
      </c>
      <c r="BC73" s="565">
        <f t="shared" ref="BC73" si="234">(BC71-AQ71)/AQ71</f>
        <v>0.39072847682119205</v>
      </c>
      <c r="BD73" s="565">
        <f t="shared" ref="BD73" si="235">(BD71-AR71)/AR71</f>
        <v>0.48</v>
      </c>
      <c r="BE73" s="565">
        <f>(BE71-AS71)/AS71</f>
        <v>0.34905660377358488</v>
      </c>
      <c r="BF73" s="1214">
        <f t="shared" ref="BF73" si="236">(BF71-AT71)/AT71</f>
        <v>-1.5037593984962405E-2</v>
      </c>
      <c r="BG73" s="565">
        <f>(BG71-AU71)/AU71</f>
        <v>-4.8000000000000001E-2</v>
      </c>
      <c r="BH73" s="851">
        <f t="shared" ref="BH73" si="237">(BH71-AV71)/AV71</f>
        <v>0.20300751879699247</v>
      </c>
      <c r="BI73" s="104">
        <f t="shared" ref="BI73" si="238">(BI71-AW71)/AW71</f>
        <v>0.16326530612244897</v>
      </c>
      <c r="BJ73" s="297">
        <f t="shared" ref="BJ73" si="239">(BJ71-AX71)/AX71</f>
        <v>0.26724137931034481</v>
      </c>
      <c r="BK73" s="297">
        <f t="shared" ref="BK73" si="240">(BK71-AY71)/AY71</f>
        <v>0.26984126984126983</v>
      </c>
      <c r="BL73" s="104">
        <f t="shared" ref="BL73" si="241">(BL71-AZ71)/AZ71</f>
        <v>0.17692307692307693</v>
      </c>
      <c r="BM73" s="104">
        <f t="shared" ref="BM73" si="242">(BM71-BA71)/BA71</f>
        <v>0.25</v>
      </c>
      <c r="BN73" s="104">
        <f t="shared" ref="BN73" si="243">(BN71-BB71)/BB71</f>
        <v>0.51249999999999996</v>
      </c>
      <c r="BO73" s="104">
        <f t="shared" ref="BO73" si="244">(BO71-BC71)/BC71</f>
        <v>3.8095238095238099E-2</v>
      </c>
      <c r="BP73" s="104">
        <f t="shared" ref="BP73" si="245">(BP71-BD71)/BD71</f>
        <v>-7.6576576576576572E-2</v>
      </c>
      <c r="BQ73" s="104">
        <f t="shared" ref="BQ73" si="246">(BQ71-BE71)/BE71</f>
        <v>0.11888111888111888</v>
      </c>
      <c r="BR73" s="104">
        <f t="shared" ref="BR73" si="247">(BR71-BF71)/BF71</f>
        <v>0.12213740458015267</v>
      </c>
      <c r="BS73" s="1180">
        <f>(BS71-BG71)/BG71</f>
        <v>0.30252100840336132</v>
      </c>
      <c r="BT73" s="297">
        <f t="shared" ref="BT73" si="248">(BT71-BH71)/BH71</f>
        <v>5.6250000000000001E-2</v>
      </c>
      <c r="BU73" s="297">
        <f t="shared" ref="BU73" si="249">(BU71-BI71)/BI71</f>
        <v>-5.8479532163742687E-2</v>
      </c>
      <c r="BV73" s="297">
        <f t="shared" ref="BV73" si="250">(BV71-BJ71)/BJ71</f>
        <v>1.3605442176870748E-2</v>
      </c>
      <c r="BW73" s="297">
        <f t="shared" ref="BW73" si="251">(BW71-BK71)/BK71</f>
        <v>1.2500000000000001E-2</v>
      </c>
      <c r="BX73" s="104">
        <f t="shared" ref="BX73" si="252">(BX71-BL71)/BL71</f>
        <v>0.12418300653594772</v>
      </c>
      <c r="BY73" s="104">
        <f>(BY71-BM71)/BM71</f>
        <v>0</v>
      </c>
      <c r="BZ73" s="1434">
        <f>(BZ71-BN71)/BN71</f>
        <v>0</v>
      </c>
      <c r="CA73" s="129"/>
      <c r="CB73" s="104">
        <f>(CB71-BO71)/BO71</f>
        <v>-4.5871559633027525E-3</v>
      </c>
      <c r="CC73" s="104">
        <f>(CC71-BP71)/BP71</f>
        <v>-0.12682926829268293</v>
      </c>
      <c r="CD73" s="104">
        <f>(CD71-BQ71)/BQ71</f>
        <v>6.25E-2</v>
      </c>
      <c r="CE73" s="104"/>
      <c r="CF73" s="104">
        <f>(CF71-BS71)/BS71</f>
        <v>9.6774193548387094E-2</v>
      </c>
      <c r="CG73" s="104">
        <f>(CG71-BR71)/BR71</f>
        <v>0.15646258503401361</v>
      </c>
      <c r="CH73" s="1180">
        <f>(CH71-BS71)/BS71</f>
        <v>-7.7419354838709681E-2</v>
      </c>
      <c r="CI73" s="297"/>
      <c r="CJ73" s="1180">
        <f>(CJ71-BU71)/BU71</f>
        <v>-8.6956521739130432E-2</v>
      </c>
      <c r="CK73" s="297">
        <f>(CK71-BT71)/BT71</f>
        <v>-5.3254437869822487E-2</v>
      </c>
      <c r="CL73" s="297"/>
      <c r="CM73" s="297">
        <f t="shared" ref="CM73:CR73" si="253">(CM71-BU71)/BU71</f>
        <v>6.2111801242236024E-2</v>
      </c>
      <c r="CN73" s="297">
        <f t="shared" si="253"/>
        <v>-1.3422818791946308E-2</v>
      </c>
      <c r="CO73" s="297">
        <f t="shared" si="253"/>
        <v>-1.2345679012345678E-2</v>
      </c>
      <c r="CP73" s="104">
        <f t="shared" si="253"/>
        <v>-0.11046511627906977</v>
      </c>
      <c r="CQ73" s="104">
        <f t="shared" si="253"/>
        <v>0</v>
      </c>
      <c r="CR73" s="104">
        <f t="shared" si="253"/>
        <v>0</v>
      </c>
      <c r="CS73" s="104">
        <f>(CS71-CB71)/CB71</f>
        <v>0</v>
      </c>
      <c r="CT73" s="104">
        <f>(CT71-CC71)/CC71</f>
        <v>0.19553072625698323</v>
      </c>
      <c r="CU73" s="104">
        <f t="shared" ref="CU73" si="254">(CU71-CD71)/CD71</f>
        <v>0</v>
      </c>
      <c r="CV73" s="104">
        <f t="shared" ref="CV73" si="255">(CV71-CG71)/CG71</f>
        <v>0</v>
      </c>
      <c r="CW73" s="1180">
        <f>(CW71-CH71)/CH71</f>
        <v>0</v>
      </c>
      <c r="CX73" s="297">
        <f t="shared" ref="CX73" si="256">(CX71-CK71)/CK71</f>
        <v>0</v>
      </c>
      <c r="CY73" s="297"/>
      <c r="CZ73" s="297"/>
      <c r="DA73" s="297"/>
      <c r="DB73" s="104"/>
      <c r="DC73" s="104"/>
      <c r="DD73" s="104"/>
      <c r="DE73" s="104"/>
      <c r="DF73" s="104"/>
      <c r="DG73" s="104"/>
      <c r="DH73" s="104"/>
      <c r="DI73" s="1180"/>
      <c r="DJ73" s="297"/>
      <c r="DK73" s="297"/>
      <c r="DL73" s="297"/>
      <c r="DM73" s="297"/>
      <c r="DN73" s="104"/>
      <c r="DO73" s="104"/>
      <c r="DP73" s="104"/>
      <c r="DQ73" s="104"/>
      <c r="DR73" s="104"/>
      <c r="DS73" s="104"/>
      <c r="DT73" s="104"/>
      <c r="DU73" s="104"/>
      <c r="DV73" s="104"/>
      <c r="DW73" s="104"/>
      <c r="DX73" s="104"/>
      <c r="DY73" s="104"/>
      <c r="DZ73" s="104"/>
      <c r="EA73" s="104"/>
    </row>
    <row r="74" spans="1:131">
      <c r="C74" s="314" t="s">
        <v>890</v>
      </c>
      <c r="D74" s="804">
        <v>2021</v>
      </c>
      <c r="E74" s="804">
        <v>2022</v>
      </c>
      <c r="F74" s="804">
        <v>2023</v>
      </c>
      <c r="G74" s="804">
        <v>2024</v>
      </c>
      <c r="H74" s="1261">
        <v>2025</v>
      </c>
      <c r="I74" s="821">
        <v>2026</v>
      </c>
      <c r="J74" s="822"/>
      <c r="L74" s="280"/>
      <c r="M74" s="1480">
        <v>2021</v>
      </c>
      <c r="N74" s="1480"/>
      <c r="O74" s="1480"/>
      <c r="P74" s="1480"/>
      <c r="Q74" s="1480"/>
      <c r="R74" s="1480"/>
      <c r="S74" s="1480"/>
      <c r="T74" s="1480"/>
      <c r="U74" s="1480"/>
      <c r="V74" s="1480"/>
      <c r="W74" s="1480"/>
      <c r="X74" s="1481"/>
      <c r="Y74" s="1480">
        <v>2022</v>
      </c>
      <c r="Z74" s="1480"/>
      <c r="AA74" s="1480"/>
      <c r="AB74" s="1480"/>
      <c r="AC74" s="1480"/>
      <c r="AD74" s="1480"/>
      <c r="AE74" s="1480"/>
      <c r="AF74" s="1480"/>
      <c r="AG74" s="1480"/>
      <c r="AH74" s="1480"/>
      <c r="AI74" s="1480"/>
      <c r="AJ74" s="1481"/>
      <c r="AK74" s="1479">
        <v>2023</v>
      </c>
      <c r="AL74" s="1480"/>
      <c r="AM74" s="1480"/>
      <c r="AN74" s="1480"/>
      <c r="AO74" s="1480"/>
      <c r="AP74" s="1480"/>
      <c r="AQ74" s="1480"/>
      <c r="AR74" s="1480"/>
      <c r="AS74" s="1480"/>
      <c r="AT74" s="1480"/>
      <c r="AU74" s="1480"/>
      <c r="AV74" s="1481"/>
      <c r="AW74" s="1479">
        <v>2024</v>
      </c>
      <c r="AX74" s="1480"/>
      <c r="AY74" s="1480"/>
      <c r="AZ74" s="1480"/>
      <c r="BA74" s="1480"/>
      <c r="BB74" s="1480"/>
      <c r="BC74" s="1480"/>
      <c r="BD74" s="1480"/>
      <c r="BE74" s="1480"/>
      <c r="BF74" s="1480"/>
      <c r="BG74" s="1480"/>
      <c r="BH74" s="1481"/>
      <c r="BI74" s="1479">
        <v>2025</v>
      </c>
      <c r="BJ74" s="1480"/>
      <c r="BK74" s="1480"/>
      <c r="BL74" s="1480"/>
      <c r="BM74" s="1480"/>
      <c r="BN74" s="1480"/>
      <c r="BO74" s="1480"/>
      <c r="BP74" s="1480"/>
      <c r="BQ74" s="1480"/>
      <c r="BR74" s="1480"/>
      <c r="BS74" s="1480"/>
      <c r="BT74" s="1481"/>
      <c r="BU74" s="1479">
        <v>2026</v>
      </c>
      <c r="BV74" s="1480"/>
      <c r="BW74" s="1480"/>
      <c r="BX74" s="1480"/>
      <c r="BY74" s="1480"/>
      <c r="BZ74" s="1480"/>
      <c r="CA74" s="1480"/>
      <c r="CB74" s="1480"/>
      <c r="CC74" s="1480"/>
      <c r="CD74" s="1480"/>
      <c r="CE74" s="1480"/>
      <c r="CF74" s="1480"/>
      <c r="CG74" s="1480"/>
      <c r="CH74" s="1480"/>
      <c r="CI74" s="1480"/>
      <c r="CJ74" s="1480"/>
      <c r="CK74" s="1481"/>
      <c r="CL74" s="18"/>
      <c r="CX74" s="312"/>
    </row>
    <row r="75" spans="1:131" s="365" customFormat="1">
      <c r="A75" s="9"/>
      <c r="B75" s="498" t="s">
        <v>891</v>
      </c>
      <c r="C75" s="1005">
        <f>TRIMMEAN(L75:BR75,2%)</f>
        <v>57.059322033898297</v>
      </c>
      <c r="D75" s="724">
        <f>AVERAGE(M75:X75)</f>
        <v>55.758333333333326</v>
      </c>
      <c r="E75" s="724">
        <f>AVERAGE(Y75:AJ75)</f>
        <v>45.077500000000008</v>
      </c>
      <c r="F75" s="724">
        <f>AVERAGE(AK75:AV75)</f>
        <v>49.631666666666668</v>
      </c>
      <c r="G75" s="724">
        <f>AVERAGE(AW75:BH75)</f>
        <v>62.772500000000008</v>
      </c>
      <c r="H75" s="1269">
        <f>AVERAGE(BI75:BT75)</f>
        <v>69.018333333333345</v>
      </c>
      <c r="I75" s="809">
        <f>AVERAGE(BU75:CK75)</f>
        <v>69.389265587674217</v>
      </c>
      <c r="J75" s="809"/>
      <c r="K75" s="9"/>
      <c r="L75" s="399">
        <f>N60</f>
        <v>110.86</v>
      </c>
      <c r="M75" s="390">
        <f>P60/2</f>
        <v>49.980000000000004</v>
      </c>
      <c r="N75" s="390">
        <f>P60/2</f>
        <v>49.980000000000004</v>
      </c>
      <c r="O75" s="390">
        <f>R60/2</f>
        <v>57.86</v>
      </c>
      <c r="P75" s="390">
        <f>R60/2</f>
        <v>57.86</v>
      </c>
      <c r="Q75" s="390">
        <f>T60/2</f>
        <v>55.44</v>
      </c>
      <c r="R75" s="390">
        <f>T60/2</f>
        <v>55.44</v>
      </c>
      <c r="S75" s="390">
        <f>V60/2</f>
        <v>54.875000000000007</v>
      </c>
      <c r="T75" s="390">
        <f>V60/2</f>
        <v>54.875000000000007</v>
      </c>
      <c r="U75" s="390">
        <f>W60</f>
        <v>48.309999999999995</v>
      </c>
      <c r="V75" s="1238">
        <f>X60</f>
        <v>83.15</v>
      </c>
      <c r="W75" s="399">
        <f>Z60/2</f>
        <v>50.664999999999999</v>
      </c>
      <c r="X75" s="1250">
        <f>Z60/2</f>
        <v>50.664999999999999</v>
      </c>
      <c r="Y75" s="390">
        <f>AB60/2</f>
        <v>31.090000000000003</v>
      </c>
      <c r="Z75" s="390">
        <f>AB60/2</f>
        <v>31.090000000000003</v>
      </c>
      <c r="AA75" s="390">
        <f>AD60/2</f>
        <v>48.305000000000007</v>
      </c>
      <c r="AB75" s="390">
        <f>AD60/2</f>
        <v>48.305000000000007</v>
      </c>
      <c r="AC75" s="390">
        <f>AF60/2</f>
        <v>49.825000000000003</v>
      </c>
      <c r="AD75" s="390">
        <f>AF60/2</f>
        <v>49.825000000000003</v>
      </c>
      <c r="AE75" s="390">
        <f>AH60/2</f>
        <v>52.655000000000008</v>
      </c>
      <c r="AF75" s="390">
        <f>AH60/2</f>
        <v>52.655000000000008</v>
      </c>
      <c r="AG75" s="590">
        <f>AJ60/2</f>
        <v>48.714999999999996</v>
      </c>
      <c r="AH75" s="1215">
        <f>AJ60/2</f>
        <v>48.714999999999996</v>
      </c>
      <c r="AI75" s="590">
        <f>AL60/2</f>
        <v>39.875</v>
      </c>
      <c r="AJ75" s="590">
        <f>AL60/2</f>
        <v>39.875</v>
      </c>
      <c r="AK75" s="590">
        <f>AN60/2</f>
        <v>43.825000000000003</v>
      </c>
      <c r="AL75" s="590">
        <f>AN60/2</f>
        <v>43.825000000000003</v>
      </c>
      <c r="AM75" s="390">
        <f>AP60/2</f>
        <v>42.954999999999998</v>
      </c>
      <c r="AN75" s="390">
        <f>AP60/2</f>
        <v>42.954999999999998</v>
      </c>
      <c r="AO75" s="390">
        <f>AR60/2</f>
        <v>44.32</v>
      </c>
      <c r="AP75" s="390">
        <f>AR60/2</f>
        <v>44.32</v>
      </c>
      <c r="AQ75" s="390">
        <f>AT60/2</f>
        <v>62.37</v>
      </c>
      <c r="AR75" s="390">
        <f>AT60/2</f>
        <v>62.37</v>
      </c>
      <c r="AS75" s="590">
        <f>AV60/2</f>
        <v>51.25</v>
      </c>
      <c r="AT75" s="1215">
        <f>AV60/2</f>
        <v>51.25</v>
      </c>
      <c r="AU75" s="590">
        <f>AX60/2</f>
        <v>53.070000000000007</v>
      </c>
      <c r="AV75" s="590">
        <f>AX60/2</f>
        <v>53.070000000000007</v>
      </c>
      <c r="AW75" s="590">
        <f>AZ60/2</f>
        <v>64.55</v>
      </c>
      <c r="AX75" s="590">
        <f>AZ60/2</f>
        <v>64.55</v>
      </c>
      <c r="AY75" s="390">
        <f>BB60/2</f>
        <v>63.605000000000004</v>
      </c>
      <c r="AZ75" s="590">
        <f>BB60/2</f>
        <v>63.605000000000004</v>
      </c>
      <c r="BA75" s="590">
        <f>BD60/2</f>
        <v>68.81</v>
      </c>
      <c r="BB75" s="590">
        <f>BD60/2</f>
        <v>68.81</v>
      </c>
      <c r="BC75" s="590">
        <f>BF60/2</f>
        <v>73.45</v>
      </c>
      <c r="BD75" s="590">
        <f>BF60/2</f>
        <v>73.45</v>
      </c>
      <c r="BE75" s="590">
        <f>BH60/2</f>
        <v>52.38</v>
      </c>
      <c r="BF75" s="1215">
        <f>BH60/2</f>
        <v>52.38</v>
      </c>
      <c r="BG75" s="590">
        <f>BJ60/2</f>
        <v>53.84</v>
      </c>
      <c r="BH75" s="590">
        <f>BJ60/2</f>
        <v>53.84</v>
      </c>
      <c r="BI75" s="590">
        <f>BL60/2</f>
        <v>63.445</v>
      </c>
      <c r="BJ75" s="590">
        <f>BL60/2</f>
        <v>63.445</v>
      </c>
      <c r="BK75" s="590">
        <f>BN60/2</f>
        <v>62.35</v>
      </c>
      <c r="BL75" s="590">
        <f>BN60/2</f>
        <v>62.35</v>
      </c>
      <c r="BM75" s="590">
        <f>BP60/2</f>
        <v>73</v>
      </c>
      <c r="BN75" s="590">
        <f>BP60/2</f>
        <v>73</v>
      </c>
      <c r="BO75" s="590">
        <f>BR60/2</f>
        <v>84.63</v>
      </c>
      <c r="BP75" s="590">
        <f>BR60/2</f>
        <v>84.63</v>
      </c>
      <c r="BQ75" s="590">
        <f>BT60/2</f>
        <v>64.955000000000013</v>
      </c>
      <c r="BR75" s="1215">
        <f>BT60/2</f>
        <v>64.955000000000013</v>
      </c>
      <c r="BS75" s="590">
        <f>BV60/2</f>
        <v>65.72999999999999</v>
      </c>
      <c r="BT75" s="590">
        <f>BV60/2</f>
        <v>65.72999999999999</v>
      </c>
      <c r="BU75" s="590">
        <f>BX60/2</f>
        <v>69.06</v>
      </c>
      <c r="BV75" s="590">
        <f>BX60/2</f>
        <v>69.06</v>
      </c>
      <c r="BW75" s="590">
        <f>BZ60/2</f>
        <v>67.11999999999999</v>
      </c>
      <c r="BX75" s="590">
        <f>BZ60/2</f>
        <v>67.11999999999999</v>
      </c>
      <c r="BY75" s="566">
        <f>CC60/2</f>
        <v>82.791064592786114</v>
      </c>
      <c r="BZ75" s="1435">
        <f>CC60/2</f>
        <v>82.791064592786114</v>
      </c>
      <c r="CA75" s="566"/>
      <c r="CB75" s="566">
        <f>CG60/2</f>
        <v>79.925392181415788</v>
      </c>
      <c r="CC75" s="566">
        <f>CG60/2</f>
        <v>79.925392181415788</v>
      </c>
      <c r="CD75" s="566">
        <f>CK60/2</f>
        <v>65.395538741619603</v>
      </c>
      <c r="CE75" s="566"/>
      <c r="CF75" s="566">
        <f>CN60/2</f>
        <v>58.97016267327021</v>
      </c>
      <c r="CG75" s="566">
        <f>CK60/2</f>
        <v>65.395538741619603</v>
      </c>
      <c r="CH75" s="566">
        <f>CN60/2</f>
        <v>58.97016267327021</v>
      </c>
      <c r="CI75" s="566"/>
      <c r="CJ75" s="566">
        <f>CP60/2</f>
        <v>65.955239175985412</v>
      </c>
      <c r="CK75" s="570">
        <f>CN60/2</f>
        <v>58.97016267327021</v>
      </c>
      <c r="CL75" s="566"/>
      <c r="CM75" s="566"/>
      <c r="CN75" s="566"/>
      <c r="CO75" s="566"/>
      <c r="CP75" s="566"/>
      <c r="CQ75" s="566"/>
      <c r="CR75" s="566"/>
      <c r="CS75" s="566"/>
      <c r="CT75" s="566"/>
      <c r="CU75" s="566"/>
      <c r="CV75" s="566"/>
      <c r="CW75" s="566"/>
      <c r="CX75" s="570"/>
      <c r="CY75" s="566"/>
      <c r="CZ75" s="566"/>
      <c r="DA75" s="566"/>
      <c r="DB75" s="566"/>
      <c r="DC75" s="566"/>
      <c r="DD75" s="566"/>
      <c r="DE75" s="566"/>
      <c r="DF75" s="566"/>
      <c r="DG75" s="566"/>
      <c r="DH75" s="566"/>
      <c r="DI75" s="566"/>
      <c r="DJ75" s="566"/>
      <c r="DK75" s="566"/>
      <c r="DL75" s="566"/>
      <c r="DM75" s="566"/>
      <c r="DN75" s="566"/>
      <c r="DO75" s="566"/>
      <c r="DP75" s="566"/>
      <c r="DQ75" s="566"/>
      <c r="DR75" s="566"/>
      <c r="DS75" s="566"/>
      <c r="DT75" s="566"/>
      <c r="DU75" s="566"/>
      <c r="DV75" s="566"/>
      <c r="DW75" s="566"/>
      <c r="DX75" s="566"/>
      <c r="DY75" s="566"/>
      <c r="DZ75" s="566"/>
      <c r="EA75" s="566"/>
    </row>
    <row r="76" spans="1:131" s="64" customFormat="1">
      <c r="A76" s="9"/>
      <c r="B76" s="465" t="s">
        <v>881</v>
      </c>
      <c r="C76" s="1006">
        <f>TRIMMEAN(Y58:BT58,5%)</f>
        <v>0.53342087533822846</v>
      </c>
      <c r="E76" s="508"/>
      <c r="F76" s="508"/>
      <c r="G76" s="508"/>
      <c r="H76" s="1270"/>
      <c r="I76" s="810"/>
      <c r="J76" s="810"/>
      <c r="K76" s="9"/>
      <c r="L76" s="605"/>
      <c r="V76" s="1182"/>
      <c r="W76" s="605"/>
      <c r="X76" s="1251"/>
      <c r="AH76" s="1198"/>
      <c r="AI76" s="279"/>
      <c r="AJ76" s="279"/>
      <c r="AK76" s="279"/>
      <c r="AL76" s="279"/>
      <c r="AT76" s="1198"/>
      <c r="AU76" s="279"/>
      <c r="AV76" s="279"/>
      <c r="AW76" s="279"/>
      <c r="AX76" s="279"/>
      <c r="BA76" s="279"/>
      <c r="BB76" s="279"/>
      <c r="BC76" s="279"/>
      <c r="BD76" s="279"/>
      <c r="BF76" s="1198"/>
      <c r="BG76" s="279"/>
      <c r="BH76" s="279"/>
      <c r="BI76" s="279"/>
      <c r="BJ76" s="279"/>
      <c r="BK76" s="279"/>
      <c r="BL76" s="279"/>
      <c r="BM76" s="279"/>
      <c r="BN76" s="279"/>
      <c r="BO76" s="279"/>
      <c r="BP76" s="279"/>
      <c r="BQ76" s="279"/>
      <c r="BR76" s="1198"/>
      <c r="BS76" s="279"/>
      <c r="BT76" s="279"/>
      <c r="BU76" s="279"/>
      <c r="BV76" s="279"/>
      <c r="BW76" s="279"/>
      <c r="BX76" s="279"/>
      <c r="BY76" s="124"/>
      <c r="BZ76" s="1431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316"/>
      <c r="CL76" s="124"/>
      <c r="CX76" s="315"/>
    </row>
    <row r="77" spans="1:131" s="365" customFormat="1">
      <c r="A77" s="9"/>
      <c r="B77" s="466" t="s">
        <v>911</v>
      </c>
      <c r="C77" s="988">
        <f>AVERAGEA(Z51,AB51,AD51,AF51,AH51,AJ51,AL51,AN51,AP51,AR51,AT51,AV51,AX51,AZ51,BB51,BD51,BF51,BH51,BJ51,BL51,BN51,BP51,BR51,BT51)</f>
        <v>65.651250000000005</v>
      </c>
      <c r="D77" s="806">
        <f>AVERAGE(M77:X77)</f>
        <v>27.627499999999998</v>
      </c>
      <c r="E77" s="806">
        <f>AVERAGE(Y77:AJ77)</f>
        <v>29.68416666666667</v>
      </c>
      <c r="F77" s="806">
        <f>AVERAGE(AK77:AV77)</f>
        <v>29.741666666666671</v>
      </c>
      <c r="G77" s="806">
        <f>AVERAGE(AW77:BH77)</f>
        <v>37.655833333333341</v>
      </c>
      <c r="H77" s="1271">
        <f>AVERAGE(BI77:BT77)</f>
        <v>32.884166666666673</v>
      </c>
      <c r="I77" s="811">
        <f>AVERAGE(BU77:CK77)</f>
        <v>28.583073703797361</v>
      </c>
      <c r="J77" s="811"/>
      <c r="K77" s="9"/>
      <c r="L77" s="367">
        <f>N51</f>
        <v>29.08</v>
      </c>
      <c r="M77" s="365">
        <f>P51/2</f>
        <v>25.245000000000001</v>
      </c>
      <c r="N77" s="365">
        <f>P51/2</f>
        <v>25.245000000000001</v>
      </c>
      <c r="O77" s="365">
        <f>R51/2</f>
        <v>30.19</v>
      </c>
      <c r="P77" s="365">
        <f>R51/2</f>
        <v>30.19</v>
      </c>
      <c r="Q77" s="365">
        <f>T51/2</f>
        <v>29.51</v>
      </c>
      <c r="R77" s="365">
        <f>T51/2</f>
        <v>29.51</v>
      </c>
      <c r="S77" s="365">
        <f>V51/2</f>
        <v>29.3</v>
      </c>
      <c r="T77" s="365">
        <f>V51/2</f>
        <v>29.3</v>
      </c>
      <c r="U77" s="365">
        <f>W51/2</f>
        <v>16.13</v>
      </c>
      <c r="V77" s="1239">
        <f>X51</f>
        <v>15.24</v>
      </c>
      <c r="W77" s="367">
        <f>Z51/2</f>
        <v>35.835000000000001</v>
      </c>
      <c r="X77" s="1252">
        <f>Z51/2</f>
        <v>35.835000000000001</v>
      </c>
      <c r="Y77" s="365">
        <f>AB51/2</f>
        <v>17.234999999999999</v>
      </c>
      <c r="Z77" s="365">
        <f>AB51/2</f>
        <v>17.234999999999999</v>
      </c>
      <c r="AA77" s="365">
        <f>AD51/2</f>
        <v>29.875</v>
      </c>
      <c r="AB77" s="365">
        <f>AD51/2</f>
        <v>29.875</v>
      </c>
      <c r="AC77" s="365">
        <f>AF51/2</f>
        <v>31.355</v>
      </c>
      <c r="AD77" s="365">
        <f>AF51/2</f>
        <v>31.355</v>
      </c>
      <c r="AE77" s="365">
        <f>AH51/2</f>
        <v>37.99</v>
      </c>
      <c r="AF77" s="365">
        <f>AH51/2</f>
        <v>37.99</v>
      </c>
      <c r="AG77" s="368">
        <f>AJ51/2</f>
        <v>30.28</v>
      </c>
      <c r="AH77" s="1134">
        <f>AJ51/2</f>
        <v>30.28</v>
      </c>
      <c r="AI77" s="368">
        <f>AL51/2</f>
        <v>31.37</v>
      </c>
      <c r="AJ77" s="368">
        <f>AL51/2</f>
        <v>31.37</v>
      </c>
      <c r="AK77" s="368">
        <f>AN51/2</f>
        <v>26.25</v>
      </c>
      <c r="AL77" s="368">
        <f>AN51/2</f>
        <v>26.25</v>
      </c>
      <c r="AM77" s="365">
        <f>AP51/2</f>
        <v>24</v>
      </c>
      <c r="AN77" s="365">
        <f>AP51/2</f>
        <v>24</v>
      </c>
      <c r="AO77" s="365">
        <f>AR51/2</f>
        <v>27.64</v>
      </c>
      <c r="AP77" s="365">
        <f>AR51/2</f>
        <v>27.64</v>
      </c>
      <c r="AQ77" s="365">
        <f>AT51/2</f>
        <v>35.414999999999999</v>
      </c>
      <c r="AR77" s="365">
        <f>AT51/2</f>
        <v>35.414999999999999</v>
      </c>
      <c r="AS77" s="368">
        <f>AV51/2</f>
        <v>29.795000000000002</v>
      </c>
      <c r="AT77" s="1134">
        <f>AV51/2</f>
        <v>29.795000000000002</v>
      </c>
      <c r="AU77" s="368">
        <f>AX51/2</f>
        <v>35.35</v>
      </c>
      <c r="AV77" s="368">
        <f>AX51/2</f>
        <v>35.35</v>
      </c>
      <c r="AW77" s="368">
        <f>AZ51/2</f>
        <v>40.365000000000002</v>
      </c>
      <c r="AX77" s="368">
        <f>AZ51/2</f>
        <v>40.365000000000002</v>
      </c>
      <c r="AY77" s="365">
        <f>BB51/2</f>
        <v>39.215000000000003</v>
      </c>
      <c r="AZ77" s="368">
        <f>BB51/2</f>
        <v>39.215000000000003</v>
      </c>
      <c r="BA77" s="368">
        <f>BD51/2</f>
        <v>42.58</v>
      </c>
      <c r="BB77" s="368">
        <f>BD51/2</f>
        <v>42.58</v>
      </c>
      <c r="BC77" s="368">
        <f>BF51/2</f>
        <v>41.85</v>
      </c>
      <c r="BD77" s="368">
        <f>BF51/2</f>
        <v>41.85</v>
      </c>
      <c r="BE77" s="368">
        <f>BH51/2</f>
        <v>30.85</v>
      </c>
      <c r="BF77" s="1134">
        <f>BH51/2</f>
        <v>30.85</v>
      </c>
      <c r="BG77" s="368">
        <f>BJ51/2</f>
        <v>31.074999999999999</v>
      </c>
      <c r="BH77" s="368">
        <f>BJ51/2</f>
        <v>31.074999999999999</v>
      </c>
      <c r="BI77" s="368">
        <f>BL51/2</f>
        <v>34.664999999999999</v>
      </c>
      <c r="BJ77" s="368">
        <f>BL51/2</f>
        <v>34.664999999999999</v>
      </c>
      <c r="BK77" s="368">
        <f>BN51/2</f>
        <v>33.994999999999997</v>
      </c>
      <c r="BL77" s="368">
        <f>BN51/2</f>
        <v>33.994999999999997</v>
      </c>
      <c r="BM77" s="368">
        <f>BP51/2</f>
        <v>36.305</v>
      </c>
      <c r="BN77" s="368">
        <f>BP51/2</f>
        <v>36.305</v>
      </c>
      <c r="BO77" s="368">
        <f>BR51/2</f>
        <v>37.615000000000002</v>
      </c>
      <c r="BP77" s="368">
        <f>BR51/2</f>
        <v>37.615000000000002</v>
      </c>
      <c r="BQ77" s="368">
        <f>BT51/2</f>
        <v>26.91</v>
      </c>
      <c r="BR77" s="1134">
        <f>BT51/2</f>
        <v>26.91</v>
      </c>
      <c r="BS77" s="368">
        <f>BV51/2</f>
        <v>27.815000000000001</v>
      </c>
      <c r="BT77" s="368">
        <f>BV51/2</f>
        <v>27.815000000000001</v>
      </c>
      <c r="BU77" s="368">
        <f>BX51/2</f>
        <v>27.454999999999998</v>
      </c>
      <c r="BV77" s="368">
        <f>BX51/2</f>
        <v>27.454999999999998</v>
      </c>
      <c r="BW77" s="368">
        <f>BZ51/2</f>
        <v>29.085000000000001</v>
      </c>
      <c r="BX77" s="368">
        <f>BZ51/2</f>
        <v>29.085000000000001</v>
      </c>
      <c r="BY77" s="369">
        <f>CC51/2</f>
        <v>34.273604498262287</v>
      </c>
      <c r="BZ77" s="1424">
        <f>CC51/2</f>
        <v>34.273604498262287</v>
      </c>
      <c r="CA77" s="369"/>
      <c r="CB77" s="369">
        <f>CG51/2</f>
        <v>32.942590731339479</v>
      </c>
      <c r="CC77" s="369">
        <f>CG51/2</f>
        <v>32.942590731339479</v>
      </c>
      <c r="CD77" s="369">
        <f>CK51/2</f>
        <v>28.284042547109653</v>
      </c>
      <c r="CE77" s="369"/>
      <c r="CF77" s="369">
        <f>CN51/2</f>
        <v>23.20955256071645</v>
      </c>
      <c r="CG77" s="369">
        <f>CK51/2</f>
        <v>28.284042547109653</v>
      </c>
      <c r="CH77" s="369">
        <f>CN51/2</f>
        <v>23.20955256071645</v>
      </c>
      <c r="CI77" s="369"/>
      <c r="CJ77" s="369">
        <f>CP51/2</f>
        <v>26.453898617590792</v>
      </c>
      <c r="CK77" s="556">
        <f>CN51/2</f>
        <v>23.20955256071645</v>
      </c>
      <c r="CL77" s="369"/>
      <c r="CX77" s="844"/>
    </row>
    <row r="78" spans="1:131" s="64" customFormat="1">
      <c r="A78" s="9"/>
      <c r="B78" s="465" t="s">
        <v>912</v>
      </c>
      <c r="C78" s="1007"/>
      <c r="D78" s="186">
        <f>AVERAGE(M78:X78)</f>
        <v>60.145537212213647</v>
      </c>
      <c r="E78" s="186">
        <f>AVERAGE(Y78:AJ78)</f>
        <v>49.268808402832803</v>
      </c>
      <c r="F78" s="186">
        <f>AVERAGE(AK78:AV78)</f>
        <v>42.644171875872793</v>
      </c>
      <c r="G78" s="186">
        <f>AVERAGE(AW78:BH78)</f>
        <v>55.462073248967499</v>
      </c>
      <c r="H78" s="1272">
        <f>AVERAGE(BI78:BT78)</f>
        <v>64.613315335047133</v>
      </c>
      <c r="I78" s="812">
        <f>AVERAGE(BU78:CK78)</f>
        <v>63.70215270309982</v>
      </c>
      <c r="J78" s="812"/>
      <c r="K78" s="9"/>
      <c r="L78" s="606">
        <f>(L71*$C$80)*(1+$D$58)+(P59/2)</f>
        <v>29.788460788596257</v>
      </c>
      <c r="M78" s="64">
        <f>(M71*$C$80)*(1+$C$76)</f>
        <v>34.756232569352974</v>
      </c>
      <c r="N78" s="64">
        <f>(N71*$C$80)*(1+$C$76)</f>
        <v>61.378027728857376</v>
      </c>
      <c r="O78" s="64">
        <f>(O71*$C$80)*(1+$C$76)</f>
        <v>64.3360049688023</v>
      </c>
      <c r="P78" s="64">
        <f t="shared" ref="P78:CB78" si="257">(P71*$C$80)*(1+$C$76)</f>
        <v>70.251959448692176</v>
      </c>
      <c r="Q78" s="64">
        <f t="shared" si="257"/>
        <v>72.100695223657752</v>
      </c>
      <c r="R78" s="64">
        <f t="shared" si="257"/>
        <v>66.924235053754131</v>
      </c>
      <c r="S78" s="64">
        <f t="shared" si="257"/>
        <v>78.75614401353387</v>
      </c>
      <c r="T78" s="64">
        <f t="shared" si="257"/>
        <v>79.125891168526977</v>
      </c>
      <c r="U78" s="64">
        <f t="shared" si="257"/>
        <v>54.352831783988158</v>
      </c>
      <c r="V78" s="1182">
        <f t="shared" si="257"/>
        <v>51.025107389050113</v>
      </c>
      <c r="W78" s="606">
        <f t="shared" si="257"/>
        <v>31.058761019421805</v>
      </c>
      <c r="X78" s="1251">
        <f t="shared" si="257"/>
        <v>57.68055617892621</v>
      </c>
      <c r="Y78" s="279">
        <f t="shared" si="257"/>
        <v>55.092326093974386</v>
      </c>
      <c r="Z78" s="64">
        <f t="shared" si="257"/>
        <v>42.89066997920154</v>
      </c>
      <c r="AA78" s="64">
        <f t="shared" si="257"/>
        <v>44.369658599174002</v>
      </c>
      <c r="AB78" s="64">
        <f t="shared" si="257"/>
        <v>43.999911444180889</v>
      </c>
      <c r="AC78" s="64">
        <f t="shared" si="257"/>
        <v>46.218394374139585</v>
      </c>
      <c r="AD78" s="64">
        <f t="shared" si="257"/>
        <v>49.546118769077637</v>
      </c>
      <c r="AE78" s="64">
        <f t="shared" si="257"/>
        <v>62.487269193836717</v>
      </c>
      <c r="AF78" s="64">
        <f t="shared" si="257"/>
        <v>59.529291953891793</v>
      </c>
      <c r="AG78" s="279">
        <f t="shared" si="257"/>
        <v>45.848647219146471</v>
      </c>
      <c r="AH78" s="1198">
        <f t="shared" si="257"/>
        <v>45.109152909160237</v>
      </c>
      <c r="AI78" s="279">
        <f t="shared" si="257"/>
        <v>44.369658599174002</v>
      </c>
      <c r="AJ78" s="279">
        <f t="shared" si="257"/>
        <v>51.764601699036341</v>
      </c>
      <c r="AK78" s="279">
        <f t="shared" si="257"/>
        <v>41.411681359229071</v>
      </c>
      <c r="AL78" s="279">
        <f t="shared" si="257"/>
        <v>31.79825532940804</v>
      </c>
      <c r="AM78" s="64">
        <f t="shared" si="257"/>
        <v>32.907496794387392</v>
      </c>
      <c r="AN78" s="64">
        <f t="shared" si="257"/>
        <v>31.058761019421805</v>
      </c>
      <c r="AO78" s="64">
        <f t="shared" si="257"/>
        <v>33.646991104373619</v>
      </c>
      <c r="AP78" s="64">
        <f t="shared" si="257"/>
        <v>45.848647219146471</v>
      </c>
      <c r="AQ78" s="64">
        <f t="shared" si="257"/>
        <v>55.831820403960627</v>
      </c>
      <c r="AR78" s="64">
        <f t="shared" si="257"/>
        <v>55.462073248967506</v>
      </c>
      <c r="AS78" s="279">
        <f t="shared" si="257"/>
        <v>39.193198429270375</v>
      </c>
      <c r="AT78" s="1198">
        <f t="shared" si="257"/>
        <v>49.17637161408453</v>
      </c>
      <c r="AU78" s="279">
        <f t="shared" si="257"/>
        <v>46.218394374139585</v>
      </c>
      <c r="AV78" s="279">
        <f t="shared" si="257"/>
        <v>49.17637161408453</v>
      </c>
      <c r="AW78" s="279">
        <f t="shared" si="257"/>
        <v>54.352831783988158</v>
      </c>
      <c r="AX78" s="279">
        <f t="shared" si="257"/>
        <v>42.89066997920154</v>
      </c>
      <c r="AY78" s="64">
        <f t="shared" si="257"/>
        <v>46.588141529132706</v>
      </c>
      <c r="AZ78" s="279">
        <f t="shared" si="257"/>
        <v>48.067130149105168</v>
      </c>
      <c r="BA78" s="279">
        <f t="shared" si="257"/>
        <v>50.285613079063872</v>
      </c>
      <c r="BB78" s="279">
        <f t="shared" si="257"/>
        <v>59.159544798898672</v>
      </c>
      <c r="BC78" s="279">
        <f t="shared" si="257"/>
        <v>77.646902548554507</v>
      </c>
      <c r="BD78" s="279">
        <f t="shared" si="257"/>
        <v>82.083868408471915</v>
      </c>
      <c r="BE78" s="279">
        <f t="shared" si="257"/>
        <v>52.873843164015696</v>
      </c>
      <c r="BF78" s="1198">
        <f t="shared" si="257"/>
        <v>48.436877304098289</v>
      </c>
      <c r="BG78" s="279">
        <f t="shared" si="257"/>
        <v>43.999911444180889</v>
      </c>
      <c r="BH78" s="279">
        <f t="shared" si="257"/>
        <v>59.159544798898672</v>
      </c>
      <c r="BI78" s="279">
        <f t="shared" si="257"/>
        <v>63.226763503822959</v>
      </c>
      <c r="BJ78" s="279">
        <f t="shared" si="257"/>
        <v>54.352831783988158</v>
      </c>
      <c r="BK78" s="279">
        <f t="shared" si="257"/>
        <v>59.159544798898672</v>
      </c>
      <c r="BL78" s="279">
        <f t="shared" si="257"/>
        <v>56.571314713946862</v>
      </c>
      <c r="BM78" s="279">
        <f t="shared" si="257"/>
        <v>62.857016348829838</v>
      </c>
      <c r="BN78" s="279">
        <f t="shared" si="257"/>
        <v>89.478811508334246</v>
      </c>
      <c r="BO78" s="279">
        <f t="shared" si="257"/>
        <v>80.604879788499446</v>
      </c>
      <c r="BP78" s="279">
        <f t="shared" si="257"/>
        <v>75.798166773588918</v>
      </c>
      <c r="BQ78" s="279">
        <f t="shared" si="257"/>
        <v>59.159544798898672</v>
      </c>
      <c r="BR78" s="1198">
        <f t="shared" si="257"/>
        <v>54.352831783988158</v>
      </c>
      <c r="BS78" s="279">
        <f t="shared" si="257"/>
        <v>57.310809023933089</v>
      </c>
      <c r="BT78" s="279">
        <f t="shared" si="257"/>
        <v>62.487269193836717</v>
      </c>
      <c r="BU78" s="279">
        <f t="shared" si="257"/>
        <v>59.529291953891793</v>
      </c>
      <c r="BV78" s="279">
        <f t="shared" si="257"/>
        <v>55.092326093974386</v>
      </c>
      <c r="BW78" s="279">
        <f t="shared" si="257"/>
        <v>59.899039108884907</v>
      </c>
      <c r="BX78" s="279">
        <f t="shared" si="257"/>
        <v>63.596510658816079</v>
      </c>
      <c r="BY78" s="124">
        <f t="shared" si="257"/>
        <v>62.857016348829838</v>
      </c>
      <c r="BZ78" s="1431">
        <f t="shared" si="257"/>
        <v>89.478811508334246</v>
      </c>
      <c r="CA78" s="124"/>
      <c r="CB78" s="124">
        <f t="shared" si="257"/>
        <v>80.235132633506325</v>
      </c>
      <c r="CC78" s="124">
        <f t="shared" ref="CC78:CK78" si="258">(CC71*$C$80)*(1+$C$76)</f>
        <v>66.18474074376789</v>
      </c>
      <c r="CD78" s="124">
        <f t="shared" si="258"/>
        <v>62.857016348829838</v>
      </c>
      <c r="CE78" s="124"/>
      <c r="CF78" s="124">
        <f t="shared" ref="CF78" si="259">(CF71*$C$80)*(1+$C$76)</f>
        <v>62.857016348829838</v>
      </c>
      <c r="CG78" s="124">
        <f t="shared" si="258"/>
        <v>62.857016348829838</v>
      </c>
      <c r="CH78" s="124">
        <f t="shared" si="258"/>
        <v>52.873843164015696</v>
      </c>
      <c r="CI78" s="124"/>
      <c r="CJ78" s="124">
        <f t="shared" ref="CJ78" si="260">(CJ71*$C$80)*(1+$C$76)</f>
        <v>54.352831783988158</v>
      </c>
      <c r="CK78" s="316">
        <f t="shared" si="258"/>
        <v>59.159544798898672</v>
      </c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  <c r="CV78" s="124"/>
      <c r="CW78" s="124"/>
      <c r="CX78" s="316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24"/>
      <c r="DV78" s="124"/>
      <c r="DW78" s="124"/>
      <c r="DX78" s="124"/>
      <c r="DY78" s="124"/>
      <c r="DZ78" s="124"/>
      <c r="EA78" s="124"/>
    </row>
    <row r="79" spans="1:131" s="402" customFormat="1">
      <c r="A79" s="9"/>
      <c r="B79" s="499" t="s">
        <v>913</v>
      </c>
      <c r="C79" s="1008">
        <f>AVERAGEA(M79:BR79)</f>
        <v>1.8936414710097089</v>
      </c>
      <c r="D79" s="807">
        <f>AVERAGE(M79:X79)</f>
        <v>-4.3872038788803183</v>
      </c>
      <c r="E79" s="807">
        <f>AVERAGE(Y79:AJ79)</f>
        <v>-4.1913084028327967</v>
      </c>
      <c r="F79" s="807">
        <f>AVERAGE(AK79:AV79)</f>
        <v>6.9874947907938711</v>
      </c>
      <c r="G79" s="807">
        <f>AVERAGE(AW79:BH79)</f>
        <v>7.3104267510324918</v>
      </c>
      <c r="H79" s="1273">
        <f>AVERAGE(BI79:BT79)</f>
        <v>4.4050179982861888</v>
      </c>
      <c r="I79" s="813">
        <f>AVERAGE(BU79:CK79)</f>
        <v>5.6871128845743941</v>
      </c>
      <c r="J79" s="813"/>
      <c r="K79" s="9"/>
      <c r="L79" s="401">
        <f t="shared" ref="L79:AQ79" si="261">L75-L78</f>
        <v>81.071539211403746</v>
      </c>
      <c r="M79" s="870">
        <f t="shared" si="261"/>
        <v>15.22376743064703</v>
      </c>
      <c r="N79" s="868">
        <f t="shared" si="261"/>
        <v>-11.398027728857372</v>
      </c>
      <c r="O79" s="400">
        <f t="shared" si="261"/>
        <v>-6.4760049688023003</v>
      </c>
      <c r="P79" s="400">
        <f t="shared" si="261"/>
        <v>-12.391959448692177</v>
      </c>
      <c r="Q79" s="400">
        <f t="shared" si="261"/>
        <v>-16.660695223657754</v>
      </c>
      <c r="R79" s="400">
        <f t="shared" si="261"/>
        <v>-11.484235053754134</v>
      </c>
      <c r="S79" s="400">
        <f t="shared" si="261"/>
        <v>-23.881144013533863</v>
      </c>
      <c r="T79" s="400">
        <f t="shared" si="261"/>
        <v>-24.250891168526969</v>
      </c>
      <c r="U79" s="400">
        <f t="shared" si="261"/>
        <v>-6.0428317839881629</v>
      </c>
      <c r="V79" s="1240">
        <f t="shared" si="261"/>
        <v>32.124892610949892</v>
      </c>
      <c r="W79" s="1241">
        <f t="shared" si="261"/>
        <v>19.606238980578194</v>
      </c>
      <c r="X79" s="1253">
        <f t="shared" si="261"/>
        <v>-7.0155561789262109</v>
      </c>
      <c r="Y79" s="400">
        <f t="shared" si="261"/>
        <v>-24.002326093974382</v>
      </c>
      <c r="Z79" s="400">
        <f t="shared" si="261"/>
        <v>-11.800669979201537</v>
      </c>
      <c r="AA79" s="400">
        <f t="shared" si="261"/>
        <v>3.9353414008260046</v>
      </c>
      <c r="AB79" s="400">
        <f t="shared" si="261"/>
        <v>4.3050885558191183</v>
      </c>
      <c r="AC79" s="400">
        <f t="shared" si="261"/>
        <v>3.6066056258604178</v>
      </c>
      <c r="AD79" s="400">
        <f t="shared" si="261"/>
        <v>0.27888123092236583</v>
      </c>
      <c r="AE79" s="400">
        <f t="shared" si="261"/>
        <v>-9.8322691938367086</v>
      </c>
      <c r="AF79" s="400">
        <f t="shared" si="261"/>
        <v>-6.8742919538917846</v>
      </c>
      <c r="AG79" s="591">
        <f t="shared" si="261"/>
        <v>2.866352780853525</v>
      </c>
      <c r="AH79" s="1216">
        <f t="shared" si="261"/>
        <v>3.6058470908397595</v>
      </c>
      <c r="AI79" s="1217">
        <f t="shared" si="261"/>
        <v>-4.4946585991740022</v>
      </c>
      <c r="AJ79" s="1221">
        <f t="shared" si="261"/>
        <v>-11.889601699036341</v>
      </c>
      <c r="AK79" s="591">
        <f t="shared" si="261"/>
        <v>2.4133186407709317</v>
      </c>
      <c r="AL79" s="591">
        <f t="shared" si="261"/>
        <v>12.026744670591963</v>
      </c>
      <c r="AM79" s="365">
        <f t="shared" si="261"/>
        <v>10.047503205612607</v>
      </c>
      <c r="AN79" s="400">
        <f t="shared" si="261"/>
        <v>11.896238980578193</v>
      </c>
      <c r="AO79" s="400">
        <f t="shared" si="261"/>
        <v>10.673008895626381</v>
      </c>
      <c r="AP79" s="400">
        <f t="shared" si="261"/>
        <v>-1.5286472191464711</v>
      </c>
      <c r="AQ79" s="400">
        <f t="shared" si="261"/>
        <v>6.5381795960393703</v>
      </c>
      <c r="AR79" s="400">
        <f t="shared" ref="AR79:BT79" si="262">AR75-AR78</f>
        <v>6.9079267510324911</v>
      </c>
      <c r="AS79" s="591">
        <f t="shared" si="262"/>
        <v>12.056801570729625</v>
      </c>
      <c r="AT79" s="1216">
        <f t="shared" si="262"/>
        <v>2.0736283859154696</v>
      </c>
      <c r="AU79" s="1217">
        <f t="shared" si="262"/>
        <v>6.8516056258604223</v>
      </c>
      <c r="AV79" s="1221">
        <f t="shared" si="262"/>
        <v>3.893628385915477</v>
      </c>
      <c r="AW79" s="591">
        <f t="shared" si="262"/>
        <v>10.197168216011839</v>
      </c>
      <c r="AX79" s="591">
        <f t="shared" si="262"/>
        <v>21.659330020798457</v>
      </c>
      <c r="AY79" s="400">
        <f t="shared" si="262"/>
        <v>17.016858470867298</v>
      </c>
      <c r="AZ79" s="591">
        <f t="shared" si="262"/>
        <v>15.537869850894836</v>
      </c>
      <c r="BA79" s="591">
        <f t="shared" si="262"/>
        <v>18.524386920936131</v>
      </c>
      <c r="BB79" s="591">
        <f t="shared" si="262"/>
        <v>9.6504552011013303</v>
      </c>
      <c r="BC79" s="591">
        <f t="shared" si="262"/>
        <v>-4.1969025485545046</v>
      </c>
      <c r="BD79" s="400">
        <f t="shared" si="262"/>
        <v>-8.6338684084719119</v>
      </c>
      <c r="BE79" s="591">
        <f t="shared" si="262"/>
        <v>-0.4938431640156935</v>
      </c>
      <c r="BF79" s="1216">
        <f t="shared" si="262"/>
        <v>3.9431226959017138</v>
      </c>
      <c r="BG79" s="1217">
        <f t="shared" si="262"/>
        <v>9.8400885558191149</v>
      </c>
      <c r="BH79" s="1221">
        <f t="shared" si="262"/>
        <v>-5.3195447988986686</v>
      </c>
      <c r="BI79" s="591">
        <f t="shared" si="262"/>
        <v>0.21823649617704177</v>
      </c>
      <c r="BJ79" s="591">
        <f t="shared" si="262"/>
        <v>9.0921682160118422</v>
      </c>
      <c r="BK79" s="591">
        <f t="shared" si="262"/>
        <v>3.1904552011013294</v>
      </c>
      <c r="BL79" s="591">
        <f t="shared" si="262"/>
        <v>5.7786852860531397</v>
      </c>
      <c r="BM79" s="591">
        <f t="shared" si="262"/>
        <v>10.142983651170162</v>
      </c>
      <c r="BN79" s="591">
        <f t="shared" si="262"/>
        <v>-16.478811508334246</v>
      </c>
      <c r="BO79" s="591">
        <f t="shared" si="262"/>
        <v>4.0251202115005498</v>
      </c>
      <c r="BP79" s="591">
        <f t="shared" si="262"/>
        <v>8.8318332264110779</v>
      </c>
      <c r="BQ79" s="591">
        <f t="shared" si="262"/>
        <v>5.7954552011013405</v>
      </c>
      <c r="BR79" s="1216">
        <f t="shared" si="262"/>
        <v>10.602168216011854</v>
      </c>
      <c r="BS79" s="1217">
        <f t="shared" si="262"/>
        <v>8.4191909760669006</v>
      </c>
      <c r="BT79" s="1221">
        <f t="shared" si="262"/>
        <v>3.2427308061632729</v>
      </c>
      <c r="BU79" s="591">
        <f t="shared" ref="BU79:CK79" si="263">BU75-BU78</f>
        <v>9.5307080461082094</v>
      </c>
      <c r="BV79" s="591">
        <f t="shared" si="263"/>
        <v>13.967673906025617</v>
      </c>
      <c r="BW79" s="591">
        <f t="shared" si="263"/>
        <v>7.2209608911150838</v>
      </c>
      <c r="BX79" s="591">
        <f t="shared" si="263"/>
        <v>3.523489341183911</v>
      </c>
      <c r="BY79" s="634">
        <f t="shared" si="263"/>
        <v>19.934048243956276</v>
      </c>
      <c r="BZ79" s="1436">
        <f t="shared" si="263"/>
        <v>-6.6877469155481322</v>
      </c>
      <c r="CA79" s="634"/>
      <c r="CB79" s="634">
        <f t="shared" si="263"/>
        <v>-0.30974045209053713</v>
      </c>
      <c r="CC79" s="634">
        <f t="shared" si="263"/>
        <v>13.740651437647898</v>
      </c>
      <c r="CD79" s="634">
        <f t="shared" si="263"/>
        <v>2.5385223927897655</v>
      </c>
      <c r="CE79" s="634"/>
      <c r="CF79" s="634">
        <f t="shared" ref="CF79" si="264">CF75-CF78</f>
        <v>-3.8868536755596281</v>
      </c>
      <c r="CG79" s="634">
        <f t="shared" si="263"/>
        <v>2.5385223927897655</v>
      </c>
      <c r="CH79" s="634">
        <f t="shared" si="263"/>
        <v>6.0963195092545135</v>
      </c>
      <c r="CI79" s="634"/>
      <c r="CJ79" s="634">
        <f t="shared" ref="CJ79" si="265">CJ75-CJ78</f>
        <v>11.602407391997254</v>
      </c>
      <c r="CK79" s="635">
        <f t="shared" si="263"/>
        <v>-0.18938212562846246</v>
      </c>
      <c r="CL79" s="634"/>
      <c r="CM79" s="634">
        <f t="shared" ref="CM79:CN79" si="266">CM75-CM78</f>
        <v>0</v>
      </c>
      <c r="CN79" s="634">
        <f t="shared" si="266"/>
        <v>0</v>
      </c>
      <c r="CO79" s="400"/>
      <c r="CP79" s="400"/>
      <c r="CQ79" s="400"/>
      <c r="CR79" s="400"/>
      <c r="CS79" s="400"/>
      <c r="CT79" s="400"/>
      <c r="CU79" s="400"/>
      <c r="CV79" s="400"/>
      <c r="CW79" s="400"/>
      <c r="CX79" s="849"/>
      <c r="CY79" s="400"/>
      <c r="CZ79" s="400"/>
      <c r="DA79" s="400"/>
      <c r="DB79" s="400"/>
      <c r="DC79" s="400"/>
      <c r="DD79" s="400"/>
      <c r="DE79" s="400"/>
      <c r="DF79" s="400"/>
      <c r="DG79" s="400"/>
      <c r="DH79" s="400"/>
      <c r="DI79" s="400"/>
      <c r="DJ79" s="400"/>
      <c r="DK79" s="400"/>
      <c r="DL79" s="400"/>
      <c r="DM79" s="400"/>
      <c r="DN79" s="400"/>
      <c r="DO79" s="400"/>
      <c r="DP79" s="400"/>
      <c r="DQ79" s="400"/>
      <c r="DR79" s="400"/>
      <c r="DS79" s="400"/>
      <c r="DT79" s="400"/>
      <c r="DU79" s="400"/>
      <c r="DV79" s="400"/>
      <c r="DW79" s="400"/>
      <c r="DX79" s="400"/>
      <c r="DY79" s="400"/>
      <c r="DZ79" s="400"/>
      <c r="EA79" s="400"/>
    </row>
    <row r="80" spans="1:131" s="404" customFormat="1">
      <c r="A80" s="9"/>
      <c r="B80" s="506" t="s">
        <v>914</v>
      </c>
      <c r="C80" s="1009">
        <f>TRIMMEAN(X80:BT80,5%)</f>
        <v>0.24112568241355206</v>
      </c>
      <c r="D80" s="121">
        <f>HARMEAN(O80:Z80)</f>
        <v>0.17511968624598015</v>
      </c>
      <c r="E80" s="121">
        <f>HARMEAN(AA80:AL80)</f>
        <v>0.24194456530002781</v>
      </c>
      <c r="F80" s="121">
        <f>HARMEAN(AN80:AX80)</f>
        <v>0.25890570924788986</v>
      </c>
      <c r="G80" s="121">
        <f>HARMEAN(AZ80:BJ80)</f>
        <v>0.24907724691488814</v>
      </c>
      <c r="H80" s="1274">
        <f>HARMEAN(BL80:BV80)</f>
        <v>0.18740817957672445</v>
      </c>
      <c r="I80" s="814">
        <f>HARMEAN(BW80:CM80)</f>
        <v>0.16995956576076943</v>
      </c>
      <c r="J80" s="814"/>
      <c r="L80" s="406"/>
      <c r="N80" s="404">
        <f>N51/(L71+L71)</f>
        <v>0.40388888888888885</v>
      </c>
      <c r="O80" s="871"/>
      <c r="P80" s="404">
        <f>P51/P72</f>
        <v>0.16287096774193549</v>
      </c>
      <c r="R80" s="404">
        <f>R51/R72</f>
        <v>0.15324873096446701</v>
      </c>
      <c r="T80" s="404">
        <f>T51/T72</f>
        <v>0.15211340206185567</v>
      </c>
      <c r="V80" s="404">
        <f>V51/V72</f>
        <v>0.14948979591836736</v>
      </c>
      <c r="W80" s="406">
        <f>W51/W72</f>
        <v>0.16292929292929292</v>
      </c>
      <c r="X80" s="1242">
        <f>X51/X72</f>
        <v>0.27709090909090911</v>
      </c>
      <c r="Y80" s="1255"/>
      <c r="Z80" s="407">
        <f>Z51/Z72</f>
        <v>0.2326948051948052</v>
      </c>
      <c r="AB80" s="404">
        <f>AB51/AB72</f>
        <v>0.24274647887323944</v>
      </c>
      <c r="AD80" s="404">
        <f>AD51/AD72</f>
        <v>0.25</v>
      </c>
      <c r="AF80" s="404">
        <f>AF51/AF72</f>
        <v>0.24212355212355213</v>
      </c>
      <c r="AH80" s="404">
        <f>AH51/AH72</f>
        <v>0.23024242424242425</v>
      </c>
      <c r="AI80" s="865"/>
      <c r="AJ80" s="1218">
        <f>AJ51/AJ72</f>
        <v>0.24617886178861789</v>
      </c>
      <c r="AK80" s="407"/>
      <c r="AL80" s="872">
        <f>AL51/AL72</f>
        <v>0.24130769230769231</v>
      </c>
      <c r="AN80" s="404">
        <f>AN51/AN72</f>
        <v>0.26515151515151514</v>
      </c>
      <c r="AP80" s="404">
        <f>AP51/AP72</f>
        <v>0.2774566473988439</v>
      </c>
      <c r="AR80" s="404">
        <f>AR51/AR72</f>
        <v>0.25711627906976747</v>
      </c>
      <c r="AT80" s="404">
        <f>AT51/AT72</f>
        <v>0.23531561461794021</v>
      </c>
      <c r="AU80" s="865"/>
      <c r="AV80" s="1218">
        <f>AV51/AV72</f>
        <v>0.2493305439330544</v>
      </c>
      <c r="AW80" s="407"/>
      <c r="AX80" s="872">
        <f>AX51/AX72</f>
        <v>0.274031007751938</v>
      </c>
      <c r="AZ80" s="404">
        <f>AZ51/AZ72</f>
        <v>0.30695817490494298</v>
      </c>
      <c r="BB80" s="404">
        <f>BB51/BB72</f>
        <v>0.30636718750000003</v>
      </c>
      <c r="BD80" s="404">
        <f>BD51/BD72</f>
        <v>0.28770270270270271</v>
      </c>
      <c r="BF80" s="404">
        <f>BF51/BF72</f>
        <v>0.19375000000000001</v>
      </c>
      <c r="BG80" s="865"/>
      <c r="BH80" s="1218">
        <f>BH51/BH72</f>
        <v>0.22518248175182481</v>
      </c>
      <c r="BI80" s="407"/>
      <c r="BJ80" s="872">
        <f>BJ51/BJ72</f>
        <v>0.22275985663082437</v>
      </c>
      <c r="BL80" s="865">
        <f>BL51/BL72</f>
        <v>0.21801886792452829</v>
      </c>
      <c r="BN80" s="865">
        <f>BN51/BN72</f>
        <v>0.21722044728434503</v>
      </c>
      <c r="BP80" s="865">
        <f>BP51/BP72</f>
        <v>0.17623786407766989</v>
      </c>
      <c r="BR80" s="865">
        <f>BR51/BR72</f>
        <v>0.17784869976359338</v>
      </c>
      <c r="BS80" s="842"/>
      <c r="BT80" s="1218">
        <f>BT51/BT72</f>
        <v>0.17530944625407166</v>
      </c>
      <c r="BU80" s="1186"/>
      <c r="BV80" s="872">
        <f>BV51/BV72</f>
        <v>0.17169753086419753</v>
      </c>
      <c r="BW80" s="842"/>
      <c r="BX80" s="865">
        <f>BX51/BX72</f>
        <v>0.17712903225806451</v>
      </c>
      <c r="BY80" s="808"/>
      <c r="BZ80" s="1445">
        <f>BZ51/BZ72</f>
        <v>0.17416167664670659</v>
      </c>
      <c r="CA80" s="872"/>
      <c r="CB80" s="808"/>
      <c r="CC80" s="808">
        <f>CC51/CC72</f>
        <v>0.16637672086535091</v>
      </c>
      <c r="CD80" s="808"/>
      <c r="CE80" s="808"/>
      <c r="CF80" s="808"/>
      <c r="CG80" s="808">
        <f>CG51/CG72</f>
        <v>0.16637672086535091</v>
      </c>
      <c r="CH80" s="842"/>
      <c r="CI80" s="842"/>
      <c r="CJ80" s="842"/>
      <c r="CK80" s="842">
        <f>CK51/CK72</f>
        <v>0.16637672086535091</v>
      </c>
      <c r="CL80" s="842"/>
      <c r="CM80" s="873"/>
      <c r="CN80" s="972">
        <f>CN51/CN72</f>
        <v>0.16637672086535088</v>
      </c>
      <c r="CX80" s="557"/>
    </row>
    <row r="81" spans="1:102" s="343" customFormat="1">
      <c r="A81" s="9"/>
      <c r="B81" s="507" t="s">
        <v>915</v>
      </c>
      <c r="C81" s="1010">
        <f>TRIMMEAN(X81:BT81,5%)</f>
        <v>0.44927854243892335</v>
      </c>
      <c r="D81" s="381">
        <f>HARMEAN(O81:Z81)</f>
        <v>0.32746083299061407</v>
      </c>
      <c r="E81" s="381">
        <f>HARMEAN(AA81:AL81)</f>
        <v>0.36865596920399768</v>
      </c>
      <c r="F81" s="381">
        <f>HARMEAN(AN81:AX81)</f>
        <v>0.43247171637337994</v>
      </c>
      <c r="G81" s="381">
        <f>HARMEAN(AZ81:BJ81)</f>
        <v>0.41818433912343239</v>
      </c>
      <c r="H81" s="1275">
        <f>HARMEAN(BL81:BV81)</f>
        <v>0.39564876469551158</v>
      </c>
      <c r="I81" s="589">
        <f>HARMEAN(BW81:CM81)</f>
        <v>0.40658427622688925</v>
      </c>
      <c r="J81" s="589"/>
      <c r="L81" s="373"/>
      <c r="N81" s="505">
        <f>N60/N72</f>
        <v>1.0360747663551402</v>
      </c>
      <c r="O81" s="364"/>
      <c r="P81" s="505">
        <f>P60/P72</f>
        <v>0.32245161290322583</v>
      </c>
      <c r="R81" s="505">
        <f>R60/R72</f>
        <v>0.2937055837563452</v>
      </c>
      <c r="T81" s="505">
        <f>T60/T72</f>
        <v>0.28577319587628863</v>
      </c>
      <c r="V81" s="505">
        <f>V60/V72</f>
        <v>0.27997448979591838</v>
      </c>
      <c r="W81" s="830">
        <f>W60/W72</f>
        <v>0.24398989898989898</v>
      </c>
      <c r="X81" s="1243">
        <f>X60/X72</f>
        <v>1.5118181818181819</v>
      </c>
      <c r="Z81" s="869">
        <f>Z60/Z72</f>
        <v>0.3289935064935065</v>
      </c>
      <c r="AB81" s="505">
        <f>AB60/AB72</f>
        <v>0.43788732394366203</v>
      </c>
      <c r="AD81" s="505">
        <f>AD60/AD72</f>
        <v>0.40422594142259421</v>
      </c>
      <c r="AF81" s="505">
        <f>AF60/AF72</f>
        <v>0.38474903474903477</v>
      </c>
      <c r="AH81" s="505">
        <f>AH60/AH72</f>
        <v>0.31912121212121219</v>
      </c>
      <c r="AI81" s="374"/>
      <c r="AJ81" s="1219">
        <f>AJ60/AJ72</f>
        <v>0.39605691056910564</v>
      </c>
      <c r="AL81" s="930">
        <f>AL60/AL72</f>
        <v>0.30673076923076925</v>
      </c>
      <c r="AN81" s="505">
        <f>AN60/AN72</f>
        <v>0.44267676767676772</v>
      </c>
      <c r="AP81" s="505">
        <f>AP60/AP72</f>
        <v>0.4965895953757225</v>
      </c>
      <c r="AR81" s="505">
        <f>AR60/AR72</f>
        <v>0.41227906976744189</v>
      </c>
      <c r="AT81" s="505">
        <f>AT60/AT72</f>
        <v>0.41441860465116276</v>
      </c>
      <c r="AU81" s="374"/>
      <c r="AV81" s="1219">
        <f>AV60/AV72</f>
        <v>0.42887029288702927</v>
      </c>
      <c r="AX81" s="930">
        <f>AX60/AX72</f>
        <v>0.41139534883720935</v>
      </c>
      <c r="AZ81" s="505">
        <f>AZ60/AZ72</f>
        <v>0.4908745247148289</v>
      </c>
      <c r="BB81" s="505">
        <f>BB60/BB72</f>
        <v>0.49691406250000003</v>
      </c>
      <c r="BD81" s="505">
        <f>BD60/BD72</f>
        <v>0.46493243243243243</v>
      </c>
      <c r="BF81" s="505">
        <f>BF60/BF72</f>
        <v>0.34004629629629629</v>
      </c>
      <c r="BG81" s="374"/>
      <c r="BH81" s="1219">
        <f>BH60/BH72</f>
        <v>0.3823357664233577</v>
      </c>
      <c r="BJ81" s="930">
        <f>BJ60/BJ72</f>
        <v>0.38594982078853052</v>
      </c>
      <c r="BL81" s="931">
        <f>BL60/BL72</f>
        <v>0.39902515723270443</v>
      </c>
      <c r="BN81" s="931">
        <f>BN60/BN72</f>
        <v>0.39840255591054313</v>
      </c>
      <c r="BP81" s="931">
        <f>BP60/BP72</f>
        <v>0.35436893203883496</v>
      </c>
      <c r="BR81" s="931">
        <f>BR60/BR72</f>
        <v>0.40014184397163116</v>
      </c>
      <c r="BS81" s="345"/>
      <c r="BT81" s="1203">
        <f>BT60/BT72</f>
        <v>0.42315960912052125</v>
      </c>
      <c r="BU81" s="379"/>
      <c r="BV81" s="931">
        <f>BV60/BV72</f>
        <v>0.40574074074074068</v>
      </c>
      <c r="BW81" s="379"/>
      <c r="BX81" s="931">
        <f>BX60/BX72</f>
        <v>0.44554838709677419</v>
      </c>
      <c r="BY81" s="379"/>
      <c r="BZ81" s="1446">
        <f>BZ60/BZ72</f>
        <v>0.40191616766467059</v>
      </c>
      <c r="CA81" s="930"/>
      <c r="CB81" s="379"/>
      <c r="CC81" s="973">
        <f>CC60/CC72</f>
        <v>0.40189837180964133</v>
      </c>
      <c r="CD81" s="379"/>
      <c r="CE81" s="379"/>
      <c r="CF81" s="379"/>
      <c r="CG81" s="973">
        <f>CG60/CG72</f>
        <v>0.4036635968758373</v>
      </c>
      <c r="CH81" s="1059"/>
      <c r="CI81" s="1059"/>
      <c r="CJ81" s="1059"/>
      <c r="CK81" s="1059">
        <f>CK60/CK72</f>
        <v>0.38467963965658591</v>
      </c>
      <c r="CL81" s="1059"/>
      <c r="CM81" s="1283"/>
      <c r="CN81" s="1284">
        <f>CN60/CN72</f>
        <v>0.4227251804535499</v>
      </c>
      <c r="CX81" s="558"/>
    </row>
    <row r="82" spans="1:102">
      <c r="B82" s="512"/>
      <c r="C82" s="513"/>
      <c r="D82" s="513"/>
      <c r="E82" s="513"/>
      <c r="F82" s="513"/>
      <c r="G82" s="513"/>
      <c r="H82" s="513"/>
      <c r="I82" s="513"/>
      <c r="J82" s="513"/>
      <c r="N82" s="513"/>
      <c r="O82" s="513"/>
      <c r="P82" s="513"/>
      <c r="Q82" s="513"/>
      <c r="R82" s="513"/>
      <c r="S82" s="513"/>
      <c r="T82" s="513"/>
      <c r="U82" s="513"/>
      <c r="V82" s="513"/>
      <c r="W82" s="513"/>
      <c r="X82" s="513"/>
      <c r="Y82" s="513"/>
      <c r="Z82" s="513"/>
      <c r="AA82" s="513"/>
      <c r="AB82" s="513"/>
      <c r="AC82" s="513"/>
      <c r="AD82" s="513"/>
      <c r="AE82" s="513"/>
      <c r="AF82" s="513"/>
      <c r="AG82" s="513"/>
      <c r="AH82" s="513"/>
      <c r="AI82" s="513"/>
      <c r="AJ82" s="513"/>
      <c r="AK82" s="513"/>
      <c r="AL82" s="513"/>
      <c r="AM82" s="513"/>
      <c r="AN82" s="513"/>
      <c r="AO82" s="513"/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CX82" s="266"/>
    </row>
    <row r="83" spans="1:102">
      <c r="B83" s="511" t="s">
        <v>898</v>
      </c>
      <c r="C83" s="510">
        <v>0.1217</v>
      </c>
      <c r="E83" s="723"/>
      <c r="F83" s="723"/>
      <c r="G83" s="723"/>
      <c r="H83" s="723"/>
      <c r="I83" s="723"/>
      <c r="J83" s="723"/>
      <c r="N83" s="513"/>
      <c r="O83" s="513"/>
      <c r="P83" s="513"/>
      <c r="Q83" s="513"/>
      <c r="R83" s="513"/>
      <c r="S83" s="513"/>
      <c r="T83" s="513"/>
      <c r="U83" s="513"/>
      <c r="V83" s="513"/>
      <c r="W83" s="513"/>
      <c r="X83" s="513"/>
      <c r="Y83" s="513"/>
      <c r="Z83" s="513"/>
      <c r="AA83" s="513"/>
      <c r="AB83" s="513"/>
      <c r="AC83" s="513"/>
      <c r="AD83" s="513"/>
      <c r="AE83" s="513"/>
      <c r="AF83" s="513"/>
      <c r="AG83" s="513"/>
      <c r="AH83" s="513"/>
      <c r="AI83" s="513"/>
      <c r="AJ83" s="513"/>
      <c r="AK83" s="513"/>
      <c r="AL83" s="513"/>
      <c r="AM83" s="513"/>
      <c r="AN83" s="513"/>
      <c r="AO83" s="513"/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</row>
    <row r="84" spans="1:102">
      <c r="B84" s="511" t="s">
        <v>899</v>
      </c>
      <c r="C84" s="509">
        <v>0.05</v>
      </c>
      <c r="D84" s="508"/>
      <c r="E84" s="508"/>
      <c r="F84" s="508"/>
      <c r="G84" s="508"/>
      <c r="H84" s="508"/>
      <c r="I84" s="508"/>
      <c r="J84" s="508"/>
      <c r="N84" s="513"/>
      <c r="O84" s="513"/>
      <c r="P84" s="513"/>
      <c r="Q84" s="513"/>
      <c r="R84" s="513"/>
      <c r="S84" s="513"/>
      <c r="T84" s="513"/>
      <c r="U84" s="513"/>
      <c r="V84" s="513"/>
      <c r="W84" s="513"/>
      <c r="X84" s="513"/>
      <c r="Y84" s="513"/>
      <c r="Z84" s="513"/>
      <c r="AA84" s="513"/>
      <c r="AB84" s="513"/>
      <c r="AC84" s="513"/>
      <c r="AD84" s="513"/>
      <c r="AE84" s="513"/>
      <c r="AF84" s="513"/>
      <c r="AG84" s="513"/>
      <c r="AH84" s="513"/>
      <c r="AI84" s="513"/>
      <c r="AJ84" s="513"/>
      <c r="AK84" s="513"/>
      <c r="AL84" s="513"/>
      <c r="AM84" s="513"/>
      <c r="AN84" s="513"/>
      <c r="AO84" s="513"/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</row>
    <row r="85" spans="1:102">
      <c r="B85" s="511" t="s">
        <v>900</v>
      </c>
      <c r="C85" s="510">
        <v>14</v>
      </c>
      <c r="D85" s="723"/>
      <c r="E85" s="723"/>
      <c r="F85" s="723"/>
      <c r="G85" s="723"/>
      <c r="H85" s="723"/>
      <c r="I85" s="723"/>
      <c r="J85" s="723"/>
      <c r="N85" s="513"/>
      <c r="O85" s="513"/>
      <c r="P85" s="513"/>
      <c r="Q85" s="513"/>
      <c r="R85" s="513"/>
      <c r="S85" s="513"/>
      <c r="T85" s="513"/>
      <c r="U85" s="513"/>
      <c r="V85" s="513"/>
      <c r="W85" s="513"/>
      <c r="X85" s="513"/>
      <c r="Y85" s="513"/>
      <c r="Z85" s="513"/>
      <c r="AA85" s="513"/>
      <c r="AB85" s="513"/>
      <c r="AC85" s="513"/>
      <c r="AD85" s="513"/>
      <c r="AE85" s="513"/>
      <c r="AF85" s="513"/>
      <c r="AG85" s="513"/>
      <c r="AH85" s="513"/>
      <c r="AI85" s="513"/>
      <c r="AJ85" s="513"/>
      <c r="AK85" s="513"/>
      <c r="AL85" s="513"/>
      <c r="AM85" s="513"/>
      <c r="AN85" s="513"/>
      <c r="AO85" s="513"/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</row>
    <row r="86" spans="1:102" ht="242.1" customHeight="1">
      <c r="B86" s="46" t="s">
        <v>901</v>
      </c>
      <c r="C86" s="1303">
        <v>0.69</v>
      </c>
      <c r="N86" s="119"/>
      <c r="P86" s="119"/>
      <c r="R86" s="119"/>
      <c r="T86" s="119"/>
      <c r="V86" s="119"/>
      <c r="X86" s="119"/>
      <c r="Z86" s="119"/>
    </row>
    <row r="87" spans="1:102">
      <c r="O87" s="1490"/>
      <c r="P87" s="1490"/>
    </row>
    <row r="88" spans="1:102" s="469" customFormat="1" ht="37.5" customHeight="1">
      <c r="D88" s="467" t="s">
        <v>916</v>
      </c>
      <c r="E88" s="467" t="s">
        <v>917</v>
      </c>
      <c r="F88" s="467" t="s">
        <v>918</v>
      </c>
      <c r="G88" s="467" t="s">
        <v>919</v>
      </c>
      <c r="H88" s="467" t="s">
        <v>920</v>
      </c>
      <c r="I88" s="467" t="s">
        <v>921</v>
      </c>
      <c r="J88" s="467" t="s">
        <v>922</v>
      </c>
      <c r="K88" s="584" t="s">
        <v>923</v>
      </c>
      <c r="L88" s="467">
        <v>2021</v>
      </c>
      <c r="M88" s="467">
        <v>2022</v>
      </c>
      <c r="N88" s="467">
        <v>2023</v>
      </c>
      <c r="O88" s="467">
        <v>2024</v>
      </c>
      <c r="P88" s="467">
        <v>2025</v>
      </c>
      <c r="Q88" s="467">
        <v>2026</v>
      </c>
      <c r="R88" s="467" t="s">
        <v>922</v>
      </c>
      <c r="S88" s="584" t="s">
        <v>923</v>
      </c>
    </row>
    <row r="89" spans="1:102">
      <c r="C89" s="49" t="s">
        <v>924</v>
      </c>
      <c r="D89" s="1046">
        <f t="shared" ref="D89:I89" si="267">D34</f>
        <v>67.649166666666659</v>
      </c>
      <c r="E89" s="1046">
        <f t="shared" si="267"/>
        <v>22.731666666666666</v>
      </c>
      <c r="F89" s="1046">
        <f t="shared" si="267"/>
        <v>39.980833333333329</v>
      </c>
      <c r="G89" s="1046">
        <f t="shared" si="267"/>
        <v>65.647499999999994</v>
      </c>
      <c r="H89" s="1046">
        <f>H34</f>
        <v>61.801666666666655</v>
      </c>
      <c r="I89" s="572">
        <f t="shared" si="267"/>
        <v>70.582295472852692</v>
      </c>
      <c r="J89" s="319">
        <f>(H89-G89)/G89</f>
        <v>-5.858308897266977E-2</v>
      </c>
      <c r="K89" s="583">
        <f>(I89-H89)/H89</f>
        <v>0.14207754061949848</v>
      </c>
      <c r="L89" s="1051">
        <f t="shared" ref="L89:Q89" si="268">D17</f>
        <v>1132.32</v>
      </c>
      <c r="M89" s="1051">
        <f t="shared" si="268"/>
        <v>272.77999999999997</v>
      </c>
      <c r="N89" s="1051">
        <f t="shared" si="268"/>
        <v>479.77</v>
      </c>
      <c r="O89" s="1051">
        <f t="shared" si="268"/>
        <v>787.77</v>
      </c>
      <c r="P89" s="577">
        <f t="shared" si="268"/>
        <v>741.62</v>
      </c>
      <c r="Q89" s="577">
        <f t="shared" si="268"/>
        <v>861.2034656357398</v>
      </c>
      <c r="R89" s="322">
        <f>(P89-O89)/O89</f>
        <v>-5.8583088972669659E-2</v>
      </c>
      <c r="S89" s="583">
        <f>(Q89-P89)/P89</f>
        <v>0.1612462792747496</v>
      </c>
      <c r="T89" s="63" t="s">
        <v>924</v>
      </c>
    </row>
    <row r="90" spans="1:102">
      <c r="C90" s="49" t="s">
        <v>925</v>
      </c>
      <c r="D90" s="1047">
        <f t="shared" ref="D90:I90" si="269">D36</f>
        <v>28.188333333333333</v>
      </c>
      <c r="E90" s="1047">
        <f t="shared" si="269"/>
        <v>6.5100000000000007</v>
      </c>
      <c r="F90" s="1047">
        <f t="shared" si="269"/>
        <v>20.685833333333335</v>
      </c>
      <c r="G90" s="1047">
        <f t="shared" si="269"/>
        <v>25.650833333333328</v>
      </c>
      <c r="H90" s="1047">
        <f t="shared" si="269"/>
        <v>32.011666666666656</v>
      </c>
      <c r="I90" s="573">
        <f t="shared" si="269"/>
        <v>36.654721840898496</v>
      </c>
      <c r="J90" s="320">
        <f t="shared" ref="J90:J92" si="270">(H90-G90)/G90</f>
        <v>0.24797764854942972</v>
      </c>
      <c r="K90" s="583">
        <f>(I90-H90)/H90</f>
        <v>0.1450425940823192</v>
      </c>
      <c r="L90" s="1052"/>
      <c r="M90" s="1052"/>
      <c r="N90" s="1052"/>
      <c r="O90" s="1052"/>
      <c r="P90" s="578"/>
      <c r="Q90" s="578"/>
      <c r="R90" s="323"/>
      <c r="S90" s="583"/>
      <c r="T90" s="63" t="s">
        <v>925</v>
      </c>
    </row>
    <row r="91" spans="1:102">
      <c r="C91" s="49" t="s">
        <v>926</v>
      </c>
      <c r="D91" s="1050">
        <f t="shared" ref="D91:I91" si="271">D29</f>
        <v>101</v>
      </c>
      <c r="E91" s="1050">
        <f t="shared" si="271"/>
        <v>20</v>
      </c>
      <c r="F91" s="1050">
        <f t="shared" si="271"/>
        <v>34</v>
      </c>
      <c r="G91" s="1050">
        <f t="shared" si="271"/>
        <v>43</v>
      </c>
      <c r="H91" s="1050">
        <f t="shared" si="271"/>
        <v>45</v>
      </c>
      <c r="I91" s="574">
        <f t="shared" si="271"/>
        <v>48</v>
      </c>
      <c r="J91" s="320">
        <f t="shared" si="270"/>
        <v>4.6511627906976744E-2</v>
      </c>
      <c r="K91" s="583">
        <f>(I91-H91)/H91</f>
        <v>6.6666666666666666E-2</v>
      </c>
      <c r="L91" s="1053">
        <f t="shared" ref="L91:Q91" si="272">D28</f>
        <v>1206</v>
      </c>
      <c r="M91" s="1053">
        <f t="shared" si="272"/>
        <v>239</v>
      </c>
      <c r="N91" s="1053">
        <f t="shared" si="272"/>
        <v>407</v>
      </c>
      <c r="O91" s="1053">
        <f t="shared" si="272"/>
        <v>521</v>
      </c>
      <c r="P91" s="640">
        <f t="shared" si="272"/>
        <v>545</v>
      </c>
      <c r="Q91" s="640">
        <f t="shared" si="272"/>
        <v>572</v>
      </c>
      <c r="R91" s="323">
        <f t="shared" ref="R91:R92" si="273">(P91-O91)/O91</f>
        <v>4.6065259117082535E-2</v>
      </c>
      <c r="S91" s="583">
        <f>(Q91-P91)/P91</f>
        <v>4.9541284403669728E-2</v>
      </c>
      <c r="T91" s="63" t="s">
        <v>927</v>
      </c>
    </row>
    <row r="92" spans="1:102">
      <c r="C92" s="49" t="s">
        <v>928</v>
      </c>
      <c r="D92" s="1049">
        <f t="shared" ref="D92:I92" si="274">D40</f>
        <v>0.2445387984807168</v>
      </c>
      <c r="E92" s="1049">
        <f t="shared" si="274"/>
        <v>0.21997962528354686</v>
      </c>
      <c r="F92" s="1049">
        <f t="shared" si="274"/>
        <v>0.59936529572122799</v>
      </c>
      <c r="G92" s="1049">
        <f t="shared" si="274"/>
        <v>0.5955959896489792</v>
      </c>
      <c r="H92" s="1049">
        <f t="shared" si="274"/>
        <v>0.51531609085485697</v>
      </c>
      <c r="I92" s="575">
        <f t="shared" si="274"/>
        <v>0.5681220438100808</v>
      </c>
      <c r="J92" s="321">
        <f t="shared" si="270"/>
        <v>-0.13478918627614675</v>
      </c>
      <c r="K92" s="583">
        <f>(I92-H92)/H92</f>
        <v>0.10247293630521828</v>
      </c>
      <c r="L92" s="1054">
        <f t="shared" ref="L92:O92" si="275">L89/L91</f>
        <v>0.9389054726368159</v>
      </c>
      <c r="M92" s="1054">
        <f t="shared" si="275"/>
        <v>1.141338912133891</v>
      </c>
      <c r="N92" s="1054">
        <f t="shared" si="275"/>
        <v>1.1787960687960688</v>
      </c>
      <c r="O92" s="1054">
        <f t="shared" si="275"/>
        <v>1.5120345489443379</v>
      </c>
      <c r="P92" s="579">
        <f>P89/P91</f>
        <v>1.3607706422018349</v>
      </c>
      <c r="Q92" s="579">
        <f>Q89/Q91</f>
        <v>1.5056004643981464</v>
      </c>
      <c r="R92" s="324">
        <f t="shared" si="273"/>
        <v>-0.10003998046745124</v>
      </c>
      <c r="S92" s="583">
        <f>(Q92-P92)/P92</f>
        <v>0.10643220665164074</v>
      </c>
      <c r="T92" s="63" t="s">
        <v>929</v>
      </c>
    </row>
    <row r="93" spans="1:102" s="469" customFormat="1" ht="49.5" customHeight="1">
      <c r="D93" s="467" t="s">
        <v>930</v>
      </c>
      <c r="E93" s="467" t="s">
        <v>931</v>
      </c>
      <c r="F93" s="467" t="s">
        <v>932</v>
      </c>
      <c r="G93" s="467" t="s">
        <v>933</v>
      </c>
      <c r="H93" s="467" t="s">
        <v>934</v>
      </c>
      <c r="I93" s="467" t="s">
        <v>935</v>
      </c>
      <c r="J93" s="467" t="s">
        <v>936</v>
      </c>
      <c r="K93" s="584" t="s">
        <v>923</v>
      </c>
      <c r="L93" s="467">
        <v>2021</v>
      </c>
      <c r="M93" s="467">
        <v>2022</v>
      </c>
      <c r="N93" s="467">
        <v>2023</v>
      </c>
      <c r="O93" s="467">
        <v>2024</v>
      </c>
      <c r="P93" s="467">
        <v>2025</v>
      </c>
      <c r="Q93" s="467">
        <v>2026</v>
      </c>
      <c r="R93" s="467" t="s">
        <v>936</v>
      </c>
      <c r="S93" s="584" t="s">
        <v>923</v>
      </c>
    </row>
    <row r="94" spans="1:102">
      <c r="C94" s="49" t="s">
        <v>924</v>
      </c>
      <c r="D94" s="1046">
        <f t="shared" ref="D94:I94" si="276">D75</f>
        <v>55.758333333333326</v>
      </c>
      <c r="E94" s="1046">
        <f t="shared" si="276"/>
        <v>45.077500000000008</v>
      </c>
      <c r="F94" s="1046">
        <f t="shared" si="276"/>
        <v>49.631666666666668</v>
      </c>
      <c r="G94" s="1046">
        <f t="shared" si="276"/>
        <v>62.772500000000008</v>
      </c>
      <c r="H94" s="1046">
        <f t="shared" si="276"/>
        <v>69.018333333333345</v>
      </c>
      <c r="I94" s="572">
        <f t="shared" si="276"/>
        <v>69.389265587674217</v>
      </c>
      <c r="J94" s="319">
        <f>(H94-G94)/G94</f>
        <v>9.9499515445988868E-2</v>
      </c>
      <c r="K94" s="583">
        <f>(I94-H94)/H94</f>
        <v>5.3744017919036728E-3</v>
      </c>
      <c r="L94" s="1055">
        <f t="shared" ref="L94:Q94" si="277">D60</f>
        <v>779.95999999999992</v>
      </c>
      <c r="M94" s="1055">
        <f t="shared" si="277"/>
        <v>540.93000000000006</v>
      </c>
      <c r="N94" s="1055">
        <f t="shared" si="277"/>
        <v>595.58000000000004</v>
      </c>
      <c r="O94" s="1055">
        <f t="shared" si="277"/>
        <v>753.27</v>
      </c>
      <c r="P94" s="580">
        <f t="shared" si="277"/>
        <v>828.22</v>
      </c>
      <c r="Q94" s="580">
        <f t="shared" si="277"/>
        <v>846.52431637818336</v>
      </c>
      <c r="R94" s="322">
        <f>(P94-O94)/O94</f>
        <v>9.9499515445988881E-2</v>
      </c>
      <c r="S94" s="583">
        <f>(Q94-P94)/P94</f>
        <v>2.2100790101885162E-2</v>
      </c>
      <c r="T94" s="63" t="s">
        <v>924</v>
      </c>
    </row>
    <row r="95" spans="1:102">
      <c r="C95" s="49" t="s">
        <v>925</v>
      </c>
      <c r="D95" s="1047">
        <f t="shared" ref="D95:I95" si="278">D77</f>
        <v>27.627499999999998</v>
      </c>
      <c r="E95" s="1047">
        <f t="shared" si="278"/>
        <v>29.68416666666667</v>
      </c>
      <c r="F95" s="1047">
        <f t="shared" si="278"/>
        <v>29.741666666666671</v>
      </c>
      <c r="G95" s="1047">
        <f t="shared" si="278"/>
        <v>37.655833333333341</v>
      </c>
      <c r="H95" s="1047">
        <f t="shared" si="278"/>
        <v>32.884166666666673</v>
      </c>
      <c r="I95" s="573">
        <f t="shared" si="278"/>
        <v>28.583073703797361</v>
      </c>
      <c r="J95" s="320">
        <f t="shared" ref="J95:J97" si="279">(H95-G95)/G95</f>
        <v>-0.12671786133179899</v>
      </c>
      <c r="K95" s="583">
        <f>(I95-H95)/H95</f>
        <v>-0.1307952549464832</v>
      </c>
      <c r="L95" s="308"/>
      <c r="M95" s="308"/>
      <c r="N95" s="308"/>
      <c r="O95" s="308"/>
      <c r="P95" s="25"/>
      <c r="Q95" s="25"/>
      <c r="R95" s="323"/>
      <c r="S95" s="583"/>
      <c r="T95" s="63" t="s">
        <v>925</v>
      </c>
    </row>
    <row r="96" spans="1:102">
      <c r="C96" s="49" t="s">
        <v>937</v>
      </c>
      <c r="D96" s="1048">
        <f t="shared" ref="D96:I96" si="280">D71/12</f>
        <v>162.66666666666666</v>
      </c>
      <c r="E96" s="1048">
        <f t="shared" si="280"/>
        <v>133.25</v>
      </c>
      <c r="F96" s="1048">
        <f t="shared" si="280"/>
        <v>115.33333333333333</v>
      </c>
      <c r="G96" s="1048">
        <f t="shared" si="280"/>
        <v>150</v>
      </c>
      <c r="H96" s="1048">
        <f t="shared" si="280"/>
        <v>174.75</v>
      </c>
      <c r="I96" s="576">
        <f t="shared" si="280"/>
        <v>201</v>
      </c>
      <c r="J96" s="320">
        <f t="shared" si="279"/>
        <v>0.16500000000000001</v>
      </c>
      <c r="K96" s="583">
        <f>(I96-H96)/H96</f>
        <v>0.15021459227467812</v>
      </c>
      <c r="L96" s="1056">
        <f t="shared" ref="L96:Q96" si="281">D71</f>
        <v>1952</v>
      </c>
      <c r="M96" s="1056">
        <f t="shared" si="281"/>
        <v>1599</v>
      </c>
      <c r="N96" s="1056">
        <f t="shared" si="281"/>
        <v>1384</v>
      </c>
      <c r="O96" s="1056">
        <f t="shared" si="281"/>
        <v>1800</v>
      </c>
      <c r="P96" s="641">
        <f t="shared" si="281"/>
        <v>2097</v>
      </c>
      <c r="Q96" s="641">
        <f t="shared" si="281"/>
        <v>2412</v>
      </c>
      <c r="R96" s="323">
        <f t="shared" ref="R96:R98" si="282">(P96-O96)/O96</f>
        <v>0.16500000000000001</v>
      </c>
      <c r="S96" s="583">
        <f>(Q96-P96)/P96</f>
        <v>0.15021459227467812</v>
      </c>
      <c r="T96" s="63" t="s">
        <v>937</v>
      </c>
    </row>
    <row r="97" spans="3:20">
      <c r="C97" s="49" t="s">
        <v>938</v>
      </c>
      <c r="D97" s="1049">
        <f t="shared" ref="D97:I97" si="283">D80</f>
        <v>0.17511968624598015</v>
      </c>
      <c r="E97" s="1049">
        <f t="shared" si="283"/>
        <v>0.24194456530002781</v>
      </c>
      <c r="F97" s="1049">
        <f t="shared" si="283"/>
        <v>0.25890570924788986</v>
      </c>
      <c r="G97" s="1049">
        <f t="shared" si="283"/>
        <v>0.24907724691488814</v>
      </c>
      <c r="H97" s="1049">
        <f t="shared" si="283"/>
        <v>0.18740817957672445</v>
      </c>
      <c r="I97" s="575">
        <f t="shared" si="283"/>
        <v>0.16995956576076943</v>
      </c>
      <c r="J97" s="321">
        <f t="shared" si="279"/>
        <v>-0.24759012756888446</v>
      </c>
      <c r="K97" s="583">
        <f>(I97-H97)/H97</f>
        <v>-9.310486796981883E-2</v>
      </c>
      <c r="L97" s="1054">
        <f t="shared" ref="L97:O97" si="284">L94/L96</f>
        <v>0.39956967213114752</v>
      </c>
      <c r="M97" s="1054">
        <f t="shared" si="284"/>
        <v>0.33829268292682929</v>
      </c>
      <c r="N97" s="1054">
        <f t="shared" si="284"/>
        <v>0.43033236994219654</v>
      </c>
      <c r="O97" s="1054">
        <f t="shared" si="284"/>
        <v>0.41848333333333332</v>
      </c>
      <c r="P97" s="579">
        <f>P94/P96</f>
        <v>0.39495469718645687</v>
      </c>
      <c r="Q97" s="579">
        <f>Q94/Q96</f>
        <v>0.35096364692296161</v>
      </c>
      <c r="R97" s="324">
        <f t="shared" si="282"/>
        <v>-5.6223591891854989E-2</v>
      </c>
      <c r="S97" s="583">
        <f>(Q97-P97)/P97</f>
        <v>-0.11138252203828639</v>
      </c>
      <c r="T97" s="63" t="s">
        <v>938</v>
      </c>
    </row>
    <row r="98" spans="3:20">
      <c r="K98" s="49" t="s">
        <v>939</v>
      </c>
      <c r="L98" s="639">
        <f t="shared" ref="L98:Q98" si="285">L89+L94</f>
        <v>1912.2799999999997</v>
      </c>
      <c r="M98" s="639">
        <f t="shared" si="285"/>
        <v>813.71</v>
      </c>
      <c r="N98" s="639">
        <f t="shared" si="285"/>
        <v>1075.3499999999999</v>
      </c>
      <c r="O98" s="639">
        <f t="shared" si="285"/>
        <v>1541.04</v>
      </c>
      <c r="P98" s="639">
        <f t="shared" si="285"/>
        <v>1569.8400000000001</v>
      </c>
      <c r="Q98" s="639">
        <f t="shared" si="285"/>
        <v>1707.7277820139232</v>
      </c>
      <c r="R98" s="324">
        <f t="shared" si="282"/>
        <v>1.8688677776047463E-2</v>
      </c>
      <c r="S98" s="583">
        <f>(Q98-P98)/P98</f>
        <v>8.7835564142793532E-2</v>
      </c>
    </row>
    <row r="99" spans="3:20" s="209" customFormat="1" ht="41.25" customHeight="1">
      <c r="D99" s="468" t="s">
        <v>940</v>
      </c>
      <c r="E99" s="468" t="s">
        <v>941</v>
      </c>
      <c r="F99" s="468" t="s">
        <v>942</v>
      </c>
      <c r="G99" s="468" t="s">
        <v>943</v>
      </c>
      <c r="H99" s="468" t="s">
        <v>944</v>
      </c>
      <c r="I99" s="468" t="s">
        <v>945</v>
      </c>
      <c r="J99" s="468" t="s">
        <v>922</v>
      </c>
      <c r="K99" s="582" t="s">
        <v>946</v>
      </c>
    </row>
    <row r="100" spans="3:20">
      <c r="D100" s="131">
        <f t="shared" ref="D100:I100" si="286">D89+D94</f>
        <v>123.40749999999998</v>
      </c>
      <c r="E100" s="131">
        <f t="shared" si="286"/>
        <v>67.80916666666667</v>
      </c>
      <c r="F100" s="131">
        <f t="shared" si="286"/>
        <v>89.612499999999997</v>
      </c>
      <c r="G100" s="131">
        <f t="shared" si="286"/>
        <v>128.42000000000002</v>
      </c>
      <c r="H100" s="1285">
        <f t="shared" si="286"/>
        <v>130.82</v>
      </c>
      <c r="I100" s="581">
        <f t="shared" si="286"/>
        <v>139.97156106052691</v>
      </c>
      <c r="J100" s="321">
        <f>(H100-G100)/G100</f>
        <v>1.8688677776047165E-2</v>
      </c>
      <c r="K100" s="571">
        <f>(H100-G100)/G100</f>
        <v>1.8688677776047165E-2</v>
      </c>
    </row>
    <row r="103" spans="3:20">
      <c r="D103" s="467">
        <v>2021</v>
      </c>
      <c r="E103" s="467">
        <v>2022</v>
      </c>
      <c r="F103" s="467">
        <v>2023</v>
      </c>
      <c r="G103" s="467">
        <v>2024</v>
      </c>
      <c r="H103" s="467">
        <v>2025</v>
      </c>
      <c r="I103" s="467">
        <v>2026</v>
      </c>
    </row>
    <row r="104" spans="3:20">
      <c r="C104" s="500" t="s">
        <v>870</v>
      </c>
      <c r="D104" s="470">
        <f t="shared" ref="D104:D112" si="287">AVERAGE(O7,Q7,S7,U7,Y7)</f>
        <v>0.49675108572379106</v>
      </c>
      <c r="E104" s="470">
        <f t="shared" ref="E104:E112" si="288">AVERAGE(AA7,AC7,AE7,AG7,AI7,AK7)</f>
        <v>0.76047361567232652</v>
      </c>
      <c r="F104" s="470">
        <f t="shared" ref="F104:F112" si="289">AVERAGE(AM7,AO7,AQ7,AS7,AU7,AW7)</f>
        <v>0.82042319411364328</v>
      </c>
      <c r="G104" s="470">
        <f t="shared" ref="G104:G112" si="290">AVERAGE(AY7,BA7,BC7,BE7,BG7,BI7)</f>
        <v>0.60847737757719422</v>
      </c>
      <c r="H104" s="297">
        <f t="shared" ref="H104:H112" si="291">AVERAGE(BK7,BM7,BO7,BQ7,BS7,BU7)</f>
        <v>0.56543426948044262</v>
      </c>
      <c r="I104" s="129"/>
      <c r="L104" s="63"/>
    </row>
    <row r="105" spans="3:20">
      <c r="C105" s="503" t="s">
        <v>871</v>
      </c>
      <c r="D105" s="100">
        <f t="shared" si="287"/>
        <v>0.31396582488296942</v>
      </c>
      <c r="E105" s="100">
        <f t="shared" si="288"/>
        <v>0.54172971472317244</v>
      </c>
      <c r="F105" s="100">
        <f t="shared" si="289"/>
        <v>0.42534260570798571</v>
      </c>
      <c r="G105" s="100">
        <f t="shared" si="290"/>
        <v>0.32510900647386237</v>
      </c>
      <c r="H105" s="104">
        <f t="shared" si="291"/>
        <v>0.32037056463548752</v>
      </c>
      <c r="I105" s="104"/>
      <c r="L105" s="503"/>
    </row>
    <row r="106" spans="3:20">
      <c r="C106" s="497" t="s">
        <v>872</v>
      </c>
      <c r="D106" s="470">
        <f t="shared" si="287"/>
        <v>0.18278526084082164</v>
      </c>
      <c r="E106" s="470">
        <f t="shared" si="288"/>
        <v>0.21874390094915405</v>
      </c>
      <c r="F106" s="470">
        <f t="shared" si="289"/>
        <v>0.39508058840565746</v>
      </c>
      <c r="G106" s="470">
        <f t="shared" si="290"/>
        <v>0.28336837110333191</v>
      </c>
      <c r="H106" s="297">
        <f t="shared" si="291"/>
        <v>0.25449958146833168</v>
      </c>
      <c r="I106" s="129"/>
      <c r="L106" s="503"/>
    </row>
    <row r="107" spans="3:20">
      <c r="C107" s="63" t="s">
        <v>873</v>
      </c>
      <c r="D107" s="100">
        <f t="shared" si="287"/>
        <v>-6.3471412388741086E-2</v>
      </c>
      <c r="E107" s="100">
        <f t="shared" si="288"/>
        <v>-3.7259821615357409E-2</v>
      </c>
      <c r="F107" s="100">
        <f t="shared" si="289"/>
        <v>-6.6236214608828933E-2</v>
      </c>
      <c r="G107" s="100">
        <f t="shared" si="290"/>
        <v>-1.6540194724557061E-2</v>
      </c>
      <c r="H107" s="100">
        <f t="shared" si="291"/>
        <v>-1.1693141838667383E-2</v>
      </c>
      <c r="I107" s="100"/>
      <c r="L107" s="63"/>
    </row>
    <row r="108" spans="3:20">
      <c r="C108" s="63" t="s">
        <v>874</v>
      </c>
      <c r="D108" s="100">
        <f t="shared" si="287"/>
        <v>0.19516132906319564</v>
      </c>
      <c r="E108" s="100">
        <f t="shared" si="288"/>
        <v>0.27960195334233257</v>
      </c>
      <c r="F108" s="100">
        <f t="shared" si="289"/>
        <v>0.33901861044396314</v>
      </c>
      <c r="G108" s="100">
        <f t="shared" si="290"/>
        <v>0.24320817639475234</v>
      </c>
      <c r="H108" s="100">
        <f t="shared" si="291"/>
        <v>0.35877836951550784</v>
      </c>
      <c r="I108" s="100"/>
      <c r="L108" s="63"/>
    </row>
    <row r="109" spans="3:20">
      <c r="C109" s="63" t="s">
        <v>875</v>
      </c>
      <c r="D109" s="100">
        <f t="shared" si="287"/>
        <v>-2.6324761212428377E-3</v>
      </c>
      <c r="E109" s="100">
        <f t="shared" si="288"/>
        <v>-0.15055633892483902</v>
      </c>
      <c r="F109" s="100">
        <f t="shared" si="289"/>
        <v>-0.24673336850863017</v>
      </c>
      <c r="G109" s="100">
        <f t="shared" si="290"/>
        <v>-3.0809365434204188E-2</v>
      </c>
      <c r="H109" s="100">
        <f t="shared" si="291"/>
        <v>-2.2559874270779528E-2</v>
      </c>
      <c r="I109" s="100"/>
      <c r="L109" s="63"/>
    </row>
    <row r="110" spans="3:20">
      <c r="C110" s="63" t="s">
        <v>876</v>
      </c>
      <c r="D110" s="100">
        <f t="shared" si="287"/>
        <v>9.6389175379740552E-2</v>
      </c>
      <c r="E110" s="100">
        <f t="shared" si="288"/>
        <v>1.4591439688715951E-3</v>
      </c>
      <c r="F110" s="100">
        <f t="shared" si="289"/>
        <v>1.2846865364850976E-3</v>
      </c>
      <c r="G110" s="100">
        <f t="shared" si="290"/>
        <v>2.7943368107302534E-4</v>
      </c>
      <c r="H110" s="100">
        <f t="shared" si="291"/>
        <v>2.7774691700922126E-4</v>
      </c>
      <c r="I110" s="100"/>
      <c r="L110" s="63"/>
    </row>
    <row r="111" spans="3:20">
      <c r="C111" s="63" t="s">
        <v>877</v>
      </c>
      <c r="D111" s="100">
        <f t="shared" si="287"/>
        <v>0.13963566122863119</v>
      </c>
      <c r="E111" s="100">
        <f t="shared" si="288"/>
        <v>9.838069391621955E-2</v>
      </c>
      <c r="F111" s="100">
        <f t="shared" si="289"/>
        <v>0.10445669961813708</v>
      </c>
      <c r="G111" s="100">
        <f t="shared" si="290"/>
        <v>6.8095623517051743E-2</v>
      </c>
      <c r="H111" s="100">
        <f t="shared" si="291"/>
        <v>0.10240591330888334</v>
      </c>
      <c r="I111" s="100"/>
      <c r="L111" s="63"/>
    </row>
    <row r="112" spans="3:20">
      <c r="C112" s="500" t="s">
        <v>878</v>
      </c>
      <c r="D112" s="470">
        <f t="shared" si="287"/>
        <v>0.13816663711462546</v>
      </c>
      <c r="E112" s="470">
        <f t="shared" si="288"/>
        <v>4.7900753640446325E-2</v>
      </c>
      <c r="F112" s="470">
        <f t="shared" si="289"/>
        <v>4.7786392405230527E-2</v>
      </c>
      <c r="G112" s="470">
        <f t="shared" si="290"/>
        <v>0.12728894898868987</v>
      </c>
      <c r="H112" s="470">
        <f t="shared" si="291"/>
        <v>0.21267733382148038</v>
      </c>
      <c r="I112" s="100"/>
      <c r="L112" s="63"/>
    </row>
    <row r="113" spans="3:12">
      <c r="C113" s="504" t="s">
        <v>879</v>
      </c>
      <c r="D113" s="100">
        <f>SUM(D107:D112)</f>
        <v>0.50324891427620888</v>
      </c>
      <c r="E113" s="100">
        <f>SUM(E107:E112)</f>
        <v>0.23952638432767359</v>
      </c>
      <c r="F113" s="100">
        <f>SUM(F107:F112)</f>
        <v>0.17957680588635672</v>
      </c>
      <c r="G113" s="100">
        <f>SUM(G107:G112)</f>
        <v>0.39152262242280572</v>
      </c>
      <c r="H113" s="100">
        <f>SUM(H107:H112)</f>
        <v>0.63988634745343387</v>
      </c>
      <c r="I113" s="100"/>
      <c r="L113" s="504"/>
    </row>
  </sheetData>
  <mergeCells count="24">
    <mergeCell ref="CO49:CZ49"/>
    <mergeCell ref="BW49:CN49"/>
    <mergeCell ref="AM49:AX49"/>
    <mergeCell ref="AY49:BJ49"/>
    <mergeCell ref="BK49:BV49"/>
    <mergeCell ref="AK74:AV74"/>
    <mergeCell ref="AW74:BH74"/>
    <mergeCell ref="BI74:BT74"/>
    <mergeCell ref="BU74:CK74"/>
    <mergeCell ref="O87:P87"/>
    <mergeCell ref="M74:X74"/>
    <mergeCell ref="Y74:AJ74"/>
    <mergeCell ref="B49:C49"/>
    <mergeCell ref="B5:C5"/>
    <mergeCell ref="M4:X4"/>
    <mergeCell ref="Y4:AJ4"/>
    <mergeCell ref="L49:N49"/>
    <mergeCell ref="O49:Z49"/>
    <mergeCell ref="AA49:AL49"/>
    <mergeCell ref="BI4:BT4"/>
    <mergeCell ref="AK4:AV4"/>
    <mergeCell ref="AW4:BH4"/>
    <mergeCell ref="V3:Y3"/>
    <mergeCell ref="BU4:CL4"/>
  </mergeCells>
  <phoneticPr fontId="2" type="noConversion"/>
  <conditionalFormatting sqref="R89:R92 D89:I97 L89:Q97 R94:R98 J89:J92 J94:J97 J100">
    <cfRule type="cellIs" dxfId="137" priority="62" operator="lessThan">
      <formula>0</formula>
    </cfRule>
  </conditionalFormatting>
  <conditionalFormatting sqref="DT50:XFD50">
    <cfRule type="cellIs" dxfId="136" priority="60" operator="equal">
      <formula>$C$3</formula>
    </cfRule>
  </conditionalFormatting>
  <conditionalFormatting sqref="B7:B16 L7:DS16">
    <cfRule type="cellIs" dxfId="135" priority="58" operator="lessThan">
      <formula>0</formula>
    </cfRule>
  </conditionalFormatting>
  <conditionalFormatting sqref="C105:C113">
    <cfRule type="cellIs" dxfId="134" priority="56" operator="lessThan">
      <formula>0</formula>
    </cfRule>
  </conditionalFormatting>
  <conditionalFormatting sqref="L105:L113">
    <cfRule type="cellIs" dxfId="133" priority="55" operator="lessThan">
      <formula>0</formula>
    </cfRule>
  </conditionalFormatting>
  <conditionalFormatting sqref="A73:B73 A31:B31 D31:L31 D73:L73 N31:W31 N73:XFD73 Y31:XFD31">
    <cfRule type="cellIs" dxfId="132" priority="53" operator="lessThan">
      <formula>0</formula>
    </cfRule>
    <cfRule type="cellIs" dxfId="131" priority="54" operator="greaterThan">
      <formula>0</formula>
    </cfRule>
  </conditionalFormatting>
  <conditionalFormatting sqref="R89:R92 R94:R98 J89:J92 J94:J97 J100">
    <cfRule type="cellIs" dxfId="130" priority="50" operator="greaterThan">
      <formula>0</formula>
    </cfRule>
  </conditionalFormatting>
  <conditionalFormatting sqref="CP50:CV50 DB50:DH50 DN50:DS50 BX50:CC50 CE50 CG50">
    <cfRule type="cellIs" dxfId="129" priority="49" operator="equal">
      <formula>$B$3</formula>
    </cfRule>
  </conditionalFormatting>
  <conditionalFormatting sqref="D8:J8">
    <cfRule type="cellIs" dxfId="128" priority="48" operator="lessThan">
      <formula>0</formula>
    </cfRule>
  </conditionalFormatting>
  <conditionalFormatting sqref="D9:J9">
    <cfRule type="cellIs" dxfId="127" priority="47" operator="lessThan">
      <formula>0</formula>
    </cfRule>
  </conditionalFormatting>
  <conditionalFormatting sqref="D10:J10">
    <cfRule type="cellIs" dxfId="126" priority="46" operator="lessThan">
      <formula>0</formula>
    </cfRule>
  </conditionalFormatting>
  <conditionalFormatting sqref="D7:J7">
    <cfRule type="cellIs" dxfId="125" priority="45" operator="lessThan">
      <formula>0</formula>
    </cfRule>
  </conditionalFormatting>
  <conditionalFormatting sqref="D11:J11">
    <cfRule type="cellIs" dxfId="124" priority="44" operator="lessThan">
      <formula>0</formula>
    </cfRule>
  </conditionalFormatting>
  <conditionalFormatting sqref="D12:J12">
    <cfRule type="cellIs" dxfId="123" priority="43" operator="lessThan">
      <formula>0</formula>
    </cfRule>
  </conditionalFormatting>
  <conditionalFormatting sqref="D13:J13">
    <cfRule type="cellIs" dxfId="122" priority="42" operator="lessThan">
      <formula>0</formula>
    </cfRule>
  </conditionalFormatting>
  <conditionalFormatting sqref="D14:J14">
    <cfRule type="cellIs" dxfId="121" priority="41" operator="lessThan">
      <formula>0</formula>
    </cfRule>
  </conditionalFormatting>
  <conditionalFormatting sqref="D15:J15">
    <cfRule type="cellIs" dxfId="120" priority="40" operator="lessThan">
      <formula>0</formula>
    </cfRule>
  </conditionalFormatting>
  <conditionalFormatting sqref="D16:J16">
    <cfRule type="cellIs" dxfId="119" priority="39" operator="lessThan">
      <formula>0</formula>
    </cfRule>
  </conditionalFormatting>
  <conditionalFormatting sqref="D19">
    <cfRule type="cellIs" dxfId="118" priority="37" operator="lessThan">
      <formula>0</formula>
    </cfRule>
  </conditionalFormatting>
  <conditionalFormatting sqref="E19:J19">
    <cfRule type="cellIs" dxfId="117" priority="36" operator="lessThan">
      <formula>0</formula>
    </cfRule>
  </conditionalFormatting>
  <conditionalFormatting sqref="D52:J52">
    <cfRule type="cellIs" dxfId="116" priority="32" operator="lessThan">
      <formula>0</formula>
    </cfRule>
  </conditionalFormatting>
  <conditionalFormatting sqref="D53:J53">
    <cfRule type="cellIs" dxfId="115" priority="31" operator="lessThan">
      <formula>0</formula>
    </cfRule>
  </conditionalFormatting>
  <conditionalFormatting sqref="D54:J54">
    <cfRule type="cellIs" dxfId="114" priority="30" operator="lessThan">
      <formula>0</formula>
    </cfRule>
  </conditionalFormatting>
  <conditionalFormatting sqref="D55:J55">
    <cfRule type="cellIs" dxfId="113" priority="29" operator="lessThan">
      <formula>0</formula>
    </cfRule>
  </conditionalFormatting>
  <conditionalFormatting sqref="D56:J56">
    <cfRule type="cellIs" dxfId="112" priority="28" operator="lessThan">
      <formula>0</formula>
    </cfRule>
  </conditionalFormatting>
  <conditionalFormatting sqref="D57:J57">
    <cfRule type="cellIs" dxfId="111" priority="27" operator="lessThan">
      <formula>0</formula>
    </cfRule>
  </conditionalFormatting>
  <conditionalFormatting sqref="D58:J58">
    <cfRule type="cellIs" dxfId="110" priority="26" operator="lessThan">
      <formula>0</formula>
    </cfRule>
  </conditionalFormatting>
  <conditionalFormatting sqref="D33:J33">
    <cfRule type="cellIs" dxfId="109" priority="25" operator="equal">
      <formula>$C$3</formula>
    </cfRule>
  </conditionalFormatting>
  <conditionalFormatting sqref="D64:J64">
    <cfRule type="cellIs" dxfId="108" priority="24" operator="lessThan">
      <formula>0</formula>
    </cfRule>
  </conditionalFormatting>
  <conditionalFormatting sqref="D59:J59">
    <cfRule type="cellIs" dxfId="107" priority="23" operator="lessThan">
      <formula>0</formula>
    </cfRule>
  </conditionalFormatting>
  <conditionalFormatting sqref="D74:J74">
    <cfRule type="cellIs" dxfId="106" priority="22" operator="equal">
      <formula>$C$3</formula>
    </cfRule>
  </conditionalFormatting>
  <conditionalFormatting sqref="D51:J51">
    <cfRule type="cellIs" dxfId="105" priority="21" operator="lessThan">
      <formula>0</formula>
    </cfRule>
  </conditionalFormatting>
  <conditionalFormatting sqref="L74">
    <cfRule type="cellIs" dxfId="104" priority="19" operator="lessThan">
      <formula>0</formula>
    </cfRule>
    <cfRule type="cellIs" dxfId="103" priority="20" operator="greaterThan">
      <formula>0</formula>
    </cfRule>
  </conditionalFormatting>
  <conditionalFormatting sqref="BU30 AZ30:BS30 AZ28:BU29 L28:AY30 M7:CE17 M6:CA6 CC6:CE6 L50:CC50 CE50 L51:CF60 CG50:DS60 L62:DS64 L72:DS72 BV28:DS30 L40:DS41 L80:DS81 CF6:DS17">
    <cfRule type="expression" dxfId="102" priority="18">
      <formula>INDIRECT("R2C"&amp;COLUMN(),FALSE)=TRUE</formula>
    </cfRule>
  </conditionalFormatting>
  <conditionalFormatting sqref="L31:DS31 L23:DS27 L34:CA39 CC34:CC39 CE34:DS39">
    <cfRule type="expression" dxfId="101" priority="13">
      <formula>INDIRECT("R22C"&amp;COLUMN(),FALSE)=TRUE</formula>
    </cfRule>
  </conditionalFormatting>
  <conditionalFormatting sqref="L73:DS73 L67:DS71 L75:DS79">
    <cfRule type="expression" dxfId="100" priority="12">
      <formula>INDIRECT("R66C"&amp;COLUMN(),FALSE)=TRUE</formula>
    </cfRule>
  </conditionalFormatting>
  <conditionalFormatting sqref="BN48">
    <cfRule type="expression" dxfId="99" priority="5">
      <formula>INDIRECT("R2C"&amp;COLUMN(),FALSE)=TRUE</formula>
    </cfRule>
  </conditionalFormatting>
  <conditionalFormatting sqref="BT30">
    <cfRule type="expression" dxfId="98" priority="1">
      <formula>INDIRECT("R22C"&amp;COLUMN(),FALSE)=TRUE</formula>
    </cfRule>
  </conditionalFormatting>
  <dataValidations disablePrompts="1" count="1">
    <dataValidation type="list" allowBlank="1" showInputMessage="1" showErrorMessage="1" sqref="B3" xr:uid="{2E3818E4-CC7E-4A77-8AF2-159D739B75BB}">
      <formula1>DATA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9367-F368-4E1A-A6B9-3BC9C246EC96}">
  <sheetPr codeName="Foglio8">
    <tabColor rgb="FF00B0F0"/>
  </sheetPr>
  <dimension ref="A1:BY57"/>
  <sheetViews>
    <sheetView showGridLines="0" topLeftCell="A2" zoomScale="85" zoomScaleNormal="85" workbookViewId="0">
      <pane xSplit="1" ySplit="5" topLeftCell="B7" activePane="bottomRight" state="frozen"/>
      <selection pane="topRight" activeCell="B2" sqref="B2"/>
      <selection pane="bottomLeft" activeCell="A7" sqref="A7"/>
      <selection pane="bottomRight" activeCell="BV20" sqref="BV20"/>
    </sheetView>
  </sheetViews>
  <sheetFormatPr defaultColWidth="9.140625" defaultRowHeight="15"/>
  <cols>
    <col min="1" max="1" width="44.140625" style="9" bestFit="1" customWidth="1"/>
    <col min="2" max="2" width="25.28515625" style="15" bestFit="1" customWidth="1"/>
    <col min="3" max="3" width="20.42578125" style="15" hidden="1" customWidth="1"/>
    <col min="4" max="4" width="19.7109375" style="15" hidden="1" customWidth="1"/>
    <col min="5" max="5" width="17.28515625" style="15" hidden="1" customWidth="1"/>
    <col min="6" max="6" width="17.7109375" style="15" hidden="1" customWidth="1"/>
    <col min="7" max="7" width="14.85546875" style="15" hidden="1" customWidth="1"/>
    <col min="8" max="8" width="14.7109375" style="15" hidden="1" customWidth="1"/>
    <col min="9" max="9" width="16.140625" style="15" hidden="1" customWidth="1"/>
    <col min="10" max="10" width="16" style="15" hidden="1" customWidth="1"/>
    <col min="11" max="11" width="15.140625" style="15" hidden="1" customWidth="1"/>
    <col min="12" max="12" width="16.140625" style="15" hidden="1" customWidth="1"/>
    <col min="13" max="13" width="19.7109375" style="15" hidden="1" customWidth="1"/>
    <col min="14" max="14" width="18.42578125" style="15" hidden="1" customWidth="1"/>
    <col min="15" max="15" width="20.42578125" style="15" hidden="1" customWidth="1"/>
    <col min="16" max="16" width="19.7109375" style="15" hidden="1" customWidth="1"/>
    <col min="17" max="17" width="17.28515625" style="15" hidden="1" customWidth="1"/>
    <col min="18" max="18" width="17.7109375" style="15" hidden="1" customWidth="1"/>
    <col min="19" max="19" width="14.85546875" style="15" hidden="1" customWidth="1"/>
    <col min="20" max="20" width="14.7109375" style="15" hidden="1" customWidth="1"/>
    <col min="21" max="21" width="16.140625" style="15" hidden="1" customWidth="1"/>
    <col min="22" max="22" width="16" style="15" hidden="1" customWidth="1"/>
    <col min="23" max="23" width="15.140625" style="15" hidden="1" customWidth="1"/>
    <col min="24" max="24" width="16.140625" style="15" hidden="1" customWidth="1"/>
    <col min="25" max="25" width="19.7109375" style="15" hidden="1" customWidth="1"/>
    <col min="26" max="26" width="18.42578125" style="15" hidden="1" customWidth="1"/>
    <col min="27" max="27" width="20.42578125" style="15" hidden="1" customWidth="1"/>
    <col min="28" max="28" width="19.7109375" style="15" hidden="1" customWidth="1"/>
    <col min="29" max="29" width="17.28515625" style="15" hidden="1" customWidth="1"/>
    <col min="30" max="30" width="17.7109375" style="15" hidden="1" customWidth="1"/>
    <col min="31" max="31" width="14.85546875" style="15" hidden="1" customWidth="1"/>
    <col min="32" max="32" width="14.7109375" style="15" hidden="1" customWidth="1"/>
    <col min="33" max="33" width="16.140625" style="15" hidden="1" customWidth="1"/>
    <col min="34" max="34" width="16" style="15" hidden="1" customWidth="1"/>
    <col min="35" max="35" width="15.140625" style="15" hidden="1" customWidth="1"/>
    <col min="36" max="36" width="16.140625" style="15" hidden="1" customWidth="1"/>
    <col min="37" max="37" width="19.7109375" style="15" hidden="1" customWidth="1"/>
    <col min="38" max="38" width="18.42578125" style="15" hidden="1" customWidth="1"/>
    <col min="39" max="39" width="20.42578125" style="15" hidden="1" customWidth="1"/>
    <col min="40" max="40" width="19.7109375" style="15" hidden="1" customWidth="1"/>
    <col min="41" max="41" width="17.28515625" style="15" hidden="1" customWidth="1"/>
    <col min="42" max="42" width="17.7109375" style="15" hidden="1" customWidth="1"/>
    <col min="43" max="43" width="14.85546875" style="15" hidden="1" customWidth="1"/>
    <col min="44" max="44" width="14.7109375" style="15" hidden="1" customWidth="1"/>
    <col min="45" max="45" width="16.140625" style="15" hidden="1" customWidth="1"/>
    <col min="46" max="46" width="16" style="15" hidden="1" customWidth="1"/>
    <col min="47" max="47" width="15.140625" style="15" hidden="1" customWidth="1"/>
    <col min="48" max="48" width="16.140625" style="15" hidden="1" customWidth="1"/>
    <col min="49" max="49" width="19.7109375" style="15" hidden="1" customWidth="1"/>
    <col min="50" max="50" width="18.42578125" style="15" hidden="1" customWidth="1"/>
    <col min="51" max="51" width="20.42578125" style="15" hidden="1" customWidth="1"/>
    <col min="52" max="52" width="19.7109375" style="15" hidden="1" customWidth="1"/>
    <col min="53" max="53" width="16.42578125" style="137" hidden="1" customWidth="1"/>
    <col min="54" max="54" width="16.85546875" style="15" hidden="1" customWidth="1"/>
    <col min="55" max="55" width="14.140625" style="15" hidden="1" customWidth="1"/>
    <col min="56" max="56" width="14" style="15" hidden="1" customWidth="1"/>
    <col min="57" max="57" width="15.42578125" style="15" hidden="1" customWidth="1"/>
    <col min="58" max="58" width="15.28515625" style="15" hidden="1" customWidth="1"/>
    <col min="59" max="59" width="14.42578125" style="15" hidden="1" customWidth="1"/>
    <col min="60" max="60" width="15.28515625" style="15" hidden="1" customWidth="1"/>
    <col min="61" max="61" width="18.42578125" style="15" hidden="1" customWidth="1"/>
    <col min="62" max="62" width="18.42578125" style="15" bestFit="1" customWidth="1"/>
    <col min="63" max="63" width="20.42578125" style="15" bestFit="1" customWidth="1"/>
    <col min="64" max="64" width="19.7109375" style="15" bestFit="1" customWidth="1"/>
    <col min="65" max="65" width="17.28515625" style="15" bestFit="1" customWidth="1"/>
    <col min="66" max="66" width="17.7109375" style="9" bestFit="1" customWidth="1"/>
    <col min="67" max="67" width="14.85546875" style="9" bestFit="1" customWidth="1"/>
    <col min="68" max="68" width="14.7109375" style="9" bestFit="1" customWidth="1"/>
    <col min="69" max="70" width="16" style="9" bestFit="1" customWidth="1"/>
    <col min="71" max="71" width="15.140625" style="9" bestFit="1" customWidth="1"/>
    <col min="72" max="72" width="16.140625" style="9" bestFit="1" customWidth="1"/>
    <col min="73" max="73" width="19.7109375" style="9" bestFit="1" customWidth="1"/>
    <col min="74" max="74" width="18.42578125" style="9" bestFit="1" customWidth="1"/>
    <col min="75" max="75" width="20.42578125" style="9" bestFit="1" customWidth="1"/>
    <col min="76" max="76" width="19.7109375" style="9" bestFit="1" customWidth="1"/>
    <col min="77" max="77" width="20.140625" style="9" bestFit="1" customWidth="1"/>
    <col min="78" max="16384" width="9.140625" style="9"/>
  </cols>
  <sheetData>
    <row r="1" spans="1:77" hidden="1">
      <c r="A1" s="40">
        <f>BILANCIO!B2</f>
        <v>46296</v>
      </c>
    </row>
    <row r="2" spans="1:77" s="136" customFormat="1">
      <c r="A2" s="133" t="str">
        <f>CONCATENATE(MONTH(A1)," ",VLOOKUP(MONTH(A1),A45:B56,2,FALSE)," ",YEAR(A1))</f>
        <v>10 OTTOBRE 2026</v>
      </c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5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</row>
    <row r="3" spans="1:77">
      <c r="A3" s="1322" t="s">
        <v>83</v>
      </c>
      <c r="B3" s="1323" t="s">
        <v>727</v>
      </c>
      <c r="AK3" s="9"/>
    </row>
    <row r="4" spans="1:77">
      <c r="A4" s="1322" t="s">
        <v>70</v>
      </c>
      <c r="B4" s="1323" t="s">
        <v>727</v>
      </c>
    </row>
    <row r="5" spans="1:77" s="136" customFormat="1">
      <c r="B5" s="133" t="s">
        <v>947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</row>
    <row r="6" spans="1:77">
      <c r="A6" s="1322" t="s">
        <v>728</v>
      </c>
      <c r="B6" s="1459" t="s">
        <v>729</v>
      </c>
      <c r="C6" s="1460"/>
      <c r="D6" s="1460"/>
      <c r="E6" s="1460"/>
      <c r="F6" s="1460"/>
      <c r="G6" s="1460"/>
      <c r="H6" s="1460"/>
      <c r="I6" s="1460"/>
      <c r="J6" s="1460"/>
      <c r="K6" s="1460"/>
      <c r="L6" s="1460"/>
      <c r="M6" s="1460"/>
      <c r="N6" s="1460"/>
      <c r="O6" s="1460"/>
      <c r="P6" s="1460"/>
      <c r="Q6" s="1460"/>
      <c r="R6" s="1460"/>
      <c r="S6" s="1460"/>
      <c r="T6" s="1460"/>
      <c r="U6" s="1460"/>
      <c r="V6" s="1460"/>
      <c r="W6" s="1460"/>
      <c r="X6" s="1460"/>
      <c r="Y6" s="1460"/>
      <c r="Z6" s="1460"/>
      <c r="AA6" s="1460"/>
      <c r="AB6" s="1460"/>
      <c r="AC6" s="1460"/>
      <c r="AD6" s="1460"/>
      <c r="AE6" s="1460"/>
      <c r="AF6" s="1460"/>
      <c r="AG6" s="1460"/>
      <c r="AH6" s="1460"/>
      <c r="AI6" s="1460"/>
      <c r="AJ6" s="1460"/>
      <c r="AK6" s="1460"/>
      <c r="AL6" s="1460"/>
      <c r="AM6" s="1460"/>
      <c r="AN6" s="1460"/>
      <c r="AO6" s="1460"/>
      <c r="AP6" s="1460"/>
      <c r="AQ6" s="1460"/>
      <c r="AR6" s="1460"/>
      <c r="AS6" s="1460"/>
      <c r="AT6" s="1460"/>
      <c r="AU6" s="1460"/>
      <c r="AV6" s="1460"/>
      <c r="AW6" s="1460"/>
      <c r="AX6" s="1460"/>
      <c r="AY6" s="1460"/>
      <c r="AZ6" s="1460"/>
      <c r="BA6" s="1460"/>
      <c r="BB6" s="1460"/>
      <c r="BC6" s="1460"/>
      <c r="BD6" s="1460"/>
      <c r="BE6" s="1460"/>
      <c r="BF6" s="1460"/>
      <c r="BG6" s="1460"/>
      <c r="BH6" s="1460"/>
      <c r="BI6" s="1460"/>
      <c r="BJ6" s="1460"/>
      <c r="BK6" s="1460"/>
      <c r="BL6" s="1460"/>
      <c r="BM6" s="1460"/>
      <c r="BN6" s="1460"/>
      <c r="BO6" s="1460"/>
      <c r="BP6" s="1460"/>
      <c r="BQ6" s="1460"/>
      <c r="BR6" s="1460"/>
      <c r="BS6" s="1460"/>
      <c r="BT6" s="1460"/>
      <c r="BU6" s="1460"/>
      <c r="BV6" s="1460"/>
      <c r="BW6" s="1460"/>
      <c r="BX6" s="1460"/>
      <c r="BY6" s="1460"/>
    </row>
    <row r="7" spans="1:77">
      <c r="A7" s="1322" t="s">
        <v>730</v>
      </c>
      <c r="B7" s="1460" t="s">
        <v>948</v>
      </c>
      <c r="C7" s="1460" t="s">
        <v>949</v>
      </c>
      <c r="D7" s="1460" t="s">
        <v>950</v>
      </c>
      <c r="E7" s="1460" t="s">
        <v>951</v>
      </c>
      <c r="F7" s="1460" t="s">
        <v>952</v>
      </c>
      <c r="G7" s="1460" t="s">
        <v>953</v>
      </c>
      <c r="H7" s="1460" t="s">
        <v>954</v>
      </c>
      <c r="I7" s="1460" t="s">
        <v>955</v>
      </c>
      <c r="J7" s="1460" t="s">
        <v>956</v>
      </c>
      <c r="K7" s="1460" t="s">
        <v>957</v>
      </c>
      <c r="L7" s="1460" t="s">
        <v>958</v>
      </c>
      <c r="M7" s="1460" t="s">
        <v>959</v>
      </c>
      <c r="N7" s="1460" t="s">
        <v>960</v>
      </c>
      <c r="O7" s="1460" t="s">
        <v>961</v>
      </c>
      <c r="P7" s="1460" t="s">
        <v>962</v>
      </c>
      <c r="Q7" s="1460" t="s">
        <v>963</v>
      </c>
      <c r="R7" s="1460" t="s">
        <v>964</v>
      </c>
      <c r="S7" s="1460" t="s">
        <v>965</v>
      </c>
      <c r="T7" s="1460" t="s">
        <v>966</v>
      </c>
      <c r="U7" s="1460" t="s">
        <v>967</v>
      </c>
      <c r="V7" s="1460" t="s">
        <v>968</v>
      </c>
      <c r="W7" s="1460" t="s">
        <v>969</v>
      </c>
      <c r="X7" s="1460" t="s">
        <v>970</v>
      </c>
      <c r="Y7" s="1460" t="s">
        <v>971</v>
      </c>
      <c r="Z7" s="1460" t="s">
        <v>972</v>
      </c>
      <c r="AA7" s="1460" t="s">
        <v>973</v>
      </c>
      <c r="AB7" s="1460" t="s">
        <v>974</v>
      </c>
      <c r="AC7" s="1460" t="s">
        <v>975</v>
      </c>
      <c r="AD7" s="1460" t="s">
        <v>976</v>
      </c>
      <c r="AE7" s="1460" t="s">
        <v>977</v>
      </c>
      <c r="AF7" s="1460" t="s">
        <v>978</v>
      </c>
      <c r="AG7" s="1460" t="s">
        <v>979</v>
      </c>
      <c r="AH7" s="1460" t="s">
        <v>980</v>
      </c>
      <c r="AI7" s="1460" t="s">
        <v>981</v>
      </c>
      <c r="AJ7" s="1460" t="s">
        <v>982</v>
      </c>
      <c r="AK7" s="1460" t="s">
        <v>983</v>
      </c>
      <c r="AL7" s="1460" t="s">
        <v>984</v>
      </c>
      <c r="AM7" s="1460" t="s">
        <v>985</v>
      </c>
      <c r="AN7" s="1460" t="s">
        <v>986</v>
      </c>
      <c r="AO7" s="1460" t="s">
        <v>987</v>
      </c>
      <c r="AP7" s="1460" t="s">
        <v>988</v>
      </c>
      <c r="AQ7" s="1460" t="s">
        <v>989</v>
      </c>
      <c r="AR7" s="1460" t="s">
        <v>990</v>
      </c>
      <c r="AS7" s="1460" t="s">
        <v>991</v>
      </c>
      <c r="AT7" s="1460" t="s">
        <v>992</v>
      </c>
      <c r="AU7" s="1460" t="s">
        <v>993</v>
      </c>
      <c r="AV7" s="1460" t="s">
        <v>994</v>
      </c>
      <c r="AW7" s="1460" t="s">
        <v>995</v>
      </c>
      <c r="AX7" s="1460" t="s">
        <v>996</v>
      </c>
      <c r="AY7" s="1460" t="s">
        <v>997</v>
      </c>
      <c r="AZ7" s="1460" t="s">
        <v>998</v>
      </c>
      <c r="BA7" s="1460" t="s">
        <v>999</v>
      </c>
      <c r="BB7" s="1460" t="s">
        <v>1000</v>
      </c>
      <c r="BC7" s="1460" t="s">
        <v>1001</v>
      </c>
      <c r="BD7" s="1460" t="s">
        <v>1002</v>
      </c>
      <c r="BE7" s="1460" t="s">
        <v>1003</v>
      </c>
      <c r="BF7" s="1460" t="s">
        <v>1004</v>
      </c>
      <c r="BG7" s="1460" t="s">
        <v>1005</v>
      </c>
      <c r="BH7" s="1460" t="s">
        <v>1006</v>
      </c>
      <c r="BI7" s="1460" t="s">
        <v>1007</v>
      </c>
      <c r="BJ7" s="1460" t="s">
        <v>731</v>
      </c>
      <c r="BK7" s="1460" t="s">
        <v>732</v>
      </c>
      <c r="BL7" s="1460" t="s">
        <v>733</v>
      </c>
      <c r="BM7" s="1323" t="s">
        <v>734</v>
      </c>
      <c r="BN7" s="1323" t="s">
        <v>735</v>
      </c>
      <c r="BO7" s="1323" t="s">
        <v>1008</v>
      </c>
      <c r="BP7" s="1323" t="s">
        <v>1229</v>
      </c>
      <c r="BQ7" s="1323" t="s">
        <v>1009</v>
      </c>
      <c r="BR7" s="1323" t="s">
        <v>1230</v>
      </c>
      <c r="BS7" s="1323" t="s">
        <v>1342</v>
      </c>
      <c r="BT7" s="1323" t="s">
        <v>1357</v>
      </c>
      <c r="BU7" s="1323" t="s">
        <v>1377</v>
      </c>
      <c r="BV7" s="1323" t="s">
        <v>1378</v>
      </c>
      <c r="BW7" s="1323" t="s">
        <v>1379</v>
      </c>
      <c r="BX7" s="1323" t="s">
        <v>1380</v>
      </c>
      <c r="BY7" s="1460" t="s">
        <v>736</v>
      </c>
    </row>
    <row r="8" spans="1:77" hidden="1">
      <c r="A8" s="1324" t="s">
        <v>1010</v>
      </c>
      <c r="B8" s="1461"/>
      <c r="C8" s="1461">
        <v>-13000</v>
      </c>
      <c r="D8" s="1461">
        <v>-700</v>
      </c>
      <c r="E8" s="1461">
        <v>-800</v>
      </c>
      <c r="F8" s="1461">
        <v>-500</v>
      </c>
      <c r="G8" s="1461">
        <v>-500</v>
      </c>
      <c r="H8" s="1461">
        <v>-500</v>
      </c>
      <c r="I8" s="1461">
        <v>-500</v>
      </c>
      <c r="J8" s="1461">
        <v>-450</v>
      </c>
      <c r="K8" s="1461">
        <v>-500</v>
      </c>
      <c r="L8" s="1461"/>
      <c r="M8" s="1461"/>
      <c r="N8" s="1461"/>
      <c r="O8" s="1461"/>
      <c r="P8" s="1461"/>
      <c r="Q8" s="1461"/>
      <c r="R8" s="1461"/>
      <c r="S8" s="1461"/>
      <c r="T8" s="1461"/>
      <c r="U8" s="1461"/>
      <c r="V8" s="1461"/>
      <c r="W8" s="1461"/>
      <c r="X8" s="1461"/>
      <c r="Y8" s="1461"/>
      <c r="Z8" s="1461"/>
      <c r="AA8" s="1461"/>
      <c r="AB8" s="1461"/>
      <c r="AC8" s="1461"/>
      <c r="AD8" s="1461"/>
      <c r="AE8" s="1461"/>
      <c r="AF8" s="1461"/>
      <c r="AG8" s="1461"/>
      <c r="AH8" s="1461"/>
      <c r="AI8" s="1461"/>
      <c r="AJ8" s="1461"/>
      <c r="AK8" s="1461"/>
      <c r="AL8" s="1461"/>
      <c r="AM8" s="1461"/>
      <c r="AN8" s="1461"/>
      <c r="AO8" s="1461"/>
      <c r="AP8" s="1461"/>
      <c r="AQ8" s="1461"/>
      <c r="AR8" s="1461"/>
      <c r="AS8" s="1461"/>
      <c r="AT8" s="1461"/>
      <c r="AU8" s="1461"/>
      <c r="AV8" s="1461"/>
      <c r="AW8" s="1461"/>
      <c r="AX8" s="1461"/>
      <c r="AY8" s="1461"/>
      <c r="AZ8" s="1461"/>
      <c r="BA8" s="1461"/>
      <c r="BB8" s="1461"/>
      <c r="BC8" s="1461"/>
      <c r="BD8" s="1461"/>
      <c r="BE8" s="1461"/>
      <c r="BF8" s="1461"/>
      <c r="BG8" s="1461"/>
      <c r="BH8" s="1461"/>
      <c r="BI8" s="1461"/>
      <c r="BJ8" s="1461"/>
      <c r="BK8" s="1461"/>
      <c r="BL8" s="1461"/>
      <c r="BM8" s="1461"/>
      <c r="BN8" s="1461"/>
      <c r="BO8" s="1461"/>
      <c r="BP8" s="1461"/>
      <c r="BQ8" s="1461"/>
      <c r="BR8" s="1461"/>
      <c r="BS8" s="1461"/>
      <c r="BT8" s="1461"/>
      <c r="BU8" s="1461"/>
      <c r="BV8" s="1461"/>
      <c r="BW8" s="1461"/>
      <c r="BX8" s="1461"/>
      <c r="BY8" s="1462">
        <v>-17450</v>
      </c>
    </row>
    <row r="9" spans="1:77">
      <c r="A9" s="1324" t="s">
        <v>1011</v>
      </c>
      <c r="B9" s="1461"/>
      <c r="C9" s="1461"/>
      <c r="D9" s="1461"/>
      <c r="E9" s="1461"/>
      <c r="F9" s="1461"/>
      <c r="G9" s="1461"/>
      <c r="H9" s="1461"/>
      <c r="I9" s="1461"/>
      <c r="J9" s="1461"/>
      <c r="K9" s="1461"/>
      <c r="L9" s="1461"/>
      <c r="M9" s="1461"/>
      <c r="N9" s="1461"/>
      <c r="O9" s="1461"/>
      <c r="P9" s="1461"/>
      <c r="Q9" s="1461"/>
      <c r="R9" s="1461"/>
      <c r="S9" s="1461"/>
      <c r="T9" s="1461"/>
      <c r="U9" s="1461"/>
      <c r="V9" s="1461"/>
      <c r="W9" s="1461"/>
      <c r="X9" s="1461"/>
      <c r="Y9" s="1461"/>
      <c r="Z9" s="1461"/>
      <c r="AA9" s="1461"/>
      <c r="AB9" s="1461"/>
      <c r="AC9" s="1461"/>
      <c r="AD9" s="1461"/>
      <c r="AE9" s="1461"/>
      <c r="AF9" s="1461"/>
      <c r="AG9" s="1461"/>
      <c r="AH9" s="1461"/>
      <c r="AI9" s="1461"/>
      <c r="AJ9" s="1461"/>
      <c r="AK9" s="1461"/>
      <c r="AL9" s="1461"/>
      <c r="AM9" s="1461"/>
      <c r="AN9" s="1461"/>
      <c r="AO9" s="1461"/>
      <c r="AP9" s="1461"/>
      <c r="AQ9" s="1461"/>
      <c r="AR9" s="1461"/>
      <c r="AS9" s="1461"/>
      <c r="AT9" s="1461"/>
      <c r="AU9" s="1461"/>
      <c r="AV9" s="1461"/>
      <c r="AW9" s="1461"/>
      <c r="AX9" s="1461"/>
      <c r="AY9" s="1461"/>
      <c r="AZ9" s="1461"/>
      <c r="BA9" s="1461"/>
      <c r="BB9" s="1461"/>
      <c r="BC9" s="1461"/>
      <c r="BD9" s="1461"/>
      <c r="BE9" s="1461"/>
      <c r="BF9" s="1461"/>
      <c r="BG9" s="1461"/>
      <c r="BH9" s="1461"/>
      <c r="BI9" s="1461"/>
      <c r="BJ9" s="1461"/>
      <c r="BK9" s="1461"/>
      <c r="BL9" s="1461"/>
      <c r="BM9" s="1461"/>
      <c r="BN9" s="1461"/>
      <c r="BO9" s="1461"/>
      <c r="BP9" s="1461"/>
      <c r="BQ9" s="1461"/>
      <c r="BR9" s="1461"/>
      <c r="BS9" s="1461"/>
      <c r="BT9" s="1461"/>
      <c r="BU9" s="1461"/>
      <c r="BV9" s="1461"/>
      <c r="BW9" s="1461"/>
      <c r="BX9" s="1461"/>
      <c r="BY9" s="1462"/>
    </row>
    <row r="10" spans="1:77" hidden="1">
      <c r="A10" s="1463" t="s">
        <v>1012</v>
      </c>
      <c r="B10" s="1461"/>
      <c r="C10" s="1461"/>
      <c r="D10" s="1461"/>
      <c r="E10" s="1461"/>
      <c r="F10" s="1461">
        <v>-15.5</v>
      </c>
      <c r="G10" s="1461"/>
      <c r="H10" s="1461"/>
      <c r="I10" s="1461"/>
      <c r="J10" s="1461"/>
      <c r="K10" s="1461"/>
      <c r="L10" s="1461"/>
      <c r="M10" s="1461"/>
      <c r="N10" s="1461"/>
      <c r="O10" s="1461"/>
      <c r="P10" s="1461"/>
      <c r="Q10" s="1461"/>
      <c r="R10" s="1461"/>
      <c r="S10" s="1461"/>
      <c r="T10" s="1461"/>
      <c r="U10" s="1461"/>
      <c r="V10" s="1461"/>
      <c r="W10" s="1461"/>
      <c r="X10" s="1461"/>
      <c r="Y10" s="1461"/>
      <c r="Z10" s="1461"/>
      <c r="AA10" s="1461"/>
      <c r="AB10" s="1461"/>
      <c r="AC10" s="1461"/>
      <c r="AD10" s="1461"/>
      <c r="AE10" s="1461"/>
      <c r="AF10" s="1461"/>
      <c r="AG10" s="1461"/>
      <c r="AH10" s="1461"/>
      <c r="AI10" s="1461"/>
      <c r="AJ10" s="1461"/>
      <c r="AK10" s="1461"/>
      <c r="AL10" s="1461"/>
      <c r="AM10" s="1461"/>
      <c r="AN10" s="1461"/>
      <c r="AO10" s="1461"/>
      <c r="AP10" s="1461">
        <v>10.5</v>
      </c>
      <c r="AQ10" s="1461"/>
      <c r="AR10" s="1461"/>
      <c r="AS10" s="1461"/>
      <c r="AT10" s="1461"/>
      <c r="AU10" s="1461"/>
      <c r="AV10" s="1461"/>
      <c r="AW10" s="1461"/>
      <c r="AX10" s="1461"/>
      <c r="AY10" s="1461"/>
      <c r="AZ10" s="1461"/>
      <c r="BA10" s="1461"/>
      <c r="BB10" s="1461"/>
      <c r="BC10" s="1461"/>
      <c r="BD10" s="1461"/>
      <c r="BE10" s="1461"/>
      <c r="BF10" s="1461"/>
      <c r="BG10" s="1461"/>
      <c r="BH10" s="1461"/>
      <c r="BI10" s="1461"/>
      <c r="BJ10" s="1461"/>
      <c r="BK10" s="1461"/>
      <c r="BL10" s="1461"/>
      <c r="BM10" s="1461"/>
      <c r="BN10" s="1461"/>
      <c r="BO10" s="1461"/>
      <c r="BP10" s="1461"/>
      <c r="BQ10" s="1461"/>
      <c r="BR10" s="1461"/>
      <c r="BS10" s="1461"/>
      <c r="BT10" s="1461"/>
      <c r="BU10" s="1461"/>
      <c r="BV10" s="1461"/>
      <c r="BW10" s="1461"/>
      <c r="BX10" s="1461"/>
      <c r="BY10" s="1462">
        <v>-5</v>
      </c>
    </row>
    <row r="11" spans="1:77">
      <c r="A11" s="1463" t="s">
        <v>1013</v>
      </c>
      <c r="B11" s="1461">
        <v>0.56000000000000005</v>
      </c>
      <c r="C11" s="1461">
        <v>14.75</v>
      </c>
      <c r="D11" s="1461">
        <v>3.45</v>
      </c>
      <c r="E11" s="1461">
        <v>3.5</v>
      </c>
      <c r="F11" s="1461">
        <v>3.5</v>
      </c>
      <c r="G11" s="1461">
        <v>3.5</v>
      </c>
      <c r="H11" s="1461">
        <v>3.5</v>
      </c>
      <c r="I11" s="1461">
        <v>3.5</v>
      </c>
      <c r="J11" s="1461">
        <v>3.5</v>
      </c>
      <c r="K11" s="1461">
        <v>3.5</v>
      </c>
      <c r="L11" s="1461">
        <v>3.5</v>
      </c>
      <c r="M11" s="1461">
        <v>3.5</v>
      </c>
      <c r="N11" s="1461">
        <v>13.39</v>
      </c>
      <c r="O11" s="1461">
        <v>3.5</v>
      </c>
      <c r="P11" s="1461">
        <v>3.5</v>
      </c>
      <c r="Q11" s="1461">
        <v>15.04</v>
      </c>
      <c r="R11" s="1461">
        <v>3.5</v>
      </c>
      <c r="S11" s="1461">
        <v>3.57</v>
      </c>
      <c r="T11" s="1461">
        <v>3.5</v>
      </c>
      <c r="U11" s="1461">
        <v>3.5</v>
      </c>
      <c r="V11" s="1461">
        <v>3.5</v>
      </c>
      <c r="W11" s="1461">
        <v>36.369999999999997</v>
      </c>
      <c r="X11" s="1461">
        <v>3.5</v>
      </c>
      <c r="Y11" s="1461">
        <v>3.5</v>
      </c>
      <c r="Z11" s="1461">
        <v>3.5</v>
      </c>
      <c r="AA11" s="1461">
        <v>3.5</v>
      </c>
      <c r="AB11" s="1461">
        <v>3.5</v>
      </c>
      <c r="AC11" s="1461">
        <v>3.48</v>
      </c>
      <c r="AD11" s="1461">
        <v>3.5</v>
      </c>
      <c r="AE11" s="1461">
        <v>5.08</v>
      </c>
      <c r="AF11" s="1461">
        <v>3.5</v>
      </c>
      <c r="AG11" s="1461">
        <v>3.5</v>
      </c>
      <c r="AH11" s="1461">
        <v>3.5</v>
      </c>
      <c r="AI11" s="1461">
        <v>3.5</v>
      </c>
      <c r="AJ11" s="1461">
        <v>3.5</v>
      </c>
      <c r="AK11" s="1461">
        <v>3.5</v>
      </c>
      <c r="AL11" s="1461">
        <v>3.5</v>
      </c>
      <c r="AM11" s="1461">
        <v>3.5</v>
      </c>
      <c r="AN11" s="1461">
        <v>3.5</v>
      </c>
      <c r="AO11" s="1461">
        <v>16.38</v>
      </c>
      <c r="AP11" s="1461">
        <v>3.5</v>
      </c>
      <c r="AQ11" s="1461">
        <v>3.5</v>
      </c>
      <c r="AR11" s="1461">
        <v>3.5</v>
      </c>
      <c r="AS11" s="1461">
        <v>3.5</v>
      </c>
      <c r="AT11" s="1461">
        <v>3.5</v>
      </c>
      <c r="AU11" s="1461">
        <v>3.5</v>
      </c>
      <c r="AV11" s="1461">
        <v>3.5</v>
      </c>
      <c r="AW11" s="1461">
        <v>3.5</v>
      </c>
      <c r="AX11" s="1461">
        <v>3.5</v>
      </c>
      <c r="AY11" s="1461">
        <v>3.5</v>
      </c>
      <c r="AZ11" s="1461">
        <v>3.5</v>
      </c>
      <c r="BA11" s="1461">
        <v>3.4899999999999998</v>
      </c>
      <c r="BB11" s="1461">
        <v>3.5</v>
      </c>
      <c r="BC11" s="1461">
        <v>3.63</v>
      </c>
      <c r="BD11" s="1461">
        <v>3.5</v>
      </c>
      <c r="BE11" s="1461">
        <v>3.5</v>
      </c>
      <c r="BF11" s="1461">
        <v>3.5</v>
      </c>
      <c r="BG11" s="1461">
        <v>3.5</v>
      </c>
      <c r="BH11" s="1461">
        <v>3.5</v>
      </c>
      <c r="BI11" s="1461">
        <v>3.5</v>
      </c>
      <c r="BJ11" s="1461">
        <v>3.5</v>
      </c>
      <c r="BK11" s="1461">
        <v>3.5</v>
      </c>
      <c r="BL11" s="1461">
        <v>3.5</v>
      </c>
      <c r="BM11" s="1461">
        <v>3.48</v>
      </c>
      <c r="BN11" s="1461">
        <v>3.5</v>
      </c>
      <c r="BO11" s="1461">
        <v>3.95</v>
      </c>
      <c r="BP11" s="1461">
        <v>3.5</v>
      </c>
      <c r="BQ11" s="1461">
        <v>3.5</v>
      </c>
      <c r="BR11" s="1461">
        <v>3.5</v>
      </c>
      <c r="BS11" s="1461">
        <v>3.5</v>
      </c>
      <c r="BT11" s="1461">
        <v>3.5</v>
      </c>
      <c r="BU11" s="1461">
        <v>3.5</v>
      </c>
      <c r="BV11" s="1461">
        <v>3.5</v>
      </c>
      <c r="BW11" s="1461">
        <v>3.5</v>
      </c>
      <c r="BX11" s="1461">
        <v>3.5</v>
      </c>
      <c r="BY11" s="1462">
        <v>340.12</v>
      </c>
    </row>
    <row r="12" spans="1:77" hidden="1">
      <c r="A12" s="1463" t="s">
        <v>1014</v>
      </c>
      <c r="B12" s="1461"/>
      <c r="C12" s="1461">
        <v>152311.75</v>
      </c>
      <c r="D12" s="1461"/>
      <c r="E12" s="1461"/>
      <c r="F12" s="1461"/>
      <c r="G12" s="1461"/>
      <c r="H12" s="1461"/>
      <c r="I12" s="1461"/>
      <c r="J12" s="1461"/>
      <c r="K12" s="1461"/>
      <c r="L12" s="1461"/>
      <c r="M12" s="1461"/>
      <c r="N12" s="1461"/>
      <c r="O12" s="1461"/>
      <c r="P12" s="1461"/>
      <c r="Q12" s="1461"/>
      <c r="R12" s="1461"/>
      <c r="S12" s="1461"/>
      <c r="T12" s="1461"/>
      <c r="U12" s="1461"/>
      <c r="V12" s="1461"/>
      <c r="W12" s="1461"/>
      <c r="X12" s="1461"/>
      <c r="Y12" s="1461"/>
      <c r="Z12" s="1461"/>
      <c r="AA12" s="1461"/>
      <c r="AB12" s="1461"/>
      <c r="AC12" s="1461"/>
      <c r="AD12" s="1461"/>
      <c r="AE12" s="1461"/>
      <c r="AF12" s="1461"/>
      <c r="AG12" s="1461"/>
      <c r="AH12" s="1461"/>
      <c r="AI12" s="1461"/>
      <c r="AJ12" s="1461"/>
      <c r="AK12" s="1461"/>
      <c r="AL12" s="1461"/>
      <c r="AM12" s="1461"/>
      <c r="AN12" s="1461"/>
      <c r="AO12" s="1461"/>
      <c r="AP12" s="1461"/>
      <c r="AQ12" s="1461"/>
      <c r="AR12" s="1461"/>
      <c r="AS12" s="1461"/>
      <c r="AT12" s="1461"/>
      <c r="AU12" s="1461"/>
      <c r="AV12" s="1461"/>
      <c r="AW12" s="1461"/>
      <c r="AX12" s="1461"/>
      <c r="AY12" s="1461"/>
      <c r="AZ12" s="1461"/>
      <c r="BA12" s="1461"/>
      <c r="BB12" s="1461"/>
      <c r="BC12" s="1461"/>
      <c r="BD12" s="1461"/>
      <c r="BE12" s="1461"/>
      <c r="BF12" s="1461"/>
      <c r="BG12" s="1461"/>
      <c r="BH12" s="1461"/>
      <c r="BI12" s="1461"/>
      <c r="BJ12" s="1461"/>
      <c r="BK12" s="1461"/>
      <c r="BL12" s="1461"/>
      <c r="BM12" s="1461"/>
      <c r="BN12" s="1461"/>
      <c r="BO12" s="1461"/>
      <c r="BP12" s="1461"/>
      <c r="BQ12" s="1461"/>
      <c r="BR12" s="1461"/>
      <c r="BS12" s="1461"/>
      <c r="BT12" s="1461"/>
      <c r="BU12" s="1461"/>
      <c r="BV12" s="1461"/>
      <c r="BW12" s="1461"/>
      <c r="BX12" s="1461"/>
      <c r="BY12" s="1462">
        <v>152311.75</v>
      </c>
    </row>
    <row r="13" spans="1:77" hidden="1">
      <c r="A13" s="1463" t="s">
        <v>1015</v>
      </c>
      <c r="B13" s="1461"/>
      <c r="C13" s="1461"/>
      <c r="D13" s="1461"/>
      <c r="E13" s="1461"/>
      <c r="F13" s="1461">
        <v>67.06</v>
      </c>
      <c r="G13" s="1461">
        <v>51.06</v>
      </c>
      <c r="H13" s="1461">
        <v>51.06</v>
      </c>
      <c r="I13" s="1461">
        <v>51.06</v>
      </c>
      <c r="J13" s="1461">
        <v>51.06</v>
      </c>
      <c r="K13" s="1461">
        <v>51.06</v>
      </c>
      <c r="L13" s="1461">
        <v>51.06</v>
      </c>
      <c r="M13" s="1461">
        <v>51.06</v>
      </c>
      <c r="N13" s="1461">
        <v>51.06</v>
      </c>
      <c r="O13" s="1461">
        <v>51.06</v>
      </c>
      <c r="P13" s="1461">
        <v>51.06</v>
      </c>
      <c r="Q13" s="1461">
        <v>54.26</v>
      </c>
      <c r="R13" s="1461"/>
      <c r="S13" s="1461">
        <v>102.12</v>
      </c>
      <c r="T13" s="1461">
        <v>51.06</v>
      </c>
      <c r="U13" s="1461">
        <v>51.06</v>
      </c>
      <c r="V13" s="1461">
        <v>51.06</v>
      </c>
      <c r="W13" s="1461">
        <v>51.06</v>
      </c>
      <c r="X13" s="1461">
        <v>51.06</v>
      </c>
      <c r="Y13" s="1461">
        <v>51.06</v>
      </c>
      <c r="Z13" s="1461">
        <v>51.06</v>
      </c>
      <c r="AA13" s="1461">
        <v>51.06</v>
      </c>
      <c r="AB13" s="1461">
        <v>51.06</v>
      </c>
      <c r="AC13" s="1461">
        <v>54.26</v>
      </c>
      <c r="AD13" s="1461"/>
      <c r="AE13" s="1461">
        <v>102.12</v>
      </c>
      <c r="AF13" s="1461"/>
      <c r="AG13" s="1461">
        <v>102.12</v>
      </c>
      <c r="AH13" s="1461">
        <v>51.06</v>
      </c>
      <c r="AI13" s="1461">
        <v>51.06</v>
      </c>
      <c r="AJ13" s="1461">
        <v>51.06</v>
      </c>
      <c r="AK13" s="1461">
        <v>51.06</v>
      </c>
      <c r="AL13" s="1461">
        <v>51.06</v>
      </c>
      <c r="AM13" s="1461">
        <v>51.06</v>
      </c>
      <c r="AN13" s="1461">
        <v>51.06</v>
      </c>
      <c r="AO13" s="1461">
        <v>52.26</v>
      </c>
      <c r="AP13" s="1461"/>
      <c r="AQ13" s="1461"/>
      <c r="AR13" s="1461"/>
      <c r="AS13" s="1461"/>
      <c r="AT13" s="1461"/>
      <c r="AU13" s="1461"/>
      <c r="AV13" s="1461"/>
      <c r="AW13" s="1461"/>
      <c r="AX13" s="1461"/>
      <c r="AY13" s="1461"/>
      <c r="AZ13" s="1461"/>
      <c r="BA13" s="1461"/>
      <c r="BB13" s="1461"/>
      <c r="BC13" s="1461"/>
      <c r="BD13" s="1461"/>
      <c r="BE13" s="1461"/>
      <c r="BF13" s="1461"/>
      <c r="BG13" s="1461"/>
      <c r="BH13" s="1461"/>
      <c r="BI13" s="1461"/>
      <c r="BJ13" s="1461"/>
      <c r="BK13" s="1461"/>
      <c r="BL13" s="1461"/>
      <c r="BM13" s="1461"/>
      <c r="BN13" s="1461"/>
      <c r="BO13" s="1461"/>
      <c r="BP13" s="1461"/>
      <c r="BQ13" s="1461"/>
      <c r="BR13" s="1461"/>
      <c r="BS13" s="1461"/>
      <c r="BT13" s="1461"/>
      <c r="BU13" s="1461"/>
      <c r="BV13" s="1461"/>
      <c r="BW13" s="1461"/>
      <c r="BX13" s="1461"/>
      <c r="BY13" s="1462">
        <v>1861.7599999999991</v>
      </c>
    </row>
    <row r="14" spans="1:77" hidden="1">
      <c r="A14" s="1463" t="s">
        <v>1016</v>
      </c>
      <c r="B14" s="1461"/>
      <c r="C14" s="1461"/>
      <c r="D14" s="1461"/>
      <c r="E14" s="1461"/>
      <c r="F14" s="1461"/>
      <c r="G14" s="1461">
        <v>150</v>
      </c>
      <c r="H14" s="1461">
        <v>135.5</v>
      </c>
      <c r="I14" s="1461">
        <v>135.5</v>
      </c>
      <c r="J14" s="1461">
        <v>135.5</v>
      </c>
      <c r="K14" s="1461">
        <v>135.5</v>
      </c>
      <c r="L14" s="1461">
        <v>135.5</v>
      </c>
      <c r="M14" s="1461">
        <v>135.5</v>
      </c>
      <c r="N14" s="1461">
        <v>135.5</v>
      </c>
      <c r="O14" s="1461">
        <v>135.5</v>
      </c>
      <c r="P14" s="1461">
        <v>135.5</v>
      </c>
      <c r="Q14" s="1461">
        <v>135.5</v>
      </c>
      <c r="R14" s="1461">
        <v>135.5</v>
      </c>
      <c r="S14" s="1461">
        <v>135.5</v>
      </c>
      <c r="T14" s="1461">
        <v>135.5</v>
      </c>
      <c r="U14" s="1461">
        <v>135.5</v>
      </c>
      <c r="V14" s="1461">
        <v>135.5</v>
      </c>
      <c r="W14" s="1461">
        <v>135.5</v>
      </c>
      <c r="X14" s="1461">
        <v>135.5</v>
      </c>
      <c r="Y14" s="1461">
        <v>135.5</v>
      </c>
      <c r="Z14" s="1461">
        <v>135.5</v>
      </c>
      <c r="AA14" s="1461">
        <v>135.5</v>
      </c>
      <c r="AB14" s="1461">
        <v>135.5</v>
      </c>
      <c r="AC14" s="1461">
        <v>135.5</v>
      </c>
      <c r="AD14" s="1461">
        <v>135.5</v>
      </c>
      <c r="AE14" s="1461">
        <v>135.5</v>
      </c>
      <c r="AF14" s="1461">
        <v>135.5</v>
      </c>
      <c r="AG14" s="1461">
        <v>135.5</v>
      </c>
      <c r="AH14" s="1461">
        <v>135.5</v>
      </c>
      <c r="AI14" s="1461">
        <v>135.5</v>
      </c>
      <c r="AJ14" s="1461">
        <v>135.5</v>
      </c>
      <c r="AK14" s="1461">
        <v>135.5</v>
      </c>
      <c r="AL14" s="1461">
        <v>135.5</v>
      </c>
      <c r="AM14" s="1461">
        <v>135.5</v>
      </c>
      <c r="AN14" s="1461">
        <v>135.5</v>
      </c>
      <c r="AO14" s="1461">
        <v>135.5</v>
      </c>
      <c r="AP14" s="1461">
        <v>135.5</v>
      </c>
      <c r="AQ14" s="1461">
        <v>135.5</v>
      </c>
      <c r="AR14" s="1461">
        <v>135.5</v>
      </c>
      <c r="AS14" s="1461">
        <v>135.5</v>
      </c>
      <c r="AT14" s="1461">
        <v>135.5</v>
      </c>
      <c r="AU14" s="1461">
        <v>135.5</v>
      </c>
      <c r="AV14" s="1461">
        <v>135.5</v>
      </c>
      <c r="AW14" s="1461">
        <v>135.5</v>
      </c>
      <c r="AX14" s="1461">
        <v>135.5</v>
      </c>
      <c r="AY14" s="1461">
        <v>135.5</v>
      </c>
      <c r="AZ14" s="1461">
        <v>135.5</v>
      </c>
      <c r="BA14" s="1461">
        <v>135.5</v>
      </c>
      <c r="BB14" s="1461">
        <v>135.5</v>
      </c>
      <c r="BC14" s="1461"/>
      <c r="BD14" s="1461"/>
      <c r="BE14" s="1461"/>
      <c r="BF14" s="1461"/>
      <c r="BG14" s="1461"/>
      <c r="BH14" s="1461"/>
      <c r="BI14" s="1461"/>
      <c r="BJ14" s="1461"/>
      <c r="BK14" s="1461"/>
      <c r="BL14" s="1461"/>
      <c r="BM14" s="1461"/>
      <c r="BN14" s="1461"/>
      <c r="BO14" s="1461"/>
      <c r="BP14" s="1461"/>
      <c r="BQ14" s="1461"/>
      <c r="BR14" s="1461"/>
      <c r="BS14" s="1461"/>
      <c r="BT14" s="1461"/>
      <c r="BU14" s="1461"/>
      <c r="BV14" s="1461"/>
      <c r="BW14" s="1461"/>
      <c r="BX14" s="1461"/>
      <c r="BY14" s="1462">
        <v>6518.5</v>
      </c>
    </row>
    <row r="15" spans="1:77" hidden="1">
      <c r="A15" s="1463" t="s">
        <v>1017</v>
      </c>
      <c r="B15" s="1461"/>
      <c r="C15" s="1461"/>
      <c r="D15" s="1461"/>
      <c r="E15" s="1461"/>
      <c r="F15" s="1461"/>
      <c r="G15" s="1461"/>
      <c r="H15" s="1461"/>
      <c r="I15" s="1461">
        <v>67.540000000000006</v>
      </c>
      <c r="J15" s="1461">
        <v>67.540000000000006</v>
      </c>
      <c r="K15" s="1461">
        <v>67.540000000000006</v>
      </c>
      <c r="L15" s="1461">
        <v>67.540000000000006</v>
      </c>
      <c r="M15" s="1461">
        <v>67.540000000000006</v>
      </c>
      <c r="N15" s="1461">
        <v>67.540000000000006</v>
      </c>
      <c r="O15" s="1461">
        <v>67.540000000000006</v>
      </c>
      <c r="P15" s="1461">
        <v>67.540000000000006</v>
      </c>
      <c r="Q15" s="1461">
        <v>67.540000000000006</v>
      </c>
      <c r="R15" s="1461">
        <v>-65.040000000000006</v>
      </c>
      <c r="S15" s="1461"/>
      <c r="T15" s="1461"/>
      <c r="U15" s="1461"/>
      <c r="V15" s="1461"/>
      <c r="W15" s="1461"/>
      <c r="X15" s="1461"/>
      <c r="Y15" s="1461"/>
      <c r="Z15" s="1461"/>
      <c r="AA15" s="1461"/>
      <c r="AB15" s="1461"/>
      <c r="AC15" s="1461"/>
      <c r="AD15" s="1461"/>
      <c r="AE15" s="1461"/>
      <c r="AF15" s="1461"/>
      <c r="AG15" s="1461"/>
      <c r="AH15" s="1461"/>
      <c r="AI15" s="1461"/>
      <c r="AJ15" s="1461"/>
      <c r="AK15" s="1461"/>
      <c r="AL15" s="1461"/>
      <c r="AM15" s="1461"/>
      <c r="AN15" s="1461"/>
      <c r="AO15" s="1461"/>
      <c r="AP15" s="1461"/>
      <c r="AQ15" s="1461"/>
      <c r="AR15" s="1461"/>
      <c r="AS15" s="1461"/>
      <c r="AT15" s="1461"/>
      <c r="AU15" s="1461"/>
      <c r="AV15" s="1461"/>
      <c r="AW15" s="1461"/>
      <c r="AX15" s="1461"/>
      <c r="AY15" s="1461"/>
      <c r="AZ15" s="1461"/>
      <c r="BA15" s="1461"/>
      <c r="BB15" s="1461"/>
      <c r="BC15" s="1461"/>
      <c r="BD15" s="1461"/>
      <c r="BE15" s="1461"/>
      <c r="BF15" s="1461"/>
      <c r="BG15" s="1461"/>
      <c r="BH15" s="1461"/>
      <c r="BI15" s="1461"/>
      <c r="BJ15" s="1461"/>
      <c r="BK15" s="1461"/>
      <c r="BL15" s="1461"/>
      <c r="BM15" s="1461"/>
      <c r="BN15" s="1461"/>
      <c r="BO15" s="1461"/>
      <c r="BP15" s="1461"/>
      <c r="BQ15" s="1461"/>
      <c r="BR15" s="1461"/>
      <c r="BS15" s="1461"/>
      <c r="BT15" s="1461"/>
      <c r="BU15" s="1461"/>
      <c r="BV15" s="1461"/>
      <c r="BW15" s="1461"/>
      <c r="BX15" s="1461"/>
      <c r="BY15" s="1462">
        <v>542.82000000000005</v>
      </c>
    </row>
    <row r="16" spans="1:77" hidden="1">
      <c r="A16" s="1463" t="s">
        <v>1018</v>
      </c>
      <c r="B16" s="1461"/>
      <c r="C16" s="1461">
        <v>-128700</v>
      </c>
      <c r="D16" s="1461"/>
      <c r="E16" s="1461"/>
      <c r="F16" s="1461"/>
      <c r="G16" s="1461"/>
      <c r="H16" s="1461"/>
      <c r="I16" s="1461"/>
      <c r="J16" s="1461"/>
      <c r="K16" s="1461"/>
      <c r="L16" s="1461"/>
      <c r="M16" s="1461"/>
      <c r="N16" s="1461"/>
      <c r="O16" s="1461"/>
      <c r="P16" s="1461"/>
      <c r="Q16" s="1461"/>
      <c r="R16" s="1461"/>
      <c r="S16" s="1461"/>
      <c r="T16" s="1461"/>
      <c r="U16" s="1461"/>
      <c r="V16" s="1461"/>
      <c r="W16" s="1461"/>
      <c r="X16" s="1461"/>
      <c r="Y16" s="1461"/>
      <c r="Z16" s="1461"/>
      <c r="AA16" s="1461"/>
      <c r="AB16" s="1461"/>
      <c r="AC16" s="1461"/>
      <c r="AD16" s="1461"/>
      <c r="AE16" s="1461"/>
      <c r="AF16" s="1461"/>
      <c r="AG16" s="1461"/>
      <c r="AH16" s="1461"/>
      <c r="AI16" s="1461"/>
      <c r="AJ16" s="1461"/>
      <c r="AK16" s="1461"/>
      <c r="AL16" s="1461"/>
      <c r="AM16" s="1461"/>
      <c r="AN16" s="1461"/>
      <c r="AO16" s="1461"/>
      <c r="AP16" s="1461"/>
      <c r="AQ16" s="1461"/>
      <c r="AR16" s="1461"/>
      <c r="AS16" s="1461"/>
      <c r="AT16" s="1461"/>
      <c r="AU16" s="1461"/>
      <c r="AV16" s="1461"/>
      <c r="AW16" s="1461"/>
      <c r="AX16" s="1461"/>
      <c r="AY16" s="1461"/>
      <c r="AZ16" s="1461"/>
      <c r="BA16" s="1461"/>
      <c r="BB16" s="1461"/>
      <c r="BC16" s="1461"/>
      <c r="BD16" s="1461"/>
      <c r="BE16" s="1461"/>
      <c r="BF16" s="1461"/>
      <c r="BG16" s="1461"/>
      <c r="BH16" s="1461"/>
      <c r="BI16" s="1461"/>
      <c r="BJ16" s="1461"/>
      <c r="BK16" s="1461"/>
      <c r="BL16" s="1461"/>
      <c r="BM16" s="1461"/>
      <c r="BN16" s="1461"/>
      <c r="BO16" s="1461"/>
      <c r="BP16" s="1461"/>
      <c r="BQ16" s="1461"/>
      <c r="BR16" s="1461"/>
      <c r="BS16" s="1461"/>
      <c r="BT16" s="1461"/>
      <c r="BU16" s="1461"/>
      <c r="BV16" s="1461"/>
      <c r="BW16" s="1461"/>
      <c r="BX16" s="1461"/>
      <c r="BY16" s="1462">
        <v>-128700</v>
      </c>
    </row>
    <row r="17" spans="1:77">
      <c r="A17" s="1463" t="s">
        <v>1019</v>
      </c>
      <c r="B17" s="1461"/>
      <c r="C17" s="1461">
        <v>31.13</v>
      </c>
      <c r="D17" s="1461">
        <v>44.5</v>
      </c>
      <c r="E17" s="1461">
        <v>44.5</v>
      </c>
      <c r="F17" s="1461">
        <v>44.5</v>
      </c>
      <c r="G17" s="1461">
        <v>44.5</v>
      </c>
      <c r="H17" s="1461">
        <v>44.5</v>
      </c>
      <c r="I17" s="1461">
        <v>44.5</v>
      </c>
      <c r="J17" s="1461">
        <v>44.5</v>
      </c>
      <c r="K17" s="1461">
        <v>44.5</v>
      </c>
      <c r="L17" s="1461">
        <v>44.5</v>
      </c>
      <c r="M17" s="1461">
        <v>44.5</v>
      </c>
      <c r="N17" s="1461">
        <v>44.57</v>
      </c>
      <c r="O17" s="1461">
        <v>44.5</v>
      </c>
      <c r="P17" s="1461">
        <v>44.5</v>
      </c>
      <c r="Q17" s="1461">
        <v>44.5</v>
      </c>
      <c r="R17" s="1461">
        <v>44.5</v>
      </c>
      <c r="S17" s="1461">
        <v>44.5</v>
      </c>
      <c r="T17" s="1461">
        <v>44.5</v>
      </c>
      <c r="U17" s="1461">
        <v>44.5</v>
      </c>
      <c r="V17" s="1461">
        <v>44.5</v>
      </c>
      <c r="W17" s="1461">
        <v>44.5</v>
      </c>
      <c r="X17" s="1461">
        <v>44.5</v>
      </c>
      <c r="Y17" s="1461">
        <v>44.5</v>
      </c>
      <c r="Z17" s="1461">
        <v>44.5</v>
      </c>
      <c r="AA17" s="1461">
        <v>44.5</v>
      </c>
      <c r="AB17" s="1461">
        <v>44.5</v>
      </c>
      <c r="AC17" s="1461">
        <v>44.5</v>
      </c>
      <c r="AD17" s="1461">
        <v>44.5</v>
      </c>
      <c r="AE17" s="1461">
        <v>44.5</v>
      </c>
      <c r="AF17" s="1461">
        <v>44.5</v>
      </c>
      <c r="AG17" s="1461">
        <v>44.5</v>
      </c>
      <c r="AH17" s="1461">
        <v>44.5</v>
      </c>
      <c r="AI17" s="1461">
        <v>44.5</v>
      </c>
      <c r="AJ17" s="1461">
        <v>44.5</v>
      </c>
      <c r="AK17" s="1461">
        <v>44.5</v>
      </c>
      <c r="AL17" s="1461">
        <v>44.5</v>
      </c>
      <c r="AM17" s="1461">
        <v>44.5</v>
      </c>
      <c r="AN17" s="1461">
        <v>44.5</v>
      </c>
      <c r="AO17" s="1461">
        <v>44.5</v>
      </c>
      <c r="AP17" s="1461">
        <v>44.5</v>
      </c>
      <c r="AQ17" s="1461">
        <v>44.5</v>
      </c>
      <c r="AR17" s="1461">
        <v>44.5</v>
      </c>
      <c r="AS17" s="1461">
        <v>44.5</v>
      </c>
      <c r="AT17" s="1461">
        <v>44.5</v>
      </c>
      <c r="AU17" s="1461">
        <v>44.5</v>
      </c>
      <c r="AV17" s="1461">
        <v>44.5</v>
      </c>
      <c r="AW17" s="1461">
        <v>44.5</v>
      </c>
      <c r="AX17" s="1461">
        <v>44.5</v>
      </c>
      <c r="AY17" s="1461">
        <v>44.5</v>
      </c>
      <c r="AZ17" s="1461">
        <v>44.5</v>
      </c>
      <c r="BA17" s="1461">
        <v>44.5</v>
      </c>
      <c r="BB17" s="1461">
        <v>44.5</v>
      </c>
      <c r="BC17" s="1461">
        <v>44.5</v>
      </c>
      <c r="BD17" s="1461">
        <v>44.5</v>
      </c>
      <c r="BE17" s="1461">
        <v>44.5</v>
      </c>
      <c r="BF17" s="1461">
        <v>44.5</v>
      </c>
      <c r="BG17" s="1461">
        <v>44.5</v>
      </c>
      <c r="BH17" s="1461">
        <v>44.5</v>
      </c>
      <c r="BI17" s="1461">
        <v>44.5</v>
      </c>
      <c r="BJ17" s="1461">
        <v>44.5</v>
      </c>
      <c r="BK17" s="1461">
        <v>44.5</v>
      </c>
      <c r="BL17" s="1461">
        <v>44.5</v>
      </c>
      <c r="BM17" s="1461">
        <v>44.5</v>
      </c>
      <c r="BN17" s="1461">
        <v>44.5</v>
      </c>
      <c r="BO17" s="1461">
        <v>44.5</v>
      </c>
      <c r="BP17" s="1461">
        <v>44.5</v>
      </c>
      <c r="BQ17" s="1461">
        <v>44.5</v>
      </c>
      <c r="BR17" s="1461">
        <v>44.5</v>
      </c>
      <c r="BS17" s="1461">
        <v>44.5</v>
      </c>
      <c r="BT17" s="1461">
        <v>44.5</v>
      </c>
      <c r="BU17" s="1461">
        <v>44.5</v>
      </c>
      <c r="BV17" s="1461">
        <v>44.5</v>
      </c>
      <c r="BW17" s="1461">
        <v>44.5</v>
      </c>
      <c r="BX17" s="1461">
        <v>44.5</v>
      </c>
      <c r="BY17" s="1462">
        <v>3279.7</v>
      </c>
    </row>
    <row r="18" spans="1:77">
      <c r="A18" s="1463" t="s">
        <v>1020</v>
      </c>
      <c r="B18" s="1461"/>
      <c r="C18" s="1461"/>
      <c r="D18" s="1461">
        <v>4807.6399999999994</v>
      </c>
      <c r="E18" s="1461"/>
      <c r="F18" s="1461"/>
      <c r="G18" s="1461"/>
      <c r="H18" s="1461"/>
      <c r="I18" s="1461"/>
      <c r="J18" s="1461"/>
      <c r="K18" s="1461"/>
      <c r="L18" s="1461"/>
      <c r="M18" s="1461"/>
      <c r="N18" s="1461"/>
      <c r="O18" s="1461"/>
      <c r="P18" s="1461">
        <v>253.16</v>
      </c>
      <c r="Q18" s="1461"/>
      <c r="R18" s="1461"/>
      <c r="S18" s="1461"/>
      <c r="T18" s="1461"/>
      <c r="U18" s="1461"/>
      <c r="V18" s="1461"/>
      <c r="W18" s="1461"/>
      <c r="X18" s="1461"/>
      <c r="Y18" s="1461"/>
      <c r="Z18" s="1461"/>
      <c r="AA18" s="1461"/>
      <c r="AB18" s="1461">
        <v>253.16</v>
      </c>
      <c r="AC18" s="1461"/>
      <c r="AD18" s="1461"/>
      <c r="AE18" s="1461"/>
      <c r="AF18" s="1461"/>
      <c r="AG18" s="1461"/>
      <c r="AH18" s="1461"/>
      <c r="AI18" s="1461"/>
      <c r="AJ18" s="1461"/>
      <c r="AK18" s="1461"/>
      <c r="AL18" s="1461"/>
      <c r="AM18" s="1461">
        <v>253.16</v>
      </c>
      <c r="AN18" s="1461"/>
      <c r="AO18" s="1461"/>
      <c r="AP18" s="1461"/>
      <c r="AQ18" s="1461"/>
      <c r="AR18" s="1461"/>
      <c r="AS18" s="1461"/>
      <c r="AT18" s="1461"/>
      <c r="AU18" s="1461"/>
      <c r="AV18" s="1461"/>
      <c r="AW18" s="1461"/>
      <c r="AX18" s="1461"/>
      <c r="AY18" s="1461"/>
      <c r="AZ18" s="1461">
        <v>253.16</v>
      </c>
      <c r="BA18" s="1461"/>
      <c r="BB18" s="1461"/>
      <c r="BC18" s="1461"/>
      <c r="BD18" s="1461"/>
      <c r="BE18" s="1461"/>
      <c r="BF18" s="1461"/>
      <c r="BG18" s="1461"/>
      <c r="BH18" s="1461"/>
      <c r="BI18" s="1461"/>
      <c r="BJ18" s="1461"/>
      <c r="BK18" s="1461"/>
      <c r="BL18" s="1461">
        <v>253.16</v>
      </c>
      <c r="BM18" s="1461"/>
      <c r="BN18" s="1461"/>
      <c r="BO18" s="1461"/>
      <c r="BP18" s="1461"/>
      <c r="BQ18" s="1461"/>
      <c r="BR18" s="1461"/>
      <c r="BS18" s="1461"/>
      <c r="BT18" s="1461"/>
      <c r="BU18" s="1461"/>
      <c r="BV18" s="1461"/>
      <c r="BW18" s="1461"/>
      <c r="BX18" s="1461">
        <v>253.16</v>
      </c>
      <c r="BY18" s="1462">
        <v>6326.5999999999985</v>
      </c>
    </row>
    <row r="19" spans="1:77" hidden="1">
      <c r="A19" s="1463" t="s">
        <v>1021</v>
      </c>
      <c r="B19" s="1461"/>
      <c r="C19" s="1461">
        <v>-4500</v>
      </c>
      <c r="D19" s="1461"/>
      <c r="E19" s="1461"/>
      <c r="F19" s="1461"/>
      <c r="G19" s="1461"/>
      <c r="H19" s="1461"/>
      <c r="I19" s="1461"/>
      <c r="J19" s="1461"/>
      <c r="K19" s="1461"/>
      <c r="L19" s="1461"/>
      <c r="M19" s="1461"/>
      <c r="N19" s="1461"/>
      <c r="O19" s="1461"/>
      <c r="P19" s="1461"/>
      <c r="Q19" s="1461"/>
      <c r="R19" s="1461"/>
      <c r="S19" s="1461"/>
      <c r="T19" s="1461"/>
      <c r="U19" s="1461"/>
      <c r="V19" s="1461"/>
      <c r="W19" s="1461"/>
      <c r="X19" s="1461"/>
      <c r="Y19" s="1461"/>
      <c r="Z19" s="1461"/>
      <c r="AA19" s="1461"/>
      <c r="AB19" s="1461"/>
      <c r="AC19" s="1461"/>
      <c r="AD19" s="1461"/>
      <c r="AE19" s="1461"/>
      <c r="AF19" s="1461"/>
      <c r="AG19" s="1461"/>
      <c r="AH19" s="1461"/>
      <c r="AI19" s="1461"/>
      <c r="AJ19" s="1461"/>
      <c r="AK19" s="1461"/>
      <c r="AL19" s="1461"/>
      <c r="AM19" s="1461"/>
      <c r="AN19" s="1461"/>
      <c r="AO19" s="1461"/>
      <c r="AP19" s="1461"/>
      <c r="AQ19" s="1461"/>
      <c r="AR19" s="1461"/>
      <c r="AS19" s="1461"/>
      <c r="AT19" s="1461"/>
      <c r="AU19" s="1461"/>
      <c r="AV19" s="1461"/>
      <c r="AW19" s="1461"/>
      <c r="AX19" s="1461"/>
      <c r="AY19" s="1461"/>
      <c r="AZ19" s="1461"/>
      <c r="BA19" s="1461"/>
      <c r="BB19" s="1461"/>
      <c r="BC19" s="1461"/>
      <c r="BD19" s="1461"/>
      <c r="BE19" s="1461"/>
      <c r="BF19" s="1461"/>
      <c r="BG19" s="1461"/>
      <c r="BH19" s="1461"/>
      <c r="BI19" s="1461"/>
      <c r="BJ19" s="1461"/>
      <c r="BK19" s="1461"/>
      <c r="BL19" s="1461"/>
      <c r="BM19" s="1461"/>
      <c r="BN19" s="1461"/>
      <c r="BO19" s="1461"/>
      <c r="BP19" s="1461"/>
      <c r="BQ19" s="1461"/>
      <c r="BR19" s="1461"/>
      <c r="BS19" s="1461"/>
      <c r="BT19" s="1461"/>
      <c r="BU19" s="1461"/>
      <c r="BV19" s="1461"/>
      <c r="BW19" s="1461"/>
      <c r="BX19" s="1461"/>
      <c r="BY19" s="1462">
        <v>-4500</v>
      </c>
    </row>
    <row r="20" spans="1:77">
      <c r="A20" s="1463" t="s">
        <v>1022</v>
      </c>
      <c r="B20" s="1461"/>
      <c r="C20" s="1461"/>
      <c r="D20" s="1461">
        <v>629.97</v>
      </c>
      <c r="E20" s="1461">
        <v>629.97</v>
      </c>
      <c r="F20" s="1461">
        <v>629.97</v>
      </c>
      <c r="G20" s="1461">
        <v>629.97</v>
      </c>
      <c r="H20" s="1461">
        <v>629.97</v>
      </c>
      <c r="I20" s="1461">
        <v>629.97</v>
      </c>
      <c r="J20" s="1461">
        <v>629.97</v>
      </c>
      <c r="K20" s="1461">
        <v>629.97</v>
      </c>
      <c r="L20" s="1461">
        <v>629.97</v>
      </c>
      <c r="M20" s="1461">
        <v>629.97</v>
      </c>
      <c r="N20" s="1461">
        <v>629.97</v>
      </c>
      <c r="O20" s="1461">
        <v>629.97</v>
      </c>
      <c r="P20" s="1461"/>
      <c r="Q20" s="1461">
        <v>629.97</v>
      </c>
      <c r="R20" s="1461">
        <v>630.4</v>
      </c>
      <c r="S20" s="1461">
        <v>630.9</v>
      </c>
      <c r="T20" s="1461">
        <v>630.65</v>
      </c>
      <c r="U20" s="1461">
        <v>629.97</v>
      </c>
      <c r="V20" s="1461">
        <v>630.84</v>
      </c>
      <c r="W20" s="1461">
        <v>629.97</v>
      </c>
      <c r="X20" s="1461">
        <v>630.59</v>
      </c>
      <c r="Y20" s="1461">
        <v>630.53</v>
      </c>
      <c r="Z20" s="1461">
        <v>630.65</v>
      </c>
      <c r="AA20" s="1461">
        <v>630.65</v>
      </c>
      <c r="AB20" s="1461">
        <v>630.71</v>
      </c>
      <c r="AC20" s="1461">
        <v>630.65</v>
      </c>
      <c r="AD20" s="1461">
        <v>630.59</v>
      </c>
      <c r="AE20" s="1461">
        <v>630.59</v>
      </c>
      <c r="AF20" s="1461">
        <v>630.65</v>
      </c>
      <c r="AG20" s="1461">
        <v>630.71</v>
      </c>
      <c r="AH20" s="1461">
        <v>630.53</v>
      </c>
      <c r="AI20" s="1461">
        <v>630.65</v>
      </c>
      <c r="AJ20" s="1461">
        <v>630.96</v>
      </c>
      <c r="AK20" s="1461">
        <v>630.65</v>
      </c>
      <c r="AL20" s="1461">
        <v>630.71</v>
      </c>
      <c r="AM20" s="1461">
        <v>630.59</v>
      </c>
      <c r="AN20" s="1461">
        <v>630.65</v>
      </c>
      <c r="AO20" s="1461">
        <v>630.65</v>
      </c>
      <c r="AP20" s="1461">
        <v>630.71</v>
      </c>
      <c r="AQ20" s="1461">
        <v>630.65</v>
      </c>
      <c r="AR20" s="1461">
        <v>630.65</v>
      </c>
      <c r="AS20" s="1461">
        <v>630.59</v>
      </c>
      <c r="AT20" s="1461">
        <v>630.77</v>
      </c>
      <c r="AU20" s="1461">
        <v>630.65</v>
      </c>
      <c r="AV20" s="1461">
        <v>630.71</v>
      </c>
      <c r="AW20" s="1461">
        <v>630.65</v>
      </c>
      <c r="AX20" s="1461">
        <v>630.65</v>
      </c>
      <c r="AY20" s="1461">
        <v>630.84</v>
      </c>
      <c r="AZ20" s="1461">
        <v>630.53</v>
      </c>
      <c r="BA20" s="1461">
        <v>629.97</v>
      </c>
      <c r="BB20" s="1461">
        <v>630.65</v>
      </c>
      <c r="BC20" s="1461">
        <v>630.65</v>
      </c>
      <c r="BD20" s="1461">
        <v>630.84</v>
      </c>
      <c r="BE20" s="1461">
        <v>630.71</v>
      </c>
      <c r="BF20" s="1461">
        <v>630.71</v>
      </c>
      <c r="BG20" s="1461">
        <v>630.65</v>
      </c>
      <c r="BH20" s="1461">
        <v>630.65</v>
      </c>
      <c r="BI20" s="1461">
        <v>630.65</v>
      </c>
      <c r="BJ20" s="1461">
        <v>630.59</v>
      </c>
      <c r="BK20" s="1461">
        <v>630.65</v>
      </c>
      <c r="BL20" s="1461">
        <v>630.22</v>
      </c>
      <c r="BM20" s="1461">
        <v>630.53</v>
      </c>
      <c r="BN20" s="1461">
        <v>630.65</v>
      </c>
      <c r="BO20" s="1461">
        <v>630.65</v>
      </c>
      <c r="BP20" s="1461">
        <v>630.59</v>
      </c>
      <c r="BQ20" s="1461">
        <v>630.65</v>
      </c>
      <c r="BR20" s="1461">
        <v>630.71</v>
      </c>
      <c r="BS20" s="1461">
        <v>630.65</v>
      </c>
      <c r="BT20" s="1461">
        <v>630.65</v>
      </c>
      <c r="BU20" s="1461">
        <v>630.65</v>
      </c>
      <c r="BV20" s="1461">
        <v>630.65</v>
      </c>
      <c r="BW20" s="1461">
        <v>630.65</v>
      </c>
      <c r="BX20" s="1461">
        <v>630.65</v>
      </c>
      <c r="BY20" s="1462">
        <v>45396.070000000022</v>
      </c>
    </row>
    <row r="21" spans="1:77" hidden="1">
      <c r="A21" s="1463" t="s">
        <v>1023</v>
      </c>
      <c r="B21" s="1461"/>
      <c r="C21" s="1461"/>
      <c r="D21" s="1461"/>
      <c r="E21" s="1461"/>
      <c r="F21" s="1461">
        <v>111.86</v>
      </c>
      <c r="G21" s="1461"/>
      <c r="H21" s="1461">
        <v>100.96</v>
      </c>
      <c r="I21" s="1461"/>
      <c r="J21" s="1461">
        <v>66.38</v>
      </c>
      <c r="K21" s="1461"/>
      <c r="L21" s="1461">
        <v>41.39</v>
      </c>
      <c r="M21" s="1461"/>
      <c r="N21" s="1461">
        <v>37.5</v>
      </c>
      <c r="O21" s="1461"/>
      <c r="P21" s="1461">
        <v>48.96</v>
      </c>
      <c r="Q21" s="1461"/>
      <c r="R21" s="1461"/>
      <c r="S21" s="1461"/>
      <c r="T21" s="1461"/>
      <c r="U21" s="1461"/>
      <c r="V21" s="1461"/>
      <c r="W21" s="1461"/>
      <c r="X21" s="1461"/>
      <c r="Y21" s="1461"/>
      <c r="Z21" s="1461"/>
      <c r="AA21" s="1461"/>
      <c r="AB21" s="1461"/>
      <c r="AC21" s="1461"/>
      <c r="AD21" s="1461"/>
      <c r="AE21" s="1461"/>
      <c r="AF21" s="1461"/>
      <c r="AG21" s="1461"/>
      <c r="AH21" s="1461"/>
      <c r="AI21" s="1461"/>
      <c r="AJ21" s="1461"/>
      <c r="AK21" s="1461"/>
      <c r="AL21" s="1461"/>
      <c r="AM21" s="1461"/>
      <c r="AN21" s="1461"/>
      <c r="AO21" s="1461"/>
      <c r="AP21" s="1461"/>
      <c r="AQ21" s="1461"/>
      <c r="AR21" s="1461"/>
      <c r="AS21" s="1461"/>
      <c r="AT21" s="1461"/>
      <c r="AU21" s="1461"/>
      <c r="AV21" s="1461"/>
      <c r="AW21" s="1461"/>
      <c r="AX21" s="1461"/>
      <c r="AY21" s="1461"/>
      <c r="AZ21" s="1461"/>
      <c r="BA21" s="1461"/>
      <c r="BB21" s="1461"/>
      <c r="BC21" s="1461"/>
      <c r="BD21" s="1461"/>
      <c r="BE21" s="1461"/>
      <c r="BF21" s="1461"/>
      <c r="BG21" s="1461"/>
      <c r="BH21" s="1461"/>
      <c r="BI21" s="1461"/>
      <c r="BJ21" s="1461"/>
      <c r="BK21" s="1461"/>
      <c r="BL21" s="1461"/>
      <c r="BM21" s="1461"/>
      <c r="BN21" s="1461"/>
      <c r="BO21" s="1461"/>
      <c r="BP21" s="1461"/>
      <c r="BQ21" s="1461"/>
      <c r="BR21" s="1461"/>
      <c r="BS21" s="1461"/>
      <c r="BT21" s="1461"/>
      <c r="BU21" s="1461"/>
      <c r="BV21" s="1461"/>
      <c r="BW21" s="1461"/>
      <c r="BX21" s="1461"/>
      <c r="BY21" s="1462">
        <v>407.04999999999995</v>
      </c>
    </row>
    <row r="22" spans="1:77" hidden="1">
      <c r="A22" s="1463" t="s">
        <v>1024</v>
      </c>
      <c r="B22" s="1461"/>
      <c r="C22" s="1461"/>
      <c r="D22" s="1461"/>
      <c r="E22" s="1461"/>
      <c r="F22" s="1461">
        <v>272.57</v>
      </c>
      <c r="G22" s="1461"/>
      <c r="H22" s="1461">
        <v>133.32</v>
      </c>
      <c r="I22" s="1461"/>
      <c r="J22" s="1461">
        <v>116.72</v>
      </c>
      <c r="K22" s="1461"/>
      <c r="L22" s="1461">
        <v>111.88</v>
      </c>
      <c r="M22" s="1461"/>
      <c r="N22" s="1461">
        <v>110.75</v>
      </c>
      <c r="O22" s="1461"/>
      <c r="P22" s="1461">
        <v>48.81</v>
      </c>
      <c r="Q22" s="1461"/>
      <c r="R22" s="1461"/>
      <c r="S22" s="1461"/>
      <c r="T22" s="1461"/>
      <c r="U22" s="1461"/>
      <c r="V22" s="1461"/>
      <c r="W22" s="1461"/>
      <c r="X22" s="1461"/>
      <c r="Y22" s="1461"/>
      <c r="Z22" s="1461"/>
      <c r="AA22" s="1461"/>
      <c r="AB22" s="1461"/>
      <c r="AC22" s="1461"/>
      <c r="AD22" s="1461"/>
      <c r="AE22" s="1461"/>
      <c r="AF22" s="1461"/>
      <c r="AG22" s="1461"/>
      <c r="AH22" s="1461"/>
      <c r="AI22" s="1461"/>
      <c r="AJ22" s="1461"/>
      <c r="AK22" s="1461"/>
      <c r="AL22" s="1461"/>
      <c r="AM22" s="1461"/>
      <c r="AN22" s="1461"/>
      <c r="AO22" s="1461"/>
      <c r="AP22" s="1461"/>
      <c r="AQ22" s="1461"/>
      <c r="AR22" s="1461"/>
      <c r="AS22" s="1461"/>
      <c r="AT22" s="1461"/>
      <c r="AU22" s="1461"/>
      <c r="AV22" s="1461"/>
      <c r="AW22" s="1461"/>
      <c r="AX22" s="1461"/>
      <c r="AY22" s="1461"/>
      <c r="AZ22" s="1461"/>
      <c r="BA22" s="1461"/>
      <c r="BB22" s="1461"/>
      <c r="BC22" s="1461"/>
      <c r="BD22" s="1461"/>
      <c r="BE22" s="1461"/>
      <c r="BF22" s="1461"/>
      <c r="BG22" s="1461"/>
      <c r="BH22" s="1461"/>
      <c r="BI22" s="1461"/>
      <c r="BJ22" s="1461"/>
      <c r="BK22" s="1461"/>
      <c r="BL22" s="1461"/>
      <c r="BM22" s="1461"/>
      <c r="BN22" s="1461"/>
      <c r="BO22" s="1461"/>
      <c r="BP22" s="1461"/>
      <c r="BQ22" s="1461"/>
      <c r="BR22" s="1461"/>
      <c r="BS22" s="1461"/>
      <c r="BT22" s="1461"/>
      <c r="BU22" s="1461"/>
      <c r="BV22" s="1461"/>
      <c r="BW22" s="1461"/>
      <c r="BX22" s="1461"/>
      <c r="BY22" s="1462">
        <v>794.05</v>
      </c>
    </row>
    <row r="23" spans="1:77">
      <c r="A23" s="1463" t="s">
        <v>307</v>
      </c>
      <c r="B23" s="1461"/>
      <c r="C23" s="1461"/>
      <c r="D23" s="1461"/>
      <c r="E23" s="1461"/>
      <c r="F23" s="1461"/>
      <c r="G23" s="1461"/>
      <c r="H23" s="1461"/>
      <c r="I23" s="1461"/>
      <c r="J23" s="1461"/>
      <c r="K23" s="1461">
        <v>150.5</v>
      </c>
      <c r="L23" s="1461"/>
      <c r="M23" s="1461"/>
      <c r="N23" s="1461"/>
      <c r="O23" s="1461"/>
      <c r="P23" s="1461"/>
      <c r="Q23" s="1461"/>
      <c r="R23" s="1461">
        <v>150.5</v>
      </c>
      <c r="S23" s="1461"/>
      <c r="T23" s="1461"/>
      <c r="U23" s="1461"/>
      <c r="V23" s="1461"/>
      <c r="W23" s="1461"/>
      <c r="X23" s="1461"/>
      <c r="Y23" s="1461"/>
      <c r="Z23" s="1461"/>
      <c r="AA23" s="1461"/>
      <c r="AB23" s="1461"/>
      <c r="AC23" s="1461"/>
      <c r="AD23" s="1461"/>
      <c r="AE23" s="1461"/>
      <c r="AF23" s="1461"/>
      <c r="AG23" s="1461"/>
      <c r="AH23" s="1461"/>
      <c r="AI23" s="1461"/>
      <c r="AJ23" s="1461"/>
      <c r="AK23" s="1461"/>
      <c r="AL23" s="1461"/>
      <c r="AM23" s="1461"/>
      <c r="AN23" s="1461"/>
      <c r="AO23" s="1461"/>
      <c r="AP23" s="1461"/>
      <c r="AQ23" s="1461"/>
      <c r="AR23" s="1461"/>
      <c r="AS23" s="1461"/>
      <c r="AT23" s="1461"/>
      <c r="AU23" s="1461">
        <v>150.5</v>
      </c>
      <c r="AV23" s="1461"/>
      <c r="AW23" s="1461"/>
      <c r="AX23" s="1461"/>
      <c r="AY23" s="1461"/>
      <c r="AZ23" s="1461"/>
      <c r="BA23" s="1461"/>
      <c r="BB23" s="1461"/>
      <c r="BC23" s="1461"/>
      <c r="BD23" s="1461"/>
      <c r="BE23" s="1461"/>
      <c r="BF23" s="1461"/>
      <c r="BG23" s="1461"/>
      <c r="BH23" s="1461"/>
      <c r="BI23" s="1461"/>
      <c r="BJ23" s="1461"/>
      <c r="BK23" s="1461"/>
      <c r="BL23" s="1461"/>
      <c r="BM23" s="1461"/>
      <c r="BN23" s="1461"/>
      <c r="BO23" s="1461">
        <v>150.5</v>
      </c>
      <c r="BP23" s="1461"/>
      <c r="BQ23" s="1461"/>
      <c r="BR23" s="1461"/>
      <c r="BS23" s="1461">
        <v>150.5</v>
      </c>
      <c r="BT23" s="1461"/>
      <c r="BU23" s="1461"/>
      <c r="BV23" s="1461"/>
      <c r="BW23" s="1461"/>
      <c r="BX23" s="1461"/>
      <c r="BY23" s="1462">
        <v>752.5</v>
      </c>
    </row>
    <row r="24" spans="1:77">
      <c r="A24" s="1324" t="s">
        <v>1025</v>
      </c>
      <c r="B24" s="1461"/>
      <c r="C24" s="1461"/>
      <c r="D24" s="1461"/>
      <c r="E24" s="1461"/>
      <c r="F24" s="1461"/>
      <c r="G24" s="1461"/>
      <c r="H24" s="1461"/>
      <c r="I24" s="1461"/>
      <c r="J24" s="1461"/>
      <c r="K24" s="1461"/>
      <c r="L24" s="1461"/>
      <c r="M24" s="1461"/>
      <c r="N24" s="1461"/>
      <c r="O24" s="1461"/>
      <c r="P24" s="1461"/>
      <c r="Q24" s="1461"/>
      <c r="R24" s="1461"/>
      <c r="S24" s="1461"/>
      <c r="T24" s="1461"/>
      <c r="U24" s="1461"/>
      <c r="V24" s="1461"/>
      <c r="W24" s="1461"/>
      <c r="X24" s="1461"/>
      <c r="Y24" s="1461"/>
      <c r="Z24" s="1461"/>
      <c r="AA24" s="1461"/>
      <c r="AB24" s="1461"/>
      <c r="AC24" s="1461"/>
      <c r="AD24" s="1461"/>
      <c r="AE24" s="1461"/>
      <c r="AF24" s="1461"/>
      <c r="AG24" s="1461"/>
      <c r="AH24" s="1461"/>
      <c r="AI24" s="1461"/>
      <c r="AJ24" s="1461"/>
      <c r="AK24" s="1461"/>
      <c r="AL24" s="1461"/>
      <c r="AM24" s="1461"/>
      <c r="AN24" s="1461"/>
      <c r="AO24" s="1461"/>
      <c r="AP24" s="1461"/>
      <c r="AQ24" s="1461"/>
      <c r="AR24" s="1461"/>
      <c r="AS24" s="1461"/>
      <c r="AT24" s="1461"/>
      <c r="AU24" s="1461"/>
      <c r="AV24" s="1461"/>
      <c r="AW24" s="1461"/>
      <c r="AX24" s="1461"/>
      <c r="AY24" s="1461"/>
      <c r="AZ24" s="1461"/>
      <c r="BA24" s="1461"/>
      <c r="BB24" s="1461"/>
      <c r="BC24" s="1461"/>
      <c r="BD24" s="1461"/>
      <c r="BE24" s="1461"/>
      <c r="BF24" s="1461"/>
      <c r="BG24" s="1461"/>
      <c r="BH24" s="1461"/>
      <c r="BI24" s="1461"/>
      <c r="BJ24" s="1461"/>
      <c r="BK24" s="1461"/>
      <c r="BL24" s="1461"/>
      <c r="BM24" s="1461"/>
      <c r="BN24" s="1461"/>
      <c r="BO24" s="1461"/>
      <c r="BP24" s="1461"/>
      <c r="BQ24" s="1461"/>
      <c r="BR24" s="1461"/>
      <c r="BS24" s="1461"/>
      <c r="BT24" s="1461"/>
      <c r="BU24" s="1461"/>
      <c r="BV24" s="1461"/>
      <c r="BW24" s="1461"/>
      <c r="BX24" s="1461"/>
      <c r="BY24" s="1462"/>
    </row>
    <row r="25" spans="1:77">
      <c r="A25" s="1463" t="s">
        <v>1012</v>
      </c>
      <c r="B25" s="1461"/>
      <c r="C25" s="1461"/>
      <c r="D25" s="1461">
        <v>-350</v>
      </c>
      <c r="E25" s="1461"/>
      <c r="F25" s="1461">
        <v>-500</v>
      </c>
      <c r="G25" s="1461">
        <v>-350</v>
      </c>
      <c r="H25" s="1461">
        <v>-500</v>
      </c>
      <c r="I25" s="1461">
        <v>-500</v>
      </c>
      <c r="J25" s="1461">
        <v>-600</v>
      </c>
      <c r="K25" s="1461">
        <v>-550</v>
      </c>
      <c r="L25" s="1461">
        <v>-900</v>
      </c>
      <c r="M25" s="1461">
        <v>-950</v>
      </c>
      <c r="N25" s="1461">
        <v>-1000</v>
      </c>
      <c r="O25" s="1461">
        <v>-950</v>
      </c>
      <c r="P25" s="1461">
        <v>-1250</v>
      </c>
      <c r="Q25" s="1461">
        <v>-895</v>
      </c>
      <c r="R25" s="1461">
        <v>-870</v>
      </c>
      <c r="S25" s="1461">
        <v>-600</v>
      </c>
      <c r="T25" s="1461">
        <v>-700</v>
      </c>
      <c r="U25" s="1461">
        <v>-820</v>
      </c>
      <c r="V25" s="1461">
        <v>-700</v>
      </c>
      <c r="W25" s="1461">
        <v>-1070</v>
      </c>
      <c r="X25" s="1461">
        <v>-870</v>
      </c>
      <c r="Y25" s="1461">
        <v>-870</v>
      </c>
      <c r="Z25" s="1461">
        <v>-870</v>
      </c>
      <c r="AA25" s="1461">
        <v>-870</v>
      </c>
      <c r="AB25" s="1461">
        <v>-1150</v>
      </c>
      <c r="AC25" s="1461">
        <v>-820</v>
      </c>
      <c r="AD25" s="1461">
        <v>-870</v>
      </c>
      <c r="AE25" s="1461">
        <v>-870</v>
      </c>
      <c r="AF25" s="1461">
        <v>-850</v>
      </c>
      <c r="AG25" s="1461">
        <v>-870</v>
      </c>
      <c r="AH25" s="1461">
        <v>-870</v>
      </c>
      <c r="AI25" s="1461">
        <v>-870</v>
      </c>
      <c r="AJ25" s="1461">
        <v>-870</v>
      </c>
      <c r="AK25" s="1461">
        <v>-870</v>
      </c>
      <c r="AL25" s="1461">
        <v>-870</v>
      </c>
      <c r="AM25" s="1461">
        <v>-870</v>
      </c>
      <c r="AN25" s="1461">
        <v>-1100</v>
      </c>
      <c r="AO25" s="1461">
        <v>-869.5</v>
      </c>
      <c r="AP25" s="1461">
        <v>-819.5</v>
      </c>
      <c r="AQ25" s="1461">
        <v>-849.5</v>
      </c>
      <c r="AR25" s="1461">
        <v>-785</v>
      </c>
      <c r="AS25" s="1461">
        <v>-859.5</v>
      </c>
      <c r="AT25" s="1461">
        <v>-859.5</v>
      </c>
      <c r="AU25" s="1461">
        <v>-859.5</v>
      </c>
      <c r="AV25" s="1461">
        <v>-859.5</v>
      </c>
      <c r="AW25" s="1461">
        <v>-859.5</v>
      </c>
      <c r="AX25" s="1461">
        <v>-859.5</v>
      </c>
      <c r="AY25" s="1461">
        <v>-859.5</v>
      </c>
      <c r="AZ25" s="1461">
        <v>-884.5</v>
      </c>
      <c r="BA25" s="1461">
        <v>-849</v>
      </c>
      <c r="BB25" s="1461">
        <v>-799.5</v>
      </c>
      <c r="BC25" s="1461">
        <v>-739.5</v>
      </c>
      <c r="BD25" s="1461">
        <v>-679.5</v>
      </c>
      <c r="BE25" s="1461">
        <v>-739.5</v>
      </c>
      <c r="BF25" s="1461">
        <v>-679.5</v>
      </c>
      <c r="BG25" s="1461">
        <v>-639.5</v>
      </c>
      <c r="BH25" s="1461">
        <v>-739.5</v>
      </c>
      <c r="BI25" s="1461">
        <v>-639.5</v>
      </c>
      <c r="BJ25" s="1461">
        <v>-769.5</v>
      </c>
      <c r="BK25" s="1461">
        <v>-699.5</v>
      </c>
      <c r="BL25" s="1461">
        <v>-779.5</v>
      </c>
      <c r="BM25" s="1461">
        <v>-779.5</v>
      </c>
      <c r="BN25" s="1461">
        <v>-499.5</v>
      </c>
      <c r="BO25" s="1461">
        <v>-849.5</v>
      </c>
      <c r="BP25" s="1461">
        <v>-699.5</v>
      </c>
      <c r="BQ25" s="1461">
        <v>-699.5</v>
      </c>
      <c r="BR25" s="1461">
        <v>-699.5</v>
      </c>
      <c r="BS25" s="1461">
        <v>-749.5</v>
      </c>
      <c r="BT25" s="1461">
        <v>-739.5</v>
      </c>
      <c r="BU25" s="1461">
        <v>-684.5</v>
      </c>
      <c r="BV25" s="1461">
        <v>-739.5</v>
      </c>
      <c r="BW25" s="1461">
        <v>-739.5</v>
      </c>
      <c r="BX25" s="1461">
        <v>-739.5</v>
      </c>
      <c r="BY25" s="1462">
        <v>-56882</v>
      </c>
    </row>
    <row r="26" spans="1:77" hidden="1">
      <c r="A26" s="1463" t="s">
        <v>1026</v>
      </c>
      <c r="B26" s="1461"/>
      <c r="C26" s="1461">
        <v>-11000</v>
      </c>
      <c r="D26" s="1461"/>
      <c r="E26" s="1461"/>
      <c r="F26" s="1461"/>
      <c r="G26" s="1461"/>
      <c r="H26" s="1461"/>
      <c r="I26" s="1461"/>
      <c r="J26" s="1461"/>
      <c r="K26" s="1461"/>
      <c r="L26" s="1461"/>
      <c r="M26" s="1461"/>
      <c r="N26" s="1461"/>
      <c r="O26" s="1461"/>
      <c r="P26" s="1461"/>
      <c r="Q26" s="1461"/>
      <c r="R26" s="1461"/>
      <c r="S26" s="1461"/>
      <c r="T26" s="1461"/>
      <c r="U26" s="1461"/>
      <c r="V26" s="1461"/>
      <c r="W26" s="1461"/>
      <c r="X26" s="1461"/>
      <c r="Y26" s="1461"/>
      <c r="Z26" s="1461"/>
      <c r="AA26" s="1461"/>
      <c r="AB26" s="1461"/>
      <c r="AC26" s="1461"/>
      <c r="AD26" s="1461"/>
      <c r="AE26" s="1461"/>
      <c r="AF26" s="1461"/>
      <c r="AG26" s="1461"/>
      <c r="AH26" s="1461"/>
      <c r="AI26" s="1461"/>
      <c r="AJ26" s="1461"/>
      <c r="AK26" s="1461"/>
      <c r="AL26" s="1461"/>
      <c r="AM26" s="1461"/>
      <c r="AN26" s="1461"/>
      <c r="AO26" s="1461"/>
      <c r="AP26" s="1461"/>
      <c r="AQ26" s="1461"/>
      <c r="AR26" s="1461"/>
      <c r="AS26" s="1461"/>
      <c r="AT26" s="1461"/>
      <c r="AU26" s="1461"/>
      <c r="AV26" s="1461"/>
      <c r="AW26" s="1461"/>
      <c r="AX26" s="1461"/>
      <c r="AY26" s="1461"/>
      <c r="AZ26" s="1461"/>
      <c r="BA26" s="1461"/>
      <c r="BB26" s="1461"/>
      <c r="BC26" s="1461"/>
      <c r="BD26" s="1461"/>
      <c r="BE26" s="1461"/>
      <c r="BF26" s="1461"/>
      <c r="BG26" s="1461"/>
      <c r="BH26" s="1461"/>
      <c r="BI26" s="1461"/>
      <c r="BJ26" s="1461"/>
      <c r="BK26" s="1461"/>
      <c r="BL26" s="1461"/>
      <c r="BM26" s="1461"/>
      <c r="BN26" s="1461"/>
      <c r="BO26" s="1461"/>
      <c r="BP26" s="1461"/>
      <c r="BQ26" s="1461"/>
      <c r="BR26" s="1461"/>
      <c r="BS26" s="1461"/>
      <c r="BT26" s="1461"/>
      <c r="BU26" s="1461"/>
      <c r="BV26" s="1461"/>
      <c r="BW26" s="1461"/>
      <c r="BX26" s="1461"/>
      <c r="BY26" s="1462">
        <v>-11000</v>
      </c>
    </row>
    <row r="27" spans="1:77">
      <c r="A27" s="1324" t="s">
        <v>736</v>
      </c>
      <c r="B27" s="1461">
        <v>0.56000000000000005</v>
      </c>
      <c r="C27" s="1461">
        <v>-4842.3700000000008</v>
      </c>
      <c r="D27" s="1461">
        <v>4435.5599999999995</v>
      </c>
      <c r="E27" s="1461">
        <v>-122.02999999999997</v>
      </c>
      <c r="F27" s="1461">
        <v>113.96000000000004</v>
      </c>
      <c r="G27" s="1461">
        <v>29.03000000000003</v>
      </c>
      <c r="H27" s="1461">
        <v>98.809999999999945</v>
      </c>
      <c r="I27" s="1461">
        <v>-67.92999999999995</v>
      </c>
      <c r="J27" s="1461">
        <v>65.170000000000073</v>
      </c>
      <c r="K27" s="1461">
        <v>32.57000000000005</v>
      </c>
      <c r="L27" s="1461">
        <v>185.34000000000015</v>
      </c>
      <c r="M27" s="1461">
        <v>-17.92999999999995</v>
      </c>
      <c r="N27" s="1461">
        <v>90.279999999999973</v>
      </c>
      <c r="O27" s="1461">
        <v>-17.92999999999995</v>
      </c>
      <c r="P27" s="1461">
        <v>-596.97</v>
      </c>
      <c r="Q27" s="1461">
        <v>51.810000000000059</v>
      </c>
      <c r="R27" s="1461">
        <v>29.360000000000014</v>
      </c>
      <c r="S27" s="1461">
        <v>316.58999999999992</v>
      </c>
      <c r="T27" s="1461">
        <v>165.21000000000004</v>
      </c>
      <c r="U27" s="1461">
        <v>44.529999999999973</v>
      </c>
      <c r="V27" s="1461">
        <v>165.40000000000009</v>
      </c>
      <c r="W27" s="1461">
        <v>-172.59999999999991</v>
      </c>
      <c r="X27" s="1461">
        <v>-4.8499999999999091</v>
      </c>
      <c r="Y27" s="1461">
        <v>-4.9100000000000819</v>
      </c>
      <c r="Z27" s="1461">
        <v>-4.7899999999999636</v>
      </c>
      <c r="AA27" s="1461">
        <v>-4.7899999999999636</v>
      </c>
      <c r="AB27" s="1461">
        <v>-31.569999999999936</v>
      </c>
      <c r="AC27" s="1461">
        <v>48.389999999999986</v>
      </c>
      <c r="AD27" s="1461">
        <v>-55.909999999999968</v>
      </c>
      <c r="AE27" s="1461">
        <v>47.789999999999964</v>
      </c>
      <c r="AF27" s="1461">
        <v>-35.850000000000023</v>
      </c>
      <c r="AG27" s="1461">
        <v>46.330000000000041</v>
      </c>
      <c r="AH27" s="1461">
        <v>-4.9100000000000819</v>
      </c>
      <c r="AI27" s="1461">
        <v>-4.7899999999999636</v>
      </c>
      <c r="AJ27" s="1461">
        <v>-4.4800000000000182</v>
      </c>
      <c r="AK27" s="1461">
        <v>-4.7899999999999636</v>
      </c>
      <c r="AL27" s="1461">
        <v>-4.7300000000000182</v>
      </c>
      <c r="AM27" s="1461">
        <v>248.30999999999995</v>
      </c>
      <c r="AN27" s="1461">
        <v>-234.78999999999996</v>
      </c>
      <c r="AO27" s="1461">
        <v>9.7899999999999636</v>
      </c>
      <c r="AP27" s="1461">
        <v>5.2100000000000364</v>
      </c>
      <c r="AQ27" s="1461">
        <v>-35.350000000000023</v>
      </c>
      <c r="AR27" s="1461">
        <v>29.149999999999977</v>
      </c>
      <c r="AS27" s="1461">
        <v>-45.409999999999968</v>
      </c>
      <c r="AT27" s="1461">
        <v>-45.230000000000018</v>
      </c>
      <c r="AU27" s="1461">
        <v>105.14999999999998</v>
      </c>
      <c r="AV27" s="1461">
        <v>-45.289999999999964</v>
      </c>
      <c r="AW27" s="1461">
        <v>-45.350000000000023</v>
      </c>
      <c r="AX27" s="1461">
        <v>-45.350000000000023</v>
      </c>
      <c r="AY27" s="1461">
        <v>-45.159999999999968</v>
      </c>
      <c r="AZ27" s="1461">
        <v>182.69000000000005</v>
      </c>
      <c r="BA27" s="1461">
        <v>-35.539999999999964</v>
      </c>
      <c r="BB27" s="1461">
        <v>14.649999999999977</v>
      </c>
      <c r="BC27" s="1461">
        <v>-60.720000000000027</v>
      </c>
      <c r="BD27" s="1461">
        <v>-0.65999999999996817</v>
      </c>
      <c r="BE27" s="1461">
        <v>-60.789999999999964</v>
      </c>
      <c r="BF27" s="1461">
        <v>-0.78999999999996362</v>
      </c>
      <c r="BG27" s="1461">
        <v>39.149999999999977</v>
      </c>
      <c r="BH27" s="1461">
        <v>-60.850000000000023</v>
      </c>
      <c r="BI27" s="1461">
        <v>39.149999999999977</v>
      </c>
      <c r="BJ27" s="1461">
        <v>-90.909999999999968</v>
      </c>
      <c r="BK27" s="1461">
        <v>-20.850000000000023</v>
      </c>
      <c r="BL27" s="1461">
        <v>151.88</v>
      </c>
      <c r="BM27" s="1461">
        <v>-100.99000000000001</v>
      </c>
      <c r="BN27" s="1461">
        <v>179.14999999999998</v>
      </c>
      <c r="BO27" s="1461">
        <v>-19.899999999999977</v>
      </c>
      <c r="BP27" s="1461">
        <v>-20.909999999999968</v>
      </c>
      <c r="BQ27" s="1461">
        <v>-20.850000000000023</v>
      </c>
      <c r="BR27" s="1461">
        <v>-20.789999999999964</v>
      </c>
      <c r="BS27" s="1461">
        <v>79.649999999999977</v>
      </c>
      <c r="BT27" s="1461">
        <v>-60.850000000000023</v>
      </c>
      <c r="BU27" s="1461">
        <v>-5.8500000000000227</v>
      </c>
      <c r="BV27" s="1461">
        <v>-60.850000000000023</v>
      </c>
      <c r="BW27" s="1461">
        <v>-60.850000000000023</v>
      </c>
      <c r="BX27" s="1461">
        <v>192.30999999999995</v>
      </c>
      <c r="BY27" s="1462">
        <v>-6.0799999999580905</v>
      </c>
    </row>
    <row r="28" spans="1:77">
      <c r="A28" s="227"/>
      <c r="B28" s="133"/>
      <c r="C28" s="133"/>
      <c r="D28" s="133"/>
      <c r="E28" s="133"/>
      <c r="F28" s="133"/>
      <c r="G28" s="133"/>
      <c r="H28" s="133"/>
      <c r="I28" s="133"/>
    </row>
    <row r="29" spans="1:77" ht="15.75">
      <c r="A29" s="227"/>
      <c r="B29" s="133"/>
      <c r="C29" s="133"/>
      <c r="D29" s="133"/>
      <c r="E29" s="133"/>
      <c r="F29" s="133"/>
      <c r="G29" s="133"/>
      <c r="H29" s="133"/>
      <c r="I29" s="133"/>
      <c r="AT29" s="139"/>
    </row>
    <row r="30" spans="1:77">
      <c r="A30" s="227"/>
      <c r="B30" s="133"/>
      <c r="C30" s="133"/>
      <c r="D30" s="133"/>
      <c r="E30" s="133"/>
      <c r="F30" s="133"/>
      <c r="G30" s="133"/>
      <c r="H30" s="133"/>
      <c r="I30" s="133"/>
    </row>
    <row r="31" spans="1:77">
      <c r="A31" s="227"/>
      <c r="B31" s="133"/>
      <c r="C31" s="133"/>
      <c r="D31" s="133"/>
      <c r="E31" s="133"/>
      <c r="F31" s="133"/>
      <c r="G31" s="133"/>
      <c r="H31" s="133"/>
      <c r="I31" s="418"/>
    </row>
    <row r="32" spans="1:77">
      <c r="A32" s="227"/>
      <c r="B32" s="133"/>
      <c r="C32" s="133"/>
      <c r="D32" s="133"/>
      <c r="E32" s="133"/>
      <c r="F32" s="133"/>
      <c r="G32" s="133"/>
      <c r="H32" s="133"/>
      <c r="I32" s="133"/>
      <c r="AA32" s="138"/>
    </row>
    <row r="33" spans="1:9">
      <c r="A33" s="227"/>
      <c r="B33" s="133"/>
      <c r="C33" s="133"/>
      <c r="D33" s="133"/>
      <c r="E33" s="133"/>
      <c r="F33" s="133"/>
      <c r="G33" s="133"/>
      <c r="H33" s="133"/>
      <c r="I33" s="133"/>
    </row>
    <row r="34" spans="1:9">
      <c r="A34" s="227"/>
      <c r="B34" s="133"/>
      <c r="C34" s="133"/>
      <c r="D34" s="133"/>
      <c r="E34" s="133"/>
      <c r="F34" s="133"/>
      <c r="G34" s="133"/>
      <c r="H34" s="133"/>
      <c r="I34" s="133"/>
    </row>
    <row r="35" spans="1:9">
      <c r="A35" s="227"/>
      <c r="B35" s="133"/>
      <c r="C35" s="133"/>
      <c r="D35" s="133"/>
      <c r="E35" s="133"/>
      <c r="F35" s="133"/>
      <c r="G35" s="133"/>
      <c r="H35" s="133"/>
      <c r="I35" s="133"/>
    </row>
    <row r="36" spans="1:9">
      <c r="A36" s="227"/>
      <c r="B36" s="133"/>
      <c r="C36" s="133"/>
      <c r="D36" s="133"/>
      <c r="E36" s="133"/>
      <c r="F36" s="133"/>
      <c r="G36" s="133"/>
      <c r="H36" s="133"/>
      <c r="I36" s="133"/>
    </row>
    <row r="37" spans="1:9">
      <c r="A37" s="227"/>
      <c r="B37" s="133"/>
      <c r="C37" s="133"/>
      <c r="D37" s="133"/>
      <c r="E37" s="133"/>
      <c r="F37" s="133"/>
      <c r="G37" s="133"/>
      <c r="H37" s="133"/>
      <c r="I37" s="133"/>
    </row>
    <row r="38" spans="1:9">
      <c r="A38" s="227"/>
      <c r="B38" s="133"/>
      <c r="C38" s="133"/>
      <c r="D38" s="133"/>
      <c r="E38" s="133"/>
      <c r="F38" s="133"/>
      <c r="G38" s="133"/>
      <c r="H38" s="133"/>
      <c r="I38" s="133"/>
    </row>
    <row r="39" spans="1:9">
      <c r="A39" s="227"/>
      <c r="B39" s="133"/>
      <c r="C39" s="133"/>
      <c r="D39" s="133"/>
      <c r="E39" s="133"/>
      <c r="F39" s="133"/>
      <c r="G39" s="133"/>
      <c r="H39" s="133"/>
      <c r="I39" s="133"/>
    </row>
    <row r="40" spans="1:9">
      <c r="A40" s="227"/>
      <c r="B40" s="133"/>
      <c r="C40" s="133"/>
      <c r="D40" s="133"/>
      <c r="E40" s="133"/>
      <c r="F40" s="133"/>
      <c r="G40" s="133"/>
      <c r="H40" s="133"/>
      <c r="I40" s="133"/>
    </row>
    <row r="41" spans="1:9">
      <c r="A41" s="227"/>
      <c r="B41" s="133"/>
      <c r="C41" s="133"/>
      <c r="D41" s="133"/>
      <c r="E41" s="133"/>
      <c r="F41" s="133"/>
      <c r="G41" s="133"/>
      <c r="H41" s="133"/>
      <c r="I41" s="133"/>
    </row>
    <row r="42" spans="1:9">
      <c r="A42" s="227"/>
      <c r="B42" s="133"/>
      <c r="C42" s="133"/>
      <c r="D42" s="133"/>
      <c r="E42" s="133"/>
      <c r="F42" s="133"/>
      <c r="G42" s="133"/>
      <c r="H42" s="133"/>
      <c r="I42" s="133"/>
    </row>
    <row r="43" spans="1:9">
      <c r="A43" s="227"/>
      <c r="B43" s="133"/>
      <c r="C43" s="133"/>
      <c r="D43" s="133"/>
      <c r="E43" s="133"/>
      <c r="F43" s="133"/>
      <c r="G43" s="133"/>
      <c r="H43" s="133"/>
      <c r="I43" s="133"/>
    </row>
    <row r="44" spans="1:9">
      <c r="A44" s="227"/>
      <c r="B44" s="133"/>
      <c r="C44" s="133"/>
      <c r="D44" s="133"/>
      <c r="E44" s="133"/>
      <c r="F44" s="133"/>
      <c r="G44" s="133"/>
      <c r="H44" s="133"/>
      <c r="I44" s="133"/>
    </row>
    <row r="45" spans="1:9">
      <c r="A45" s="134">
        <v>1</v>
      </c>
      <c r="B45" s="134" t="s">
        <v>154</v>
      </c>
      <c r="C45" s="133"/>
      <c r="D45" s="133"/>
      <c r="G45" s="133"/>
      <c r="H45" s="133"/>
      <c r="I45" s="133"/>
    </row>
    <row r="46" spans="1:9">
      <c r="A46" s="134">
        <v>2</v>
      </c>
      <c r="B46" s="134" t="s">
        <v>129</v>
      </c>
      <c r="C46" s="133"/>
      <c r="D46" s="133"/>
      <c r="G46" s="133"/>
      <c r="H46" s="133"/>
      <c r="I46" s="133"/>
    </row>
    <row r="47" spans="1:9">
      <c r="A47" s="134">
        <v>3</v>
      </c>
      <c r="B47" s="134" t="s">
        <v>90</v>
      </c>
      <c r="C47" s="133"/>
      <c r="D47" s="133"/>
      <c r="G47" s="133"/>
      <c r="H47" s="133"/>
      <c r="I47" s="133"/>
    </row>
    <row r="48" spans="1:9">
      <c r="A48" s="134">
        <v>4</v>
      </c>
      <c r="B48" s="134" t="s">
        <v>352</v>
      </c>
      <c r="C48" s="133"/>
      <c r="D48" s="133"/>
      <c r="G48" s="133"/>
      <c r="H48" s="133"/>
      <c r="I48" s="133"/>
    </row>
    <row r="49" spans="1:8">
      <c r="A49" s="134">
        <v>5</v>
      </c>
      <c r="B49" s="134" t="s">
        <v>333</v>
      </c>
      <c r="C49" s="133"/>
      <c r="D49" s="133"/>
      <c r="G49" s="133"/>
      <c r="H49" s="133"/>
    </row>
    <row r="50" spans="1:8">
      <c r="A50" s="134">
        <v>6</v>
      </c>
      <c r="B50" s="134" t="s">
        <v>314</v>
      </c>
      <c r="C50" s="133"/>
      <c r="D50" s="133"/>
      <c r="G50" s="133"/>
      <c r="H50" s="133"/>
    </row>
    <row r="51" spans="1:8">
      <c r="A51" s="134">
        <v>7</v>
      </c>
      <c r="B51" s="134" t="s">
        <v>288</v>
      </c>
      <c r="C51" s="133"/>
      <c r="D51" s="133"/>
      <c r="G51" s="133"/>
      <c r="H51" s="133"/>
    </row>
    <row r="52" spans="1:8">
      <c r="A52" s="134">
        <v>8</v>
      </c>
      <c r="B52" s="134" t="s">
        <v>261</v>
      </c>
      <c r="C52" s="133"/>
      <c r="D52" s="133"/>
      <c r="G52" s="133"/>
      <c r="H52" s="133"/>
    </row>
    <row r="53" spans="1:8">
      <c r="A53" s="134">
        <v>9</v>
      </c>
      <c r="B53" s="134" t="s">
        <v>240</v>
      </c>
      <c r="C53" s="133"/>
      <c r="D53" s="133"/>
      <c r="G53" s="133"/>
      <c r="H53" s="133"/>
    </row>
    <row r="54" spans="1:8">
      <c r="A54" s="134">
        <v>10</v>
      </c>
      <c r="B54" s="134" t="s">
        <v>217</v>
      </c>
      <c r="C54" s="133"/>
      <c r="D54" s="133"/>
      <c r="G54" s="133"/>
      <c r="H54" s="133"/>
    </row>
    <row r="55" spans="1:8">
      <c r="A55" s="134">
        <v>11</v>
      </c>
      <c r="B55" s="134" t="s">
        <v>200</v>
      </c>
      <c r="C55" s="133"/>
      <c r="D55" s="133"/>
      <c r="G55" s="133"/>
      <c r="H55" s="133"/>
    </row>
    <row r="56" spans="1:8">
      <c r="A56" s="134">
        <v>12</v>
      </c>
      <c r="B56" s="134" t="s">
        <v>173</v>
      </c>
      <c r="C56" s="133"/>
      <c r="D56" s="133"/>
      <c r="G56" s="133"/>
      <c r="H56" s="133"/>
    </row>
    <row r="57" spans="1:8">
      <c r="C57" s="133"/>
      <c r="D57" s="133"/>
      <c r="E57" s="133"/>
      <c r="F57" s="133"/>
      <c r="G57" s="133"/>
      <c r="H57" s="133"/>
    </row>
  </sheetData>
  <phoneticPr fontId="2" type="noConversion"/>
  <conditionalFormatting sqref="AI5:AZ5">
    <cfRule type="cellIs" dxfId="97" priority="91" operator="equal">
      <formula>$A$2</formula>
    </cfRule>
  </conditionalFormatting>
  <conditionalFormatting sqref="A7:XFD7">
    <cfRule type="cellIs" dxfId="96" priority="92" operator="equal">
      <formula>$A$2</formula>
    </cfRule>
  </conditionalFormatting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7730-623C-4522-9977-589CFFCA4981}">
  <sheetPr codeName="Foglio9"/>
  <dimension ref="A1:AD464"/>
  <sheetViews>
    <sheetView showGridLines="0" zoomScale="85" zoomScaleNormal="85" workbookViewId="0">
      <selection activeCell="H17" sqref="H17"/>
    </sheetView>
  </sheetViews>
  <sheetFormatPr defaultColWidth="9.140625" defaultRowHeight="15"/>
  <cols>
    <col min="1" max="1" width="35.5703125" style="9" bestFit="1" customWidth="1"/>
    <col min="2" max="2" width="20.5703125" style="9" bestFit="1" customWidth="1"/>
    <col min="3" max="3" width="11.140625" style="9" bestFit="1" customWidth="1"/>
    <col min="4" max="4" width="9.5703125" style="9" bestFit="1" customWidth="1"/>
    <col min="5" max="5" width="12.28515625" style="9" customWidth="1"/>
    <col min="6" max="6" width="15.7109375" style="9" customWidth="1"/>
    <col min="7" max="7" width="18.28515625" style="9" customWidth="1"/>
    <col min="8" max="8" width="14.28515625" style="9" bestFit="1" customWidth="1"/>
    <col min="9" max="9" width="41.5703125" style="9" bestFit="1" customWidth="1"/>
    <col min="10" max="10" width="38.85546875" style="9" customWidth="1"/>
    <col min="11" max="13" width="13.140625" style="9" customWidth="1"/>
    <col min="14" max="14" width="15.7109375" style="9" customWidth="1"/>
    <col min="15" max="15" width="13.42578125" style="9" customWidth="1"/>
    <col min="16" max="16" width="11.28515625" style="9" bestFit="1" customWidth="1"/>
    <col min="17" max="17" width="9.140625" style="9"/>
    <col min="18" max="18" width="26.42578125" style="9" bestFit="1" customWidth="1"/>
    <col min="19" max="19" width="13.7109375" style="9" customWidth="1"/>
    <col min="20" max="26" width="13.7109375" style="15" customWidth="1"/>
    <col min="27" max="27" width="10.140625" style="9" customWidth="1"/>
    <col min="28" max="28" width="9.140625" style="9"/>
    <col min="29" max="30" width="0" style="9" hidden="1" customWidth="1"/>
    <col min="31" max="16384" width="9.140625" style="9"/>
  </cols>
  <sheetData>
    <row r="1" spans="1:10">
      <c r="A1" s="53" t="s">
        <v>83</v>
      </c>
      <c r="B1" s="53" t="s">
        <v>1027</v>
      </c>
      <c r="C1" s="53" t="s">
        <v>71</v>
      </c>
      <c r="D1" s="53" t="s">
        <v>70</v>
      </c>
      <c r="E1" s="53" t="s">
        <v>71</v>
      </c>
      <c r="F1" s="53" t="s">
        <v>84</v>
      </c>
      <c r="G1" s="53" t="s">
        <v>1028</v>
      </c>
      <c r="H1" s="54" t="s">
        <v>85</v>
      </c>
      <c r="I1" s="56" t="s">
        <v>83</v>
      </c>
      <c r="J1" s="19" t="s">
        <v>88</v>
      </c>
    </row>
    <row r="2" spans="1:10">
      <c r="A2" s="57" t="s">
        <v>721</v>
      </c>
      <c r="B2" s="57" t="s">
        <v>1011</v>
      </c>
      <c r="C2" s="57" t="s">
        <v>173</v>
      </c>
      <c r="D2" s="57">
        <v>2026</v>
      </c>
      <c r="E2" s="58">
        <f t="shared" ref="E2:E33" si="0">VLOOKUP(C2,$AC$421:$AD$432,2,FALSE)</f>
        <v>12</v>
      </c>
      <c r="F2" s="57" t="str">
        <f t="shared" ref="F2:F55" si="1">CONCATENATE(,C2," ",D2)</f>
        <v>DICEMBRE 2026</v>
      </c>
      <c r="G2" s="57" t="str">
        <f t="shared" ref="G2:G55" si="2">CONCATENATE(E2," ",F2)</f>
        <v>12 DICEMBRE 2026</v>
      </c>
      <c r="H2" s="59">
        <v>253.16</v>
      </c>
      <c r="I2" s="59" t="s">
        <v>1020</v>
      </c>
      <c r="J2" s="28"/>
    </row>
    <row r="3" spans="1:10">
      <c r="A3" s="57" t="s">
        <v>1029</v>
      </c>
      <c r="B3" s="57" t="s">
        <v>1011</v>
      </c>
      <c r="C3" s="57" t="s">
        <v>173</v>
      </c>
      <c r="D3" s="57">
        <v>2026</v>
      </c>
      <c r="E3" s="58">
        <f t="shared" si="0"/>
        <v>12</v>
      </c>
      <c r="F3" s="57" t="str">
        <f t="shared" si="1"/>
        <v>DICEMBRE 2026</v>
      </c>
      <c r="G3" s="57" t="str">
        <f t="shared" si="2"/>
        <v>12 DICEMBRE 2026</v>
      </c>
      <c r="H3" s="59">
        <v>3.5</v>
      </c>
      <c r="I3" s="59" t="s">
        <v>1013</v>
      </c>
      <c r="J3" s="28"/>
    </row>
    <row r="4" spans="1:10">
      <c r="A4" s="57" t="s">
        <v>1030</v>
      </c>
      <c r="B4" s="57" t="s">
        <v>1025</v>
      </c>
      <c r="C4" s="57" t="s">
        <v>173</v>
      </c>
      <c r="D4" s="57">
        <v>2026</v>
      </c>
      <c r="E4" s="58">
        <f t="shared" si="0"/>
        <v>12</v>
      </c>
      <c r="F4" s="57" t="str">
        <f t="shared" si="1"/>
        <v>DICEMBRE 2026</v>
      </c>
      <c r="G4" s="57" t="str">
        <f t="shared" si="2"/>
        <v>12 DICEMBRE 2026</v>
      </c>
      <c r="H4" s="59">
        <v>-739.5</v>
      </c>
      <c r="I4" s="59" t="s">
        <v>1012</v>
      </c>
      <c r="J4" s="28"/>
    </row>
    <row r="5" spans="1:10">
      <c r="A5" s="57" t="s">
        <v>1022</v>
      </c>
      <c r="B5" s="57" t="s">
        <v>1011</v>
      </c>
      <c r="C5" s="57" t="s">
        <v>173</v>
      </c>
      <c r="D5" s="57">
        <v>2026</v>
      </c>
      <c r="E5" s="58">
        <f t="shared" si="0"/>
        <v>12</v>
      </c>
      <c r="F5" s="57" t="str">
        <f t="shared" si="1"/>
        <v>DICEMBRE 2026</v>
      </c>
      <c r="G5" s="57" t="str">
        <f t="shared" si="2"/>
        <v>12 DICEMBRE 2026</v>
      </c>
      <c r="H5" s="59">
        <v>630.65</v>
      </c>
      <c r="I5" s="59" t="s">
        <v>1022</v>
      </c>
      <c r="J5" s="28"/>
    </row>
    <row r="6" spans="1:10">
      <c r="A6" s="57" t="s">
        <v>1031</v>
      </c>
      <c r="B6" s="57" t="s">
        <v>1011</v>
      </c>
      <c r="C6" s="57" t="s">
        <v>173</v>
      </c>
      <c r="D6" s="57">
        <v>2026</v>
      </c>
      <c r="E6" s="58">
        <f t="shared" si="0"/>
        <v>12</v>
      </c>
      <c r="F6" s="57" t="str">
        <f t="shared" si="1"/>
        <v>DICEMBRE 2026</v>
      </c>
      <c r="G6" s="57" t="str">
        <f t="shared" si="2"/>
        <v>12 DICEMBRE 2026</v>
      </c>
      <c r="H6" s="59">
        <v>44.5</v>
      </c>
      <c r="I6" s="59" t="s">
        <v>1019</v>
      </c>
      <c r="J6" s="28"/>
    </row>
    <row r="7" spans="1:10">
      <c r="A7" s="57" t="s">
        <v>1029</v>
      </c>
      <c r="B7" s="57" t="s">
        <v>1011</v>
      </c>
      <c r="C7" s="57" t="s">
        <v>200</v>
      </c>
      <c r="D7" s="57">
        <v>2026</v>
      </c>
      <c r="E7" s="58">
        <f t="shared" si="0"/>
        <v>11</v>
      </c>
      <c r="F7" s="57" t="str">
        <f t="shared" si="1"/>
        <v>NOVEMBRE 2026</v>
      </c>
      <c r="G7" s="57" t="str">
        <f t="shared" si="2"/>
        <v>11 NOVEMBRE 2026</v>
      </c>
      <c r="H7" s="59">
        <v>3.5</v>
      </c>
      <c r="I7" s="59" t="s">
        <v>1013</v>
      </c>
      <c r="J7" s="28"/>
    </row>
    <row r="8" spans="1:10">
      <c r="A8" s="57" t="s">
        <v>1030</v>
      </c>
      <c r="B8" s="57" t="s">
        <v>1025</v>
      </c>
      <c r="C8" s="57" t="s">
        <v>200</v>
      </c>
      <c r="D8" s="57">
        <v>2026</v>
      </c>
      <c r="E8" s="58">
        <f t="shared" si="0"/>
        <v>11</v>
      </c>
      <c r="F8" s="57" t="str">
        <f t="shared" si="1"/>
        <v>NOVEMBRE 2026</v>
      </c>
      <c r="G8" s="57" t="str">
        <f t="shared" si="2"/>
        <v>11 NOVEMBRE 2026</v>
      </c>
      <c r="H8" s="59">
        <v>-739.5</v>
      </c>
      <c r="I8" s="59" t="s">
        <v>1012</v>
      </c>
      <c r="J8" s="28"/>
    </row>
    <row r="9" spans="1:10">
      <c r="A9" s="57" t="s">
        <v>1022</v>
      </c>
      <c r="B9" s="57" t="s">
        <v>1011</v>
      </c>
      <c r="C9" s="57" t="s">
        <v>200</v>
      </c>
      <c r="D9" s="57">
        <v>2026</v>
      </c>
      <c r="E9" s="58">
        <f t="shared" si="0"/>
        <v>11</v>
      </c>
      <c r="F9" s="57" t="str">
        <f t="shared" si="1"/>
        <v>NOVEMBRE 2026</v>
      </c>
      <c r="G9" s="57" t="str">
        <f t="shared" si="2"/>
        <v>11 NOVEMBRE 2026</v>
      </c>
      <c r="H9" s="59">
        <v>630.65</v>
      </c>
      <c r="I9" s="59" t="s">
        <v>1022</v>
      </c>
      <c r="J9" s="28"/>
    </row>
    <row r="10" spans="1:10">
      <c r="A10" s="57" t="s">
        <v>1031</v>
      </c>
      <c r="B10" s="57" t="s">
        <v>1011</v>
      </c>
      <c r="C10" s="57" t="s">
        <v>200</v>
      </c>
      <c r="D10" s="57">
        <v>2026</v>
      </c>
      <c r="E10" s="58">
        <f t="shared" si="0"/>
        <v>11</v>
      </c>
      <c r="F10" s="57" t="str">
        <f t="shared" si="1"/>
        <v>NOVEMBRE 2026</v>
      </c>
      <c r="G10" s="57" t="str">
        <f t="shared" si="2"/>
        <v>11 NOVEMBRE 2026</v>
      </c>
      <c r="H10" s="59">
        <v>44.5</v>
      </c>
      <c r="I10" s="59" t="s">
        <v>1019</v>
      </c>
      <c r="J10" s="28"/>
    </row>
    <row r="11" spans="1:10">
      <c r="A11" s="57" t="s">
        <v>1029</v>
      </c>
      <c r="B11" s="57" t="s">
        <v>1011</v>
      </c>
      <c r="C11" s="57" t="s">
        <v>217</v>
      </c>
      <c r="D11" s="57">
        <v>2026</v>
      </c>
      <c r="E11" s="58">
        <f t="shared" si="0"/>
        <v>10</v>
      </c>
      <c r="F11" s="57" t="str">
        <f t="shared" si="1"/>
        <v>OTTOBRE 2026</v>
      </c>
      <c r="G11" s="57" t="str">
        <f t="shared" si="2"/>
        <v>10 OTTOBRE 2026</v>
      </c>
      <c r="H11" s="59">
        <v>3.5</v>
      </c>
      <c r="I11" s="59" t="s">
        <v>1013</v>
      </c>
      <c r="J11" s="28"/>
    </row>
    <row r="12" spans="1:10">
      <c r="A12" s="57" t="s">
        <v>1030</v>
      </c>
      <c r="B12" s="57" t="s">
        <v>1025</v>
      </c>
      <c r="C12" s="57" t="s">
        <v>217</v>
      </c>
      <c r="D12" s="57">
        <v>2026</v>
      </c>
      <c r="E12" s="58">
        <f t="shared" si="0"/>
        <v>10</v>
      </c>
      <c r="F12" s="57" t="str">
        <f t="shared" si="1"/>
        <v>OTTOBRE 2026</v>
      </c>
      <c r="G12" s="57" t="str">
        <f t="shared" si="2"/>
        <v>10 OTTOBRE 2026</v>
      </c>
      <c r="H12" s="59">
        <v>-739.5</v>
      </c>
      <c r="I12" s="59" t="s">
        <v>1012</v>
      </c>
      <c r="J12" s="28"/>
    </row>
    <row r="13" spans="1:10">
      <c r="A13" s="57" t="s">
        <v>1022</v>
      </c>
      <c r="B13" s="57" t="s">
        <v>1011</v>
      </c>
      <c r="C13" s="57" t="s">
        <v>217</v>
      </c>
      <c r="D13" s="57">
        <v>2026</v>
      </c>
      <c r="E13" s="58">
        <f t="shared" si="0"/>
        <v>10</v>
      </c>
      <c r="F13" s="57" t="str">
        <f t="shared" si="1"/>
        <v>OTTOBRE 2026</v>
      </c>
      <c r="G13" s="57" t="str">
        <f t="shared" si="2"/>
        <v>10 OTTOBRE 2026</v>
      </c>
      <c r="H13" s="59">
        <v>630.65</v>
      </c>
      <c r="I13" s="59" t="s">
        <v>1022</v>
      </c>
      <c r="J13" s="28"/>
    </row>
    <row r="14" spans="1:10">
      <c r="A14" s="57" t="s">
        <v>1031</v>
      </c>
      <c r="B14" s="57" t="s">
        <v>1011</v>
      </c>
      <c r="C14" s="57" t="s">
        <v>217</v>
      </c>
      <c r="D14" s="57">
        <v>2026</v>
      </c>
      <c r="E14" s="58">
        <f t="shared" si="0"/>
        <v>10</v>
      </c>
      <c r="F14" s="57" t="str">
        <f t="shared" si="1"/>
        <v>OTTOBRE 2026</v>
      </c>
      <c r="G14" s="57" t="str">
        <f t="shared" si="2"/>
        <v>10 OTTOBRE 2026</v>
      </c>
      <c r="H14" s="59">
        <v>44.5</v>
      </c>
      <c r="I14" s="59" t="s">
        <v>1019</v>
      </c>
      <c r="J14" s="28"/>
    </row>
    <row r="15" spans="1:10">
      <c r="A15" s="57" t="s">
        <v>1029</v>
      </c>
      <c r="B15" s="57" t="s">
        <v>1011</v>
      </c>
      <c r="C15" s="57" t="s">
        <v>240</v>
      </c>
      <c r="D15" s="57">
        <v>2026</v>
      </c>
      <c r="E15" s="58">
        <f t="shared" si="0"/>
        <v>9</v>
      </c>
      <c r="F15" s="57" t="str">
        <f t="shared" si="1"/>
        <v>SETTEMBRE 2026</v>
      </c>
      <c r="G15" s="57" t="str">
        <f t="shared" si="2"/>
        <v>9 SETTEMBRE 2026</v>
      </c>
      <c r="H15" s="59">
        <v>3.5</v>
      </c>
      <c r="I15" s="59" t="s">
        <v>1013</v>
      </c>
      <c r="J15" s="28"/>
    </row>
    <row r="16" spans="1:10">
      <c r="A16" s="57" t="s">
        <v>1030</v>
      </c>
      <c r="B16" s="57" t="s">
        <v>1025</v>
      </c>
      <c r="C16" s="57" t="s">
        <v>240</v>
      </c>
      <c r="D16" s="57">
        <v>2026</v>
      </c>
      <c r="E16" s="58">
        <f t="shared" si="0"/>
        <v>9</v>
      </c>
      <c r="F16" s="57" t="str">
        <f t="shared" si="1"/>
        <v>SETTEMBRE 2026</v>
      </c>
      <c r="G16" s="57" t="str">
        <f t="shared" si="2"/>
        <v>9 SETTEMBRE 2026</v>
      </c>
      <c r="H16" s="59">
        <v>-684.5</v>
      </c>
      <c r="I16" s="59" t="s">
        <v>1012</v>
      </c>
      <c r="J16" s="28"/>
    </row>
    <row r="17" spans="1:10">
      <c r="A17" s="57" t="s">
        <v>1022</v>
      </c>
      <c r="B17" s="57" t="s">
        <v>1011</v>
      </c>
      <c r="C17" s="57" t="s">
        <v>240</v>
      </c>
      <c r="D17" s="57">
        <v>2026</v>
      </c>
      <c r="E17" s="58">
        <f t="shared" si="0"/>
        <v>9</v>
      </c>
      <c r="F17" s="57" t="str">
        <f t="shared" si="1"/>
        <v>SETTEMBRE 2026</v>
      </c>
      <c r="G17" s="57" t="str">
        <f t="shared" si="2"/>
        <v>9 SETTEMBRE 2026</v>
      </c>
      <c r="H17" s="59">
        <v>630.65</v>
      </c>
      <c r="I17" s="59" t="s">
        <v>1022</v>
      </c>
      <c r="J17" s="28"/>
    </row>
    <row r="18" spans="1:10">
      <c r="A18" s="57" t="s">
        <v>1031</v>
      </c>
      <c r="B18" s="57" t="s">
        <v>1011</v>
      </c>
      <c r="C18" s="57" t="s">
        <v>240</v>
      </c>
      <c r="D18" s="57">
        <v>2026</v>
      </c>
      <c r="E18" s="58">
        <f t="shared" si="0"/>
        <v>9</v>
      </c>
      <c r="F18" s="57" t="str">
        <f t="shared" si="1"/>
        <v>SETTEMBRE 2026</v>
      </c>
      <c r="G18" s="57" t="str">
        <f t="shared" si="2"/>
        <v>9 SETTEMBRE 2026</v>
      </c>
      <c r="H18" s="59">
        <v>44.5</v>
      </c>
      <c r="I18" s="59" t="s">
        <v>1019</v>
      </c>
      <c r="J18" s="28"/>
    </row>
    <row r="19" spans="1:10">
      <c r="A19" s="57" t="s">
        <v>1029</v>
      </c>
      <c r="B19" s="57" t="s">
        <v>1011</v>
      </c>
      <c r="C19" s="57" t="s">
        <v>261</v>
      </c>
      <c r="D19" s="57">
        <v>2026</v>
      </c>
      <c r="E19" s="58">
        <f t="shared" si="0"/>
        <v>8</v>
      </c>
      <c r="F19" s="57" t="str">
        <f t="shared" si="1"/>
        <v>AGOSTO 2026</v>
      </c>
      <c r="G19" s="57" t="str">
        <f t="shared" si="2"/>
        <v>8 AGOSTO 2026</v>
      </c>
      <c r="H19" s="59">
        <v>3.5</v>
      </c>
      <c r="I19" s="59" t="s">
        <v>1013</v>
      </c>
      <c r="J19" s="28"/>
    </row>
    <row r="20" spans="1:10">
      <c r="A20" s="57" t="s">
        <v>1030</v>
      </c>
      <c r="B20" s="57" t="s">
        <v>1025</v>
      </c>
      <c r="C20" s="57" t="s">
        <v>261</v>
      </c>
      <c r="D20" s="57">
        <v>2026</v>
      </c>
      <c r="E20" s="58">
        <f t="shared" si="0"/>
        <v>8</v>
      </c>
      <c r="F20" s="57" t="str">
        <f t="shared" si="1"/>
        <v>AGOSTO 2026</v>
      </c>
      <c r="G20" s="57" t="str">
        <f t="shared" si="2"/>
        <v>8 AGOSTO 2026</v>
      </c>
      <c r="H20" s="59">
        <v>-739.5</v>
      </c>
      <c r="I20" s="59" t="s">
        <v>1012</v>
      </c>
      <c r="J20" s="28"/>
    </row>
    <row r="21" spans="1:10">
      <c r="A21" s="57" t="s">
        <v>1022</v>
      </c>
      <c r="B21" s="57" t="s">
        <v>1011</v>
      </c>
      <c r="C21" s="57" t="s">
        <v>261</v>
      </c>
      <c r="D21" s="57">
        <v>2026</v>
      </c>
      <c r="E21" s="58">
        <f t="shared" si="0"/>
        <v>8</v>
      </c>
      <c r="F21" s="57" t="str">
        <f t="shared" si="1"/>
        <v>AGOSTO 2026</v>
      </c>
      <c r="G21" s="57" t="str">
        <f t="shared" si="2"/>
        <v>8 AGOSTO 2026</v>
      </c>
      <c r="H21" s="59">
        <v>630.65</v>
      </c>
      <c r="I21" s="59" t="s">
        <v>1022</v>
      </c>
      <c r="J21" s="28"/>
    </row>
    <row r="22" spans="1:10">
      <c r="A22" s="57" t="s">
        <v>1031</v>
      </c>
      <c r="B22" s="57" t="s">
        <v>1011</v>
      </c>
      <c r="C22" s="57" t="s">
        <v>261</v>
      </c>
      <c r="D22" s="57">
        <v>2026</v>
      </c>
      <c r="E22" s="58">
        <f t="shared" si="0"/>
        <v>8</v>
      </c>
      <c r="F22" s="57" t="str">
        <f t="shared" si="1"/>
        <v>AGOSTO 2026</v>
      </c>
      <c r="G22" s="57" t="str">
        <f t="shared" si="2"/>
        <v>8 AGOSTO 2026</v>
      </c>
      <c r="H22" s="59">
        <v>44.5</v>
      </c>
      <c r="I22" s="59" t="s">
        <v>1019</v>
      </c>
      <c r="J22" s="28"/>
    </row>
    <row r="23" spans="1:10">
      <c r="A23" s="57" t="s">
        <v>1029</v>
      </c>
      <c r="B23" s="57" t="s">
        <v>1011</v>
      </c>
      <c r="C23" s="57" t="s">
        <v>288</v>
      </c>
      <c r="D23" s="57">
        <v>2026</v>
      </c>
      <c r="E23" s="58">
        <f t="shared" si="0"/>
        <v>7</v>
      </c>
      <c r="F23" s="57" t="str">
        <f t="shared" si="1"/>
        <v>LUGLIO 2026</v>
      </c>
      <c r="G23" s="57" t="str">
        <f t="shared" si="2"/>
        <v>7 LUGLIO 2026</v>
      </c>
      <c r="H23" s="59">
        <v>3.5</v>
      </c>
      <c r="I23" s="59" t="s">
        <v>1013</v>
      </c>
      <c r="J23" s="28"/>
    </row>
    <row r="24" spans="1:10">
      <c r="A24" s="57" t="s">
        <v>1030</v>
      </c>
      <c r="B24" s="57" t="s">
        <v>1025</v>
      </c>
      <c r="C24" s="57" t="s">
        <v>288</v>
      </c>
      <c r="D24" s="57">
        <v>2026</v>
      </c>
      <c r="E24" s="58">
        <f t="shared" si="0"/>
        <v>7</v>
      </c>
      <c r="F24" s="57" t="str">
        <f t="shared" si="1"/>
        <v>LUGLIO 2026</v>
      </c>
      <c r="G24" s="57" t="str">
        <f t="shared" si="2"/>
        <v>7 LUGLIO 2026</v>
      </c>
      <c r="H24" s="59">
        <v>-749.5</v>
      </c>
      <c r="I24" s="59" t="s">
        <v>1012</v>
      </c>
      <c r="J24" s="28"/>
    </row>
    <row r="25" spans="1:10">
      <c r="A25" s="57" t="s">
        <v>307</v>
      </c>
      <c r="B25" s="61" t="s">
        <v>1011</v>
      </c>
      <c r="C25" s="57" t="s">
        <v>288</v>
      </c>
      <c r="D25" s="57">
        <v>2026</v>
      </c>
      <c r="E25" s="58">
        <f t="shared" si="0"/>
        <v>7</v>
      </c>
      <c r="F25" s="57" t="str">
        <f t="shared" ref="F25" si="3">CONCATENATE(,C25," ",D25)</f>
        <v>LUGLIO 2026</v>
      </c>
      <c r="G25" s="57" t="str">
        <f t="shared" ref="G25" si="4">CONCATENATE(E25," ",F25)</f>
        <v>7 LUGLIO 2026</v>
      </c>
      <c r="H25" s="59">
        <v>150.5</v>
      </c>
      <c r="I25" s="59" t="s">
        <v>307</v>
      </c>
      <c r="J25" s="28"/>
    </row>
    <row r="26" spans="1:10">
      <c r="A26" s="57" t="s">
        <v>1022</v>
      </c>
      <c r="B26" s="57" t="s">
        <v>1011</v>
      </c>
      <c r="C26" s="57" t="s">
        <v>288</v>
      </c>
      <c r="D26" s="57">
        <v>2026</v>
      </c>
      <c r="E26" s="58">
        <f t="shared" si="0"/>
        <v>7</v>
      </c>
      <c r="F26" s="57" t="str">
        <f t="shared" si="1"/>
        <v>LUGLIO 2026</v>
      </c>
      <c r="G26" s="57" t="str">
        <f t="shared" si="2"/>
        <v>7 LUGLIO 2026</v>
      </c>
      <c r="H26" s="59">
        <v>630.65</v>
      </c>
      <c r="I26" s="59" t="s">
        <v>1022</v>
      </c>
      <c r="J26" s="28"/>
    </row>
    <row r="27" spans="1:10">
      <c r="A27" s="57" t="s">
        <v>1031</v>
      </c>
      <c r="B27" s="57" t="s">
        <v>1011</v>
      </c>
      <c r="C27" s="57" t="s">
        <v>288</v>
      </c>
      <c r="D27" s="57">
        <v>2026</v>
      </c>
      <c r="E27" s="58">
        <f t="shared" si="0"/>
        <v>7</v>
      </c>
      <c r="F27" s="57" t="str">
        <f t="shared" si="1"/>
        <v>LUGLIO 2026</v>
      </c>
      <c r="G27" s="57" t="str">
        <f t="shared" si="2"/>
        <v>7 LUGLIO 2026</v>
      </c>
      <c r="H27" s="59">
        <v>44.5</v>
      </c>
      <c r="I27" s="59" t="s">
        <v>1019</v>
      </c>
      <c r="J27" s="28"/>
    </row>
    <row r="28" spans="1:10">
      <c r="A28" s="57" t="s">
        <v>1029</v>
      </c>
      <c r="B28" s="57" t="s">
        <v>1011</v>
      </c>
      <c r="C28" s="57" t="s">
        <v>314</v>
      </c>
      <c r="D28" s="57">
        <v>2026</v>
      </c>
      <c r="E28" s="58">
        <f t="shared" si="0"/>
        <v>6</v>
      </c>
      <c r="F28" s="57" t="str">
        <f>CONCATENATE(,C28," ",D28)</f>
        <v>GIUGNO 2026</v>
      </c>
      <c r="G28" s="57" t="str">
        <f>CONCATENATE(E28," ",F28)</f>
        <v>6 GIUGNO 2026</v>
      </c>
      <c r="H28" s="59">
        <v>3.5</v>
      </c>
      <c r="I28" s="59" t="s">
        <v>1013</v>
      </c>
      <c r="J28" s="28"/>
    </row>
    <row r="29" spans="1:10">
      <c r="A29" s="57" t="s">
        <v>1030</v>
      </c>
      <c r="B29" s="57" t="s">
        <v>1025</v>
      </c>
      <c r="C29" s="57" t="s">
        <v>314</v>
      </c>
      <c r="D29" s="57">
        <v>2026</v>
      </c>
      <c r="E29" s="58">
        <f t="shared" si="0"/>
        <v>6</v>
      </c>
      <c r="F29" s="57" t="str">
        <f t="shared" si="1"/>
        <v>GIUGNO 2026</v>
      </c>
      <c r="G29" s="57" t="str">
        <f t="shared" si="2"/>
        <v>6 GIUGNO 2026</v>
      </c>
      <c r="H29" s="59">
        <v>-699.5</v>
      </c>
      <c r="I29" s="59" t="s">
        <v>1012</v>
      </c>
      <c r="J29" s="28"/>
    </row>
    <row r="30" spans="1:10">
      <c r="A30" s="57" t="s">
        <v>1022</v>
      </c>
      <c r="B30" s="57" t="s">
        <v>1011</v>
      </c>
      <c r="C30" s="57" t="s">
        <v>314</v>
      </c>
      <c r="D30" s="57">
        <v>2026</v>
      </c>
      <c r="E30" s="58">
        <f t="shared" si="0"/>
        <v>6</v>
      </c>
      <c r="F30" s="57" t="str">
        <f t="shared" si="1"/>
        <v>GIUGNO 2026</v>
      </c>
      <c r="G30" s="57" t="str">
        <f t="shared" si="2"/>
        <v>6 GIUGNO 2026</v>
      </c>
      <c r="H30" s="59">
        <v>630.71</v>
      </c>
      <c r="I30" s="59" t="s">
        <v>1022</v>
      </c>
      <c r="J30" s="28"/>
    </row>
    <row r="31" spans="1:10">
      <c r="A31" s="57" t="s">
        <v>1031</v>
      </c>
      <c r="B31" s="57" t="s">
        <v>1011</v>
      </c>
      <c r="C31" s="57" t="s">
        <v>314</v>
      </c>
      <c r="D31" s="57">
        <v>2026</v>
      </c>
      <c r="E31" s="58">
        <f t="shared" si="0"/>
        <v>6</v>
      </c>
      <c r="F31" s="57" t="str">
        <f t="shared" si="1"/>
        <v>GIUGNO 2026</v>
      </c>
      <c r="G31" s="57" t="str">
        <f t="shared" si="2"/>
        <v>6 GIUGNO 2026</v>
      </c>
      <c r="H31" s="59">
        <v>44.5</v>
      </c>
      <c r="I31" s="59" t="s">
        <v>1019</v>
      </c>
      <c r="J31" s="28"/>
    </row>
    <row r="32" spans="1:10">
      <c r="A32" s="57" t="s">
        <v>1029</v>
      </c>
      <c r="B32" s="57" t="s">
        <v>1011</v>
      </c>
      <c r="C32" s="57" t="s">
        <v>333</v>
      </c>
      <c r="D32" s="57">
        <v>2026</v>
      </c>
      <c r="E32" s="58">
        <f t="shared" si="0"/>
        <v>5</v>
      </c>
      <c r="F32" s="57" t="str">
        <f t="shared" si="1"/>
        <v>MAGGIO 2026</v>
      </c>
      <c r="G32" s="57" t="str">
        <f t="shared" si="2"/>
        <v>5 MAGGIO 2026</v>
      </c>
      <c r="H32" s="59">
        <v>3.5</v>
      </c>
      <c r="I32" s="59" t="s">
        <v>1013</v>
      </c>
      <c r="J32" s="28"/>
    </row>
    <row r="33" spans="1:10">
      <c r="A33" s="57" t="s">
        <v>1030</v>
      </c>
      <c r="B33" s="57" t="s">
        <v>1025</v>
      </c>
      <c r="C33" s="57" t="s">
        <v>333</v>
      </c>
      <c r="D33" s="57">
        <v>2026</v>
      </c>
      <c r="E33" s="58">
        <f t="shared" si="0"/>
        <v>5</v>
      </c>
      <c r="F33" s="57" t="str">
        <f t="shared" si="1"/>
        <v>MAGGIO 2026</v>
      </c>
      <c r="G33" s="57" t="str">
        <f t="shared" si="2"/>
        <v>5 MAGGIO 2026</v>
      </c>
      <c r="H33" s="59">
        <v>-699.5</v>
      </c>
      <c r="I33" s="59" t="s">
        <v>1012</v>
      </c>
      <c r="J33" s="28"/>
    </row>
    <row r="34" spans="1:10">
      <c r="A34" s="57" t="s">
        <v>1022</v>
      </c>
      <c r="B34" s="57" t="s">
        <v>1011</v>
      </c>
      <c r="C34" s="57" t="s">
        <v>333</v>
      </c>
      <c r="D34" s="57">
        <v>2026</v>
      </c>
      <c r="E34" s="58">
        <f t="shared" ref="E34:E65" si="5">VLOOKUP(C34,$AC$421:$AD$432,2,FALSE)</f>
        <v>5</v>
      </c>
      <c r="F34" s="57" t="str">
        <f t="shared" si="1"/>
        <v>MAGGIO 2026</v>
      </c>
      <c r="G34" s="57" t="str">
        <f t="shared" si="2"/>
        <v>5 MAGGIO 2026</v>
      </c>
      <c r="H34" s="59">
        <v>630.65</v>
      </c>
      <c r="I34" s="59" t="s">
        <v>1022</v>
      </c>
      <c r="J34" s="28"/>
    </row>
    <row r="35" spans="1:10">
      <c r="A35" s="57" t="s">
        <v>1031</v>
      </c>
      <c r="B35" s="57" t="s">
        <v>1011</v>
      </c>
      <c r="C35" s="57" t="s">
        <v>333</v>
      </c>
      <c r="D35" s="57">
        <v>2026</v>
      </c>
      <c r="E35" s="58">
        <f t="shared" si="5"/>
        <v>5</v>
      </c>
      <c r="F35" s="57" t="str">
        <f t="shared" si="1"/>
        <v>MAGGIO 2026</v>
      </c>
      <c r="G35" s="57" t="str">
        <f t="shared" si="2"/>
        <v>5 MAGGIO 2026</v>
      </c>
      <c r="H35" s="59">
        <v>44.5</v>
      </c>
      <c r="I35" s="59" t="s">
        <v>1019</v>
      </c>
      <c r="J35" s="28"/>
    </row>
    <row r="36" spans="1:10">
      <c r="A36" s="57" t="s">
        <v>1029</v>
      </c>
      <c r="B36" s="57" t="s">
        <v>1011</v>
      </c>
      <c r="C36" s="57" t="s">
        <v>352</v>
      </c>
      <c r="D36" s="57">
        <v>2026</v>
      </c>
      <c r="E36" s="58">
        <f t="shared" si="5"/>
        <v>4</v>
      </c>
      <c r="F36" s="57" t="str">
        <f t="shared" si="1"/>
        <v>APRILE 2026</v>
      </c>
      <c r="G36" s="57" t="str">
        <f t="shared" si="2"/>
        <v>4 APRILE 2026</v>
      </c>
      <c r="H36" s="59">
        <v>3.5</v>
      </c>
      <c r="I36" s="59" t="s">
        <v>1013</v>
      </c>
      <c r="J36" s="28"/>
    </row>
    <row r="37" spans="1:10">
      <c r="A37" s="57" t="s">
        <v>1030</v>
      </c>
      <c r="B37" s="57" t="s">
        <v>1025</v>
      </c>
      <c r="C37" s="57" t="s">
        <v>352</v>
      </c>
      <c r="D37" s="57">
        <v>2026</v>
      </c>
      <c r="E37" s="58">
        <f t="shared" si="5"/>
        <v>4</v>
      </c>
      <c r="F37" s="57" t="str">
        <f t="shared" si="1"/>
        <v>APRILE 2026</v>
      </c>
      <c r="G37" s="57" t="str">
        <f t="shared" si="2"/>
        <v>4 APRILE 2026</v>
      </c>
      <c r="H37" s="59">
        <v>-699.5</v>
      </c>
      <c r="I37" s="59" t="s">
        <v>1012</v>
      </c>
      <c r="J37" s="28"/>
    </row>
    <row r="38" spans="1:10">
      <c r="A38" s="57" t="s">
        <v>1022</v>
      </c>
      <c r="B38" s="57" t="s">
        <v>1011</v>
      </c>
      <c r="C38" s="57" t="s">
        <v>352</v>
      </c>
      <c r="D38" s="57">
        <v>2026</v>
      </c>
      <c r="E38" s="58">
        <f t="shared" si="5"/>
        <v>4</v>
      </c>
      <c r="F38" s="57" t="str">
        <f t="shared" si="1"/>
        <v>APRILE 2026</v>
      </c>
      <c r="G38" s="57" t="str">
        <f t="shared" si="2"/>
        <v>4 APRILE 2026</v>
      </c>
      <c r="H38" s="59">
        <v>630.59</v>
      </c>
      <c r="I38" s="59" t="s">
        <v>1022</v>
      </c>
      <c r="J38" s="28"/>
    </row>
    <row r="39" spans="1:10">
      <c r="A39" s="57" t="s">
        <v>1031</v>
      </c>
      <c r="B39" s="57" t="s">
        <v>1011</v>
      </c>
      <c r="C39" s="57" t="s">
        <v>352</v>
      </c>
      <c r="D39" s="57">
        <v>2026</v>
      </c>
      <c r="E39" s="58">
        <f t="shared" si="5"/>
        <v>4</v>
      </c>
      <c r="F39" s="57" t="str">
        <f t="shared" si="1"/>
        <v>APRILE 2026</v>
      </c>
      <c r="G39" s="57" t="str">
        <f t="shared" si="2"/>
        <v>4 APRILE 2026</v>
      </c>
      <c r="H39" s="59">
        <v>44.5</v>
      </c>
      <c r="I39" s="59" t="s">
        <v>1019</v>
      </c>
      <c r="J39" s="28"/>
    </row>
    <row r="40" spans="1:10">
      <c r="A40" s="57" t="s">
        <v>1029</v>
      </c>
      <c r="B40" s="57" t="s">
        <v>1011</v>
      </c>
      <c r="C40" s="57" t="s">
        <v>90</v>
      </c>
      <c r="D40" s="57">
        <v>2026</v>
      </c>
      <c r="E40" s="58">
        <f t="shared" si="5"/>
        <v>3</v>
      </c>
      <c r="F40" s="57" t="str">
        <f t="shared" si="1"/>
        <v>MARZO 2026</v>
      </c>
      <c r="G40" s="57" t="str">
        <f t="shared" si="2"/>
        <v>3 MARZO 2026</v>
      </c>
      <c r="H40" s="59">
        <v>3.5</v>
      </c>
      <c r="I40" s="59" t="s">
        <v>1013</v>
      </c>
      <c r="J40" s="28"/>
    </row>
    <row r="41" spans="1:10">
      <c r="A41" s="57" t="s">
        <v>1030</v>
      </c>
      <c r="B41" s="57" t="s">
        <v>1025</v>
      </c>
      <c r="C41" s="57" t="s">
        <v>90</v>
      </c>
      <c r="D41" s="57">
        <v>2026</v>
      </c>
      <c r="E41" s="58">
        <f t="shared" si="5"/>
        <v>3</v>
      </c>
      <c r="F41" s="57" t="str">
        <f t="shared" si="1"/>
        <v>MARZO 2026</v>
      </c>
      <c r="G41" s="57" t="str">
        <f t="shared" si="2"/>
        <v>3 MARZO 2026</v>
      </c>
      <c r="H41" s="59">
        <v>-849.5</v>
      </c>
      <c r="I41" s="59" t="s">
        <v>1012</v>
      </c>
      <c r="J41" s="28"/>
    </row>
    <row r="42" spans="1:10">
      <c r="A42" s="57" t="s">
        <v>307</v>
      </c>
      <c r="B42" s="61" t="s">
        <v>1011</v>
      </c>
      <c r="C42" s="57" t="s">
        <v>90</v>
      </c>
      <c r="D42" s="57">
        <v>2026</v>
      </c>
      <c r="E42" s="58">
        <f t="shared" si="5"/>
        <v>3</v>
      </c>
      <c r="F42" s="57" t="str">
        <f>CONCATENATE(,C42," ",D42)</f>
        <v>MARZO 2026</v>
      </c>
      <c r="G42" s="57" t="str">
        <f>CONCATENATE(E42," ",F42)</f>
        <v>3 MARZO 2026</v>
      </c>
      <c r="H42" s="59">
        <v>150.5</v>
      </c>
      <c r="I42" s="59" t="s">
        <v>307</v>
      </c>
      <c r="J42" s="28"/>
    </row>
    <row r="43" spans="1:10">
      <c r="A43" s="57" t="s">
        <v>1022</v>
      </c>
      <c r="B43" s="57" t="s">
        <v>1011</v>
      </c>
      <c r="C43" s="57" t="s">
        <v>90</v>
      </c>
      <c r="D43" s="57">
        <v>2026</v>
      </c>
      <c r="E43" s="58">
        <f t="shared" si="5"/>
        <v>3</v>
      </c>
      <c r="F43" s="57" t="str">
        <f t="shared" si="1"/>
        <v>MARZO 2026</v>
      </c>
      <c r="G43" s="57" t="str">
        <f t="shared" si="2"/>
        <v>3 MARZO 2026</v>
      </c>
      <c r="H43" s="59">
        <v>630.65</v>
      </c>
      <c r="I43" s="59" t="s">
        <v>1022</v>
      </c>
      <c r="J43" s="28"/>
    </row>
    <row r="44" spans="1:10">
      <c r="A44" s="57" t="s">
        <v>1031</v>
      </c>
      <c r="B44" s="57" t="s">
        <v>1011</v>
      </c>
      <c r="C44" s="57" t="s">
        <v>90</v>
      </c>
      <c r="D44" s="57">
        <v>2026</v>
      </c>
      <c r="E44" s="58">
        <f t="shared" si="5"/>
        <v>3</v>
      </c>
      <c r="F44" s="57" t="str">
        <f t="shared" si="1"/>
        <v>MARZO 2026</v>
      </c>
      <c r="G44" s="57" t="str">
        <f t="shared" si="2"/>
        <v>3 MARZO 2026</v>
      </c>
      <c r="H44" s="59">
        <v>44.5</v>
      </c>
      <c r="I44" s="59" t="s">
        <v>1019</v>
      </c>
      <c r="J44" s="28"/>
    </row>
    <row r="45" spans="1:10">
      <c r="A45" s="57" t="s">
        <v>1032</v>
      </c>
      <c r="B45" s="57" t="s">
        <v>1011</v>
      </c>
      <c r="C45" s="57" t="s">
        <v>90</v>
      </c>
      <c r="D45" s="57">
        <v>2026</v>
      </c>
      <c r="E45" s="58">
        <f t="shared" si="5"/>
        <v>3</v>
      </c>
      <c r="F45" s="57" t="str">
        <f t="shared" si="1"/>
        <v>MARZO 2026</v>
      </c>
      <c r="G45" s="57" t="str">
        <f t="shared" si="2"/>
        <v>3 MARZO 2026</v>
      </c>
      <c r="H45" s="59">
        <v>0.45</v>
      </c>
      <c r="I45" s="59" t="s">
        <v>1013</v>
      </c>
      <c r="J45" s="28"/>
    </row>
    <row r="46" spans="1:10">
      <c r="A46" s="57" t="s">
        <v>1029</v>
      </c>
      <c r="B46" s="57" t="s">
        <v>1011</v>
      </c>
      <c r="C46" s="57" t="s">
        <v>129</v>
      </c>
      <c r="D46" s="57">
        <v>2026</v>
      </c>
      <c r="E46" s="58">
        <f t="shared" si="5"/>
        <v>2</v>
      </c>
      <c r="F46" s="57" t="str">
        <f t="shared" si="1"/>
        <v>FEBBRAIO 2026</v>
      </c>
      <c r="G46" s="57" t="str">
        <f t="shared" si="2"/>
        <v>2 FEBBRAIO 2026</v>
      </c>
      <c r="H46" s="59">
        <v>3.5</v>
      </c>
      <c r="I46" s="59" t="s">
        <v>1013</v>
      </c>
      <c r="J46" s="28"/>
    </row>
    <row r="47" spans="1:10">
      <c r="A47" s="57" t="s">
        <v>1030</v>
      </c>
      <c r="B47" s="57" t="s">
        <v>1025</v>
      </c>
      <c r="C47" s="57" t="s">
        <v>129</v>
      </c>
      <c r="D47" s="57">
        <v>2026</v>
      </c>
      <c r="E47" s="58">
        <f t="shared" si="5"/>
        <v>2</v>
      </c>
      <c r="F47" s="57" t="str">
        <f t="shared" si="1"/>
        <v>FEBBRAIO 2026</v>
      </c>
      <c r="G47" s="57" t="str">
        <f t="shared" si="2"/>
        <v>2 FEBBRAIO 2026</v>
      </c>
      <c r="H47" s="59">
        <f>-639.5+140</f>
        <v>-499.5</v>
      </c>
      <c r="I47" s="59" t="s">
        <v>1012</v>
      </c>
      <c r="J47" s="28"/>
    </row>
    <row r="48" spans="1:10">
      <c r="A48" s="57" t="s">
        <v>1022</v>
      </c>
      <c r="B48" s="57" t="s">
        <v>1011</v>
      </c>
      <c r="C48" s="57" t="s">
        <v>129</v>
      </c>
      <c r="D48" s="57">
        <v>2026</v>
      </c>
      <c r="E48" s="58">
        <f t="shared" si="5"/>
        <v>2</v>
      </c>
      <c r="F48" s="57" t="str">
        <f t="shared" si="1"/>
        <v>FEBBRAIO 2026</v>
      </c>
      <c r="G48" s="57" t="str">
        <f t="shared" si="2"/>
        <v>2 FEBBRAIO 2026</v>
      </c>
      <c r="H48" s="59">
        <v>630.65</v>
      </c>
      <c r="I48" s="59" t="s">
        <v>1022</v>
      </c>
      <c r="J48" s="28"/>
    </row>
    <row r="49" spans="1:10">
      <c r="A49" s="57" t="s">
        <v>1031</v>
      </c>
      <c r="B49" s="57" t="s">
        <v>1011</v>
      </c>
      <c r="C49" s="57" t="s">
        <v>129</v>
      </c>
      <c r="D49" s="57">
        <v>2026</v>
      </c>
      <c r="E49" s="58">
        <f t="shared" si="5"/>
        <v>2</v>
      </c>
      <c r="F49" s="57" t="str">
        <f t="shared" si="1"/>
        <v>FEBBRAIO 2026</v>
      </c>
      <c r="G49" s="57" t="str">
        <f t="shared" si="2"/>
        <v>2 FEBBRAIO 2026</v>
      </c>
      <c r="H49" s="59">
        <v>44.5</v>
      </c>
      <c r="I49" s="59" t="s">
        <v>1019</v>
      </c>
      <c r="J49" s="28"/>
    </row>
    <row r="50" spans="1:10">
      <c r="A50" s="57" t="s">
        <v>1029</v>
      </c>
      <c r="B50" s="57" t="s">
        <v>1011</v>
      </c>
      <c r="C50" s="57" t="s">
        <v>154</v>
      </c>
      <c r="D50" s="57">
        <v>2026</v>
      </c>
      <c r="E50" s="58">
        <f t="shared" si="5"/>
        <v>1</v>
      </c>
      <c r="F50" s="57" t="str">
        <f t="shared" si="1"/>
        <v>GENNAIO 2026</v>
      </c>
      <c r="G50" s="57" t="str">
        <f t="shared" si="2"/>
        <v>1 GENNAIO 2026</v>
      </c>
      <c r="H50" s="59">
        <v>3.5</v>
      </c>
      <c r="I50" s="59" t="s">
        <v>1013</v>
      </c>
      <c r="J50" s="28"/>
    </row>
    <row r="51" spans="1:10">
      <c r="A51" s="57" t="s">
        <v>675</v>
      </c>
      <c r="B51" s="57" t="s">
        <v>1011</v>
      </c>
      <c r="C51" s="57" t="s">
        <v>154</v>
      </c>
      <c r="D51" s="57">
        <v>2026</v>
      </c>
      <c r="E51" s="58">
        <f t="shared" si="5"/>
        <v>1</v>
      </c>
      <c r="F51" s="57" t="str">
        <f t="shared" si="1"/>
        <v>GENNAIO 2026</v>
      </c>
      <c r="G51" s="57" t="str">
        <f t="shared" si="2"/>
        <v>1 GENNAIO 2026</v>
      </c>
      <c r="H51" s="59">
        <v>0.01</v>
      </c>
      <c r="I51" s="59" t="s">
        <v>1013</v>
      </c>
      <c r="J51" s="28"/>
    </row>
    <row r="52" spans="1:10">
      <c r="A52" s="57" t="s">
        <v>1033</v>
      </c>
      <c r="B52" s="57" t="s">
        <v>1011</v>
      </c>
      <c r="C52" s="57" t="s">
        <v>154</v>
      </c>
      <c r="D52" s="57">
        <v>2026</v>
      </c>
      <c r="E52" s="58">
        <f t="shared" si="5"/>
        <v>1</v>
      </c>
      <c r="F52" s="57" t="str">
        <f t="shared" si="1"/>
        <v>GENNAIO 2026</v>
      </c>
      <c r="G52" s="57" t="str">
        <f t="shared" si="2"/>
        <v>1 GENNAIO 2026</v>
      </c>
      <c r="H52" s="59">
        <v>-0.03</v>
      </c>
      <c r="I52" s="59" t="s">
        <v>1013</v>
      </c>
      <c r="J52" s="28"/>
    </row>
    <row r="53" spans="1:10">
      <c r="A53" s="57" t="s">
        <v>1030</v>
      </c>
      <c r="B53" s="57" t="s">
        <v>1025</v>
      </c>
      <c r="C53" s="57" t="s">
        <v>154</v>
      </c>
      <c r="D53" s="57">
        <v>2026</v>
      </c>
      <c r="E53" s="58">
        <f t="shared" si="5"/>
        <v>1</v>
      </c>
      <c r="F53" s="57" t="str">
        <f t="shared" si="1"/>
        <v>GENNAIO 2026</v>
      </c>
      <c r="G53" s="57" t="str">
        <f t="shared" si="2"/>
        <v>1 GENNAIO 2026</v>
      </c>
      <c r="H53" s="59">
        <v>-779.5</v>
      </c>
      <c r="I53" s="59" t="s">
        <v>1012</v>
      </c>
      <c r="J53" s="28"/>
    </row>
    <row r="54" spans="1:10">
      <c r="A54" s="57" t="s">
        <v>1022</v>
      </c>
      <c r="B54" s="57" t="s">
        <v>1011</v>
      </c>
      <c r="C54" s="57" t="s">
        <v>154</v>
      </c>
      <c r="D54" s="57">
        <v>2026</v>
      </c>
      <c r="E54" s="58">
        <f t="shared" si="5"/>
        <v>1</v>
      </c>
      <c r="F54" s="57" t="str">
        <f t="shared" si="1"/>
        <v>GENNAIO 2026</v>
      </c>
      <c r="G54" s="57" t="str">
        <f t="shared" si="2"/>
        <v>1 GENNAIO 2026</v>
      </c>
      <c r="H54" s="59">
        <v>630.53</v>
      </c>
      <c r="I54" s="59" t="s">
        <v>1022</v>
      </c>
      <c r="J54" s="28"/>
    </row>
    <row r="55" spans="1:10">
      <c r="A55" s="57" t="s">
        <v>1031</v>
      </c>
      <c r="B55" s="57" t="s">
        <v>1011</v>
      </c>
      <c r="C55" s="57" t="s">
        <v>154</v>
      </c>
      <c r="D55" s="57">
        <v>2026</v>
      </c>
      <c r="E55" s="58">
        <f t="shared" si="5"/>
        <v>1</v>
      </c>
      <c r="F55" s="57" t="str">
        <f t="shared" si="1"/>
        <v>GENNAIO 2026</v>
      </c>
      <c r="G55" s="57" t="str">
        <f t="shared" si="2"/>
        <v>1 GENNAIO 2026</v>
      </c>
      <c r="H55" s="59">
        <v>44.5</v>
      </c>
      <c r="I55" s="59" t="s">
        <v>1019</v>
      </c>
      <c r="J55" s="28"/>
    </row>
    <row r="56" spans="1:10">
      <c r="A56" s="57" t="s">
        <v>721</v>
      </c>
      <c r="B56" s="57" t="s">
        <v>1011</v>
      </c>
      <c r="C56" s="57" t="s">
        <v>173</v>
      </c>
      <c r="D56" s="57">
        <v>2025</v>
      </c>
      <c r="E56" s="58">
        <f t="shared" si="5"/>
        <v>12</v>
      </c>
      <c r="F56" s="57" t="str">
        <f t="shared" ref="F56:F121" si="6">CONCATENATE(,C56," ",D56)</f>
        <v>DICEMBRE 2025</v>
      </c>
      <c r="G56" s="57" t="str">
        <f t="shared" ref="G56:G121" si="7">CONCATENATE(E56," ",F56)</f>
        <v>12 DICEMBRE 2025</v>
      </c>
      <c r="H56" s="59">
        <f>252.66+0.5</f>
        <v>253.16</v>
      </c>
      <c r="I56" s="59" t="s">
        <v>1020</v>
      </c>
      <c r="J56" s="28"/>
    </row>
    <row r="57" spans="1:10">
      <c r="A57" s="57" t="s">
        <v>1029</v>
      </c>
      <c r="B57" s="57" t="s">
        <v>1011</v>
      </c>
      <c r="C57" s="57" t="s">
        <v>173</v>
      </c>
      <c r="D57" s="57">
        <v>2025</v>
      </c>
      <c r="E57" s="58">
        <f t="shared" si="5"/>
        <v>12</v>
      </c>
      <c r="F57" s="57" t="str">
        <f t="shared" si="6"/>
        <v>DICEMBRE 2025</v>
      </c>
      <c r="G57" s="57" t="str">
        <f t="shared" si="7"/>
        <v>12 DICEMBRE 2025</v>
      </c>
      <c r="H57" s="59">
        <v>3.5</v>
      </c>
      <c r="I57" s="59" t="s">
        <v>1013</v>
      </c>
      <c r="J57" s="28"/>
    </row>
    <row r="58" spans="1:10">
      <c r="A58" s="57" t="s">
        <v>1030</v>
      </c>
      <c r="B58" s="57" t="s">
        <v>1025</v>
      </c>
      <c r="C58" s="57" t="s">
        <v>173</v>
      </c>
      <c r="D58" s="57">
        <v>2025</v>
      </c>
      <c r="E58" s="58">
        <f t="shared" si="5"/>
        <v>12</v>
      </c>
      <c r="F58" s="57" t="str">
        <f t="shared" si="6"/>
        <v>DICEMBRE 2025</v>
      </c>
      <c r="G58" s="57" t="str">
        <f t="shared" si="7"/>
        <v>12 DICEMBRE 2025</v>
      </c>
      <c r="H58" s="59">
        <v>-779.5</v>
      </c>
      <c r="I58" s="59" t="s">
        <v>1012</v>
      </c>
      <c r="J58" s="28"/>
    </row>
    <row r="59" spans="1:10">
      <c r="A59" s="57" t="s">
        <v>1022</v>
      </c>
      <c r="B59" s="57" t="s">
        <v>1011</v>
      </c>
      <c r="C59" s="57" t="s">
        <v>173</v>
      </c>
      <c r="D59" s="57">
        <v>2025</v>
      </c>
      <c r="E59" s="58">
        <f t="shared" si="5"/>
        <v>12</v>
      </c>
      <c r="F59" s="57" t="str">
        <f t="shared" si="6"/>
        <v>DICEMBRE 2025</v>
      </c>
      <c r="G59" s="57" t="str">
        <f t="shared" si="7"/>
        <v>12 DICEMBRE 2025</v>
      </c>
      <c r="H59" s="59">
        <v>630.22</v>
      </c>
      <c r="I59" s="59" t="s">
        <v>1022</v>
      </c>
      <c r="J59" s="28"/>
    </row>
    <row r="60" spans="1:10">
      <c r="A60" s="57" t="s">
        <v>1031</v>
      </c>
      <c r="B60" s="57" t="s">
        <v>1011</v>
      </c>
      <c r="C60" s="57" t="s">
        <v>173</v>
      </c>
      <c r="D60" s="57">
        <v>2025</v>
      </c>
      <c r="E60" s="58">
        <f t="shared" si="5"/>
        <v>12</v>
      </c>
      <c r="F60" s="57" t="str">
        <f t="shared" si="6"/>
        <v>DICEMBRE 2025</v>
      </c>
      <c r="G60" s="57" t="str">
        <f t="shared" si="7"/>
        <v>12 DICEMBRE 2025</v>
      </c>
      <c r="H60" s="59">
        <v>44.5</v>
      </c>
      <c r="I60" s="59" t="s">
        <v>1019</v>
      </c>
      <c r="J60" s="28"/>
    </row>
    <row r="61" spans="1:10">
      <c r="A61" s="57" t="s">
        <v>1029</v>
      </c>
      <c r="B61" s="57" t="s">
        <v>1011</v>
      </c>
      <c r="C61" s="57" t="s">
        <v>200</v>
      </c>
      <c r="D61" s="57">
        <v>2025</v>
      </c>
      <c r="E61" s="58">
        <f t="shared" si="5"/>
        <v>11</v>
      </c>
      <c r="F61" s="57" t="str">
        <f t="shared" si="6"/>
        <v>NOVEMBRE 2025</v>
      </c>
      <c r="G61" s="57" t="str">
        <f t="shared" si="7"/>
        <v>11 NOVEMBRE 2025</v>
      </c>
      <c r="H61" s="59">
        <v>3.5</v>
      </c>
      <c r="I61" s="59" t="s">
        <v>1013</v>
      </c>
      <c r="J61" s="28"/>
    </row>
    <row r="62" spans="1:10">
      <c r="A62" s="57" t="s">
        <v>1030</v>
      </c>
      <c r="B62" s="57" t="s">
        <v>1025</v>
      </c>
      <c r="C62" s="57" t="s">
        <v>200</v>
      </c>
      <c r="D62" s="57">
        <v>2025</v>
      </c>
      <c r="E62" s="58">
        <f t="shared" si="5"/>
        <v>11</v>
      </c>
      <c r="F62" s="57" t="str">
        <f t="shared" si="6"/>
        <v>NOVEMBRE 2025</v>
      </c>
      <c r="G62" s="57" t="str">
        <f t="shared" si="7"/>
        <v>11 NOVEMBRE 2025</v>
      </c>
      <c r="H62" s="59">
        <v>-699.5</v>
      </c>
      <c r="I62" s="59" t="s">
        <v>1012</v>
      </c>
      <c r="J62" s="28"/>
    </row>
    <row r="63" spans="1:10">
      <c r="A63" s="57" t="s">
        <v>1022</v>
      </c>
      <c r="B63" s="57" t="s">
        <v>1011</v>
      </c>
      <c r="C63" s="57" t="s">
        <v>200</v>
      </c>
      <c r="D63" s="57">
        <v>2025</v>
      </c>
      <c r="E63" s="58">
        <f t="shared" si="5"/>
        <v>11</v>
      </c>
      <c r="F63" s="57" t="str">
        <f t="shared" si="6"/>
        <v>NOVEMBRE 2025</v>
      </c>
      <c r="G63" s="57" t="str">
        <f t="shared" si="7"/>
        <v>11 NOVEMBRE 2025</v>
      </c>
      <c r="H63" s="59">
        <v>630.65</v>
      </c>
      <c r="I63" s="59" t="s">
        <v>1022</v>
      </c>
      <c r="J63" s="28"/>
    </row>
    <row r="64" spans="1:10">
      <c r="A64" s="57" t="s">
        <v>1031</v>
      </c>
      <c r="B64" s="57" t="s">
        <v>1011</v>
      </c>
      <c r="C64" s="57" t="s">
        <v>200</v>
      </c>
      <c r="D64" s="57">
        <v>2025</v>
      </c>
      <c r="E64" s="58">
        <f t="shared" si="5"/>
        <v>11</v>
      </c>
      <c r="F64" s="57" t="str">
        <f t="shared" si="6"/>
        <v>NOVEMBRE 2025</v>
      </c>
      <c r="G64" s="57" t="str">
        <f t="shared" si="7"/>
        <v>11 NOVEMBRE 2025</v>
      </c>
      <c r="H64" s="59">
        <v>44.5</v>
      </c>
      <c r="I64" s="59" t="s">
        <v>1019</v>
      </c>
      <c r="J64" s="28"/>
    </row>
    <row r="65" spans="1:10">
      <c r="A65" s="57" t="s">
        <v>1029</v>
      </c>
      <c r="B65" s="57" t="s">
        <v>1011</v>
      </c>
      <c r="C65" s="57" t="s">
        <v>217</v>
      </c>
      <c r="D65" s="57">
        <v>2025</v>
      </c>
      <c r="E65" s="58">
        <f t="shared" si="5"/>
        <v>10</v>
      </c>
      <c r="F65" s="57" t="str">
        <f t="shared" si="6"/>
        <v>OTTOBRE 2025</v>
      </c>
      <c r="G65" s="57" t="str">
        <f t="shared" si="7"/>
        <v>10 OTTOBRE 2025</v>
      </c>
      <c r="H65" s="59">
        <v>3.5</v>
      </c>
      <c r="I65" s="59" t="s">
        <v>1013</v>
      </c>
      <c r="J65" s="28"/>
    </row>
    <row r="66" spans="1:10">
      <c r="A66" s="57" t="s">
        <v>1030</v>
      </c>
      <c r="B66" s="57" t="s">
        <v>1025</v>
      </c>
      <c r="C66" s="57" t="s">
        <v>217</v>
      </c>
      <c r="D66" s="57">
        <v>2025</v>
      </c>
      <c r="E66" s="58">
        <f t="shared" ref="E66:E97" si="8">VLOOKUP(C66,$AC$421:$AD$432,2,FALSE)</f>
        <v>10</v>
      </c>
      <c r="F66" s="57" t="str">
        <f t="shared" si="6"/>
        <v>OTTOBRE 2025</v>
      </c>
      <c r="G66" s="57" t="str">
        <f t="shared" si="7"/>
        <v>10 OTTOBRE 2025</v>
      </c>
      <c r="H66" s="59">
        <v>-769.5</v>
      </c>
      <c r="I66" s="59" t="s">
        <v>1012</v>
      </c>
      <c r="J66" s="28"/>
    </row>
    <row r="67" spans="1:10">
      <c r="A67" s="57" t="s">
        <v>1022</v>
      </c>
      <c r="B67" s="57" t="s">
        <v>1011</v>
      </c>
      <c r="C67" s="57" t="s">
        <v>217</v>
      </c>
      <c r="D67" s="57">
        <v>2025</v>
      </c>
      <c r="E67" s="58">
        <f t="shared" si="8"/>
        <v>10</v>
      </c>
      <c r="F67" s="57" t="str">
        <f t="shared" si="6"/>
        <v>OTTOBRE 2025</v>
      </c>
      <c r="G67" s="57" t="str">
        <f t="shared" si="7"/>
        <v>10 OTTOBRE 2025</v>
      </c>
      <c r="H67" s="59">
        <v>630.59</v>
      </c>
      <c r="I67" s="59" t="s">
        <v>1022</v>
      </c>
      <c r="J67" s="28"/>
    </row>
    <row r="68" spans="1:10">
      <c r="A68" s="57" t="s">
        <v>1031</v>
      </c>
      <c r="B68" s="57" t="s">
        <v>1011</v>
      </c>
      <c r="C68" s="57" t="s">
        <v>217</v>
      </c>
      <c r="D68" s="57">
        <v>2025</v>
      </c>
      <c r="E68" s="58">
        <f t="shared" si="8"/>
        <v>10</v>
      </c>
      <c r="F68" s="57" t="str">
        <f t="shared" si="6"/>
        <v>OTTOBRE 2025</v>
      </c>
      <c r="G68" s="57" t="str">
        <f t="shared" si="7"/>
        <v>10 OTTOBRE 2025</v>
      </c>
      <c r="H68" s="59">
        <v>44.5</v>
      </c>
      <c r="I68" s="59" t="s">
        <v>1019</v>
      </c>
      <c r="J68" s="28"/>
    </row>
    <row r="69" spans="1:10">
      <c r="A69" s="57" t="s">
        <v>1029</v>
      </c>
      <c r="B69" s="57" t="s">
        <v>1011</v>
      </c>
      <c r="C69" s="57" t="s">
        <v>240</v>
      </c>
      <c r="D69" s="57">
        <v>2025</v>
      </c>
      <c r="E69" s="58">
        <f t="shared" si="8"/>
        <v>9</v>
      </c>
      <c r="F69" s="57" t="str">
        <f t="shared" si="6"/>
        <v>SETTEMBRE 2025</v>
      </c>
      <c r="G69" s="57" t="str">
        <f t="shared" si="7"/>
        <v>9 SETTEMBRE 2025</v>
      </c>
      <c r="H69" s="59">
        <v>3.5</v>
      </c>
      <c r="I69" s="59" t="s">
        <v>1013</v>
      </c>
      <c r="J69" s="28"/>
    </row>
    <row r="70" spans="1:10">
      <c r="A70" s="57" t="s">
        <v>1030</v>
      </c>
      <c r="B70" s="57" t="s">
        <v>1025</v>
      </c>
      <c r="C70" s="57" t="s">
        <v>240</v>
      </c>
      <c r="D70" s="57">
        <v>2025</v>
      </c>
      <c r="E70" s="58">
        <f t="shared" si="8"/>
        <v>9</v>
      </c>
      <c r="F70" s="57" t="str">
        <f t="shared" si="6"/>
        <v>SETTEMBRE 2025</v>
      </c>
      <c r="G70" s="57" t="str">
        <f t="shared" si="7"/>
        <v>9 SETTEMBRE 2025</v>
      </c>
      <c r="H70" s="59">
        <v>-639.5</v>
      </c>
      <c r="I70" s="59" t="s">
        <v>1012</v>
      </c>
      <c r="J70" s="28"/>
    </row>
    <row r="71" spans="1:10">
      <c r="A71" s="57" t="s">
        <v>1022</v>
      </c>
      <c r="B71" s="57" t="s">
        <v>1011</v>
      </c>
      <c r="C71" s="57" t="s">
        <v>240</v>
      </c>
      <c r="D71" s="57">
        <v>2025</v>
      </c>
      <c r="E71" s="58">
        <f t="shared" si="8"/>
        <v>9</v>
      </c>
      <c r="F71" s="57" t="str">
        <f t="shared" si="6"/>
        <v>SETTEMBRE 2025</v>
      </c>
      <c r="G71" s="57" t="str">
        <f t="shared" si="7"/>
        <v>9 SETTEMBRE 2025</v>
      </c>
      <c r="H71" s="59">
        <v>630.65</v>
      </c>
      <c r="I71" s="59" t="s">
        <v>1022</v>
      </c>
      <c r="J71" s="28"/>
    </row>
    <row r="72" spans="1:10">
      <c r="A72" s="57" t="s">
        <v>1031</v>
      </c>
      <c r="B72" s="57" t="s">
        <v>1011</v>
      </c>
      <c r="C72" s="57" t="s">
        <v>240</v>
      </c>
      <c r="D72" s="57">
        <v>2025</v>
      </c>
      <c r="E72" s="58">
        <f t="shared" si="8"/>
        <v>9</v>
      </c>
      <c r="F72" s="57" t="str">
        <f t="shared" si="6"/>
        <v>SETTEMBRE 2025</v>
      </c>
      <c r="G72" s="57" t="str">
        <f t="shared" si="7"/>
        <v>9 SETTEMBRE 2025</v>
      </c>
      <c r="H72" s="59">
        <v>44.5</v>
      </c>
      <c r="I72" s="59" t="s">
        <v>1019</v>
      </c>
      <c r="J72" s="28"/>
    </row>
    <row r="73" spans="1:10">
      <c r="A73" s="57" t="s">
        <v>1029</v>
      </c>
      <c r="B73" s="57" t="s">
        <v>1011</v>
      </c>
      <c r="C73" s="57" t="s">
        <v>261</v>
      </c>
      <c r="D73" s="57">
        <v>2025</v>
      </c>
      <c r="E73" s="58">
        <f t="shared" si="8"/>
        <v>8</v>
      </c>
      <c r="F73" s="57" t="str">
        <f t="shared" si="6"/>
        <v>AGOSTO 2025</v>
      </c>
      <c r="G73" s="57" t="str">
        <f t="shared" si="7"/>
        <v>8 AGOSTO 2025</v>
      </c>
      <c r="H73" s="59">
        <v>3.5</v>
      </c>
      <c r="I73" s="59" t="s">
        <v>1013</v>
      </c>
      <c r="J73" s="28"/>
    </row>
    <row r="74" spans="1:10">
      <c r="A74" s="57" t="s">
        <v>1030</v>
      </c>
      <c r="B74" s="57" t="s">
        <v>1025</v>
      </c>
      <c r="C74" s="57" t="s">
        <v>261</v>
      </c>
      <c r="D74" s="57">
        <v>2025</v>
      </c>
      <c r="E74" s="58">
        <f t="shared" si="8"/>
        <v>8</v>
      </c>
      <c r="F74" s="57" t="str">
        <f t="shared" si="6"/>
        <v>AGOSTO 2025</v>
      </c>
      <c r="G74" s="57" t="str">
        <f t="shared" si="7"/>
        <v>8 AGOSTO 2025</v>
      </c>
      <c r="H74" s="59">
        <v>-739.5</v>
      </c>
      <c r="I74" s="59" t="s">
        <v>1012</v>
      </c>
      <c r="J74" s="28"/>
    </row>
    <row r="75" spans="1:10">
      <c r="A75" s="57" t="s">
        <v>1022</v>
      </c>
      <c r="B75" s="57" t="s">
        <v>1011</v>
      </c>
      <c r="C75" s="57" t="s">
        <v>261</v>
      </c>
      <c r="D75" s="57">
        <v>2025</v>
      </c>
      <c r="E75" s="58">
        <f t="shared" si="8"/>
        <v>8</v>
      </c>
      <c r="F75" s="57" t="str">
        <f t="shared" si="6"/>
        <v>AGOSTO 2025</v>
      </c>
      <c r="G75" s="57" t="str">
        <f t="shared" si="7"/>
        <v>8 AGOSTO 2025</v>
      </c>
      <c r="H75" s="59">
        <v>630.65</v>
      </c>
      <c r="I75" s="59" t="s">
        <v>1022</v>
      </c>
      <c r="J75" s="28"/>
    </row>
    <row r="76" spans="1:10">
      <c r="A76" s="57" t="s">
        <v>1031</v>
      </c>
      <c r="B76" s="57" t="s">
        <v>1011</v>
      </c>
      <c r="C76" s="57" t="s">
        <v>261</v>
      </c>
      <c r="D76" s="57">
        <v>2025</v>
      </c>
      <c r="E76" s="58">
        <f t="shared" si="8"/>
        <v>8</v>
      </c>
      <c r="F76" s="57" t="str">
        <f t="shared" si="6"/>
        <v>AGOSTO 2025</v>
      </c>
      <c r="G76" s="57" t="str">
        <f t="shared" si="7"/>
        <v>8 AGOSTO 2025</v>
      </c>
      <c r="H76" s="59">
        <v>44.5</v>
      </c>
      <c r="I76" s="59" t="s">
        <v>1019</v>
      </c>
      <c r="J76" s="28"/>
    </row>
    <row r="77" spans="1:10">
      <c r="A77" s="57" t="s">
        <v>1029</v>
      </c>
      <c r="B77" s="57" t="s">
        <v>1011</v>
      </c>
      <c r="C77" s="57" t="s">
        <v>288</v>
      </c>
      <c r="D77" s="57">
        <v>2025</v>
      </c>
      <c r="E77" s="58">
        <f t="shared" si="8"/>
        <v>7</v>
      </c>
      <c r="F77" s="57" t="str">
        <f t="shared" si="6"/>
        <v>LUGLIO 2025</v>
      </c>
      <c r="G77" s="57" t="str">
        <f t="shared" si="7"/>
        <v>7 LUGLIO 2025</v>
      </c>
      <c r="H77" s="59">
        <v>3.5</v>
      </c>
      <c r="I77" s="59" t="s">
        <v>1013</v>
      </c>
      <c r="J77" s="28"/>
    </row>
    <row r="78" spans="1:10">
      <c r="A78" s="57" t="s">
        <v>1030</v>
      </c>
      <c r="B78" s="57" t="s">
        <v>1025</v>
      </c>
      <c r="C78" s="57" t="s">
        <v>288</v>
      </c>
      <c r="D78" s="57">
        <v>2025</v>
      </c>
      <c r="E78" s="58">
        <f t="shared" si="8"/>
        <v>7</v>
      </c>
      <c r="F78" s="57" t="str">
        <f t="shared" si="6"/>
        <v>LUGLIO 2025</v>
      </c>
      <c r="G78" s="57" t="str">
        <f t="shared" si="7"/>
        <v>7 LUGLIO 2025</v>
      </c>
      <c r="H78" s="59">
        <v>-639.5</v>
      </c>
      <c r="I78" s="59" t="s">
        <v>1012</v>
      </c>
      <c r="J78" s="28"/>
    </row>
    <row r="79" spans="1:10">
      <c r="A79" s="57" t="s">
        <v>1022</v>
      </c>
      <c r="B79" s="57" t="s">
        <v>1011</v>
      </c>
      <c r="C79" s="57" t="s">
        <v>288</v>
      </c>
      <c r="D79" s="57">
        <v>2025</v>
      </c>
      <c r="E79" s="58">
        <f t="shared" si="8"/>
        <v>7</v>
      </c>
      <c r="F79" s="57" t="str">
        <f t="shared" si="6"/>
        <v>LUGLIO 2025</v>
      </c>
      <c r="G79" s="57" t="str">
        <f t="shared" si="7"/>
        <v>7 LUGLIO 2025</v>
      </c>
      <c r="H79" s="59">
        <v>630.65</v>
      </c>
      <c r="I79" s="59" t="s">
        <v>1022</v>
      </c>
      <c r="J79" s="28"/>
    </row>
    <row r="80" spans="1:10">
      <c r="A80" s="57" t="s">
        <v>1031</v>
      </c>
      <c r="B80" s="57" t="s">
        <v>1011</v>
      </c>
      <c r="C80" s="57" t="s">
        <v>288</v>
      </c>
      <c r="D80" s="57">
        <v>2025</v>
      </c>
      <c r="E80" s="58">
        <f t="shared" si="8"/>
        <v>7</v>
      </c>
      <c r="F80" s="57" t="str">
        <f t="shared" si="6"/>
        <v>LUGLIO 2025</v>
      </c>
      <c r="G80" s="57" t="str">
        <f t="shared" si="7"/>
        <v>7 LUGLIO 2025</v>
      </c>
      <c r="H80" s="59">
        <v>44.5</v>
      </c>
      <c r="I80" s="59" t="s">
        <v>1019</v>
      </c>
      <c r="J80" s="28"/>
    </row>
    <row r="81" spans="1:10">
      <c r="A81" s="57" t="s">
        <v>1029</v>
      </c>
      <c r="B81" s="57" t="s">
        <v>1011</v>
      </c>
      <c r="C81" s="57" t="s">
        <v>314</v>
      </c>
      <c r="D81" s="57">
        <v>2025</v>
      </c>
      <c r="E81" s="58">
        <f t="shared" si="8"/>
        <v>6</v>
      </c>
      <c r="F81" s="57" t="str">
        <f t="shared" si="6"/>
        <v>GIUGNO 2025</v>
      </c>
      <c r="G81" s="57" t="str">
        <f t="shared" si="7"/>
        <v>6 GIUGNO 2025</v>
      </c>
      <c r="H81" s="59">
        <v>3.5</v>
      </c>
      <c r="I81" s="59" t="s">
        <v>1013</v>
      </c>
      <c r="J81" s="28"/>
    </row>
    <row r="82" spans="1:10">
      <c r="A82" s="57" t="s">
        <v>1030</v>
      </c>
      <c r="B82" s="57" t="s">
        <v>1025</v>
      </c>
      <c r="C82" s="57" t="s">
        <v>314</v>
      </c>
      <c r="D82" s="57">
        <v>2025</v>
      </c>
      <c r="E82" s="58">
        <f t="shared" si="8"/>
        <v>6</v>
      </c>
      <c r="F82" s="57" t="str">
        <f t="shared" si="6"/>
        <v>GIUGNO 2025</v>
      </c>
      <c r="G82" s="57" t="str">
        <f t="shared" si="7"/>
        <v>6 GIUGNO 2025</v>
      </c>
      <c r="H82" s="59">
        <v>-679.5</v>
      </c>
      <c r="I82" s="59" t="s">
        <v>1012</v>
      </c>
      <c r="J82" s="28"/>
    </row>
    <row r="83" spans="1:10">
      <c r="A83" s="57" t="s">
        <v>1022</v>
      </c>
      <c r="B83" s="57" t="s">
        <v>1011</v>
      </c>
      <c r="C83" s="57" t="s">
        <v>314</v>
      </c>
      <c r="D83" s="57">
        <v>2025</v>
      </c>
      <c r="E83" s="58">
        <f t="shared" si="8"/>
        <v>6</v>
      </c>
      <c r="F83" s="57" t="str">
        <f t="shared" si="6"/>
        <v>GIUGNO 2025</v>
      </c>
      <c r="G83" s="57" t="str">
        <f t="shared" si="7"/>
        <v>6 GIUGNO 2025</v>
      </c>
      <c r="H83" s="59">
        <v>630.71</v>
      </c>
      <c r="I83" s="59" t="s">
        <v>1022</v>
      </c>
      <c r="J83" s="28"/>
    </row>
    <row r="84" spans="1:10">
      <c r="A84" s="57" t="s">
        <v>1031</v>
      </c>
      <c r="B84" s="57" t="s">
        <v>1011</v>
      </c>
      <c r="C84" s="57" t="s">
        <v>314</v>
      </c>
      <c r="D84" s="57">
        <v>2025</v>
      </c>
      <c r="E84" s="58">
        <f t="shared" si="8"/>
        <v>6</v>
      </c>
      <c r="F84" s="57" t="str">
        <f t="shared" si="6"/>
        <v>GIUGNO 2025</v>
      </c>
      <c r="G84" s="57" t="str">
        <f t="shared" si="7"/>
        <v>6 GIUGNO 2025</v>
      </c>
      <c r="H84" s="59">
        <v>44.5</v>
      </c>
      <c r="I84" s="59" t="s">
        <v>1019</v>
      </c>
      <c r="J84" s="28"/>
    </row>
    <row r="85" spans="1:10">
      <c r="A85" s="57" t="s">
        <v>1029</v>
      </c>
      <c r="B85" s="57" t="s">
        <v>1011</v>
      </c>
      <c r="C85" s="57" t="s">
        <v>333</v>
      </c>
      <c r="D85" s="57">
        <v>2025</v>
      </c>
      <c r="E85" s="58">
        <f t="shared" si="8"/>
        <v>5</v>
      </c>
      <c r="F85" s="57" t="str">
        <f t="shared" si="6"/>
        <v>MAGGIO 2025</v>
      </c>
      <c r="G85" s="57" t="str">
        <f t="shared" si="7"/>
        <v>5 MAGGIO 2025</v>
      </c>
      <c r="H85" s="59">
        <v>3.5</v>
      </c>
      <c r="I85" s="59" t="s">
        <v>1013</v>
      </c>
      <c r="J85" s="28"/>
    </row>
    <row r="86" spans="1:10">
      <c r="A86" s="57" t="s">
        <v>1030</v>
      </c>
      <c r="B86" s="57" t="s">
        <v>1025</v>
      </c>
      <c r="C86" s="57" t="s">
        <v>333</v>
      </c>
      <c r="D86" s="57">
        <v>2025</v>
      </c>
      <c r="E86" s="58">
        <f t="shared" si="8"/>
        <v>5</v>
      </c>
      <c r="F86" s="57" t="str">
        <f t="shared" si="6"/>
        <v>MAGGIO 2025</v>
      </c>
      <c r="G86" s="57" t="str">
        <f t="shared" si="7"/>
        <v>5 MAGGIO 2025</v>
      </c>
      <c r="H86" s="59">
        <v>-739.5</v>
      </c>
      <c r="I86" s="59" t="s">
        <v>1012</v>
      </c>
      <c r="J86" s="28"/>
    </row>
    <row r="87" spans="1:10">
      <c r="A87" s="57" t="s">
        <v>1022</v>
      </c>
      <c r="B87" s="57" t="s">
        <v>1011</v>
      </c>
      <c r="C87" s="57" t="s">
        <v>333</v>
      </c>
      <c r="D87" s="57">
        <v>2025</v>
      </c>
      <c r="E87" s="58">
        <f t="shared" si="8"/>
        <v>5</v>
      </c>
      <c r="F87" s="57" t="str">
        <f t="shared" si="6"/>
        <v>MAGGIO 2025</v>
      </c>
      <c r="G87" s="57" t="str">
        <f t="shared" si="7"/>
        <v>5 MAGGIO 2025</v>
      </c>
      <c r="H87" s="59">
        <v>630.71</v>
      </c>
      <c r="I87" s="59" t="s">
        <v>1022</v>
      </c>
      <c r="J87" s="28"/>
    </row>
    <row r="88" spans="1:10">
      <c r="A88" s="57" t="s">
        <v>1031</v>
      </c>
      <c r="B88" s="57" t="s">
        <v>1011</v>
      </c>
      <c r="C88" s="57" t="s">
        <v>333</v>
      </c>
      <c r="D88" s="57">
        <v>2025</v>
      </c>
      <c r="E88" s="58">
        <f t="shared" si="8"/>
        <v>5</v>
      </c>
      <c r="F88" s="57" t="str">
        <f t="shared" si="6"/>
        <v>MAGGIO 2025</v>
      </c>
      <c r="G88" s="57" t="str">
        <f t="shared" si="7"/>
        <v>5 MAGGIO 2025</v>
      </c>
      <c r="H88" s="59">
        <v>44.5</v>
      </c>
      <c r="I88" s="59" t="s">
        <v>1019</v>
      </c>
      <c r="J88" s="28"/>
    </row>
    <row r="89" spans="1:10">
      <c r="A89" s="57" t="s">
        <v>1029</v>
      </c>
      <c r="B89" s="57" t="s">
        <v>1011</v>
      </c>
      <c r="C89" s="57" t="s">
        <v>352</v>
      </c>
      <c r="D89" s="57">
        <v>2025</v>
      </c>
      <c r="E89" s="58">
        <f t="shared" si="8"/>
        <v>4</v>
      </c>
      <c r="F89" s="57" t="str">
        <f t="shared" si="6"/>
        <v>APRILE 2025</v>
      </c>
      <c r="G89" s="57" t="str">
        <f t="shared" si="7"/>
        <v>4 APRILE 2025</v>
      </c>
      <c r="H89" s="59">
        <v>3.5</v>
      </c>
      <c r="I89" s="59" t="s">
        <v>1013</v>
      </c>
      <c r="J89" s="28"/>
    </row>
    <row r="90" spans="1:10">
      <c r="A90" s="57" t="s">
        <v>1030</v>
      </c>
      <c r="B90" s="57" t="s">
        <v>1025</v>
      </c>
      <c r="C90" s="57" t="s">
        <v>352</v>
      </c>
      <c r="D90" s="57">
        <v>2025</v>
      </c>
      <c r="E90" s="58">
        <f t="shared" si="8"/>
        <v>4</v>
      </c>
      <c r="F90" s="57" t="str">
        <f t="shared" si="6"/>
        <v>APRILE 2025</v>
      </c>
      <c r="G90" s="57" t="str">
        <f t="shared" si="7"/>
        <v>4 APRILE 2025</v>
      </c>
      <c r="H90" s="59">
        <f>-739.5+60</f>
        <v>-679.5</v>
      </c>
      <c r="I90" s="59" t="s">
        <v>1012</v>
      </c>
      <c r="J90" s="28"/>
    </row>
    <row r="91" spans="1:10">
      <c r="A91" s="57" t="s">
        <v>1022</v>
      </c>
      <c r="B91" s="57" t="s">
        <v>1011</v>
      </c>
      <c r="C91" s="57" t="s">
        <v>352</v>
      </c>
      <c r="D91" s="57">
        <v>2025</v>
      </c>
      <c r="E91" s="58">
        <f t="shared" si="8"/>
        <v>4</v>
      </c>
      <c r="F91" s="57" t="str">
        <f t="shared" si="6"/>
        <v>APRILE 2025</v>
      </c>
      <c r="G91" s="57" t="str">
        <f t="shared" si="7"/>
        <v>4 APRILE 2025</v>
      </c>
      <c r="H91" s="59">
        <v>630.84</v>
      </c>
      <c r="I91" s="59" t="s">
        <v>1022</v>
      </c>
      <c r="J91" s="28"/>
    </row>
    <row r="92" spans="1:10">
      <c r="A92" s="57" t="s">
        <v>1031</v>
      </c>
      <c r="B92" s="57" t="s">
        <v>1011</v>
      </c>
      <c r="C92" s="57" t="s">
        <v>352</v>
      </c>
      <c r="D92" s="57">
        <v>2025</v>
      </c>
      <c r="E92" s="58">
        <f t="shared" si="8"/>
        <v>4</v>
      </c>
      <c r="F92" s="57" t="str">
        <f t="shared" si="6"/>
        <v>APRILE 2025</v>
      </c>
      <c r="G92" s="57" t="str">
        <f t="shared" si="7"/>
        <v>4 APRILE 2025</v>
      </c>
      <c r="H92" s="59">
        <v>44.5</v>
      </c>
      <c r="I92" s="59" t="s">
        <v>1019</v>
      </c>
      <c r="J92" s="28"/>
    </row>
    <row r="93" spans="1:10">
      <c r="A93" s="57" t="s">
        <v>1029</v>
      </c>
      <c r="B93" s="57" t="s">
        <v>1011</v>
      </c>
      <c r="C93" s="57" t="s">
        <v>90</v>
      </c>
      <c r="D93" s="57">
        <v>2025</v>
      </c>
      <c r="E93" s="58">
        <f t="shared" si="8"/>
        <v>3</v>
      </c>
      <c r="F93" s="57" t="str">
        <f t="shared" si="6"/>
        <v>MARZO 2025</v>
      </c>
      <c r="G93" s="57" t="str">
        <f t="shared" si="7"/>
        <v>3 MARZO 2025</v>
      </c>
      <c r="H93" s="59">
        <v>3.5</v>
      </c>
      <c r="I93" s="59" t="s">
        <v>1013</v>
      </c>
      <c r="J93" s="28"/>
    </row>
    <row r="94" spans="1:10">
      <c r="A94" s="57" t="s">
        <v>1030</v>
      </c>
      <c r="B94" s="57" t="s">
        <v>1025</v>
      </c>
      <c r="C94" s="57" t="s">
        <v>90</v>
      </c>
      <c r="D94" s="57">
        <v>2025</v>
      </c>
      <c r="E94" s="58">
        <f t="shared" si="8"/>
        <v>3</v>
      </c>
      <c r="F94" s="57" t="str">
        <f t="shared" si="6"/>
        <v>MARZO 2025</v>
      </c>
      <c r="G94" s="57" t="str">
        <f t="shared" si="7"/>
        <v>3 MARZO 2025</v>
      </c>
      <c r="H94" s="59">
        <v>-739.5</v>
      </c>
      <c r="I94" s="59" t="s">
        <v>1012</v>
      </c>
      <c r="J94" s="28"/>
    </row>
    <row r="95" spans="1:10">
      <c r="A95" s="57" t="s">
        <v>1022</v>
      </c>
      <c r="B95" s="57" t="s">
        <v>1011</v>
      </c>
      <c r="C95" s="57" t="s">
        <v>90</v>
      </c>
      <c r="D95" s="57">
        <v>2025</v>
      </c>
      <c r="E95" s="58">
        <f t="shared" si="8"/>
        <v>3</v>
      </c>
      <c r="F95" s="57" t="str">
        <f t="shared" si="6"/>
        <v>MARZO 2025</v>
      </c>
      <c r="G95" s="57" t="str">
        <f t="shared" si="7"/>
        <v>3 MARZO 2025</v>
      </c>
      <c r="H95" s="59">
        <v>630.65</v>
      </c>
      <c r="I95" s="59" t="s">
        <v>1022</v>
      </c>
      <c r="J95" s="28"/>
    </row>
    <row r="96" spans="1:10">
      <c r="A96" s="57" t="s">
        <v>1031</v>
      </c>
      <c r="B96" s="57" t="s">
        <v>1011</v>
      </c>
      <c r="C96" s="57" t="s">
        <v>90</v>
      </c>
      <c r="D96" s="57">
        <v>2025</v>
      </c>
      <c r="E96" s="58">
        <f t="shared" si="8"/>
        <v>3</v>
      </c>
      <c r="F96" s="57" t="str">
        <f t="shared" si="6"/>
        <v>MARZO 2025</v>
      </c>
      <c r="G96" s="57" t="str">
        <f t="shared" si="7"/>
        <v>3 MARZO 2025</v>
      </c>
      <c r="H96" s="59">
        <v>44.5</v>
      </c>
      <c r="I96" s="59" t="s">
        <v>1019</v>
      </c>
      <c r="J96" s="28"/>
    </row>
    <row r="97" spans="1:10">
      <c r="A97" s="57" t="s">
        <v>1032</v>
      </c>
      <c r="B97" s="57" t="s">
        <v>1011</v>
      </c>
      <c r="C97" s="57" t="s">
        <v>90</v>
      </c>
      <c r="D97" s="57">
        <v>2025</v>
      </c>
      <c r="E97" s="58">
        <f t="shared" si="8"/>
        <v>3</v>
      </c>
      <c r="F97" s="57" t="str">
        <f t="shared" ref="F97" si="9">CONCATENATE(,C97," ",D97)</f>
        <v>MARZO 2025</v>
      </c>
      <c r="G97" s="57" t="str">
        <f t="shared" ref="G97" si="10">CONCATENATE(E97," ",F97)</f>
        <v>3 MARZO 2025</v>
      </c>
      <c r="H97" s="59">
        <v>0.13</v>
      </c>
      <c r="I97" s="59" t="s">
        <v>1013</v>
      </c>
      <c r="J97" s="28"/>
    </row>
    <row r="98" spans="1:10">
      <c r="A98" s="57" t="s">
        <v>1029</v>
      </c>
      <c r="B98" s="57" t="s">
        <v>1011</v>
      </c>
      <c r="C98" s="57" t="s">
        <v>129</v>
      </c>
      <c r="D98" s="57">
        <v>2025</v>
      </c>
      <c r="E98" s="58">
        <f t="shared" ref="E98:E129" si="11">VLOOKUP(C98,$AC$421:$AD$432,2,FALSE)</f>
        <v>2</v>
      </c>
      <c r="F98" s="57" t="str">
        <f t="shared" si="6"/>
        <v>FEBBRAIO 2025</v>
      </c>
      <c r="G98" s="57" t="str">
        <f t="shared" si="7"/>
        <v>2 FEBBRAIO 2025</v>
      </c>
      <c r="H98" s="59">
        <v>3.5</v>
      </c>
      <c r="I98" s="59" t="s">
        <v>1013</v>
      </c>
      <c r="J98" s="28"/>
    </row>
    <row r="99" spans="1:10">
      <c r="A99" s="57" t="s">
        <v>1030</v>
      </c>
      <c r="B99" s="57" t="s">
        <v>1025</v>
      </c>
      <c r="C99" s="57" t="s">
        <v>129</v>
      </c>
      <c r="D99" s="57">
        <v>2025</v>
      </c>
      <c r="E99" s="58">
        <f t="shared" si="11"/>
        <v>2</v>
      </c>
      <c r="F99" s="57" t="str">
        <f t="shared" si="6"/>
        <v>FEBBRAIO 2025</v>
      </c>
      <c r="G99" s="57" t="str">
        <f t="shared" si="7"/>
        <v>2 FEBBRAIO 2025</v>
      </c>
      <c r="H99" s="59">
        <f>-(799.5)</f>
        <v>-799.5</v>
      </c>
      <c r="I99" s="59" t="s">
        <v>1012</v>
      </c>
      <c r="J99" s="28"/>
    </row>
    <row r="100" spans="1:10">
      <c r="A100" s="57" t="s">
        <v>1034</v>
      </c>
      <c r="B100" s="57" t="s">
        <v>1011</v>
      </c>
      <c r="C100" s="57" t="s">
        <v>129</v>
      </c>
      <c r="D100" s="57">
        <v>2025</v>
      </c>
      <c r="E100" s="58">
        <f t="shared" si="11"/>
        <v>2</v>
      </c>
      <c r="F100" s="57" t="str">
        <f t="shared" si="6"/>
        <v>FEBBRAIO 2025</v>
      </c>
      <c r="G100" s="57" t="str">
        <f t="shared" si="7"/>
        <v>2 FEBBRAIO 2025</v>
      </c>
      <c r="H100" s="59">
        <v>135.5</v>
      </c>
      <c r="I100" s="59" t="s">
        <v>1016</v>
      </c>
      <c r="J100" s="28"/>
    </row>
    <row r="101" spans="1:10">
      <c r="A101" s="57" t="s">
        <v>1022</v>
      </c>
      <c r="B101" s="57" t="s">
        <v>1011</v>
      </c>
      <c r="C101" s="57" t="s">
        <v>129</v>
      </c>
      <c r="D101" s="57">
        <v>2025</v>
      </c>
      <c r="E101" s="58">
        <f t="shared" si="11"/>
        <v>2</v>
      </c>
      <c r="F101" s="57" t="str">
        <f t="shared" si="6"/>
        <v>FEBBRAIO 2025</v>
      </c>
      <c r="G101" s="57" t="str">
        <f t="shared" si="7"/>
        <v>2 FEBBRAIO 2025</v>
      </c>
      <c r="H101" s="59">
        <v>630.65</v>
      </c>
      <c r="I101" s="59" t="s">
        <v>1022</v>
      </c>
      <c r="J101" s="28"/>
    </row>
    <row r="102" spans="1:10">
      <c r="A102" s="57" t="s">
        <v>1031</v>
      </c>
      <c r="B102" s="57" t="s">
        <v>1011</v>
      </c>
      <c r="C102" s="57" t="s">
        <v>129</v>
      </c>
      <c r="D102" s="57">
        <v>2025</v>
      </c>
      <c r="E102" s="58">
        <f t="shared" si="11"/>
        <v>2</v>
      </c>
      <c r="F102" s="57" t="str">
        <f t="shared" si="6"/>
        <v>FEBBRAIO 2025</v>
      </c>
      <c r="G102" s="57" t="str">
        <f t="shared" si="7"/>
        <v>2 FEBBRAIO 2025</v>
      </c>
      <c r="H102" s="59">
        <v>44.5</v>
      </c>
      <c r="I102" s="59" t="s">
        <v>1019</v>
      </c>
      <c r="J102" s="28"/>
    </row>
    <row r="103" spans="1:10">
      <c r="A103" s="57" t="s">
        <v>1029</v>
      </c>
      <c r="B103" s="57" t="s">
        <v>1011</v>
      </c>
      <c r="C103" s="57" t="s">
        <v>154</v>
      </c>
      <c r="D103" s="57">
        <v>2025</v>
      </c>
      <c r="E103" s="58">
        <f t="shared" si="11"/>
        <v>1</v>
      </c>
      <c r="F103" s="57" t="str">
        <f t="shared" ref="F103" si="12">CONCATENATE(,C103," ",D103)</f>
        <v>GENNAIO 2025</v>
      </c>
      <c r="G103" s="57" t="str">
        <f t="shared" ref="G103" si="13">CONCATENATE(E103," ",F103)</f>
        <v>1 GENNAIO 2025</v>
      </c>
      <c r="H103" s="59">
        <v>3.5</v>
      </c>
      <c r="I103" s="59" t="s">
        <v>1013</v>
      </c>
      <c r="J103" s="28"/>
    </row>
    <row r="104" spans="1:10">
      <c r="A104" s="57" t="s">
        <v>675</v>
      </c>
      <c r="B104" s="57" t="s">
        <v>1011</v>
      </c>
      <c r="C104" s="57" t="s">
        <v>154</v>
      </c>
      <c r="D104" s="57">
        <v>2025</v>
      </c>
      <c r="E104" s="58">
        <f t="shared" si="11"/>
        <v>1</v>
      </c>
      <c r="F104" s="57" t="str">
        <f t="shared" si="6"/>
        <v>GENNAIO 2025</v>
      </c>
      <c r="G104" s="57" t="str">
        <f t="shared" si="7"/>
        <v>1 GENNAIO 2025</v>
      </c>
      <c r="H104" s="59">
        <v>0.01</v>
      </c>
      <c r="I104" s="59" t="s">
        <v>1013</v>
      </c>
      <c r="J104" s="28"/>
    </row>
    <row r="105" spans="1:10">
      <c r="A105" s="57" t="s">
        <v>1033</v>
      </c>
      <c r="B105" s="57" t="s">
        <v>1011</v>
      </c>
      <c r="C105" s="57" t="s">
        <v>154</v>
      </c>
      <c r="D105" s="57">
        <v>2025</v>
      </c>
      <c r="E105" s="58">
        <f t="shared" si="11"/>
        <v>1</v>
      </c>
      <c r="F105" s="57" t="str">
        <f t="shared" si="6"/>
        <v>GENNAIO 2025</v>
      </c>
      <c r="G105" s="57" t="str">
        <f t="shared" si="7"/>
        <v>1 GENNAIO 2025</v>
      </c>
      <c r="H105" s="59">
        <v>-0.02</v>
      </c>
      <c r="I105" s="59" t="s">
        <v>1013</v>
      </c>
      <c r="J105" s="28"/>
    </row>
    <row r="106" spans="1:10">
      <c r="A106" s="57" t="s">
        <v>1030</v>
      </c>
      <c r="B106" s="57" t="s">
        <v>1025</v>
      </c>
      <c r="C106" s="57" t="s">
        <v>154</v>
      </c>
      <c r="D106" s="57">
        <v>2025</v>
      </c>
      <c r="E106" s="58">
        <f t="shared" si="11"/>
        <v>1</v>
      </c>
      <c r="F106" s="57" t="str">
        <f t="shared" ref="F106" si="14">CONCATENATE(,C106," ",D106)</f>
        <v>GENNAIO 2025</v>
      </c>
      <c r="G106" s="57" t="str">
        <f t="shared" ref="G106" si="15">CONCATENATE(E106," ",F106)</f>
        <v>1 GENNAIO 2025</v>
      </c>
      <c r="H106" s="59">
        <v>-99.5</v>
      </c>
      <c r="I106" s="59" t="s">
        <v>1012</v>
      </c>
      <c r="J106" s="28"/>
    </row>
    <row r="107" spans="1:10">
      <c r="A107" s="57" t="s">
        <v>1030</v>
      </c>
      <c r="B107" s="57" t="s">
        <v>1025</v>
      </c>
      <c r="C107" s="57" t="s">
        <v>154</v>
      </c>
      <c r="D107" s="57">
        <v>2025</v>
      </c>
      <c r="E107" s="58">
        <f t="shared" si="11"/>
        <v>1</v>
      </c>
      <c r="F107" s="57" t="str">
        <f t="shared" si="6"/>
        <v>GENNAIO 2025</v>
      </c>
      <c r="G107" s="57" t="str">
        <f t="shared" si="7"/>
        <v>1 GENNAIO 2025</v>
      </c>
      <c r="H107" s="59">
        <f>-749.5</f>
        <v>-749.5</v>
      </c>
      <c r="I107" s="59" t="s">
        <v>1012</v>
      </c>
      <c r="J107" s="28"/>
    </row>
    <row r="108" spans="1:10">
      <c r="A108" s="57" t="s">
        <v>1034</v>
      </c>
      <c r="B108" s="57" t="s">
        <v>1011</v>
      </c>
      <c r="C108" s="57" t="s">
        <v>154</v>
      </c>
      <c r="D108" s="57">
        <v>2025</v>
      </c>
      <c r="E108" s="58">
        <f t="shared" si="11"/>
        <v>1</v>
      </c>
      <c r="F108" s="57" t="str">
        <f t="shared" ref="F108" si="16">CONCATENATE(,C108," ",D108)</f>
        <v>GENNAIO 2025</v>
      </c>
      <c r="G108" s="57" t="str">
        <f t="shared" ref="G108" si="17">CONCATENATE(E108," ",F108)</f>
        <v>1 GENNAIO 2025</v>
      </c>
      <c r="H108" s="59">
        <v>135.5</v>
      </c>
      <c r="I108" s="59" t="s">
        <v>1016</v>
      </c>
      <c r="J108" s="28"/>
    </row>
    <row r="109" spans="1:10">
      <c r="A109" s="57" t="s">
        <v>1022</v>
      </c>
      <c r="B109" s="57" t="s">
        <v>1011</v>
      </c>
      <c r="C109" s="57" t="s">
        <v>154</v>
      </c>
      <c r="D109" s="57">
        <v>2025</v>
      </c>
      <c r="E109" s="58">
        <f t="shared" si="11"/>
        <v>1</v>
      </c>
      <c r="F109" s="57" t="str">
        <f t="shared" si="6"/>
        <v>GENNAIO 2025</v>
      </c>
      <c r="G109" s="57" t="str">
        <f t="shared" si="7"/>
        <v>1 GENNAIO 2025</v>
      </c>
      <c r="H109" s="59">
        <v>629.97</v>
      </c>
      <c r="I109" s="59" t="s">
        <v>1022</v>
      </c>
      <c r="J109" s="28"/>
    </row>
    <row r="110" spans="1:10">
      <c r="A110" s="57" t="s">
        <v>1031</v>
      </c>
      <c r="B110" s="57" t="s">
        <v>1011</v>
      </c>
      <c r="C110" s="57" t="s">
        <v>154</v>
      </c>
      <c r="D110" s="57">
        <v>2025</v>
      </c>
      <c r="E110" s="58">
        <f t="shared" si="11"/>
        <v>1</v>
      </c>
      <c r="F110" s="57" t="str">
        <f t="shared" si="6"/>
        <v>GENNAIO 2025</v>
      </c>
      <c r="G110" s="57" t="str">
        <f t="shared" si="7"/>
        <v>1 GENNAIO 2025</v>
      </c>
      <c r="H110" s="59">
        <v>44.5</v>
      </c>
      <c r="I110" s="59" t="s">
        <v>1019</v>
      </c>
      <c r="J110" s="28"/>
    </row>
    <row r="111" spans="1:10">
      <c r="A111" s="57" t="s">
        <v>721</v>
      </c>
      <c r="B111" s="57" t="s">
        <v>1011</v>
      </c>
      <c r="C111" s="57" t="s">
        <v>173</v>
      </c>
      <c r="D111" s="57">
        <v>2024</v>
      </c>
      <c r="E111" s="58">
        <f t="shared" si="11"/>
        <v>12</v>
      </c>
      <c r="F111" s="57" t="str">
        <f t="shared" si="6"/>
        <v>DICEMBRE 2024</v>
      </c>
      <c r="G111" s="57" t="str">
        <f t="shared" si="7"/>
        <v>12 DICEMBRE 2024</v>
      </c>
      <c r="H111" s="59">
        <f>252.66+0.5</f>
        <v>253.16</v>
      </c>
      <c r="I111" s="59" t="s">
        <v>1020</v>
      </c>
      <c r="J111" s="28"/>
    </row>
    <row r="112" spans="1:10">
      <c r="A112" s="57" t="s">
        <v>1029</v>
      </c>
      <c r="B112" s="57" t="s">
        <v>1011</v>
      </c>
      <c r="C112" s="57" t="s">
        <v>173</v>
      </c>
      <c r="D112" s="57">
        <v>2024</v>
      </c>
      <c r="E112" s="58">
        <f t="shared" si="11"/>
        <v>12</v>
      </c>
      <c r="F112" s="57" t="str">
        <f t="shared" si="6"/>
        <v>DICEMBRE 2024</v>
      </c>
      <c r="G112" s="57" t="str">
        <f t="shared" si="7"/>
        <v>12 DICEMBRE 2024</v>
      </c>
      <c r="H112" s="59">
        <v>3.5</v>
      </c>
      <c r="I112" s="59" t="s">
        <v>1013</v>
      </c>
      <c r="J112" s="28"/>
    </row>
    <row r="113" spans="1:10">
      <c r="A113" s="57" t="s">
        <v>1030</v>
      </c>
      <c r="B113" s="57" t="s">
        <v>1025</v>
      </c>
      <c r="C113" s="57" t="s">
        <v>173</v>
      </c>
      <c r="D113" s="57">
        <v>2024</v>
      </c>
      <c r="E113" s="58">
        <f t="shared" si="11"/>
        <v>12</v>
      </c>
      <c r="F113" s="57" t="str">
        <f t="shared" ref="F113" si="18">CONCATENATE(,C113," ",D113)</f>
        <v>DICEMBRE 2024</v>
      </c>
      <c r="G113" s="57" t="str">
        <f t="shared" ref="G113" si="19">CONCATENATE(E113," ",F113)</f>
        <v>12 DICEMBRE 2024</v>
      </c>
      <c r="H113" s="59">
        <v>-59.5</v>
      </c>
      <c r="I113" s="59" t="s">
        <v>1012</v>
      </c>
      <c r="J113" s="28"/>
    </row>
    <row r="114" spans="1:10">
      <c r="A114" s="57" t="s">
        <v>1030</v>
      </c>
      <c r="B114" s="57" t="s">
        <v>1025</v>
      </c>
      <c r="C114" s="57" t="s">
        <v>173</v>
      </c>
      <c r="D114" s="57">
        <v>2024</v>
      </c>
      <c r="E114" s="58">
        <f t="shared" si="11"/>
        <v>12</v>
      </c>
      <c r="F114" s="57" t="str">
        <f t="shared" si="6"/>
        <v>DICEMBRE 2024</v>
      </c>
      <c r="G114" s="57" t="str">
        <f t="shared" si="7"/>
        <v>12 DICEMBRE 2024</v>
      </c>
      <c r="H114" s="59">
        <v>-825</v>
      </c>
      <c r="I114" s="59" t="s">
        <v>1012</v>
      </c>
      <c r="J114" s="28"/>
    </row>
    <row r="115" spans="1:10">
      <c r="A115" s="57" t="s">
        <v>1022</v>
      </c>
      <c r="B115" s="57" t="s">
        <v>1011</v>
      </c>
      <c r="C115" s="57" t="s">
        <v>173</v>
      </c>
      <c r="D115" s="57">
        <v>2024</v>
      </c>
      <c r="E115" s="58">
        <f t="shared" si="11"/>
        <v>12</v>
      </c>
      <c r="F115" s="57" t="str">
        <f t="shared" si="6"/>
        <v>DICEMBRE 2024</v>
      </c>
      <c r="G115" s="57" t="str">
        <f t="shared" si="7"/>
        <v>12 DICEMBRE 2024</v>
      </c>
      <c r="H115" s="59">
        <v>630.53</v>
      </c>
      <c r="I115" s="59" t="s">
        <v>1022</v>
      </c>
      <c r="J115" s="28"/>
    </row>
    <row r="116" spans="1:10">
      <c r="A116" s="57" t="s">
        <v>1034</v>
      </c>
      <c r="B116" s="57" t="s">
        <v>1011</v>
      </c>
      <c r="C116" s="57" t="s">
        <v>173</v>
      </c>
      <c r="D116" s="57">
        <v>2024</v>
      </c>
      <c r="E116" s="58">
        <f t="shared" si="11"/>
        <v>12</v>
      </c>
      <c r="F116" s="57" t="str">
        <f t="shared" si="6"/>
        <v>DICEMBRE 2024</v>
      </c>
      <c r="G116" s="57" t="str">
        <f t="shared" si="7"/>
        <v>12 DICEMBRE 2024</v>
      </c>
      <c r="H116" s="59">
        <v>135.5</v>
      </c>
      <c r="I116" s="59" t="s">
        <v>1016</v>
      </c>
      <c r="J116" s="28"/>
    </row>
    <row r="117" spans="1:10">
      <c r="A117" s="57" t="s">
        <v>1031</v>
      </c>
      <c r="B117" s="57" t="s">
        <v>1011</v>
      </c>
      <c r="C117" s="57" t="s">
        <v>173</v>
      </c>
      <c r="D117" s="57">
        <v>2024</v>
      </c>
      <c r="E117" s="58">
        <f t="shared" si="11"/>
        <v>12</v>
      </c>
      <c r="F117" s="57" t="str">
        <f t="shared" si="6"/>
        <v>DICEMBRE 2024</v>
      </c>
      <c r="G117" s="57" t="str">
        <f t="shared" si="7"/>
        <v>12 DICEMBRE 2024</v>
      </c>
      <c r="H117" s="59">
        <v>44.5</v>
      </c>
      <c r="I117" s="59" t="s">
        <v>1019</v>
      </c>
      <c r="J117" s="28"/>
    </row>
    <row r="118" spans="1:10">
      <c r="A118" s="57" t="s">
        <v>1029</v>
      </c>
      <c r="B118" s="57" t="s">
        <v>1011</v>
      </c>
      <c r="C118" s="57" t="s">
        <v>200</v>
      </c>
      <c r="D118" s="57">
        <v>2024</v>
      </c>
      <c r="E118" s="58">
        <f t="shared" si="11"/>
        <v>11</v>
      </c>
      <c r="F118" s="57" t="str">
        <f t="shared" si="6"/>
        <v>NOVEMBRE 2024</v>
      </c>
      <c r="G118" s="57" t="str">
        <f t="shared" si="7"/>
        <v>11 NOVEMBRE 2024</v>
      </c>
      <c r="H118" s="59">
        <v>3.5</v>
      </c>
      <c r="I118" s="59" t="s">
        <v>1013</v>
      </c>
      <c r="J118" s="28"/>
    </row>
    <row r="119" spans="1:10">
      <c r="A119" s="57" t="s">
        <v>1030</v>
      </c>
      <c r="B119" s="57" t="s">
        <v>1025</v>
      </c>
      <c r="C119" s="57" t="s">
        <v>200</v>
      </c>
      <c r="D119" s="57">
        <v>2024</v>
      </c>
      <c r="E119" s="58">
        <f t="shared" si="11"/>
        <v>11</v>
      </c>
      <c r="F119" s="57" t="str">
        <f t="shared" si="6"/>
        <v>NOVEMBRE 2024</v>
      </c>
      <c r="G119" s="57" t="str">
        <f t="shared" si="7"/>
        <v>11 NOVEMBRE 2024</v>
      </c>
      <c r="H119" s="59">
        <v>-859.5</v>
      </c>
      <c r="I119" s="59" t="s">
        <v>1012</v>
      </c>
      <c r="J119" s="28"/>
    </row>
    <row r="120" spans="1:10">
      <c r="A120" s="57" t="s">
        <v>1022</v>
      </c>
      <c r="B120" s="57" t="s">
        <v>1011</v>
      </c>
      <c r="C120" s="57" t="s">
        <v>200</v>
      </c>
      <c r="D120" s="57">
        <v>2024</v>
      </c>
      <c r="E120" s="58">
        <f t="shared" si="11"/>
        <v>11</v>
      </c>
      <c r="F120" s="57" t="str">
        <f t="shared" si="6"/>
        <v>NOVEMBRE 2024</v>
      </c>
      <c r="G120" s="57" t="str">
        <f t="shared" si="7"/>
        <v>11 NOVEMBRE 2024</v>
      </c>
      <c r="H120" s="59">
        <v>630.84</v>
      </c>
      <c r="I120" s="59" t="s">
        <v>1022</v>
      </c>
      <c r="J120" s="28"/>
    </row>
    <row r="121" spans="1:10">
      <c r="A121" s="57" t="s">
        <v>1034</v>
      </c>
      <c r="B121" s="57" t="s">
        <v>1011</v>
      </c>
      <c r="C121" s="57" t="s">
        <v>200</v>
      </c>
      <c r="D121" s="57">
        <v>2024</v>
      </c>
      <c r="E121" s="58">
        <f t="shared" si="11"/>
        <v>11</v>
      </c>
      <c r="F121" s="57" t="str">
        <f t="shared" si="6"/>
        <v>NOVEMBRE 2024</v>
      </c>
      <c r="G121" s="57" t="str">
        <f t="shared" si="7"/>
        <v>11 NOVEMBRE 2024</v>
      </c>
      <c r="H121" s="59">
        <v>135.5</v>
      </c>
      <c r="I121" s="59" t="s">
        <v>1016</v>
      </c>
      <c r="J121" s="28"/>
    </row>
    <row r="122" spans="1:10">
      <c r="A122" s="57" t="s">
        <v>1031</v>
      </c>
      <c r="B122" s="57" t="s">
        <v>1011</v>
      </c>
      <c r="C122" s="57" t="s">
        <v>200</v>
      </c>
      <c r="D122" s="57">
        <v>2024</v>
      </c>
      <c r="E122" s="58">
        <f t="shared" si="11"/>
        <v>11</v>
      </c>
      <c r="F122" s="57" t="str">
        <f t="shared" ref="F122:F186" si="20">CONCATENATE(,C122," ",D122)</f>
        <v>NOVEMBRE 2024</v>
      </c>
      <c r="G122" s="57" t="str">
        <f t="shared" ref="G122:G186" si="21">CONCATENATE(E122," ",F122)</f>
        <v>11 NOVEMBRE 2024</v>
      </c>
      <c r="H122" s="59">
        <v>44.5</v>
      </c>
      <c r="I122" s="59" t="s">
        <v>1019</v>
      </c>
      <c r="J122" s="28"/>
    </row>
    <row r="123" spans="1:10">
      <c r="A123" s="57" t="s">
        <v>1029</v>
      </c>
      <c r="B123" s="57" t="s">
        <v>1011</v>
      </c>
      <c r="C123" s="57" t="s">
        <v>217</v>
      </c>
      <c r="D123" s="57">
        <v>2024</v>
      </c>
      <c r="E123" s="58">
        <f t="shared" si="11"/>
        <v>10</v>
      </c>
      <c r="F123" s="57" t="str">
        <f t="shared" si="20"/>
        <v>OTTOBRE 2024</v>
      </c>
      <c r="G123" s="57" t="str">
        <f t="shared" si="21"/>
        <v>10 OTTOBRE 2024</v>
      </c>
      <c r="H123" s="59">
        <v>3.5</v>
      </c>
      <c r="I123" s="59" t="s">
        <v>1013</v>
      </c>
      <c r="J123" s="28"/>
    </row>
    <row r="124" spans="1:10">
      <c r="A124" s="57" t="s">
        <v>1030</v>
      </c>
      <c r="B124" s="57" t="s">
        <v>1025</v>
      </c>
      <c r="C124" s="57" t="s">
        <v>217</v>
      </c>
      <c r="D124" s="57">
        <v>2024</v>
      </c>
      <c r="E124" s="58">
        <f t="shared" si="11"/>
        <v>10</v>
      </c>
      <c r="F124" s="57" t="str">
        <f t="shared" si="20"/>
        <v>OTTOBRE 2024</v>
      </c>
      <c r="G124" s="57" t="str">
        <f t="shared" si="21"/>
        <v>10 OTTOBRE 2024</v>
      </c>
      <c r="H124" s="59">
        <v>-859.5</v>
      </c>
      <c r="I124" s="59" t="s">
        <v>1012</v>
      </c>
      <c r="J124" s="28"/>
    </row>
    <row r="125" spans="1:10">
      <c r="A125" s="57" t="s">
        <v>1022</v>
      </c>
      <c r="B125" s="57" t="s">
        <v>1011</v>
      </c>
      <c r="C125" s="57" t="s">
        <v>217</v>
      </c>
      <c r="D125" s="57">
        <v>2024</v>
      </c>
      <c r="E125" s="58">
        <f t="shared" si="11"/>
        <v>10</v>
      </c>
      <c r="F125" s="57" t="str">
        <f t="shared" si="20"/>
        <v>OTTOBRE 2024</v>
      </c>
      <c r="G125" s="57" t="str">
        <f t="shared" si="21"/>
        <v>10 OTTOBRE 2024</v>
      </c>
      <c r="H125" s="59">
        <v>630.65</v>
      </c>
      <c r="I125" s="59" t="s">
        <v>1022</v>
      </c>
      <c r="J125" s="28"/>
    </row>
    <row r="126" spans="1:10">
      <c r="A126" s="57" t="s">
        <v>1034</v>
      </c>
      <c r="B126" s="57" t="s">
        <v>1011</v>
      </c>
      <c r="C126" s="57" t="s">
        <v>217</v>
      </c>
      <c r="D126" s="57">
        <v>2024</v>
      </c>
      <c r="E126" s="58">
        <f t="shared" si="11"/>
        <v>10</v>
      </c>
      <c r="F126" s="57" t="str">
        <f t="shared" si="20"/>
        <v>OTTOBRE 2024</v>
      </c>
      <c r="G126" s="57" t="str">
        <f t="shared" si="21"/>
        <v>10 OTTOBRE 2024</v>
      </c>
      <c r="H126" s="59">
        <v>135.5</v>
      </c>
      <c r="I126" s="59" t="s">
        <v>1016</v>
      </c>
      <c r="J126" s="28"/>
    </row>
    <row r="127" spans="1:10">
      <c r="A127" s="57" t="s">
        <v>1031</v>
      </c>
      <c r="B127" s="57" t="s">
        <v>1011</v>
      </c>
      <c r="C127" s="57" t="s">
        <v>217</v>
      </c>
      <c r="D127" s="57">
        <v>2024</v>
      </c>
      <c r="E127" s="58">
        <f t="shared" si="11"/>
        <v>10</v>
      </c>
      <c r="F127" s="57" t="str">
        <f t="shared" si="20"/>
        <v>OTTOBRE 2024</v>
      </c>
      <c r="G127" s="57" t="str">
        <f t="shared" si="21"/>
        <v>10 OTTOBRE 2024</v>
      </c>
      <c r="H127" s="59">
        <v>44.5</v>
      </c>
      <c r="I127" s="59" t="s">
        <v>1019</v>
      </c>
      <c r="J127" s="28"/>
    </row>
    <row r="128" spans="1:10">
      <c r="A128" s="57" t="s">
        <v>1029</v>
      </c>
      <c r="B128" s="57" t="s">
        <v>1011</v>
      </c>
      <c r="C128" s="57" t="s">
        <v>240</v>
      </c>
      <c r="D128" s="57">
        <v>2024</v>
      </c>
      <c r="E128" s="58">
        <f t="shared" si="11"/>
        <v>9</v>
      </c>
      <c r="F128" s="57" t="str">
        <f t="shared" si="20"/>
        <v>SETTEMBRE 2024</v>
      </c>
      <c r="G128" s="57" t="str">
        <f t="shared" si="21"/>
        <v>9 SETTEMBRE 2024</v>
      </c>
      <c r="H128" s="59">
        <v>3.5</v>
      </c>
      <c r="I128" s="59" t="s">
        <v>1013</v>
      </c>
      <c r="J128" s="28"/>
    </row>
    <row r="129" spans="1:10">
      <c r="A129" s="57" t="s">
        <v>1030</v>
      </c>
      <c r="B129" s="57" t="s">
        <v>1025</v>
      </c>
      <c r="C129" s="57" t="s">
        <v>240</v>
      </c>
      <c r="D129" s="57">
        <v>2024</v>
      </c>
      <c r="E129" s="58">
        <f t="shared" si="11"/>
        <v>9</v>
      </c>
      <c r="F129" s="57" t="str">
        <f t="shared" si="20"/>
        <v>SETTEMBRE 2024</v>
      </c>
      <c r="G129" s="57" t="str">
        <f t="shared" si="21"/>
        <v>9 SETTEMBRE 2024</v>
      </c>
      <c r="H129" s="59">
        <v>-859.5</v>
      </c>
      <c r="I129" s="59" t="s">
        <v>1012</v>
      </c>
      <c r="J129" s="28"/>
    </row>
    <row r="130" spans="1:10">
      <c r="A130" s="57" t="s">
        <v>1022</v>
      </c>
      <c r="B130" s="57" t="s">
        <v>1011</v>
      </c>
      <c r="C130" s="57" t="s">
        <v>240</v>
      </c>
      <c r="D130" s="57">
        <v>2024</v>
      </c>
      <c r="E130" s="58">
        <f t="shared" ref="E130:E163" si="22">VLOOKUP(C130,$AC$421:$AD$432,2,FALSE)</f>
        <v>9</v>
      </c>
      <c r="F130" s="57" t="str">
        <f t="shared" si="20"/>
        <v>SETTEMBRE 2024</v>
      </c>
      <c r="G130" s="57" t="str">
        <f t="shared" si="21"/>
        <v>9 SETTEMBRE 2024</v>
      </c>
      <c r="H130" s="59">
        <v>630.65</v>
      </c>
      <c r="I130" s="59" t="s">
        <v>1022</v>
      </c>
      <c r="J130" s="28"/>
    </row>
    <row r="131" spans="1:10">
      <c r="A131" s="57" t="s">
        <v>1034</v>
      </c>
      <c r="B131" s="57" t="s">
        <v>1011</v>
      </c>
      <c r="C131" s="57" t="s">
        <v>240</v>
      </c>
      <c r="D131" s="57">
        <v>2024</v>
      </c>
      <c r="E131" s="58">
        <f t="shared" si="22"/>
        <v>9</v>
      </c>
      <c r="F131" s="57" t="str">
        <f t="shared" si="20"/>
        <v>SETTEMBRE 2024</v>
      </c>
      <c r="G131" s="57" t="str">
        <f t="shared" si="21"/>
        <v>9 SETTEMBRE 2024</v>
      </c>
      <c r="H131" s="59">
        <v>135.5</v>
      </c>
      <c r="I131" s="59" t="s">
        <v>1016</v>
      </c>
      <c r="J131" s="28"/>
    </row>
    <row r="132" spans="1:10">
      <c r="A132" s="57" t="s">
        <v>1031</v>
      </c>
      <c r="B132" s="57" t="s">
        <v>1011</v>
      </c>
      <c r="C132" s="57" t="s">
        <v>240</v>
      </c>
      <c r="D132" s="57">
        <v>2024</v>
      </c>
      <c r="E132" s="58">
        <f t="shared" si="22"/>
        <v>9</v>
      </c>
      <c r="F132" s="57" t="str">
        <f t="shared" si="20"/>
        <v>SETTEMBRE 2024</v>
      </c>
      <c r="G132" s="57" t="str">
        <f t="shared" si="21"/>
        <v>9 SETTEMBRE 2024</v>
      </c>
      <c r="H132" s="59">
        <v>44.5</v>
      </c>
      <c r="I132" s="59" t="s">
        <v>1019</v>
      </c>
      <c r="J132" s="28"/>
    </row>
    <row r="133" spans="1:10">
      <c r="A133" s="57" t="s">
        <v>1029</v>
      </c>
      <c r="B133" s="57" t="s">
        <v>1011</v>
      </c>
      <c r="C133" s="57" t="s">
        <v>261</v>
      </c>
      <c r="D133" s="57">
        <v>2024</v>
      </c>
      <c r="E133" s="58">
        <f t="shared" si="22"/>
        <v>8</v>
      </c>
      <c r="F133" s="57" t="str">
        <f t="shared" si="20"/>
        <v>AGOSTO 2024</v>
      </c>
      <c r="G133" s="57" t="str">
        <f t="shared" si="21"/>
        <v>8 AGOSTO 2024</v>
      </c>
      <c r="H133" s="59">
        <v>3.5</v>
      </c>
      <c r="I133" s="59" t="s">
        <v>1013</v>
      </c>
      <c r="J133" s="28"/>
    </row>
    <row r="134" spans="1:10">
      <c r="A134" s="57" t="s">
        <v>1030</v>
      </c>
      <c r="B134" s="57" t="s">
        <v>1025</v>
      </c>
      <c r="C134" s="57" t="s">
        <v>261</v>
      </c>
      <c r="D134" s="57">
        <v>2024</v>
      </c>
      <c r="E134" s="58">
        <f t="shared" si="22"/>
        <v>8</v>
      </c>
      <c r="F134" s="57" t="str">
        <f t="shared" si="20"/>
        <v>AGOSTO 2024</v>
      </c>
      <c r="G134" s="57" t="str">
        <f t="shared" si="21"/>
        <v>8 AGOSTO 2024</v>
      </c>
      <c r="H134" s="59">
        <v>-859.5</v>
      </c>
      <c r="I134" s="59" t="s">
        <v>1012</v>
      </c>
      <c r="J134" s="28"/>
    </row>
    <row r="135" spans="1:10">
      <c r="A135" s="57" t="s">
        <v>1022</v>
      </c>
      <c r="B135" s="57" t="s">
        <v>1011</v>
      </c>
      <c r="C135" s="57" t="s">
        <v>261</v>
      </c>
      <c r="D135" s="57">
        <v>2024</v>
      </c>
      <c r="E135" s="58">
        <f t="shared" si="22"/>
        <v>8</v>
      </c>
      <c r="F135" s="57" t="str">
        <f t="shared" si="20"/>
        <v>AGOSTO 2024</v>
      </c>
      <c r="G135" s="57" t="str">
        <f t="shared" si="21"/>
        <v>8 AGOSTO 2024</v>
      </c>
      <c r="H135" s="59">
        <v>630.71</v>
      </c>
      <c r="I135" s="59" t="s">
        <v>1022</v>
      </c>
      <c r="J135" s="28"/>
    </row>
    <row r="136" spans="1:10">
      <c r="A136" s="57" t="s">
        <v>1034</v>
      </c>
      <c r="B136" s="57" t="s">
        <v>1011</v>
      </c>
      <c r="C136" s="57" t="s">
        <v>261</v>
      </c>
      <c r="D136" s="57">
        <v>2024</v>
      </c>
      <c r="E136" s="58">
        <f t="shared" si="22"/>
        <v>8</v>
      </c>
      <c r="F136" s="57" t="str">
        <f t="shared" si="20"/>
        <v>AGOSTO 2024</v>
      </c>
      <c r="G136" s="57" t="str">
        <f t="shared" si="21"/>
        <v>8 AGOSTO 2024</v>
      </c>
      <c r="H136" s="59">
        <v>135.5</v>
      </c>
      <c r="I136" s="59" t="s">
        <v>1016</v>
      </c>
      <c r="J136" s="28"/>
    </row>
    <row r="137" spans="1:10">
      <c r="A137" s="57" t="s">
        <v>1031</v>
      </c>
      <c r="B137" s="57" t="s">
        <v>1011</v>
      </c>
      <c r="C137" s="57" t="s">
        <v>261</v>
      </c>
      <c r="D137" s="57">
        <v>2024</v>
      </c>
      <c r="E137" s="58">
        <f t="shared" si="22"/>
        <v>8</v>
      </c>
      <c r="F137" s="57" t="str">
        <f t="shared" si="20"/>
        <v>AGOSTO 2024</v>
      </c>
      <c r="G137" s="57" t="str">
        <f t="shared" si="21"/>
        <v>8 AGOSTO 2024</v>
      </c>
      <c r="H137" s="59">
        <v>44.5</v>
      </c>
      <c r="I137" s="59" t="s">
        <v>1019</v>
      </c>
      <c r="J137" s="28"/>
    </row>
    <row r="138" spans="1:10">
      <c r="A138" s="57" t="s">
        <v>1029</v>
      </c>
      <c r="B138" s="57" t="s">
        <v>1011</v>
      </c>
      <c r="C138" s="57" t="s">
        <v>288</v>
      </c>
      <c r="D138" s="57">
        <v>2024</v>
      </c>
      <c r="E138" s="58">
        <f t="shared" si="22"/>
        <v>7</v>
      </c>
      <c r="F138" s="57" t="str">
        <f t="shared" si="20"/>
        <v>LUGLIO 2024</v>
      </c>
      <c r="G138" s="57" t="str">
        <f t="shared" si="21"/>
        <v>7 LUGLIO 2024</v>
      </c>
      <c r="H138" s="59">
        <v>3.5</v>
      </c>
      <c r="I138" s="59" t="s">
        <v>1013</v>
      </c>
      <c r="J138" s="28"/>
    </row>
    <row r="139" spans="1:10">
      <c r="A139" s="57" t="s">
        <v>307</v>
      </c>
      <c r="B139" s="61" t="s">
        <v>1011</v>
      </c>
      <c r="C139" s="57" t="s">
        <v>288</v>
      </c>
      <c r="D139" s="57">
        <v>2024</v>
      </c>
      <c r="E139" s="58">
        <f t="shared" si="22"/>
        <v>7</v>
      </c>
      <c r="F139" s="57" t="str">
        <f t="shared" si="20"/>
        <v>LUGLIO 2024</v>
      </c>
      <c r="G139" s="57" t="str">
        <f t="shared" si="21"/>
        <v>7 LUGLIO 2024</v>
      </c>
      <c r="H139" s="59">
        <v>150.5</v>
      </c>
      <c r="I139" s="59" t="s">
        <v>307</v>
      </c>
      <c r="J139" s="28"/>
    </row>
    <row r="140" spans="1:10">
      <c r="A140" s="57" t="s">
        <v>1030</v>
      </c>
      <c r="B140" s="57" t="s">
        <v>1025</v>
      </c>
      <c r="C140" s="57" t="s">
        <v>288</v>
      </c>
      <c r="D140" s="57">
        <v>2024</v>
      </c>
      <c r="E140" s="58">
        <f t="shared" si="22"/>
        <v>7</v>
      </c>
      <c r="F140" s="57" t="str">
        <f t="shared" si="20"/>
        <v>LUGLIO 2024</v>
      </c>
      <c r="G140" s="57" t="str">
        <f t="shared" si="21"/>
        <v>7 LUGLIO 2024</v>
      </c>
      <c r="H140" s="59">
        <v>-859.5</v>
      </c>
      <c r="I140" s="59" t="s">
        <v>1012</v>
      </c>
      <c r="J140" s="28"/>
    </row>
    <row r="141" spans="1:10">
      <c r="A141" s="57" t="s">
        <v>1022</v>
      </c>
      <c r="B141" s="57" t="s">
        <v>1011</v>
      </c>
      <c r="C141" s="57" t="s">
        <v>288</v>
      </c>
      <c r="D141" s="57">
        <v>2024</v>
      </c>
      <c r="E141" s="58">
        <f t="shared" si="22"/>
        <v>7</v>
      </c>
      <c r="F141" s="57" t="str">
        <f t="shared" si="20"/>
        <v>LUGLIO 2024</v>
      </c>
      <c r="G141" s="57" t="str">
        <f t="shared" si="21"/>
        <v>7 LUGLIO 2024</v>
      </c>
      <c r="H141" s="59">
        <v>630.65</v>
      </c>
      <c r="I141" s="59" t="s">
        <v>1022</v>
      </c>
      <c r="J141" s="28"/>
    </row>
    <row r="142" spans="1:10">
      <c r="A142" s="57" t="s">
        <v>1034</v>
      </c>
      <c r="B142" s="57" t="s">
        <v>1011</v>
      </c>
      <c r="C142" s="57" t="s">
        <v>288</v>
      </c>
      <c r="D142" s="57">
        <v>2024</v>
      </c>
      <c r="E142" s="58">
        <f t="shared" si="22"/>
        <v>7</v>
      </c>
      <c r="F142" s="57" t="str">
        <f t="shared" si="20"/>
        <v>LUGLIO 2024</v>
      </c>
      <c r="G142" s="57" t="str">
        <f t="shared" si="21"/>
        <v>7 LUGLIO 2024</v>
      </c>
      <c r="H142" s="59">
        <v>135.5</v>
      </c>
      <c r="I142" s="59" t="s">
        <v>1016</v>
      </c>
      <c r="J142" s="28"/>
    </row>
    <row r="143" spans="1:10">
      <c r="A143" s="57" t="s">
        <v>1031</v>
      </c>
      <c r="B143" s="57" t="s">
        <v>1011</v>
      </c>
      <c r="C143" s="57" t="s">
        <v>288</v>
      </c>
      <c r="D143" s="57">
        <v>2024</v>
      </c>
      <c r="E143" s="58">
        <f t="shared" si="22"/>
        <v>7</v>
      </c>
      <c r="F143" s="57" t="str">
        <f t="shared" si="20"/>
        <v>LUGLIO 2024</v>
      </c>
      <c r="G143" s="57" t="str">
        <f t="shared" si="21"/>
        <v>7 LUGLIO 2024</v>
      </c>
      <c r="H143" s="59">
        <v>44.5</v>
      </c>
      <c r="I143" s="59" t="s">
        <v>1019</v>
      </c>
      <c r="J143" s="28"/>
    </row>
    <row r="144" spans="1:10">
      <c r="A144" s="57" t="s">
        <v>1029</v>
      </c>
      <c r="B144" s="57" t="s">
        <v>1011</v>
      </c>
      <c r="C144" s="57" t="s">
        <v>314</v>
      </c>
      <c r="D144" s="57">
        <v>2024</v>
      </c>
      <c r="E144" s="58">
        <f t="shared" si="22"/>
        <v>6</v>
      </c>
      <c r="F144" s="57" t="str">
        <f t="shared" si="20"/>
        <v>GIUGNO 2024</v>
      </c>
      <c r="G144" s="57" t="str">
        <f t="shared" si="21"/>
        <v>6 GIUGNO 2024</v>
      </c>
      <c r="H144" s="59">
        <v>3.5</v>
      </c>
      <c r="I144" s="59" t="s">
        <v>1013</v>
      </c>
      <c r="J144" s="28"/>
    </row>
    <row r="145" spans="1:10">
      <c r="A145" s="57" t="s">
        <v>1030</v>
      </c>
      <c r="B145" s="57" t="s">
        <v>1025</v>
      </c>
      <c r="C145" s="57" t="s">
        <v>314</v>
      </c>
      <c r="D145" s="57">
        <v>2024</v>
      </c>
      <c r="E145" s="58">
        <f t="shared" si="22"/>
        <v>6</v>
      </c>
      <c r="F145" s="57" t="str">
        <f t="shared" si="20"/>
        <v>GIUGNO 2024</v>
      </c>
      <c r="G145" s="57" t="str">
        <f t="shared" si="21"/>
        <v>6 GIUGNO 2024</v>
      </c>
      <c r="H145" s="59">
        <v>-859.5</v>
      </c>
      <c r="I145" s="59" t="s">
        <v>1012</v>
      </c>
      <c r="J145" s="28"/>
    </row>
    <row r="146" spans="1:10">
      <c r="A146" s="57" t="s">
        <v>1022</v>
      </c>
      <c r="B146" s="57" t="s">
        <v>1011</v>
      </c>
      <c r="C146" s="57" t="s">
        <v>314</v>
      </c>
      <c r="D146" s="57">
        <v>2024</v>
      </c>
      <c r="E146" s="58">
        <f t="shared" si="22"/>
        <v>6</v>
      </c>
      <c r="F146" s="57" t="str">
        <f t="shared" si="20"/>
        <v>GIUGNO 2024</v>
      </c>
      <c r="G146" s="57" t="str">
        <f t="shared" si="21"/>
        <v>6 GIUGNO 2024</v>
      </c>
      <c r="H146" s="59">
        <v>630.77</v>
      </c>
      <c r="I146" s="59" t="s">
        <v>1022</v>
      </c>
      <c r="J146" s="28"/>
    </row>
    <row r="147" spans="1:10">
      <c r="A147" s="57" t="s">
        <v>1034</v>
      </c>
      <c r="B147" s="57" t="s">
        <v>1011</v>
      </c>
      <c r="C147" s="57" t="s">
        <v>314</v>
      </c>
      <c r="D147" s="57">
        <v>2024</v>
      </c>
      <c r="E147" s="58">
        <f t="shared" si="22"/>
        <v>6</v>
      </c>
      <c r="F147" s="57" t="str">
        <f t="shared" si="20"/>
        <v>GIUGNO 2024</v>
      </c>
      <c r="G147" s="57" t="str">
        <f t="shared" si="21"/>
        <v>6 GIUGNO 2024</v>
      </c>
      <c r="H147" s="59">
        <v>135.5</v>
      </c>
      <c r="I147" s="59" t="s">
        <v>1016</v>
      </c>
      <c r="J147" s="28"/>
    </row>
    <row r="148" spans="1:10">
      <c r="A148" s="57" t="s">
        <v>1031</v>
      </c>
      <c r="B148" s="57" t="s">
        <v>1011</v>
      </c>
      <c r="C148" s="57" t="s">
        <v>314</v>
      </c>
      <c r="D148" s="57">
        <v>2024</v>
      </c>
      <c r="E148" s="58">
        <f t="shared" si="22"/>
        <v>6</v>
      </c>
      <c r="F148" s="57" t="str">
        <f t="shared" si="20"/>
        <v>GIUGNO 2024</v>
      </c>
      <c r="G148" s="57" t="str">
        <f t="shared" si="21"/>
        <v>6 GIUGNO 2024</v>
      </c>
      <c r="H148" s="59">
        <v>44.5</v>
      </c>
      <c r="I148" s="59" t="s">
        <v>1019</v>
      </c>
      <c r="J148" s="28"/>
    </row>
    <row r="149" spans="1:10">
      <c r="A149" s="57" t="s">
        <v>1029</v>
      </c>
      <c r="B149" s="57" t="s">
        <v>1011</v>
      </c>
      <c r="C149" s="57" t="s">
        <v>333</v>
      </c>
      <c r="D149" s="57">
        <v>2024</v>
      </c>
      <c r="E149" s="58">
        <f t="shared" si="22"/>
        <v>5</v>
      </c>
      <c r="F149" s="57" t="str">
        <f t="shared" si="20"/>
        <v>MAGGIO 2024</v>
      </c>
      <c r="G149" s="57" t="str">
        <f t="shared" si="21"/>
        <v>5 MAGGIO 2024</v>
      </c>
      <c r="H149" s="59">
        <v>3.5</v>
      </c>
      <c r="I149" s="59" t="s">
        <v>1013</v>
      </c>
      <c r="J149" s="28"/>
    </row>
    <row r="150" spans="1:10">
      <c r="A150" s="57" t="s">
        <v>1030</v>
      </c>
      <c r="B150" s="57" t="s">
        <v>1025</v>
      </c>
      <c r="C150" s="57" t="s">
        <v>333</v>
      </c>
      <c r="D150" s="57">
        <v>2024</v>
      </c>
      <c r="E150" s="58">
        <f t="shared" si="22"/>
        <v>5</v>
      </c>
      <c r="F150" s="57" t="str">
        <f t="shared" si="20"/>
        <v>MAGGIO 2024</v>
      </c>
      <c r="G150" s="57" t="str">
        <f t="shared" si="21"/>
        <v>5 MAGGIO 2024</v>
      </c>
      <c r="H150" s="59">
        <v>-859.5</v>
      </c>
      <c r="I150" s="59" t="s">
        <v>1012</v>
      </c>
      <c r="J150" s="28"/>
    </row>
    <row r="151" spans="1:10">
      <c r="A151" s="57" t="s">
        <v>1022</v>
      </c>
      <c r="B151" s="57" t="s">
        <v>1011</v>
      </c>
      <c r="C151" s="57" t="s">
        <v>333</v>
      </c>
      <c r="D151" s="57">
        <v>2024</v>
      </c>
      <c r="E151" s="58">
        <f t="shared" si="22"/>
        <v>5</v>
      </c>
      <c r="F151" s="57" t="str">
        <f t="shared" si="20"/>
        <v>MAGGIO 2024</v>
      </c>
      <c r="G151" s="57" t="str">
        <f t="shared" si="21"/>
        <v>5 MAGGIO 2024</v>
      </c>
      <c r="H151" s="59">
        <v>630.59</v>
      </c>
      <c r="I151" s="59" t="s">
        <v>1022</v>
      </c>
      <c r="J151" s="28"/>
    </row>
    <row r="152" spans="1:10">
      <c r="A152" s="57" t="s">
        <v>1034</v>
      </c>
      <c r="B152" s="57" t="s">
        <v>1011</v>
      </c>
      <c r="C152" s="57" t="s">
        <v>333</v>
      </c>
      <c r="D152" s="57">
        <v>2024</v>
      </c>
      <c r="E152" s="58">
        <f t="shared" si="22"/>
        <v>5</v>
      </c>
      <c r="F152" s="57" t="str">
        <f t="shared" si="20"/>
        <v>MAGGIO 2024</v>
      </c>
      <c r="G152" s="57" t="str">
        <f t="shared" si="21"/>
        <v>5 MAGGIO 2024</v>
      </c>
      <c r="H152" s="59">
        <v>135.5</v>
      </c>
      <c r="I152" s="59" t="s">
        <v>1016</v>
      </c>
      <c r="J152" s="28"/>
    </row>
    <row r="153" spans="1:10">
      <c r="A153" s="57" t="s">
        <v>1031</v>
      </c>
      <c r="B153" s="57" t="s">
        <v>1011</v>
      </c>
      <c r="C153" s="57" t="s">
        <v>333</v>
      </c>
      <c r="D153" s="57">
        <v>2024</v>
      </c>
      <c r="E153" s="58">
        <f t="shared" si="22"/>
        <v>5</v>
      </c>
      <c r="F153" s="57" t="str">
        <f t="shared" si="20"/>
        <v>MAGGIO 2024</v>
      </c>
      <c r="G153" s="57" t="str">
        <f t="shared" si="21"/>
        <v>5 MAGGIO 2024</v>
      </c>
      <c r="H153" s="59">
        <v>44.5</v>
      </c>
      <c r="I153" s="59" t="s">
        <v>1019</v>
      </c>
      <c r="J153" s="28"/>
    </row>
    <row r="154" spans="1:10">
      <c r="A154" s="57" t="s">
        <v>1029</v>
      </c>
      <c r="B154" s="57" t="s">
        <v>1011</v>
      </c>
      <c r="C154" s="57" t="s">
        <v>352</v>
      </c>
      <c r="D154" s="57">
        <v>2024</v>
      </c>
      <c r="E154" s="58">
        <f t="shared" si="22"/>
        <v>4</v>
      </c>
      <c r="F154" s="57" t="str">
        <f t="shared" si="20"/>
        <v>APRILE 2024</v>
      </c>
      <c r="G154" s="57" t="str">
        <f t="shared" si="21"/>
        <v>4 APRILE 2024</v>
      </c>
      <c r="H154" s="59">
        <v>3.5</v>
      </c>
      <c r="I154" s="59" t="s">
        <v>1013</v>
      </c>
      <c r="J154" s="28"/>
    </row>
    <row r="155" spans="1:10">
      <c r="A155" s="57" t="s">
        <v>1030</v>
      </c>
      <c r="B155" s="57" t="s">
        <v>1025</v>
      </c>
      <c r="C155" s="57" t="s">
        <v>352</v>
      </c>
      <c r="D155" s="57">
        <v>2024</v>
      </c>
      <c r="E155" s="58">
        <f t="shared" si="22"/>
        <v>4</v>
      </c>
      <c r="F155" s="57" t="str">
        <f t="shared" si="20"/>
        <v>APRILE 2024</v>
      </c>
      <c r="G155" s="57" t="str">
        <f t="shared" si="21"/>
        <v>4 APRILE 2024</v>
      </c>
      <c r="H155" s="59">
        <f>-819+34</f>
        <v>-785</v>
      </c>
      <c r="I155" s="59" t="s">
        <v>1012</v>
      </c>
      <c r="J155" s="28"/>
    </row>
    <row r="156" spans="1:10">
      <c r="A156" s="57" t="s">
        <v>1022</v>
      </c>
      <c r="B156" s="57" t="s">
        <v>1011</v>
      </c>
      <c r="C156" s="57" t="s">
        <v>352</v>
      </c>
      <c r="D156" s="57">
        <v>2024</v>
      </c>
      <c r="E156" s="58">
        <f t="shared" si="22"/>
        <v>4</v>
      </c>
      <c r="F156" s="57" t="str">
        <f t="shared" si="20"/>
        <v>APRILE 2024</v>
      </c>
      <c r="G156" s="57" t="str">
        <f t="shared" si="21"/>
        <v>4 APRILE 2024</v>
      </c>
      <c r="H156" s="59">
        <v>630.65</v>
      </c>
      <c r="I156" s="59" t="s">
        <v>1022</v>
      </c>
      <c r="J156" s="28"/>
    </row>
    <row r="157" spans="1:10">
      <c r="A157" s="57" t="s">
        <v>1034</v>
      </c>
      <c r="B157" s="57" t="s">
        <v>1011</v>
      </c>
      <c r="C157" s="57" t="s">
        <v>352</v>
      </c>
      <c r="D157" s="57">
        <v>2024</v>
      </c>
      <c r="E157" s="58">
        <f t="shared" si="22"/>
        <v>4</v>
      </c>
      <c r="F157" s="57" t="str">
        <f t="shared" si="20"/>
        <v>APRILE 2024</v>
      </c>
      <c r="G157" s="57" t="str">
        <f t="shared" si="21"/>
        <v>4 APRILE 2024</v>
      </c>
      <c r="H157" s="59">
        <v>135.5</v>
      </c>
      <c r="I157" s="59" t="s">
        <v>1016</v>
      </c>
      <c r="J157" s="28"/>
    </row>
    <row r="158" spans="1:10">
      <c r="A158" s="57" t="s">
        <v>1031</v>
      </c>
      <c r="B158" s="57" t="s">
        <v>1011</v>
      </c>
      <c r="C158" s="57" t="s">
        <v>352</v>
      </c>
      <c r="D158" s="57">
        <v>2024</v>
      </c>
      <c r="E158" s="58">
        <f t="shared" si="22"/>
        <v>4</v>
      </c>
      <c r="F158" s="57" t="str">
        <f t="shared" si="20"/>
        <v>APRILE 2024</v>
      </c>
      <c r="G158" s="57" t="str">
        <f t="shared" si="21"/>
        <v>4 APRILE 2024</v>
      </c>
      <c r="H158" s="59">
        <v>44.5</v>
      </c>
      <c r="I158" s="59" t="s">
        <v>1019</v>
      </c>
      <c r="J158" s="28"/>
    </row>
    <row r="159" spans="1:10">
      <c r="A159" s="57" t="s">
        <v>1029</v>
      </c>
      <c r="B159" s="57" t="s">
        <v>1011</v>
      </c>
      <c r="C159" s="57" t="s">
        <v>90</v>
      </c>
      <c r="D159" s="57">
        <v>2024</v>
      </c>
      <c r="E159" s="58">
        <f t="shared" si="22"/>
        <v>3</v>
      </c>
      <c r="F159" s="57" t="str">
        <f t="shared" si="20"/>
        <v>MARZO 2024</v>
      </c>
      <c r="G159" s="57" t="str">
        <f t="shared" si="21"/>
        <v>3 MARZO 2024</v>
      </c>
      <c r="H159" s="59">
        <v>3.5</v>
      </c>
      <c r="I159" s="59" t="s">
        <v>1013</v>
      </c>
      <c r="J159" s="28"/>
    </row>
    <row r="160" spans="1:10">
      <c r="A160" s="57" t="s">
        <v>1030</v>
      </c>
      <c r="B160" s="57" t="s">
        <v>1025</v>
      </c>
      <c r="C160" s="57" t="s">
        <v>90</v>
      </c>
      <c r="D160" s="57">
        <v>2024</v>
      </c>
      <c r="E160" s="58">
        <f t="shared" si="22"/>
        <v>3</v>
      </c>
      <c r="F160" s="57" t="str">
        <f t="shared" si="20"/>
        <v>MARZO 2024</v>
      </c>
      <c r="G160" s="57" t="str">
        <f t="shared" si="21"/>
        <v>3 MARZO 2024</v>
      </c>
      <c r="H160" s="59">
        <v>-849.5</v>
      </c>
      <c r="I160" s="59" t="s">
        <v>1012</v>
      </c>
      <c r="J160" s="28"/>
    </row>
    <row r="161" spans="1:10">
      <c r="A161" s="57" t="s">
        <v>1022</v>
      </c>
      <c r="B161" s="57" t="s">
        <v>1011</v>
      </c>
      <c r="C161" s="57" t="s">
        <v>90</v>
      </c>
      <c r="D161" s="57">
        <v>2024</v>
      </c>
      <c r="E161" s="58">
        <f t="shared" si="22"/>
        <v>3</v>
      </c>
      <c r="F161" s="57" t="str">
        <f t="shared" si="20"/>
        <v>MARZO 2024</v>
      </c>
      <c r="G161" s="57" t="str">
        <f t="shared" si="21"/>
        <v>3 MARZO 2024</v>
      </c>
      <c r="H161" s="59">
        <v>630.65</v>
      </c>
      <c r="I161" s="59" t="s">
        <v>1022</v>
      </c>
      <c r="J161" s="28"/>
    </row>
    <row r="162" spans="1:10">
      <c r="A162" s="57" t="s">
        <v>1034</v>
      </c>
      <c r="B162" s="57" t="s">
        <v>1011</v>
      </c>
      <c r="C162" s="57" t="s">
        <v>90</v>
      </c>
      <c r="D162" s="57">
        <v>2024</v>
      </c>
      <c r="E162" s="58">
        <f t="shared" si="22"/>
        <v>3</v>
      </c>
      <c r="F162" s="57" t="str">
        <f t="shared" si="20"/>
        <v>MARZO 2024</v>
      </c>
      <c r="G162" s="57" t="str">
        <f t="shared" si="21"/>
        <v>3 MARZO 2024</v>
      </c>
      <c r="H162" s="59">
        <v>135.5</v>
      </c>
      <c r="I162" s="59" t="s">
        <v>1016</v>
      </c>
      <c r="J162" s="28"/>
    </row>
    <row r="163" spans="1:10">
      <c r="A163" s="57" t="s">
        <v>1031</v>
      </c>
      <c r="B163" s="57" t="s">
        <v>1011</v>
      </c>
      <c r="C163" s="57" t="s">
        <v>90</v>
      </c>
      <c r="D163" s="57">
        <v>2024</v>
      </c>
      <c r="E163" s="58">
        <f t="shared" si="22"/>
        <v>3</v>
      </c>
      <c r="F163" s="57" t="str">
        <f t="shared" si="20"/>
        <v>MARZO 2024</v>
      </c>
      <c r="G163" s="57" t="str">
        <f t="shared" si="21"/>
        <v>3 MARZO 2024</v>
      </c>
      <c r="H163" s="59">
        <v>44.5</v>
      </c>
      <c r="I163" s="59" t="s">
        <v>1019</v>
      </c>
      <c r="J163" s="28"/>
    </row>
    <row r="164" spans="1:10">
      <c r="A164" s="57" t="s">
        <v>1029</v>
      </c>
      <c r="B164" s="57" t="s">
        <v>1011</v>
      </c>
      <c r="C164" s="57" t="s">
        <v>129</v>
      </c>
      <c r="D164" s="57">
        <v>2024</v>
      </c>
      <c r="E164" s="58">
        <v>2</v>
      </c>
      <c r="F164" s="57" t="str">
        <f t="shared" si="20"/>
        <v>FEBBRAIO 2024</v>
      </c>
      <c r="G164" s="57" t="str">
        <f t="shared" si="21"/>
        <v>2 FEBBRAIO 2024</v>
      </c>
      <c r="H164" s="59">
        <v>3.5</v>
      </c>
      <c r="I164" s="59" t="s">
        <v>1013</v>
      </c>
      <c r="J164" s="28"/>
    </row>
    <row r="165" spans="1:10">
      <c r="A165" s="57" t="s">
        <v>1030</v>
      </c>
      <c r="B165" s="57" t="s">
        <v>1025</v>
      </c>
      <c r="C165" s="57" t="s">
        <v>129</v>
      </c>
      <c r="D165" s="57">
        <v>2024</v>
      </c>
      <c r="E165" s="58">
        <v>2</v>
      </c>
      <c r="F165" s="57" t="str">
        <f t="shared" si="20"/>
        <v>FEBBRAIO 2024</v>
      </c>
      <c r="G165" s="57" t="str">
        <f t="shared" si="21"/>
        <v>2 FEBBRAIO 2024</v>
      </c>
      <c r="H165" s="59">
        <v>-819.5</v>
      </c>
      <c r="I165" s="59" t="s">
        <v>1012</v>
      </c>
      <c r="J165" s="28"/>
    </row>
    <row r="166" spans="1:10">
      <c r="A166" s="57" t="s">
        <v>1022</v>
      </c>
      <c r="B166" s="57" t="s">
        <v>1011</v>
      </c>
      <c r="C166" s="57" t="s">
        <v>129</v>
      </c>
      <c r="D166" s="57">
        <v>2024</v>
      </c>
      <c r="E166" s="58">
        <v>2</v>
      </c>
      <c r="F166" s="57" t="str">
        <f t="shared" si="20"/>
        <v>FEBBRAIO 2024</v>
      </c>
      <c r="G166" s="57" t="str">
        <f t="shared" si="21"/>
        <v>2 FEBBRAIO 2024</v>
      </c>
      <c r="H166" s="59">
        <v>630.71</v>
      </c>
      <c r="I166" s="59" t="s">
        <v>1022</v>
      </c>
      <c r="J166" s="28"/>
    </row>
    <row r="167" spans="1:10">
      <c r="A167" s="57" t="s">
        <v>1035</v>
      </c>
      <c r="B167" s="57" t="s">
        <v>1011</v>
      </c>
      <c r="C167" s="57" t="s">
        <v>129</v>
      </c>
      <c r="D167" s="57">
        <v>2024</v>
      </c>
      <c r="E167" s="58">
        <v>2</v>
      </c>
      <c r="F167" s="57" t="str">
        <f t="shared" si="20"/>
        <v>FEBBRAIO 2024</v>
      </c>
      <c r="G167" s="57" t="str">
        <f t="shared" si="21"/>
        <v>2 FEBBRAIO 2024</v>
      </c>
      <c r="H167" s="59">
        <v>10.5</v>
      </c>
      <c r="I167" s="59" t="s">
        <v>1012</v>
      </c>
      <c r="J167" s="28"/>
    </row>
    <row r="168" spans="1:10">
      <c r="A168" s="57" t="s">
        <v>1034</v>
      </c>
      <c r="B168" s="57" t="s">
        <v>1011</v>
      </c>
      <c r="C168" s="57" t="s">
        <v>129</v>
      </c>
      <c r="D168" s="57">
        <v>2024</v>
      </c>
      <c r="E168" s="58">
        <v>2</v>
      </c>
      <c r="F168" s="57" t="str">
        <f t="shared" si="20"/>
        <v>FEBBRAIO 2024</v>
      </c>
      <c r="G168" s="57" t="str">
        <f t="shared" si="21"/>
        <v>2 FEBBRAIO 2024</v>
      </c>
      <c r="H168" s="59">
        <v>135.5</v>
      </c>
      <c r="I168" s="59" t="s">
        <v>1016</v>
      </c>
      <c r="J168" s="28"/>
    </row>
    <row r="169" spans="1:10">
      <c r="A169" s="57" t="s">
        <v>1031</v>
      </c>
      <c r="B169" s="57" t="s">
        <v>1011</v>
      </c>
      <c r="C169" s="57" t="s">
        <v>129</v>
      </c>
      <c r="D169" s="57">
        <v>2024</v>
      </c>
      <c r="E169" s="58">
        <v>2</v>
      </c>
      <c r="F169" s="57" t="str">
        <f t="shared" si="20"/>
        <v>FEBBRAIO 2024</v>
      </c>
      <c r="G169" s="57" t="str">
        <f t="shared" si="21"/>
        <v>2 FEBBRAIO 2024</v>
      </c>
      <c r="H169" s="59">
        <v>44.5</v>
      </c>
      <c r="I169" s="59" t="s">
        <v>1019</v>
      </c>
      <c r="J169" s="28"/>
    </row>
    <row r="170" spans="1:10">
      <c r="A170" s="57" t="s">
        <v>1029</v>
      </c>
      <c r="B170" s="57" t="s">
        <v>1011</v>
      </c>
      <c r="C170" s="57" t="s">
        <v>154</v>
      </c>
      <c r="D170" s="57">
        <v>2024</v>
      </c>
      <c r="E170" s="58">
        <f t="shared" ref="E170:E175" si="23">VLOOKUP(C170,$AC$421:$AD$432,2,FALSE)</f>
        <v>1</v>
      </c>
      <c r="F170" s="57" t="str">
        <f t="shared" ref="F170" si="24">CONCATENATE(,C170," ",D170)</f>
        <v>GENNAIO 2024</v>
      </c>
      <c r="G170" s="57" t="str">
        <f t="shared" ref="G170" si="25">CONCATENATE(E170," ",F170)</f>
        <v>1 GENNAIO 2024</v>
      </c>
      <c r="H170" s="59">
        <v>3.5</v>
      </c>
      <c r="I170" s="59" t="s">
        <v>1013</v>
      </c>
      <c r="J170" s="28"/>
    </row>
    <row r="171" spans="1:10">
      <c r="A171" s="57" t="s">
        <v>675</v>
      </c>
      <c r="B171" s="57" t="s">
        <v>1011</v>
      </c>
      <c r="C171" s="57" t="s">
        <v>154</v>
      </c>
      <c r="D171" s="57">
        <v>2024</v>
      </c>
      <c r="E171" s="58">
        <f t="shared" si="23"/>
        <v>1</v>
      </c>
      <c r="F171" s="57" t="str">
        <f t="shared" si="20"/>
        <v>GENNAIO 2024</v>
      </c>
      <c r="G171" s="57" t="str">
        <f t="shared" si="21"/>
        <v>1 GENNAIO 2024</v>
      </c>
      <c r="H171" s="59">
        <v>0.01</v>
      </c>
      <c r="I171" s="59" t="s">
        <v>1013</v>
      </c>
      <c r="J171" s="28"/>
    </row>
    <row r="172" spans="1:10">
      <c r="A172" s="57" t="s">
        <v>1033</v>
      </c>
      <c r="B172" s="57" t="s">
        <v>1011</v>
      </c>
      <c r="C172" s="57" t="s">
        <v>154</v>
      </c>
      <c r="D172" s="57">
        <v>2024</v>
      </c>
      <c r="E172" s="58">
        <f t="shared" si="23"/>
        <v>1</v>
      </c>
      <c r="F172" s="57" t="str">
        <f t="shared" si="20"/>
        <v>GENNAIO 2024</v>
      </c>
      <c r="G172" s="57" t="str">
        <f t="shared" si="21"/>
        <v>1 GENNAIO 2024</v>
      </c>
      <c r="H172" s="59">
        <v>-0.02</v>
      </c>
      <c r="I172" s="59" t="s">
        <v>1013</v>
      </c>
      <c r="J172" s="28"/>
    </row>
    <row r="173" spans="1:10">
      <c r="A173" s="57" t="s">
        <v>1030</v>
      </c>
      <c r="B173" s="57" t="s">
        <v>1025</v>
      </c>
      <c r="C173" s="57" t="s">
        <v>154</v>
      </c>
      <c r="D173" s="57">
        <v>2024</v>
      </c>
      <c r="E173" s="58">
        <f t="shared" si="23"/>
        <v>1</v>
      </c>
      <c r="F173" s="57" t="str">
        <f t="shared" si="20"/>
        <v>GENNAIO 2024</v>
      </c>
      <c r="G173" s="57" t="str">
        <f t="shared" si="21"/>
        <v>1 GENNAIO 2024</v>
      </c>
      <c r="H173" s="59">
        <v>-869.5</v>
      </c>
      <c r="I173" s="59" t="s">
        <v>1012</v>
      </c>
      <c r="J173" s="28"/>
    </row>
    <row r="174" spans="1:10">
      <c r="A174" s="57" t="s">
        <v>1033</v>
      </c>
      <c r="B174" s="57" t="s">
        <v>1011</v>
      </c>
      <c r="C174" s="57" t="s">
        <v>154</v>
      </c>
      <c r="D174" s="57">
        <v>2024</v>
      </c>
      <c r="E174" s="58">
        <f t="shared" si="23"/>
        <v>1</v>
      </c>
      <c r="F174" s="57" t="str">
        <f t="shared" si="20"/>
        <v>GENNAIO 2024</v>
      </c>
      <c r="G174" s="57" t="str">
        <f t="shared" si="21"/>
        <v>1 GENNAIO 2024</v>
      </c>
      <c r="H174" s="59">
        <v>12.89</v>
      </c>
      <c r="I174" s="59" t="s">
        <v>1013</v>
      </c>
      <c r="J174" s="28"/>
    </row>
    <row r="175" spans="1:10">
      <c r="A175" s="57" t="s">
        <v>1022</v>
      </c>
      <c r="B175" s="57" t="s">
        <v>1011</v>
      </c>
      <c r="C175" s="57" t="s">
        <v>154</v>
      </c>
      <c r="D175" s="57">
        <v>2024</v>
      </c>
      <c r="E175" s="58">
        <f t="shared" si="23"/>
        <v>1</v>
      </c>
      <c r="F175" s="57" t="str">
        <f t="shared" si="20"/>
        <v>GENNAIO 2024</v>
      </c>
      <c r="G175" s="57" t="str">
        <f t="shared" si="21"/>
        <v>1 GENNAIO 2024</v>
      </c>
      <c r="H175" s="59">
        <v>630.65</v>
      </c>
      <c r="I175" s="59" t="s">
        <v>1022</v>
      </c>
      <c r="J175" s="28"/>
    </row>
    <row r="176" spans="1:10">
      <c r="A176" s="57" t="s">
        <v>1036</v>
      </c>
      <c r="B176" s="57" t="s">
        <v>1011</v>
      </c>
      <c r="C176" s="57" t="s">
        <v>154</v>
      </c>
      <c r="D176" s="57">
        <v>2024</v>
      </c>
      <c r="E176" s="58">
        <v>1</v>
      </c>
      <c r="F176" s="57" t="str">
        <f t="shared" si="20"/>
        <v>GENNAIO 2024</v>
      </c>
      <c r="G176" s="57" t="str">
        <f t="shared" si="21"/>
        <v>1 GENNAIO 2024</v>
      </c>
      <c r="H176" s="59">
        <f>49.76+2.5</f>
        <v>52.26</v>
      </c>
      <c r="I176" s="59" t="s">
        <v>1015</v>
      </c>
      <c r="J176" s="28"/>
    </row>
    <row r="177" spans="1:10">
      <c r="A177" s="57" t="s">
        <v>1034</v>
      </c>
      <c r="B177" s="57" t="s">
        <v>1011</v>
      </c>
      <c r="C177" s="57" t="s">
        <v>154</v>
      </c>
      <c r="D177" s="57">
        <v>2024</v>
      </c>
      <c r="E177" s="58">
        <f t="shared" ref="E177:E240" si="26">VLOOKUP(C177,$AC$421:$AD$432,2,FALSE)</f>
        <v>1</v>
      </c>
      <c r="F177" s="57" t="str">
        <f t="shared" si="20"/>
        <v>GENNAIO 2024</v>
      </c>
      <c r="G177" s="57" t="str">
        <f t="shared" si="21"/>
        <v>1 GENNAIO 2024</v>
      </c>
      <c r="H177" s="59">
        <v>135.5</v>
      </c>
      <c r="I177" s="59" t="s">
        <v>1016</v>
      </c>
      <c r="J177" s="28"/>
    </row>
    <row r="178" spans="1:10">
      <c r="A178" s="57" t="s">
        <v>1031</v>
      </c>
      <c r="B178" s="57" t="s">
        <v>1011</v>
      </c>
      <c r="C178" s="57" t="s">
        <v>154</v>
      </c>
      <c r="D178" s="57">
        <v>2024</v>
      </c>
      <c r="E178" s="58">
        <f t="shared" si="26"/>
        <v>1</v>
      </c>
      <c r="F178" s="57" t="str">
        <f t="shared" si="20"/>
        <v>GENNAIO 2024</v>
      </c>
      <c r="G178" s="57" t="str">
        <f t="shared" si="21"/>
        <v>1 GENNAIO 2024</v>
      </c>
      <c r="H178" s="59">
        <v>44.5</v>
      </c>
      <c r="I178" s="59" t="s">
        <v>1019</v>
      </c>
      <c r="J178" s="28"/>
    </row>
    <row r="179" spans="1:10">
      <c r="A179" s="57" t="s">
        <v>1029</v>
      </c>
      <c r="B179" s="57" t="s">
        <v>1011</v>
      </c>
      <c r="C179" s="57" t="s">
        <v>173</v>
      </c>
      <c r="D179" s="57">
        <v>2023</v>
      </c>
      <c r="E179" s="58">
        <f t="shared" si="26"/>
        <v>12</v>
      </c>
      <c r="F179" s="57" t="str">
        <f t="shared" si="20"/>
        <v>DICEMBRE 2023</v>
      </c>
      <c r="G179" s="57" t="str">
        <f t="shared" si="21"/>
        <v>12 DICEMBRE 2023</v>
      </c>
      <c r="H179" s="59">
        <v>3.5</v>
      </c>
      <c r="I179" s="59" t="s">
        <v>1013</v>
      </c>
      <c r="J179" s="28"/>
    </row>
    <row r="180" spans="1:10">
      <c r="A180" s="57" t="s">
        <v>1030</v>
      </c>
      <c r="B180" s="57" t="s">
        <v>1025</v>
      </c>
      <c r="C180" s="57" t="s">
        <v>173</v>
      </c>
      <c r="D180" s="57">
        <v>2023</v>
      </c>
      <c r="E180" s="58">
        <f t="shared" si="26"/>
        <v>12</v>
      </c>
      <c r="F180" s="57" t="str">
        <f t="shared" si="20"/>
        <v>DICEMBRE 2023</v>
      </c>
      <c r="G180" s="57" t="str">
        <f t="shared" si="21"/>
        <v>12 DICEMBRE 2023</v>
      </c>
      <c r="H180" s="59">
        <f>-1100</f>
        <v>-1100</v>
      </c>
      <c r="I180" s="59" t="s">
        <v>1012</v>
      </c>
      <c r="J180" s="28"/>
    </row>
    <row r="181" spans="1:10">
      <c r="A181" s="57" t="s">
        <v>1022</v>
      </c>
      <c r="B181" s="57" t="s">
        <v>1011</v>
      </c>
      <c r="C181" s="57" t="s">
        <v>173</v>
      </c>
      <c r="D181" s="57">
        <v>2023</v>
      </c>
      <c r="E181" s="58">
        <f t="shared" si="26"/>
        <v>12</v>
      </c>
      <c r="F181" s="57" t="str">
        <f t="shared" si="20"/>
        <v>DICEMBRE 2023</v>
      </c>
      <c r="G181" s="57" t="str">
        <f t="shared" si="21"/>
        <v>12 DICEMBRE 2023</v>
      </c>
      <c r="H181" s="59">
        <v>630.65</v>
      </c>
      <c r="I181" s="59" t="s">
        <v>1022</v>
      </c>
      <c r="J181" s="28"/>
    </row>
    <row r="182" spans="1:10">
      <c r="A182" s="57" t="s">
        <v>1036</v>
      </c>
      <c r="B182" s="57" t="s">
        <v>1011</v>
      </c>
      <c r="C182" s="57" t="s">
        <v>173</v>
      </c>
      <c r="D182" s="57">
        <v>2023</v>
      </c>
      <c r="E182" s="58">
        <f t="shared" si="26"/>
        <v>12</v>
      </c>
      <c r="F182" s="57" t="str">
        <f t="shared" si="20"/>
        <v>DICEMBRE 2023</v>
      </c>
      <c r="G182" s="57" t="str">
        <f t="shared" si="21"/>
        <v>12 DICEMBRE 2023</v>
      </c>
      <c r="H182" s="59">
        <v>51.06</v>
      </c>
      <c r="I182" s="59" t="s">
        <v>1015</v>
      </c>
      <c r="J182" s="28"/>
    </row>
    <row r="183" spans="1:10">
      <c r="A183" s="57" t="s">
        <v>1034</v>
      </c>
      <c r="B183" s="57" t="s">
        <v>1011</v>
      </c>
      <c r="C183" s="57" t="s">
        <v>173</v>
      </c>
      <c r="D183" s="57">
        <v>2023</v>
      </c>
      <c r="E183" s="58">
        <f t="shared" si="26"/>
        <v>12</v>
      </c>
      <c r="F183" s="57" t="str">
        <f t="shared" si="20"/>
        <v>DICEMBRE 2023</v>
      </c>
      <c r="G183" s="57" t="str">
        <f t="shared" si="21"/>
        <v>12 DICEMBRE 2023</v>
      </c>
      <c r="H183" s="59">
        <v>135.5</v>
      </c>
      <c r="I183" s="59" t="s">
        <v>1016</v>
      </c>
      <c r="J183" s="28"/>
    </row>
    <row r="184" spans="1:10">
      <c r="A184" s="57" t="s">
        <v>1031</v>
      </c>
      <c r="B184" s="57" t="s">
        <v>1011</v>
      </c>
      <c r="C184" s="57" t="s">
        <v>173</v>
      </c>
      <c r="D184" s="57">
        <v>2023</v>
      </c>
      <c r="E184" s="58">
        <f t="shared" si="26"/>
        <v>12</v>
      </c>
      <c r="F184" s="57" t="str">
        <f t="shared" si="20"/>
        <v>DICEMBRE 2023</v>
      </c>
      <c r="G184" s="57" t="str">
        <f t="shared" si="21"/>
        <v>12 DICEMBRE 2023</v>
      </c>
      <c r="H184" s="59">
        <v>44.5</v>
      </c>
      <c r="I184" s="59" t="s">
        <v>1019</v>
      </c>
      <c r="J184" s="28"/>
    </row>
    <row r="185" spans="1:10">
      <c r="A185" s="57" t="s">
        <v>721</v>
      </c>
      <c r="B185" s="57" t="s">
        <v>1011</v>
      </c>
      <c r="C185" s="57" t="s">
        <v>200</v>
      </c>
      <c r="D185" s="57">
        <v>2023</v>
      </c>
      <c r="E185" s="58">
        <f t="shared" si="26"/>
        <v>11</v>
      </c>
      <c r="F185" s="57" t="str">
        <f t="shared" si="20"/>
        <v>NOVEMBRE 2023</v>
      </c>
      <c r="G185" s="57" t="str">
        <f t="shared" si="21"/>
        <v>11 NOVEMBRE 2023</v>
      </c>
      <c r="H185" s="59">
        <v>253.16</v>
      </c>
      <c r="I185" s="59" t="s">
        <v>1020</v>
      </c>
      <c r="J185" s="28"/>
    </row>
    <row r="186" spans="1:10">
      <c r="A186" s="57" t="s">
        <v>1029</v>
      </c>
      <c r="B186" s="57" t="s">
        <v>1011</v>
      </c>
      <c r="C186" s="57" t="s">
        <v>200</v>
      </c>
      <c r="D186" s="57">
        <v>2023</v>
      </c>
      <c r="E186" s="58">
        <f t="shared" si="26"/>
        <v>11</v>
      </c>
      <c r="F186" s="57" t="str">
        <f t="shared" si="20"/>
        <v>NOVEMBRE 2023</v>
      </c>
      <c r="G186" s="57" t="str">
        <f t="shared" si="21"/>
        <v>11 NOVEMBRE 2023</v>
      </c>
      <c r="H186" s="59">
        <v>3.5</v>
      </c>
      <c r="I186" s="59" t="s">
        <v>1013</v>
      </c>
      <c r="J186" s="28"/>
    </row>
    <row r="187" spans="1:10">
      <c r="A187" s="57" t="s">
        <v>1030</v>
      </c>
      <c r="B187" s="57" t="s">
        <v>1025</v>
      </c>
      <c r="C187" s="57" t="s">
        <v>200</v>
      </c>
      <c r="D187" s="57">
        <v>2023</v>
      </c>
      <c r="E187" s="58">
        <f t="shared" si="26"/>
        <v>11</v>
      </c>
      <c r="F187" s="57" t="str">
        <f t="shared" ref="F187:F250" si="27">CONCATENATE(,C187," ",D187)</f>
        <v>NOVEMBRE 2023</v>
      </c>
      <c r="G187" s="57" t="str">
        <f t="shared" ref="G187:G250" si="28">CONCATENATE(E187," ",F187)</f>
        <v>11 NOVEMBRE 2023</v>
      </c>
      <c r="H187" s="59">
        <v>-870</v>
      </c>
      <c r="I187" s="59" t="s">
        <v>1012</v>
      </c>
      <c r="J187" s="28"/>
    </row>
    <row r="188" spans="1:10">
      <c r="A188" s="57" t="s">
        <v>1022</v>
      </c>
      <c r="B188" s="57" t="s">
        <v>1011</v>
      </c>
      <c r="C188" s="57" t="s">
        <v>200</v>
      </c>
      <c r="D188" s="57">
        <v>2023</v>
      </c>
      <c r="E188" s="58">
        <f t="shared" si="26"/>
        <v>11</v>
      </c>
      <c r="F188" s="57" t="str">
        <f t="shared" si="27"/>
        <v>NOVEMBRE 2023</v>
      </c>
      <c r="G188" s="57" t="str">
        <f t="shared" si="28"/>
        <v>11 NOVEMBRE 2023</v>
      </c>
      <c r="H188" s="59">
        <v>630.59</v>
      </c>
      <c r="I188" s="59" t="s">
        <v>1022</v>
      </c>
      <c r="J188" s="28"/>
    </row>
    <row r="189" spans="1:10">
      <c r="A189" s="57" t="s">
        <v>1036</v>
      </c>
      <c r="B189" s="57" t="s">
        <v>1011</v>
      </c>
      <c r="C189" s="57" t="s">
        <v>200</v>
      </c>
      <c r="D189" s="57">
        <v>2023</v>
      </c>
      <c r="E189" s="58">
        <f t="shared" si="26"/>
        <v>11</v>
      </c>
      <c r="F189" s="57" t="str">
        <f t="shared" si="27"/>
        <v>NOVEMBRE 2023</v>
      </c>
      <c r="G189" s="57" t="str">
        <f t="shared" si="28"/>
        <v>11 NOVEMBRE 2023</v>
      </c>
      <c r="H189" s="59">
        <v>51.06</v>
      </c>
      <c r="I189" s="59" t="s">
        <v>1015</v>
      </c>
      <c r="J189" s="28"/>
    </row>
    <row r="190" spans="1:10">
      <c r="A190" s="57" t="s">
        <v>1034</v>
      </c>
      <c r="B190" s="57" t="s">
        <v>1011</v>
      </c>
      <c r="C190" s="57" t="s">
        <v>200</v>
      </c>
      <c r="D190" s="57">
        <v>2023</v>
      </c>
      <c r="E190" s="58">
        <f t="shared" si="26"/>
        <v>11</v>
      </c>
      <c r="F190" s="57" t="str">
        <f t="shared" si="27"/>
        <v>NOVEMBRE 2023</v>
      </c>
      <c r="G190" s="57" t="str">
        <f t="shared" si="28"/>
        <v>11 NOVEMBRE 2023</v>
      </c>
      <c r="H190" s="59">
        <v>135.5</v>
      </c>
      <c r="I190" s="59" t="s">
        <v>1016</v>
      </c>
      <c r="J190" s="28"/>
    </row>
    <row r="191" spans="1:10">
      <c r="A191" s="57" t="s">
        <v>1031</v>
      </c>
      <c r="B191" s="57" t="s">
        <v>1011</v>
      </c>
      <c r="C191" s="57" t="s">
        <v>200</v>
      </c>
      <c r="D191" s="57">
        <v>2023</v>
      </c>
      <c r="E191" s="58">
        <f t="shared" si="26"/>
        <v>11</v>
      </c>
      <c r="F191" s="57" t="str">
        <f t="shared" si="27"/>
        <v>NOVEMBRE 2023</v>
      </c>
      <c r="G191" s="57" t="str">
        <f t="shared" si="28"/>
        <v>11 NOVEMBRE 2023</v>
      </c>
      <c r="H191" s="59">
        <v>44.5</v>
      </c>
      <c r="I191" s="59" t="s">
        <v>1019</v>
      </c>
      <c r="J191" s="28"/>
    </row>
    <row r="192" spans="1:10">
      <c r="A192" s="57" t="s">
        <v>1029</v>
      </c>
      <c r="B192" s="57" t="s">
        <v>1011</v>
      </c>
      <c r="C192" s="57" t="s">
        <v>217</v>
      </c>
      <c r="D192" s="57">
        <v>2023</v>
      </c>
      <c r="E192" s="58">
        <f t="shared" si="26"/>
        <v>10</v>
      </c>
      <c r="F192" s="57" t="str">
        <f t="shared" si="27"/>
        <v>OTTOBRE 2023</v>
      </c>
      <c r="G192" s="57" t="str">
        <f t="shared" si="28"/>
        <v>10 OTTOBRE 2023</v>
      </c>
      <c r="H192" s="59">
        <v>3.5</v>
      </c>
      <c r="I192" s="59" t="s">
        <v>1013</v>
      </c>
      <c r="J192" s="28"/>
    </row>
    <row r="193" spans="1:10">
      <c r="A193" s="57" t="s">
        <v>1030</v>
      </c>
      <c r="B193" s="57" t="s">
        <v>1025</v>
      </c>
      <c r="C193" s="57" t="s">
        <v>217</v>
      </c>
      <c r="D193" s="57">
        <v>2023</v>
      </c>
      <c r="E193" s="58">
        <f t="shared" si="26"/>
        <v>10</v>
      </c>
      <c r="F193" s="57" t="str">
        <f t="shared" si="27"/>
        <v>OTTOBRE 2023</v>
      </c>
      <c r="G193" s="57" t="str">
        <f t="shared" si="28"/>
        <v>10 OTTOBRE 2023</v>
      </c>
      <c r="H193" s="59">
        <v>-870</v>
      </c>
      <c r="I193" s="59" t="s">
        <v>1012</v>
      </c>
      <c r="J193" s="28"/>
    </row>
    <row r="194" spans="1:10">
      <c r="A194" s="57" t="s">
        <v>1022</v>
      </c>
      <c r="B194" s="57" t="s">
        <v>1011</v>
      </c>
      <c r="C194" s="57" t="s">
        <v>217</v>
      </c>
      <c r="D194" s="57">
        <v>2023</v>
      </c>
      <c r="E194" s="58">
        <f t="shared" si="26"/>
        <v>10</v>
      </c>
      <c r="F194" s="57" t="str">
        <f t="shared" si="27"/>
        <v>OTTOBRE 2023</v>
      </c>
      <c r="G194" s="57" t="str">
        <f t="shared" si="28"/>
        <v>10 OTTOBRE 2023</v>
      </c>
      <c r="H194" s="59">
        <v>630.71</v>
      </c>
      <c r="I194" s="59" t="s">
        <v>1022</v>
      </c>
      <c r="J194" s="28"/>
    </row>
    <row r="195" spans="1:10">
      <c r="A195" s="57" t="s">
        <v>1036</v>
      </c>
      <c r="B195" s="57" t="s">
        <v>1011</v>
      </c>
      <c r="C195" s="57" t="s">
        <v>217</v>
      </c>
      <c r="D195" s="57">
        <v>2023</v>
      </c>
      <c r="E195" s="58">
        <f t="shared" si="26"/>
        <v>10</v>
      </c>
      <c r="F195" s="57" t="str">
        <f t="shared" si="27"/>
        <v>OTTOBRE 2023</v>
      </c>
      <c r="G195" s="57" t="str">
        <f t="shared" si="28"/>
        <v>10 OTTOBRE 2023</v>
      </c>
      <c r="H195" s="59">
        <v>51.06</v>
      </c>
      <c r="I195" s="59" t="s">
        <v>1015</v>
      </c>
      <c r="J195" s="28"/>
    </row>
    <row r="196" spans="1:10">
      <c r="A196" s="57" t="s">
        <v>1034</v>
      </c>
      <c r="B196" s="57" t="s">
        <v>1011</v>
      </c>
      <c r="C196" s="57" t="s">
        <v>217</v>
      </c>
      <c r="D196" s="57">
        <v>2023</v>
      </c>
      <c r="E196" s="58">
        <f t="shared" si="26"/>
        <v>10</v>
      </c>
      <c r="F196" s="57" t="str">
        <f t="shared" si="27"/>
        <v>OTTOBRE 2023</v>
      </c>
      <c r="G196" s="57" t="str">
        <f t="shared" si="28"/>
        <v>10 OTTOBRE 2023</v>
      </c>
      <c r="H196" s="59">
        <v>135.5</v>
      </c>
      <c r="I196" s="59" t="s">
        <v>1016</v>
      </c>
      <c r="J196" s="28"/>
    </row>
    <row r="197" spans="1:10">
      <c r="A197" s="57" t="s">
        <v>1031</v>
      </c>
      <c r="B197" s="57" t="s">
        <v>1011</v>
      </c>
      <c r="C197" s="57" t="s">
        <v>217</v>
      </c>
      <c r="D197" s="57">
        <v>2023</v>
      </c>
      <c r="E197" s="58">
        <f t="shared" si="26"/>
        <v>10</v>
      </c>
      <c r="F197" s="57" t="str">
        <f t="shared" si="27"/>
        <v>OTTOBRE 2023</v>
      </c>
      <c r="G197" s="57" t="str">
        <f t="shared" si="28"/>
        <v>10 OTTOBRE 2023</v>
      </c>
      <c r="H197" s="59">
        <v>44.5</v>
      </c>
      <c r="I197" s="59" t="s">
        <v>1019</v>
      </c>
      <c r="J197" s="28"/>
    </row>
    <row r="198" spans="1:10">
      <c r="A198" s="57" t="s">
        <v>1029</v>
      </c>
      <c r="B198" s="57" t="s">
        <v>1011</v>
      </c>
      <c r="C198" s="57" t="s">
        <v>240</v>
      </c>
      <c r="D198" s="57">
        <v>2023</v>
      </c>
      <c r="E198" s="58">
        <f t="shared" si="26"/>
        <v>9</v>
      </c>
      <c r="F198" s="57" t="str">
        <f t="shared" si="27"/>
        <v>SETTEMBRE 2023</v>
      </c>
      <c r="G198" s="57" t="str">
        <f t="shared" si="28"/>
        <v>9 SETTEMBRE 2023</v>
      </c>
      <c r="H198" s="59">
        <v>3.5</v>
      </c>
      <c r="I198" s="59" t="s">
        <v>1013</v>
      </c>
      <c r="J198" s="28"/>
    </row>
    <row r="199" spans="1:10">
      <c r="A199" s="57" t="s">
        <v>1030</v>
      </c>
      <c r="B199" s="57" t="s">
        <v>1025</v>
      </c>
      <c r="C199" s="57" t="s">
        <v>240</v>
      </c>
      <c r="D199" s="57">
        <v>2023</v>
      </c>
      <c r="E199" s="58">
        <f t="shared" si="26"/>
        <v>9</v>
      </c>
      <c r="F199" s="57" t="str">
        <f t="shared" si="27"/>
        <v>SETTEMBRE 2023</v>
      </c>
      <c r="G199" s="57" t="str">
        <f t="shared" si="28"/>
        <v>9 SETTEMBRE 2023</v>
      </c>
      <c r="H199" s="59">
        <v>-870</v>
      </c>
      <c r="I199" s="59" t="s">
        <v>1012</v>
      </c>
      <c r="J199" s="28"/>
    </row>
    <row r="200" spans="1:10">
      <c r="A200" s="57" t="s">
        <v>1022</v>
      </c>
      <c r="B200" s="57" t="s">
        <v>1011</v>
      </c>
      <c r="C200" s="57" t="s">
        <v>240</v>
      </c>
      <c r="D200" s="57">
        <v>2023</v>
      </c>
      <c r="E200" s="58">
        <f t="shared" si="26"/>
        <v>9</v>
      </c>
      <c r="F200" s="57" t="str">
        <f t="shared" si="27"/>
        <v>SETTEMBRE 2023</v>
      </c>
      <c r="G200" s="57" t="str">
        <f t="shared" si="28"/>
        <v>9 SETTEMBRE 2023</v>
      </c>
      <c r="H200" s="59">
        <v>630.65</v>
      </c>
      <c r="I200" s="59" t="s">
        <v>1022</v>
      </c>
      <c r="J200" s="28"/>
    </row>
    <row r="201" spans="1:10">
      <c r="A201" s="57" t="s">
        <v>1036</v>
      </c>
      <c r="B201" s="57" t="s">
        <v>1011</v>
      </c>
      <c r="C201" s="57" t="s">
        <v>240</v>
      </c>
      <c r="D201" s="57">
        <v>2023</v>
      </c>
      <c r="E201" s="58">
        <f t="shared" si="26"/>
        <v>9</v>
      </c>
      <c r="F201" s="57" t="str">
        <f t="shared" si="27"/>
        <v>SETTEMBRE 2023</v>
      </c>
      <c r="G201" s="57" t="str">
        <f t="shared" si="28"/>
        <v>9 SETTEMBRE 2023</v>
      </c>
      <c r="H201" s="59">
        <v>51.06</v>
      </c>
      <c r="I201" s="59" t="s">
        <v>1015</v>
      </c>
      <c r="J201" s="28"/>
    </row>
    <row r="202" spans="1:10">
      <c r="A202" s="57" t="s">
        <v>1034</v>
      </c>
      <c r="B202" s="57" t="s">
        <v>1011</v>
      </c>
      <c r="C202" s="57" t="s">
        <v>240</v>
      </c>
      <c r="D202" s="57">
        <v>2023</v>
      </c>
      <c r="E202" s="58">
        <f t="shared" si="26"/>
        <v>9</v>
      </c>
      <c r="F202" s="57" t="str">
        <f t="shared" si="27"/>
        <v>SETTEMBRE 2023</v>
      </c>
      <c r="G202" s="57" t="str">
        <f t="shared" si="28"/>
        <v>9 SETTEMBRE 2023</v>
      </c>
      <c r="H202" s="59">
        <v>135.5</v>
      </c>
      <c r="I202" s="59" t="s">
        <v>1016</v>
      </c>
      <c r="J202" s="28"/>
    </row>
    <row r="203" spans="1:10">
      <c r="A203" s="57" t="s">
        <v>1031</v>
      </c>
      <c r="B203" s="57" t="s">
        <v>1011</v>
      </c>
      <c r="C203" s="57" t="s">
        <v>240</v>
      </c>
      <c r="D203" s="57">
        <v>2023</v>
      </c>
      <c r="E203" s="58">
        <f t="shared" si="26"/>
        <v>9</v>
      </c>
      <c r="F203" s="57" t="str">
        <f t="shared" si="27"/>
        <v>SETTEMBRE 2023</v>
      </c>
      <c r="G203" s="57" t="str">
        <f t="shared" si="28"/>
        <v>9 SETTEMBRE 2023</v>
      </c>
      <c r="H203" s="59">
        <v>44.5</v>
      </c>
      <c r="I203" s="59" t="s">
        <v>1019</v>
      </c>
      <c r="J203" s="28"/>
    </row>
    <row r="204" spans="1:10">
      <c r="A204" s="57" t="s">
        <v>1029</v>
      </c>
      <c r="B204" s="57" t="s">
        <v>1011</v>
      </c>
      <c r="C204" s="57" t="s">
        <v>261</v>
      </c>
      <c r="D204" s="57">
        <v>2023</v>
      </c>
      <c r="E204" s="58">
        <f t="shared" si="26"/>
        <v>8</v>
      </c>
      <c r="F204" s="57" t="str">
        <f t="shared" si="27"/>
        <v>AGOSTO 2023</v>
      </c>
      <c r="G204" s="57" t="str">
        <f t="shared" si="28"/>
        <v>8 AGOSTO 2023</v>
      </c>
      <c r="H204" s="59">
        <v>3.5</v>
      </c>
      <c r="I204" s="59" t="s">
        <v>1013</v>
      </c>
      <c r="J204" s="28"/>
    </row>
    <row r="205" spans="1:10">
      <c r="A205" s="57" t="s">
        <v>1030</v>
      </c>
      <c r="B205" s="57" t="s">
        <v>1025</v>
      </c>
      <c r="C205" s="57" t="s">
        <v>261</v>
      </c>
      <c r="D205" s="57">
        <v>2023</v>
      </c>
      <c r="E205" s="58">
        <f t="shared" si="26"/>
        <v>8</v>
      </c>
      <c r="F205" s="57" t="str">
        <f t="shared" si="27"/>
        <v>AGOSTO 2023</v>
      </c>
      <c r="G205" s="57" t="str">
        <f t="shared" si="28"/>
        <v>8 AGOSTO 2023</v>
      </c>
      <c r="H205" s="59">
        <v>-870</v>
      </c>
      <c r="I205" s="59" t="s">
        <v>1012</v>
      </c>
      <c r="J205" s="28"/>
    </row>
    <row r="206" spans="1:10">
      <c r="A206" s="57" t="s">
        <v>1022</v>
      </c>
      <c r="B206" s="57" t="s">
        <v>1011</v>
      </c>
      <c r="C206" s="57" t="s">
        <v>261</v>
      </c>
      <c r="D206" s="57">
        <v>2023</v>
      </c>
      <c r="E206" s="58">
        <f t="shared" si="26"/>
        <v>8</v>
      </c>
      <c r="F206" s="57" t="str">
        <f t="shared" si="27"/>
        <v>AGOSTO 2023</v>
      </c>
      <c r="G206" s="57" t="str">
        <f t="shared" si="28"/>
        <v>8 AGOSTO 2023</v>
      </c>
      <c r="H206" s="59">
        <v>630.96</v>
      </c>
      <c r="I206" s="59" t="s">
        <v>1022</v>
      </c>
      <c r="J206" s="28"/>
    </row>
    <row r="207" spans="1:10">
      <c r="A207" s="57" t="s">
        <v>1036</v>
      </c>
      <c r="B207" s="57" t="s">
        <v>1011</v>
      </c>
      <c r="C207" s="57" t="s">
        <v>261</v>
      </c>
      <c r="D207" s="57">
        <v>2023</v>
      </c>
      <c r="E207" s="58">
        <f t="shared" si="26"/>
        <v>8</v>
      </c>
      <c r="F207" s="57" t="str">
        <f t="shared" si="27"/>
        <v>AGOSTO 2023</v>
      </c>
      <c r="G207" s="57" t="str">
        <f t="shared" si="28"/>
        <v>8 AGOSTO 2023</v>
      </c>
      <c r="H207" s="59">
        <v>51.06</v>
      </c>
      <c r="I207" s="59" t="s">
        <v>1015</v>
      </c>
      <c r="J207" s="28"/>
    </row>
    <row r="208" spans="1:10">
      <c r="A208" s="57" t="s">
        <v>1034</v>
      </c>
      <c r="B208" s="57" t="s">
        <v>1011</v>
      </c>
      <c r="C208" s="57" t="s">
        <v>261</v>
      </c>
      <c r="D208" s="57">
        <v>2023</v>
      </c>
      <c r="E208" s="58">
        <f t="shared" si="26"/>
        <v>8</v>
      </c>
      <c r="F208" s="57" t="str">
        <f t="shared" si="27"/>
        <v>AGOSTO 2023</v>
      </c>
      <c r="G208" s="57" t="str">
        <f t="shared" si="28"/>
        <v>8 AGOSTO 2023</v>
      </c>
      <c r="H208" s="59">
        <v>135.5</v>
      </c>
      <c r="I208" s="59" t="s">
        <v>1016</v>
      </c>
      <c r="J208" s="28"/>
    </row>
    <row r="209" spans="1:10">
      <c r="A209" s="57" t="s">
        <v>1031</v>
      </c>
      <c r="B209" s="57" t="s">
        <v>1011</v>
      </c>
      <c r="C209" s="57" t="s">
        <v>261</v>
      </c>
      <c r="D209" s="57">
        <v>2023</v>
      </c>
      <c r="E209" s="58">
        <f t="shared" si="26"/>
        <v>8</v>
      </c>
      <c r="F209" s="57" t="str">
        <f t="shared" si="27"/>
        <v>AGOSTO 2023</v>
      </c>
      <c r="G209" s="57" t="str">
        <f t="shared" si="28"/>
        <v>8 AGOSTO 2023</v>
      </c>
      <c r="H209" s="59">
        <v>44.5</v>
      </c>
      <c r="I209" s="59" t="s">
        <v>1019</v>
      </c>
      <c r="J209" s="28"/>
    </row>
    <row r="210" spans="1:10">
      <c r="A210" s="57" t="s">
        <v>1029</v>
      </c>
      <c r="B210" s="57" t="s">
        <v>1011</v>
      </c>
      <c r="C210" s="57" t="s">
        <v>288</v>
      </c>
      <c r="D210" s="57">
        <v>2023</v>
      </c>
      <c r="E210" s="58">
        <f t="shared" si="26"/>
        <v>7</v>
      </c>
      <c r="F210" s="57" t="str">
        <f t="shared" si="27"/>
        <v>LUGLIO 2023</v>
      </c>
      <c r="G210" s="57" t="str">
        <f t="shared" si="28"/>
        <v>7 LUGLIO 2023</v>
      </c>
      <c r="H210" s="59">
        <v>3.5</v>
      </c>
      <c r="I210" s="59" t="s">
        <v>1013</v>
      </c>
      <c r="J210" s="28"/>
    </row>
    <row r="211" spans="1:10">
      <c r="A211" s="57" t="s">
        <v>1030</v>
      </c>
      <c r="B211" s="57" t="s">
        <v>1025</v>
      </c>
      <c r="C211" s="57" t="s">
        <v>288</v>
      </c>
      <c r="D211" s="57">
        <v>2023</v>
      </c>
      <c r="E211" s="58">
        <f t="shared" si="26"/>
        <v>7</v>
      </c>
      <c r="F211" s="57" t="str">
        <f t="shared" si="27"/>
        <v>LUGLIO 2023</v>
      </c>
      <c r="G211" s="57" t="str">
        <f t="shared" si="28"/>
        <v>7 LUGLIO 2023</v>
      </c>
      <c r="H211" s="59">
        <v>-870</v>
      </c>
      <c r="I211" s="59" t="s">
        <v>1012</v>
      </c>
      <c r="J211" s="28"/>
    </row>
    <row r="212" spans="1:10">
      <c r="A212" s="57" t="s">
        <v>1022</v>
      </c>
      <c r="B212" s="57" t="s">
        <v>1011</v>
      </c>
      <c r="C212" s="57" t="s">
        <v>288</v>
      </c>
      <c r="D212" s="57">
        <v>2023</v>
      </c>
      <c r="E212" s="58">
        <f t="shared" si="26"/>
        <v>7</v>
      </c>
      <c r="F212" s="57" t="str">
        <f t="shared" si="27"/>
        <v>LUGLIO 2023</v>
      </c>
      <c r="G212" s="57" t="str">
        <f t="shared" si="28"/>
        <v>7 LUGLIO 2023</v>
      </c>
      <c r="H212" s="59">
        <v>630.65</v>
      </c>
      <c r="I212" s="59" t="s">
        <v>1022</v>
      </c>
      <c r="J212" s="28"/>
    </row>
    <row r="213" spans="1:10">
      <c r="A213" s="57" t="s">
        <v>1036</v>
      </c>
      <c r="B213" s="57" t="s">
        <v>1011</v>
      </c>
      <c r="C213" s="57" t="s">
        <v>288</v>
      </c>
      <c r="D213" s="57">
        <v>2023</v>
      </c>
      <c r="E213" s="58">
        <f t="shared" si="26"/>
        <v>7</v>
      </c>
      <c r="F213" s="57" t="str">
        <f t="shared" si="27"/>
        <v>LUGLIO 2023</v>
      </c>
      <c r="G213" s="57" t="str">
        <f t="shared" si="28"/>
        <v>7 LUGLIO 2023</v>
      </c>
      <c r="H213" s="59">
        <v>51.06</v>
      </c>
      <c r="I213" s="59" t="s">
        <v>1015</v>
      </c>
      <c r="J213" s="28"/>
    </row>
    <row r="214" spans="1:10">
      <c r="A214" s="57" t="s">
        <v>1034</v>
      </c>
      <c r="B214" s="57" t="s">
        <v>1011</v>
      </c>
      <c r="C214" s="57" t="s">
        <v>288</v>
      </c>
      <c r="D214" s="57">
        <v>2023</v>
      </c>
      <c r="E214" s="58">
        <f t="shared" si="26"/>
        <v>7</v>
      </c>
      <c r="F214" s="57" t="str">
        <f t="shared" si="27"/>
        <v>LUGLIO 2023</v>
      </c>
      <c r="G214" s="57" t="str">
        <f t="shared" si="28"/>
        <v>7 LUGLIO 2023</v>
      </c>
      <c r="H214" s="59">
        <v>135.5</v>
      </c>
      <c r="I214" s="59" t="s">
        <v>1016</v>
      </c>
      <c r="J214" s="28"/>
    </row>
    <row r="215" spans="1:10">
      <c r="A215" s="57" t="s">
        <v>1031</v>
      </c>
      <c r="B215" s="57" t="s">
        <v>1011</v>
      </c>
      <c r="C215" s="57" t="s">
        <v>288</v>
      </c>
      <c r="D215" s="57">
        <v>2023</v>
      </c>
      <c r="E215" s="58">
        <f t="shared" si="26"/>
        <v>7</v>
      </c>
      <c r="F215" s="57" t="str">
        <f t="shared" si="27"/>
        <v>LUGLIO 2023</v>
      </c>
      <c r="G215" s="57" t="str">
        <f t="shared" si="28"/>
        <v>7 LUGLIO 2023</v>
      </c>
      <c r="H215" s="59">
        <v>44.5</v>
      </c>
      <c r="I215" s="59" t="s">
        <v>1019</v>
      </c>
      <c r="J215" s="28"/>
    </row>
    <row r="216" spans="1:10">
      <c r="A216" s="57" t="s">
        <v>1029</v>
      </c>
      <c r="B216" s="57" t="s">
        <v>1011</v>
      </c>
      <c r="C216" s="57" t="s">
        <v>314</v>
      </c>
      <c r="D216" s="57">
        <v>2023</v>
      </c>
      <c r="E216" s="58">
        <f t="shared" si="26"/>
        <v>6</v>
      </c>
      <c r="F216" s="57" t="str">
        <f t="shared" si="27"/>
        <v>GIUGNO 2023</v>
      </c>
      <c r="G216" s="57" t="str">
        <f t="shared" si="28"/>
        <v>6 GIUGNO 2023</v>
      </c>
      <c r="H216" s="59">
        <v>3.5</v>
      </c>
      <c r="I216" s="59" t="s">
        <v>1013</v>
      </c>
      <c r="J216" s="28"/>
    </row>
    <row r="217" spans="1:10">
      <c r="A217" s="57" t="s">
        <v>1030</v>
      </c>
      <c r="B217" s="57" t="s">
        <v>1025</v>
      </c>
      <c r="C217" s="57" t="s">
        <v>314</v>
      </c>
      <c r="D217" s="57">
        <v>2023</v>
      </c>
      <c r="E217" s="58">
        <f t="shared" si="26"/>
        <v>6</v>
      </c>
      <c r="F217" s="57" t="str">
        <f t="shared" si="27"/>
        <v>GIUGNO 2023</v>
      </c>
      <c r="G217" s="57" t="str">
        <f t="shared" si="28"/>
        <v>6 GIUGNO 2023</v>
      </c>
      <c r="H217" s="59">
        <v>-870</v>
      </c>
      <c r="I217" s="59" t="s">
        <v>1012</v>
      </c>
      <c r="J217" s="28"/>
    </row>
    <row r="218" spans="1:10">
      <c r="A218" s="57" t="s">
        <v>1022</v>
      </c>
      <c r="B218" s="57" t="s">
        <v>1011</v>
      </c>
      <c r="C218" s="57" t="s">
        <v>314</v>
      </c>
      <c r="D218" s="57">
        <v>2023</v>
      </c>
      <c r="E218" s="58">
        <f t="shared" si="26"/>
        <v>6</v>
      </c>
      <c r="F218" s="57" t="str">
        <f t="shared" si="27"/>
        <v>GIUGNO 2023</v>
      </c>
      <c r="G218" s="57" t="str">
        <f t="shared" si="28"/>
        <v>6 GIUGNO 2023</v>
      </c>
      <c r="H218" s="59">
        <v>630.53</v>
      </c>
      <c r="I218" s="59" t="s">
        <v>1022</v>
      </c>
      <c r="J218" s="28"/>
    </row>
    <row r="219" spans="1:10">
      <c r="A219" s="57" t="s">
        <v>1036</v>
      </c>
      <c r="B219" s="57" t="s">
        <v>1011</v>
      </c>
      <c r="C219" s="57" t="s">
        <v>314</v>
      </c>
      <c r="D219" s="57">
        <v>2023</v>
      </c>
      <c r="E219" s="58">
        <f t="shared" si="26"/>
        <v>6</v>
      </c>
      <c r="F219" s="57" t="str">
        <f t="shared" si="27"/>
        <v>GIUGNO 2023</v>
      </c>
      <c r="G219" s="57" t="str">
        <f t="shared" si="28"/>
        <v>6 GIUGNO 2023</v>
      </c>
      <c r="H219" s="59">
        <v>51.06</v>
      </c>
      <c r="I219" s="59" t="s">
        <v>1015</v>
      </c>
      <c r="J219" s="28"/>
    </row>
    <row r="220" spans="1:10">
      <c r="A220" s="57" t="s">
        <v>1034</v>
      </c>
      <c r="B220" s="57" t="s">
        <v>1011</v>
      </c>
      <c r="C220" s="57" t="s">
        <v>314</v>
      </c>
      <c r="D220" s="57">
        <v>2023</v>
      </c>
      <c r="E220" s="58">
        <f t="shared" si="26"/>
        <v>6</v>
      </c>
      <c r="F220" s="57" t="str">
        <f t="shared" si="27"/>
        <v>GIUGNO 2023</v>
      </c>
      <c r="G220" s="57" t="str">
        <f t="shared" si="28"/>
        <v>6 GIUGNO 2023</v>
      </c>
      <c r="H220" s="59">
        <v>135.5</v>
      </c>
      <c r="I220" s="59" t="s">
        <v>1016</v>
      </c>
      <c r="J220" s="28"/>
    </row>
    <row r="221" spans="1:10">
      <c r="A221" s="57" t="s">
        <v>1031</v>
      </c>
      <c r="B221" s="57" t="s">
        <v>1011</v>
      </c>
      <c r="C221" s="57" t="s">
        <v>314</v>
      </c>
      <c r="D221" s="57">
        <v>2023</v>
      </c>
      <c r="E221" s="58">
        <f t="shared" si="26"/>
        <v>6</v>
      </c>
      <c r="F221" s="57" t="str">
        <f t="shared" si="27"/>
        <v>GIUGNO 2023</v>
      </c>
      <c r="G221" s="57" t="str">
        <f t="shared" si="28"/>
        <v>6 GIUGNO 2023</v>
      </c>
      <c r="H221" s="59">
        <v>44.5</v>
      </c>
      <c r="I221" s="59" t="s">
        <v>1019</v>
      </c>
      <c r="J221" s="28"/>
    </row>
    <row r="222" spans="1:10">
      <c r="A222" s="57" t="s">
        <v>1029</v>
      </c>
      <c r="B222" s="57" t="s">
        <v>1011</v>
      </c>
      <c r="C222" s="57" t="s">
        <v>333</v>
      </c>
      <c r="D222" s="57">
        <v>2023</v>
      </c>
      <c r="E222" s="58">
        <f t="shared" si="26"/>
        <v>5</v>
      </c>
      <c r="F222" s="57" t="str">
        <f t="shared" si="27"/>
        <v>MAGGIO 2023</v>
      </c>
      <c r="G222" s="57" t="str">
        <f t="shared" si="28"/>
        <v>5 MAGGIO 2023</v>
      </c>
      <c r="H222" s="59">
        <v>3.5</v>
      </c>
      <c r="I222" s="59" t="s">
        <v>1013</v>
      </c>
      <c r="J222" s="28"/>
    </row>
    <row r="223" spans="1:10">
      <c r="A223" s="57" t="s">
        <v>1030</v>
      </c>
      <c r="B223" s="57" t="s">
        <v>1025</v>
      </c>
      <c r="C223" s="57" t="s">
        <v>333</v>
      </c>
      <c r="D223" s="57">
        <v>2023</v>
      </c>
      <c r="E223" s="58">
        <f t="shared" si="26"/>
        <v>5</v>
      </c>
      <c r="F223" s="57" t="str">
        <f t="shared" si="27"/>
        <v>MAGGIO 2023</v>
      </c>
      <c r="G223" s="57" t="str">
        <f t="shared" si="28"/>
        <v>5 MAGGIO 2023</v>
      </c>
      <c r="H223" s="59">
        <v>-870</v>
      </c>
      <c r="I223" s="59" t="s">
        <v>1012</v>
      </c>
      <c r="J223" s="28"/>
    </row>
    <row r="224" spans="1:10">
      <c r="A224" s="57" t="s">
        <v>1022</v>
      </c>
      <c r="B224" s="57" t="s">
        <v>1011</v>
      </c>
      <c r="C224" s="57" t="s">
        <v>333</v>
      </c>
      <c r="D224" s="57">
        <v>2023</v>
      </c>
      <c r="E224" s="58">
        <f t="shared" si="26"/>
        <v>5</v>
      </c>
      <c r="F224" s="57" t="str">
        <f t="shared" si="27"/>
        <v>MAGGIO 2023</v>
      </c>
      <c r="G224" s="57" t="str">
        <f t="shared" si="28"/>
        <v>5 MAGGIO 2023</v>
      </c>
      <c r="H224" s="59">
        <v>630.71</v>
      </c>
      <c r="I224" s="59" t="s">
        <v>1022</v>
      </c>
      <c r="J224" s="28"/>
    </row>
    <row r="225" spans="1:10">
      <c r="A225" s="57" t="s">
        <v>1036</v>
      </c>
      <c r="B225" s="57" t="s">
        <v>1011</v>
      </c>
      <c r="C225" s="57" t="s">
        <v>333</v>
      </c>
      <c r="D225" s="57">
        <v>2023</v>
      </c>
      <c r="E225" s="58">
        <f t="shared" si="26"/>
        <v>5</v>
      </c>
      <c r="F225" s="57" t="str">
        <f t="shared" si="27"/>
        <v>MAGGIO 2023</v>
      </c>
      <c r="G225" s="57" t="str">
        <f t="shared" si="28"/>
        <v>5 MAGGIO 2023</v>
      </c>
      <c r="H225" s="59">
        <v>51.06</v>
      </c>
      <c r="I225" s="59" t="s">
        <v>1015</v>
      </c>
      <c r="J225" s="28"/>
    </row>
    <row r="226" spans="1:10">
      <c r="A226" s="57" t="s">
        <v>1034</v>
      </c>
      <c r="B226" s="57" t="s">
        <v>1011</v>
      </c>
      <c r="C226" s="57" t="s">
        <v>333</v>
      </c>
      <c r="D226" s="57">
        <v>2023</v>
      </c>
      <c r="E226" s="58">
        <f t="shared" si="26"/>
        <v>5</v>
      </c>
      <c r="F226" s="57" t="str">
        <f t="shared" si="27"/>
        <v>MAGGIO 2023</v>
      </c>
      <c r="G226" s="57" t="str">
        <f t="shared" si="28"/>
        <v>5 MAGGIO 2023</v>
      </c>
      <c r="H226" s="59">
        <v>135.5</v>
      </c>
      <c r="I226" s="59" t="s">
        <v>1016</v>
      </c>
      <c r="J226" s="28"/>
    </row>
    <row r="227" spans="1:10">
      <c r="A227" s="57" t="s">
        <v>1031</v>
      </c>
      <c r="B227" s="57" t="s">
        <v>1011</v>
      </c>
      <c r="C227" s="57" t="s">
        <v>333</v>
      </c>
      <c r="D227" s="57">
        <v>2023</v>
      </c>
      <c r="E227" s="58">
        <f t="shared" si="26"/>
        <v>5</v>
      </c>
      <c r="F227" s="57" t="str">
        <f t="shared" si="27"/>
        <v>MAGGIO 2023</v>
      </c>
      <c r="G227" s="57" t="str">
        <f t="shared" si="28"/>
        <v>5 MAGGIO 2023</v>
      </c>
      <c r="H227" s="59">
        <v>44.5</v>
      </c>
      <c r="I227" s="59" t="s">
        <v>1019</v>
      </c>
      <c r="J227" s="28"/>
    </row>
    <row r="228" spans="1:10">
      <c r="A228" s="57" t="s">
        <v>1029</v>
      </c>
      <c r="B228" s="57" t="s">
        <v>1011</v>
      </c>
      <c r="C228" s="57" t="s">
        <v>352</v>
      </c>
      <c r="D228" s="57">
        <v>2023</v>
      </c>
      <c r="E228" s="58">
        <f t="shared" si="26"/>
        <v>4</v>
      </c>
      <c r="F228" s="57" t="str">
        <f t="shared" si="27"/>
        <v>APRILE 2023</v>
      </c>
      <c r="G228" s="57" t="str">
        <f t="shared" si="28"/>
        <v>4 APRILE 2023</v>
      </c>
      <c r="H228" s="59">
        <v>3.5</v>
      </c>
      <c r="I228" s="59" t="s">
        <v>1013</v>
      </c>
      <c r="J228" s="28"/>
    </row>
    <row r="229" spans="1:10">
      <c r="A229" s="57" t="s">
        <v>1030</v>
      </c>
      <c r="B229" s="57" t="s">
        <v>1025</v>
      </c>
      <c r="C229" s="57" t="s">
        <v>352</v>
      </c>
      <c r="D229" s="57">
        <v>2023</v>
      </c>
      <c r="E229" s="58">
        <f t="shared" si="26"/>
        <v>4</v>
      </c>
      <c r="F229" s="57" t="str">
        <f t="shared" si="27"/>
        <v>APRILE 2023</v>
      </c>
      <c r="G229" s="57" t="str">
        <f t="shared" si="28"/>
        <v>4 APRILE 2023</v>
      </c>
      <c r="H229" s="59">
        <v>-850</v>
      </c>
      <c r="I229" s="59" t="s">
        <v>1012</v>
      </c>
      <c r="J229" s="28"/>
    </row>
    <row r="230" spans="1:10">
      <c r="A230" s="57" t="s">
        <v>1022</v>
      </c>
      <c r="B230" s="57" t="s">
        <v>1011</v>
      </c>
      <c r="C230" s="57" t="s">
        <v>352</v>
      </c>
      <c r="D230" s="57">
        <v>2023</v>
      </c>
      <c r="E230" s="58">
        <f t="shared" si="26"/>
        <v>4</v>
      </c>
      <c r="F230" s="57" t="str">
        <f t="shared" si="27"/>
        <v>APRILE 2023</v>
      </c>
      <c r="G230" s="57" t="str">
        <f t="shared" si="28"/>
        <v>4 APRILE 2023</v>
      </c>
      <c r="H230" s="59">
        <v>630.65</v>
      </c>
      <c r="I230" s="59" t="s">
        <v>1022</v>
      </c>
      <c r="J230" s="28"/>
    </row>
    <row r="231" spans="1:10">
      <c r="A231" s="57" t="s">
        <v>1036</v>
      </c>
      <c r="B231" s="57" t="s">
        <v>1011</v>
      </c>
      <c r="C231" s="57" t="s">
        <v>333</v>
      </c>
      <c r="D231" s="57">
        <v>2023</v>
      </c>
      <c r="E231" s="58">
        <f t="shared" si="26"/>
        <v>5</v>
      </c>
      <c r="F231" s="57" t="str">
        <f t="shared" si="27"/>
        <v>MAGGIO 2023</v>
      </c>
      <c r="G231" s="57" t="str">
        <f t="shared" si="28"/>
        <v>5 MAGGIO 2023</v>
      </c>
      <c r="H231" s="59">
        <v>51.06</v>
      </c>
      <c r="I231" s="59" t="s">
        <v>1015</v>
      </c>
      <c r="J231" s="28"/>
    </row>
    <row r="232" spans="1:10">
      <c r="A232" s="57" t="s">
        <v>1034</v>
      </c>
      <c r="B232" s="57" t="s">
        <v>1011</v>
      </c>
      <c r="C232" s="57" t="s">
        <v>352</v>
      </c>
      <c r="D232" s="57">
        <v>2023</v>
      </c>
      <c r="E232" s="58">
        <f t="shared" si="26"/>
        <v>4</v>
      </c>
      <c r="F232" s="57" t="str">
        <f t="shared" si="27"/>
        <v>APRILE 2023</v>
      </c>
      <c r="G232" s="57" t="str">
        <f t="shared" si="28"/>
        <v>4 APRILE 2023</v>
      </c>
      <c r="H232" s="59">
        <v>135.5</v>
      </c>
      <c r="I232" s="59" t="s">
        <v>1016</v>
      </c>
      <c r="J232" s="28"/>
    </row>
    <row r="233" spans="1:10">
      <c r="A233" s="57" t="s">
        <v>1031</v>
      </c>
      <c r="B233" s="57" t="s">
        <v>1011</v>
      </c>
      <c r="C233" s="57" t="s">
        <v>352</v>
      </c>
      <c r="D233" s="57">
        <v>2023</v>
      </c>
      <c r="E233" s="58">
        <f t="shared" si="26"/>
        <v>4</v>
      </c>
      <c r="F233" s="57" t="str">
        <f t="shared" si="27"/>
        <v>APRILE 2023</v>
      </c>
      <c r="G233" s="57" t="str">
        <f t="shared" si="28"/>
        <v>4 APRILE 2023</v>
      </c>
      <c r="H233" s="59">
        <v>44.5</v>
      </c>
      <c r="I233" s="59" t="s">
        <v>1019</v>
      </c>
      <c r="J233" s="28"/>
    </row>
    <row r="234" spans="1:10">
      <c r="A234" s="57" t="s">
        <v>1032</v>
      </c>
      <c r="B234" s="57" t="s">
        <v>1011</v>
      </c>
      <c r="C234" s="57" t="s">
        <v>90</v>
      </c>
      <c r="D234" s="57">
        <v>2023</v>
      </c>
      <c r="E234" s="58">
        <f t="shared" si="26"/>
        <v>3</v>
      </c>
      <c r="F234" s="57" t="str">
        <f t="shared" si="27"/>
        <v>MARZO 2023</v>
      </c>
      <c r="G234" s="57" t="str">
        <f t="shared" si="28"/>
        <v>3 MARZO 2023</v>
      </c>
      <c r="H234" s="59">
        <v>1.58</v>
      </c>
      <c r="I234" s="59" t="s">
        <v>1013</v>
      </c>
      <c r="J234" s="28"/>
    </row>
    <row r="235" spans="1:10">
      <c r="A235" s="57" t="s">
        <v>1029</v>
      </c>
      <c r="B235" s="57" t="s">
        <v>1011</v>
      </c>
      <c r="C235" s="57" t="s">
        <v>90</v>
      </c>
      <c r="D235" s="57">
        <v>2023</v>
      </c>
      <c r="E235" s="58">
        <f t="shared" si="26"/>
        <v>3</v>
      </c>
      <c r="F235" s="57" t="str">
        <f t="shared" si="27"/>
        <v>MARZO 2023</v>
      </c>
      <c r="G235" s="57" t="str">
        <f t="shared" si="28"/>
        <v>3 MARZO 2023</v>
      </c>
      <c r="H235" s="59">
        <v>3.5</v>
      </c>
      <c r="I235" s="59" t="s">
        <v>1013</v>
      </c>
      <c r="J235" s="28"/>
    </row>
    <row r="236" spans="1:10">
      <c r="A236" s="57" t="s">
        <v>1030</v>
      </c>
      <c r="B236" s="57" t="s">
        <v>1025</v>
      </c>
      <c r="C236" s="57" t="s">
        <v>90</v>
      </c>
      <c r="D236" s="57">
        <v>2023</v>
      </c>
      <c r="E236" s="58">
        <f t="shared" si="26"/>
        <v>3</v>
      </c>
      <c r="F236" s="57" t="str">
        <f t="shared" si="27"/>
        <v>MARZO 2023</v>
      </c>
      <c r="G236" s="57" t="str">
        <f t="shared" si="28"/>
        <v>3 MARZO 2023</v>
      </c>
      <c r="H236" s="59">
        <v>-870</v>
      </c>
      <c r="I236" s="59" t="s">
        <v>1012</v>
      </c>
      <c r="J236" s="28"/>
    </row>
    <row r="237" spans="1:10">
      <c r="A237" s="57" t="s">
        <v>1022</v>
      </c>
      <c r="B237" s="57" t="s">
        <v>1011</v>
      </c>
      <c r="C237" s="57" t="s">
        <v>90</v>
      </c>
      <c r="D237" s="57">
        <v>2023</v>
      </c>
      <c r="E237" s="58">
        <f t="shared" si="26"/>
        <v>3</v>
      </c>
      <c r="F237" s="57" t="str">
        <f t="shared" si="27"/>
        <v>MARZO 2023</v>
      </c>
      <c r="G237" s="57" t="str">
        <f t="shared" si="28"/>
        <v>3 MARZO 2023</v>
      </c>
      <c r="H237" s="59">
        <v>630.59</v>
      </c>
      <c r="I237" s="59" t="s">
        <v>1022</v>
      </c>
      <c r="J237" s="28"/>
    </row>
    <row r="238" spans="1:10">
      <c r="A238" s="57" t="s">
        <v>1036</v>
      </c>
      <c r="B238" s="57" t="s">
        <v>1011</v>
      </c>
      <c r="C238" s="57" t="s">
        <v>90</v>
      </c>
      <c r="D238" s="57">
        <v>2023</v>
      </c>
      <c r="E238" s="58">
        <f t="shared" si="26"/>
        <v>3</v>
      </c>
      <c r="F238" s="57" t="str">
        <f t="shared" si="27"/>
        <v>MARZO 2023</v>
      </c>
      <c r="G238" s="57" t="str">
        <f t="shared" si="28"/>
        <v>3 MARZO 2023</v>
      </c>
      <c r="H238" s="59">
        <v>51.06</v>
      </c>
      <c r="I238" s="59" t="s">
        <v>1015</v>
      </c>
      <c r="J238" s="28"/>
    </row>
    <row r="239" spans="1:10">
      <c r="A239" s="57" t="s">
        <v>1034</v>
      </c>
      <c r="B239" s="57" t="s">
        <v>1011</v>
      </c>
      <c r="C239" s="57" t="s">
        <v>90</v>
      </c>
      <c r="D239" s="57">
        <v>2023</v>
      </c>
      <c r="E239" s="58">
        <f t="shared" si="26"/>
        <v>3</v>
      </c>
      <c r="F239" s="57" t="str">
        <f t="shared" si="27"/>
        <v>MARZO 2023</v>
      </c>
      <c r="G239" s="57" t="str">
        <f t="shared" si="28"/>
        <v>3 MARZO 2023</v>
      </c>
      <c r="H239" s="59">
        <v>135.5</v>
      </c>
      <c r="I239" s="59" t="s">
        <v>1016</v>
      </c>
      <c r="J239" s="28"/>
    </row>
    <row r="240" spans="1:10">
      <c r="A240" s="57" t="s">
        <v>1031</v>
      </c>
      <c r="B240" s="57" t="s">
        <v>1011</v>
      </c>
      <c r="C240" s="57" t="s">
        <v>90</v>
      </c>
      <c r="D240" s="57">
        <v>2023</v>
      </c>
      <c r="E240" s="58">
        <f t="shared" si="26"/>
        <v>3</v>
      </c>
      <c r="F240" s="57" t="str">
        <f t="shared" si="27"/>
        <v>MARZO 2023</v>
      </c>
      <c r="G240" s="57" t="str">
        <f t="shared" si="28"/>
        <v>3 MARZO 2023</v>
      </c>
      <c r="H240" s="59">
        <v>44.5</v>
      </c>
      <c r="I240" s="59" t="s">
        <v>1019</v>
      </c>
      <c r="J240" s="28"/>
    </row>
    <row r="241" spans="1:10">
      <c r="A241" s="57" t="s">
        <v>1036</v>
      </c>
      <c r="B241" s="57" t="s">
        <v>1011</v>
      </c>
      <c r="C241" s="57" t="s">
        <v>90</v>
      </c>
      <c r="D241" s="57">
        <v>2023</v>
      </c>
      <c r="E241" s="58">
        <f t="shared" ref="E241:E304" si="29">VLOOKUP(C241,$AC$421:$AD$432,2,FALSE)</f>
        <v>3</v>
      </c>
      <c r="F241" s="57" t="str">
        <f t="shared" si="27"/>
        <v>MARZO 2023</v>
      </c>
      <c r="G241" s="57" t="str">
        <f t="shared" si="28"/>
        <v>3 MARZO 2023</v>
      </c>
      <c r="H241" s="59">
        <v>51.06</v>
      </c>
      <c r="I241" s="59" t="s">
        <v>1015</v>
      </c>
      <c r="J241" s="28"/>
    </row>
    <row r="242" spans="1:10">
      <c r="A242" s="57" t="s">
        <v>1029</v>
      </c>
      <c r="B242" s="57" t="s">
        <v>1011</v>
      </c>
      <c r="C242" s="57" t="s">
        <v>129</v>
      </c>
      <c r="D242" s="57">
        <v>2023</v>
      </c>
      <c r="E242" s="58">
        <f t="shared" si="29"/>
        <v>2</v>
      </c>
      <c r="F242" s="57" t="str">
        <f t="shared" si="27"/>
        <v>FEBBRAIO 2023</v>
      </c>
      <c r="G242" s="57" t="str">
        <f t="shared" si="28"/>
        <v>2 FEBBRAIO 2023</v>
      </c>
      <c r="H242" s="59">
        <v>3.5</v>
      </c>
      <c r="I242" s="59" t="s">
        <v>1013</v>
      </c>
      <c r="J242" s="28"/>
    </row>
    <row r="243" spans="1:10">
      <c r="A243" s="57" t="s">
        <v>1030</v>
      </c>
      <c r="B243" s="57" t="s">
        <v>1025</v>
      </c>
      <c r="C243" s="57" t="s">
        <v>129</v>
      </c>
      <c r="D243" s="57">
        <v>2023</v>
      </c>
      <c r="E243" s="58">
        <f t="shared" si="29"/>
        <v>2</v>
      </c>
      <c r="F243" s="57" t="str">
        <f t="shared" si="27"/>
        <v>FEBBRAIO 2023</v>
      </c>
      <c r="G243" s="57" t="str">
        <f t="shared" si="28"/>
        <v>2 FEBBRAIO 2023</v>
      </c>
      <c r="H243" s="59">
        <v>-870</v>
      </c>
      <c r="I243" s="59" t="s">
        <v>1012</v>
      </c>
      <c r="J243" s="28"/>
    </row>
    <row r="244" spans="1:10">
      <c r="A244" s="57" t="s">
        <v>1022</v>
      </c>
      <c r="B244" s="57" t="s">
        <v>1011</v>
      </c>
      <c r="C244" s="57" t="s">
        <v>129</v>
      </c>
      <c r="D244" s="57">
        <v>2023</v>
      </c>
      <c r="E244" s="58">
        <f t="shared" si="29"/>
        <v>2</v>
      </c>
      <c r="F244" s="57" t="str">
        <f t="shared" si="27"/>
        <v>FEBBRAIO 2023</v>
      </c>
      <c r="G244" s="57" t="str">
        <f t="shared" si="28"/>
        <v>2 FEBBRAIO 2023</v>
      </c>
      <c r="H244" s="59">
        <v>630.59</v>
      </c>
      <c r="I244" s="59" t="s">
        <v>1022</v>
      </c>
      <c r="J244" s="28"/>
    </row>
    <row r="245" spans="1:10">
      <c r="A245" s="57" t="s">
        <v>1034</v>
      </c>
      <c r="B245" s="57" t="s">
        <v>1011</v>
      </c>
      <c r="C245" s="57" t="s">
        <v>129</v>
      </c>
      <c r="D245" s="57">
        <v>2023</v>
      </c>
      <c r="E245" s="58">
        <f t="shared" si="29"/>
        <v>2</v>
      </c>
      <c r="F245" s="57" t="str">
        <f t="shared" si="27"/>
        <v>FEBBRAIO 2023</v>
      </c>
      <c r="G245" s="57" t="str">
        <f t="shared" si="28"/>
        <v>2 FEBBRAIO 2023</v>
      </c>
      <c r="H245" s="59">
        <v>135.5</v>
      </c>
      <c r="I245" s="59" t="s">
        <v>1016</v>
      </c>
      <c r="J245" s="28"/>
    </row>
    <row r="246" spans="1:10">
      <c r="A246" s="57" t="s">
        <v>1031</v>
      </c>
      <c r="B246" s="57" t="s">
        <v>1011</v>
      </c>
      <c r="C246" s="57" t="s">
        <v>129</v>
      </c>
      <c r="D246" s="57">
        <v>2023</v>
      </c>
      <c r="E246" s="58">
        <f t="shared" si="29"/>
        <v>2</v>
      </c>
      <c r="F246" s="57" t="str">
        <f t="shared" si="27"/>
        <v>FEBBRAIO 2023</v>
      </c>
      <c r="G246" s="57" t="str">
        <f t="shared" si="28"/>
        <v>2 FEBBRAIO 2023</v>
      </c>
      <c r="H246" s="59">
        <v>44.5</v>
      </c>
      <c r="I246" s="59" t="s">
        <v>1019</v>
      </c>
      <c r="J246" s="28"/>
    </row>
    <row r="247" spans="1:10">
      <c r="A247" s="57" t="s">
        <v>675</v>
      </c>
      <c r="B247" s="57" t="s">
        <v>1011</v>
      </c>
      <c r="C247" s="57" t="s">
        <v>154</v>
      </c>
      <c r="D247" s="57">
        <v>2023</v>
      </c>
      <c r="E247" s="58">
        <f t="shared" si="29"/>
        <v>1</v>
      </c>
      <c r="F247" s="57" t="str">
        <f t="shared" si="27"/>
        <v>GENNAIO 2023</v>
      </c>
      <c r="G247" s="57" t="str">
        <f t="shared" si="28"/>
        <v>1 GENNAIO 2023</v>
      </c>
      <c r="H247" s="59">
        <v>0.02</v>
      </c>
      <c r="I247" s="59" t="s">
        <v>1013</v>
      </c>
      <c r="J247" s="28"/>
    </row>
    <row r="248" spans="1:10">
      <c r="A248" s="57" t="s">
        <v>1033</v>
      </c>
      <c r="B248" s="57" t="s">
        <v>1011</v>
      </c>
      <c r="C248" s="57" t="s">
        <v>154</v>
      </c>
      <c r="D248" s="57">
        <v>2023</v>
      </c>
      <c r="E248" s="58">
        <f t="shared" si="29"/>
        <v>1</v>
      </c>
      <c r="F248" s="57" t="str">
        <f t="shared" si="27"/>
        <v>GENNAIO 2023</v>
      </c>
      <c r="G248" s="57" t="str">
        <f t="shared" si="28"/>
        <v>1 GENNAIO 2023</v>
      </c>
      <c r="H248" s="59">
        <v>-0.04</v>
      </c>
      <c r="I248" s="59" t="s">
        <v>1013</v>
      </c>
      <c r="J248" s="28"/>
    </row>
    <row r="249" spans="1:10">
      <c r="A249" s="57" t="s">
        <v>1030</v>
      </c>
      <c r="B249" s="57" t="s">
        <v>1025</v>
      </c>
      <c r="C249" s="57" t="s">
        <v>154</v>
      </c>
      <c r="D249" s="57">
        <v>2023</v>
      </c>
      <c r="E249" s="58">
        <f t="shared" si="29"/>
        <v>1</v>
      </c>
      <c r="F249" s="57" t="str">
        <f t="shared" si="27"/>
        <v>GENNAIO 2023</v>
      </c>
      <c r="G249" s="57" t="str">
        <f t="shared" si="28"/>
        <v>1 GENNAIO 2023</v>
      </c>
      <c r="H249" s="59">
        <v>-820</v>
      </c>
      <c r="I249" s="59" t="s">
        <v>1012</v>
      </c>
      <c r="J249" s="28"/>
    </row>
    <row r="250" spans="1:10">
      <c r="A250" s="57" t="s">
        <v>1029</v>
      </c>
      <c r="B250" s="57" t="s">
        <v>1011</v>
      </c>
      <c r="C250" s="57" t="s">
        <v>154</v>
      </c>
      <c r="D250" s="57">
        <v>2023</v>
      </c>
      <c r="E250" s="58">
        <f t="shared" si="29"/>
        <v>1</v>
      </c>
      <c r="F250" s="57" t="str">
        <f t="shared" si="27"/>
        <v>GENNAIO 2023</v>
      </c>
      <c r="G250" s="57" t="str">
        <f t="shared" si="28"/>
        <v>1 GENNAIO 2023</v>
      </c>
      <c r="H250" s="59">
        <v>3.5</v>
      </c>
      <c r="I250" s="59" t="s">
        <v>1013</v>
      </c>
      <c r="J250" s="28"/>
    </row>
    <row r="251" spans="1:10">
      <c r="A251" s="57" t="s">
        <v>1022</v>
      </c>
      <c r="B251" s="57" t="s">
        <v>1011</v>
      </c>
      <c r="C251" s="57" t="s">
        <v>154</v>
      </c>
      <c r="D251" s="57">
        <v>2023</v>
      </c>
      <c r="E251" s="58">
        <f t="shared" si="29"/>
        <v>1</v>
      </c>
      <c r="F251" s="57" t="str">
        <f t="shared" ref="F251:F314" si="30">CONCATENATE(,C251," ",D251)</f>
        <v>GENNAIO 2023</v>
      </c>
      <c r="G251" s="57" t="str">
        <f t="shared" ref="G251:G314" si="31">CONCATENATE(E251," ",F251)</f>
        <v>1 GENNAIO 2023</v>
      </c>
      <c r="H251" s="59">
        <v>630.65</v>
      </c>
      <c r="I251" s="59" t="s">
        <v>1022</v>
      </c>
      <c r="J251" s="28"/>
    </row>
    <row r="252" spans="1:10">
      <c r="A252" s="57" t="s">
        <v>1036</v>
      </c>
      <c r="B252" s="57" t="s">
        <v>1011</v>
      </c>
      <c r="C252" s="57" t="s">
        <v>154</v>
      </c>
      <c r="D252" s="57">
        <v>2023</v>
      </c>
      <c r="E252" s="58">
        <f t="shared" si="29"/>
        <v>1</v>
      </c>
      <c r="F252" s="57" t="str">
        <f t="shared" si="30"/>
        <v>GENNAIO 2023</v>
      </c>
      <c r="G252" s="57" t="str">
        <f t="shared" si="31"/>
        <v>1 GENNAIO 2023</v>
      </c>
      <c r="H252" s="59">
        <f>51.76+2.5</f>
        <v>54.26</v>
      </c>
      <c r="I252" s="59" t="s">
        <v>1015</v>
      </c>
      <c r="J252" s="28"/>
    </row>
    <row r="253" spans="1:10">
      <c r="A253" s="57" t="s">
        <v>1034</v>
      </c>
      <c r="B253" s="57" t="s">
        <v>1011</v>
      </c>
      <c r="C253" s="57" t="s">
        <v>154</v>
      </c>
      <c r="D253" s="57">
        <v>2023</v>
      </c>
      <c r="E253" s="58">
        <f t="shared" si="29"/>
        <v>1</v>
      </c>
      <c r="F253" s="57" t="str">
        <f t="shared" si="30"/>
        <v>GENNAIO 2023</v>
      </c>
      <c r="G253" s="57" t="str">
        <f t="shared" si="31"/>
        <v>1 GENNAIO 2023</v>
      </c>
      <c r="H253" s="59">
        <v>135.5</v>
      </c>
      <c r="I253" s="59" t="s">
        <v>1016</v>
      </c>
      <c r="J253" s="28"/>
    </row>
    <row r="254" spans="1:10">
      <c r="A254" s="57" t="s">
        <v>1031</v>
      </c>
      <c r="B254" s="57" t="s">
        <v>1011</v>
      </c>
      <c r="C254" s="57" t="s">
        <v>154</v>
      </c>
      <c r="D254" s="57">
        <v>2023</v>
      </c>
      <c r="E254" s="58">
        <f t="shared" si="29"/>
        <v>1</v>
      </c>
      <c r="F254" s="57" t="str">
        <f t="shared" si="30"/>
        <v>GENNAIO 2023</v>
      </c>
      <c r="G254" s="57" t="str">
        <f t="shared" si="31"/>
        <v>1 GENNAIO 2023</v>
      </c>
      <c r="H254" s="59">
        <v>44.5</v>
      </c>
      <c r="I254" s="59" t="s">
        <v>1019</v>
      </c>
      <c r="J254" s="28"/>
    </row>
    <row r="255" spans="1:10">
      <c r="A255" s="57" t="s">
        <v>721</v>
      </c>
      <c r="B255" s="57" t="s">
        <v>1011</v>
      </c>
      <c r="C255" s="57" t="s">
        <v>173</v>
      </c>
      <c r="D255" s="57">
        <v>2022</v>
      </c>
      <c r="E255" s="58">
        <f t="shared" si="29"/>
        <v>12</v>
      </c>
      <c r="F255" s="57" t="str">
        <f t="shared" si="30"/>
        <v>DICEMBRE 2022</v>
      </c>
      <c r="G255" s="57" t="str">
        <f t="shared" si="31"/>
        <v>12 DICEMBRE 2022</v>
      </c>
      <c r="H255" s="59">
        <v>253.16</v>
      </c>
      <c r="I255" s="59" t="s">
        <v>1020</v>
      </c>
      <c r="J255" s="28"/>
    </row>
    <row r="256" spans="1:10">
      <c r="A256" s="57" t="s">
        <v>1029</v>
      </c>
      <c r="B256" s="57" t="s">
        <v>1011</v>
      </c>
      <c r="C256" s="57" t="s">
        <v>173</v>
      </c>
      <c r="D256" s="57">
        <v>2022</v>
      </c>
      <c r="E256" s="58">
        <f t="shared" si="29"/>
        <v>12</v>
      </c>
      <c r="F256" s="57" t="str">
        <f t="shared" si="30"/>
        <v>DICEMBRE 2022</v>
      </c>
      <c r="G256" s="57" t="str">
        <f t="shared" si="31"/>
        <v>12 DICEMBRE 2022</v>
      </c>
      <c r="H256" s="59">
        <v>3.5</v>
      </c>
      <c r="I256" s="59" t="s">
        <v>1013</v>
      </c>
      <c r="J256" s="28"/>
    </row>
    <row r="257" spans="1:10">
      <c r="A257" s="57" t="s">
        <v>1030</v>
      </c>
      <c r="B257" s="57" t="s">
        <v>1025</v>
      </c>
      <c r="C257" s="57" t="s">
        <v>173</v>
      </c>
      <c r="D257" s="57">
        <v>2022</v>
      </c>
      <c r="E257" s="58">
        <f t="shared" si="29"/>
        <v>12</v>
      </c>
      <c r="F257" s="57" t="str">
        <f t="shared" si="30"/>
        <v>DICEMBRE 2022</v>
      </c>
      <c r="G257" s="57" t="str">
        <f t="shared" si="31"/>
        <v>12 DICEMBRE 2022</v>
      </c>
      <c r="H257" s="59">
        <v>-1150</v>
      </c>
      <c r="I257" s="59" t="s">
        <v>1012</v>
      </c>
      <c r="J257" s="28"/>
    </row>
    <row r="258" spans="1:10">
      <c r="A258" s="57" t="s">
        <v>1022</v>
      </c>
      <c r="B258" s="57" t="s">
        <v>1011</v>
      </c>
      <c r="C258" s="57" t="s">
        <v>173</v>
      </c>
      <c r="D258" s="57">
        <v>2022</v>
      </c>
      <c r="E258" s="58">
        <f t="shared" si="29"/>
        <v>12</v>
      </c>
      <c r="F258" s="57" t="str">
        <f t="shared" si="30"/>
        <v>DICEMBRE 2022</v>
      </c>
      <c r="G258" s="57" t="str">
        <f t="shared" si="31"/>
        <v>12 DICEMBRE 2022</v>
      </c>
      <c r="H258" s="59">
        <v>630.71</v>
      </c>
      <c r="I258" s="59" t="s">
        <v>1022</v>
      </c>
      <c r="J258" s="28"/>
    </row>
    <row r="259" spans="1:10">
      <c r="A259" s="57" t="s">
        <v>1036</v>
      </c>
      <c r="B259" s="57" t="s">
        <v>1011</v>
      </c>
      <c r="C259" s="57" t="s">
        <v>173</v>
      </c>
      <c r="D259" s="57">
        <v>2022</v>
      </c>
      <c r="E259" s="58">
        <f t="shared" si="29"/>
        <v>12</v>
      </c>
      <c r="F259" s="57" t="str">
        <f t="shared" si="30"/>
        <v>DICEMBRE 2022</v>
      </c>
      <c r="G259" s="57" t="str">
        <f t="shared" si="31"/>
        <v>12 DICEMBRE 2022</v>
      </c>
      <c r="H259" s="59">
        <v>51.06</v>
      </c>
      <c r="I259" s="59" t="s">
        <v>1015</v>
      </c>
      <c r="J259" s="28"/>
    </row>
    <row r="260" spans="1:10">
      <c r="A260" s="57" t="s">
        <v>1034</v>
      </c>
      <c r="B260" s="57" t="s">
        <v>1011</v>
      </c>
      <c r="C260" s="57" t="s">
        <v>173</v>
      </c>
      <c r="D260" s="57">
        <v>2022</v>
      </c>
      <c r="E260" s="58">
        <f t="shared" si="29"/>
        <v>12</v>
      </c>
      <c r="F260" s="57" t="str">
        <f t="shared" si="30"/>
        <v>DICEMBRE 2022</v>
      </c>
      <c r="G260" s="57" t="str">
        <f t="shared" si="31"/>
        <v>12 DICEMBRE 2022</v>
      </c>
      <c r="H260" s="59">
        <v>135.5</v>
      </c>
      <c r="I260" s="59" t="s">
        <v>1016</v>
      </c>
      <c r="J260" s="28"/>
    </row>
    <row r="261" spans="1:10">
      <c r="A261" s="57" t="s">
        <v>1031</v>
      </c>
      <c r="B261" s="57" t="s">
        <v>1011</v>
      </c>
      <c r="C261" s="57" t="s">
        <v>173</v>
      </c>
      <c r="D261" s="57">
        <v>2022</v>
      </c>
      <c r="E261" s="58">
        <f t="shared" si="29"/>
        <v>12</v>
      </c>
      <c r="F261" s="57" t="str">
        <f t="shared" si="30"/>
        <v>DICEMBRE 2022</v>
      </c>
      <c r="G261" s="57" t="str">
        <f t="shared" si="31"/>
        <v>12 DICEMBRE 2022</v>
      </c>
      <c r="H261" s="59">
        <v>44.5</v>
      </c>
      <c r="I261" s="59" t="s">
        <v>1019</v>
      </c>
      <c r="J261" s="28"/>
    </row>
    <row r="262" spans="1:10">
      <c r="A262" s="57" t="s">
        <v>1029</v>
      </c>
      <c r="B262" s="57" t="s">
        <v>1011</v>
      </c>
      <c r="C262" s="57" t="s">
        <v>200</v>
      </c>
      <c r="D262" s="57">
        <v>2022</v>
      </c>
      <c r="E262" s="58">
        <f t="shared" si="29"/>
        <v>11</v>
      </c>
      <c r="F262" s="57" t="str">
        <f t="shared" si="30"/>
        <v>NOVEMBRE 2022</v>
      </c>
      <c r="G262" s="57" t="str">
        <f t="shared" si="31"/>
        <v>11 NOVEMBRE 2022</v>
      </c>
      <c r="H262" s="59">
        <v>3.5</v>
      </c>
      <c r="I262" s="59" t="s">
        <v>1013</v>
      </c>
      <c r="J262" s="28"/>
    </row>
    <row r="263" spans="1:10">
      <c r="A263" s="57" t="s">
        <v>1030</v>
      </c>
      <c r="B263" s="57" t="s">
        <v>1025</v>
      </c>
      <c r="C263" s="57" t="s">
        <v>200</v>
      </c>
      <c r="D263" s="57">
        <v>2022</v>
      </c>
      <c r="E263" s="58">
        <f t="shared" si="29"/>
        <v>11</v>
      </c>
      <c r="F263" s="57" t="str">
        <f t="shared" si="30"/>
        <v>NOVEMBRE 2022</v>
      </c>
      <c r="G263" s="57" t="str">
        <f t="shared" si="31"/>
        <v>11 NOVEMBRE 2022</v>
      </c>
      <c r="H263" s="59">
        <v>-870</v>
      </c>
      <c r="I263" s="59" t="s">
        <v>1012</v>
      </c>
      <c r="J263" s="28"/>
    </row>
    <row r="264" spans="1:10">
      <c r="A264" s="57" t="s">
        <v>1022</v>
      </c>
      <c r="B264" s="57" t="s">
        <v>1011</v>
      </c>
      <c r="C264" s="57" t="s">
        <v>200</v>
      </c>
      <c r="D264" s="57">
        <v>2022</v>
      </c>
      <c r="E264" s="58">
        <f t="shared" si="29"/>
        <v>11</v>
      </c>
      <c r="F264" s="57" t="str">
        <f t="shared" si="30"/>
        <v>NOVEMBRE 2022</v>
      </c>
      <c r="G264" s="57" t="str">
        <f t="shared" si="31"/>
        <v>11 NOVEMBRE 2022</v>
      </c>
      <c r="H264" s="59">
        <v>630.65</v>
      </c>
      <c r="I264" s="59" t="s">
        <v>1022</v>
      </c>
      <c r="J264" s="28"/>
    </row>
    <row r="265" spans="1:10">
      <c r="A265" s="57" t="s">
        <v>1036</v>
      </c>
      <c r="B265" s="57" t="s">
        <v>1011</v>
      </c>
      <c r="C265" s="57" t="s">
        <v>200</v>
      </c>
      <c r="D265" s="57">
        <v>2022</v>
      </c>
      <c r="E265" s="58">
        <f t="shared" si="29"/>
        <v>11</v>
      </c>
      <c r="F265" s="57" t="str">
        <f t="shared" si="30"/>
        <v>NOVEMBRE 2022</v>
      </c>
      <c r="G265" s="57" t="str">
        <f t="shared" si="31"/>
        <v>11 NOVEMBRE 2022</v>
      </c>
      <c r="H265" s="59">
        <v>51.06</v>
      </c>
      <c r="I265" s="59" t="s">
        <v>1015</v>
      </c>
      <c r="J265" s="28"/>
    </row>
    <row r="266" spans="1:10">
      <c r="A266" s="57" t="s">
        <v>1034</v>
      </c>
      <c r="B266" s="57" t="s">
        <v>1011</v>
      </c>
      <c r="C266" s="57" t="s">
        <v>200</v>
      </c>
      <c r="D266" s="57">
        <v>2022</v>
      </c>
      <c r="E266" s="58">
        <f t="shared" si="29"/>
        <v>11</v>
      </c>
      <c r="F266" s="57" t="str">
        <f t="shared" si="30"/>
        <v>NOVEMBRE 2022</v>
      </c>
      <c r="G266" s="57" t="str">
        <f t="shared" si="31"/>
        <v>11 NOVEMBRE 2022</v>
      </c>
      <c r="H266" s="59">
        <v>135.5</v>
      </c>
      <c r="I266" s="59" t="s">
        <v>1016</v>
      </c>
      <c r="J266" s="28"/>
    </row>
    <row r="267" spans="1:10">
      <c r="A267" s="57" t="s">
        <v>1031</v>
      </c>
      <c r="B267" s="57" t="s">
        <v>1011</v>
      </c>
      <c r="C267" s="57" t="s">
        <v>200</v>
      </c>
      <c r="D267" s="57">
        <v>2022</v>
      </c>
      <c r="E267" s="58">
        <f t="shared" si="29"/>
        <v>11</v>
      </c>
      <c r="F267" s="57" t="str">
        <f t="shared" si="30"/>
        <v>NOVEMBRE 2022</v>
      </c>
      <c r="G267" s="57" t="str">
        <f t="shared" si="31"/>
        <v>11 NOVEMBRE 2022</v>
      </c>
      <c r="H267" s="59">
        <v>44.5</v>
      </c>
      <c r="I267" s="59" t="s">
        <v>1019</v>
      </c>
      <c r="J267" s="28"/>
    </row>
    <row r="268" spans="1:10">
      <c r="A268" s="57" t="s">
        <v>1029</v>
      </c>
      <c r="B268" s="57" t="s">
        <v>1011</v>
      </c>
      <c r="C268" s="57" t="s">
        <v>217</v>
      </c>
      <c r="D268" s="57">
        <v>2022</v>
      </c>
      <c r="E268" s="58">
        <f t="shared" si="29"/>
        <v>10</v>
      </c>
      <c r="F268" s="57" t="str">
        <f t="shared" si="30"/>
        <v>OTTOBRE 2022</v>
      </c>
      <c r="G268" s="57" t="str">
        <f t="shared" si="31"/>
        <v>10 OTTOBRE 2022</v>
      </c>
      <c r="H268" s="59">
        <v>3.5</v>
      </c>
      <c r="I268" s="59" t="s">
        <v>1013</v>
      </c>
      <c r="J268" s="28"/>
    </row>
    <row r="269" spans="1:10">
      <c r="A269" s="57" t="s">
        <v>1030</v>
      </c>
      <c r="B269" s="57" t="s">
        <v>1025</v>
      </c>
      <c r="C269" s="57" t="s">
        <v>217</v>
      </c>
      <c r="D269" s="57">
        <v>2022</v>
      </c>
      <c r="E269" s="58">
        <f t="shared" si="29"/>
        <v>10</v>
      </c>
      <c r="F269" s="57" t="str">
        <f t="shared" si="30"/>
        <v>OTTOBRE 2022</v>
      </c>
      <c r="G269" s="57" t="str">
        <f t="shared" si="31"/>
        <v>10 OTTOBRE 2022</v>
      </c>
      <c r="H269" s="59">
        <v>-870</v>
      </c>
      <c r="I269" s="59" t="s">
        <v>1012</v>
      </c>
      <c r="J269" s="28"/>
    </row>
    <row r="270" spans="1:10">
      <c r="A270" s="57" t="s">
        <v>1022</v>
      </c>
      <c r="B270" s="57" t="s">
        <v>1011</v>
      </c>
      <c r="C270" s="57" t="s">
        <v>217</v>
      </c>
      <c r="D270" s="57">
        <v>2022</v>
      </c>
      <c r="E270" s="58">
        <f t="shared" si="29"/>
        <v>10</v>
      </c>
      <c r="F270" s="57" t="str">
        <f t="shared" si="30"/>
        <v>OTTOBRE 2022</v>
      </c>
      <c r="G270" s="57" t="str">
        <f t="shared" si="31"/>
        <v>10 OTTOBRE 2022</v>
      </c>
      <c r="H270" s="59">
        <v>630.65</v>
      </c>
      <c r="I270" s="59" t="s">
        <v>1022</v>
      </c>
      <c r="J270" s="28"/>
    </row>
    <row r="271" spans="1:10">
      <c r="A271" s="57" t="s">
        <v>1036</v>
      </c>
      <c r="B271" s="57" t="s">
        <v>1011</v>
      </c>
      <c r="C271" s="57" t="s">
        <v>217</v>
      </c>
      <c r="D271" s="57">
        <v>2022</v>
      </c>
      <c r="E271" s="58">
        <f t="shared" si="29"/>
        <v>10</v>
      </c>
      <c r="F271" s="57" t="str">
        <f t="shared" si="30"/>
        <v>OTTOBRE 2022</v>
      </c>
      <c r="G271" s="57" t="str">
        <f t="shared" si="31"/>
        <v>10 OTTOBRE 2022</v>
      </c>
      <c r="H271" s="59">
        <v>51.06</v>
      </c>
      <c r="I271" s="59" t="s">
        <v>1015</v>
      </c>
      <c r="J271" s="28"/>
    </row>
    <row r="272" spans="1:10">
      <c r="A272" s="57" t="s">
        <v>1034</v>
      </c>
      <c r="B272" s="57" t="s">
        <v>1011</v>
      </c>
      <c r="C272" s="57" t="s">
        <v>217</v>
      </c>
      <c r="D272" s="57">
        <v>2022</v>
      </c>
      <c r="E272" s="58">
        <f t="shared" si="29"/>
        <v>10</v>
      </c>
      <c r="F272" s="57" t="str">
        <f t="shared" si="30"/>
        <v>OTTOBRE 2022</v>
      </c>
      <c r="G272" s="57" t="str">
        <f t="shared" si="31"/>
        <v>10 OTTOBRE 2022</v>
      </c>
      <c r="H272" s="59">
        <v>135.5</v>
      </c>
      <c r="I272" s="59" t="s">
        <v>1016</v>
      </c>
      <c r="J272" s="28"/>
    </row>
    <row r="273" spans="1:10">
      <c r="A273" s="57" t="s">
        <v>1031</v>
      </c>
      <c r="B273" s="57" t="s">
        <v>1011</v>
      </c>
      <c r="C273" s="57" t="s">
        <v>217</v>
      </c>
      <c r="D273" s="57">
        <v>2022</v>
      </c>
      <c r="E273" s="58">
        <f t="shared" si="29"/>
        <v>10</v>
      </c>
      <c r="F273" s="57" t="str">
        <f t="shared" si="30"/>
        <v>OTTOBRE 2022</v>
      </c>
      <c r="G273" s="57" t="str">
        <f t="shared" si="31"/>
        <v>10 OTTOBRE 2022</v>
      </c>
      <c r="H273" s="59">
        <v>44.5</v>
      </c>
      <c r="I273" s="59" t="s">
        <v>1019</v>
      </c>
      <c r="J273" s="28"/>
    </row>
    <row r="274" spans="1:10">
      <c r="A274" s="57" t="s">
        <v>1029</v>
      </c>
      <c r="B274" s="57" t="s">
        <v>1011</v>
      </c>
      <c r="C274" s="57" t="s">
        <v>240</v>
      </c>
      <c r="D274" s="57">
        <v>2022</v>
      </c>
      <c r="E274" s="58">
        <f t="shared" si="29"/>
        <v>9</v>
      </c>
      <c r="F274" s="57" t="str">
        <f t="shared" si="30"/>
        <v>SETTEMBRE 2022</v>
      </c>
      <c r="G274" s="57" t="str">
        <f t="shared" si="31"/>
        <v>9 SETTEMBRE 2022</v>
      </c>
      <c r="H274" s="59">
        <v>3.5</v>
      </c>
      <c r="I274" s="59" t="s">
        <v>1013</v>
      </c>
      <c r="J274" s="28"/>
    </row>
    <row r="275" spans="1:10">
      <c r="A275" s="57" t="s">
        <v>1030</v>
      </c>
      <c r="B275" s="57" t="s">
        <v>1025</v>
      </c>
      <c r="C275" s="57" t="s">
        <v>240</v>
      </c>
      <c r="D275" s="57">
        <v>2022</v>
      </c>
      <c r="E275" s="58">
        <f t="shared" si="29"/>
        <v>9</v>
      </c>
      <c r="F275" s="57" t="str">
        <f t="shared" si="30"/>
        <v>SETTEMBRE 2022</v>
      </c>
      <c r="G275" s="57" t="str">
        <f t="shared" si="31"/>
        <v>9 SETTEMBRE 2022</v>
      </c>
      <c r="H275" s="59">
        <v>-870</v>
      </c>
      <c r="I275" s="59" t="s">
        <v>1012</v>
      </c>
      <c r="J275" s="28"/>
    </row>
    <row r="276" spans="1:10">
      <c r="A276" s="57" t="s">
        <v>1022</v>
      </c>
      <c r="B276" s="57" t="s">
        <v>1011</v>
      </c>
      <c r="C276" s="57" t="s">
        <v>240</v>
      </c>
      <c r="D276" s="57">
        <v>2022</v>
      </c>
      <c r="E276" s="58">
        <f t="shared" si="29"/>
        <v>9</v>
      </c>
      <c r="F276" s="57" t="str">
        <f t="shared" si="30"/>
        <v>SETTEMBRE 2022</v>
      </c>
      <c r="G276" s="57" t="str">
        <f t="shared" si="31"/>
        <v>9 SETTEMBRE 2022</v>
      </c>
      <c r="H276" s="59">
        <v>630.53</v>
      </c>
      <c r="I276" s="59" t="s">
        <v>1022</v>
      </c>
      <c r="J276" s="28"/>
    </row>
    <row r="277" spans="1:10">
      <c r="A277" s="57" t="s">
        <v>1036</v>
      </c>
      <c r="B277" s="57" t="s">
        <v>1011</v>
      </c>
      <c r="C277" s="57" t="s">
        <v>240</v>
      </c>
      <c r="D277" s="57">
        <v>2022</v>
      </c>
      <c r="E277" s="58">
        <f t="shared" si="29"/>
        <v>9</v>
      </c>
      <c r="F277" s="57" t="str">
        <f t="shared" si="30"/>
        <v>SETTEMBRE 2022</v>
      </c>
      <c r="G277" s="57" t="str">
        <f t="shared" si="31"/>
        <v>9 SETTEMBRE 2022</v>
      </c>
      <c r="H277" s="59">
        <v>51.06</v>
      </c>
      <c r="I277" s="59" t="s">
        <v>1015</v>
      </c>
      <c r="J277" s="28"/>
    </row>
    <row r="278" spans="1:10">
      <c r="A278" s="57" t="s">
        <v>1034</v>
      </c>
      <c r="B278" s="57" t="s">
        <v>1011</v>
      </c>
      <c r="C278" s="57" t="s">
        <v>240</v>
      </c>
      <c r="D278" s="57">
        <v>2022</v>
      </c>
      <c r="E278" s="58">
        <f t="shared" si="29"/>
        <v>9</v>
      </c>
      <c r="F278" s="57" t="str">
        <f t="shared" si="30"/>
        <v>SETTEMBRE 2022</v>
      </c>
      <c r="G278" s="57" t="str">
        <f t="shared" si="31"/>
        <v>9 SETTEMBRE 2022</v>
      </c>
      <c r="H278" s="59">
        <v>135.5</v>
      </c>
      <c r="I278" s="59" t="s">
        <v>1016</v>
      </c>
      <c r="J278" s="28"/>
    </row>
    <row r="279" spans="1:10">
      <c r="A279" s="57" t="s">
        <v>1031</v>
      </c>
      <c r="B279" s="57" t="s">
        <v>1011</v>
      </c>
      <c r="C279" s="57" t="s">
        <v>240</v>
      </c>
      <c r="D279" s="57">
        <v>2022</v>
      </c>
      <c r="E279" s="58">
        <f t="shared" si="29"/>
        <v>9</v>
      </c>
      <c r="F279" s="57" t="str">
        <f t="shared" si="30"/>
        <v>SETTEMBRE 2022</v>
      </c>
      <c r="G279" s="57" t="str">
        <f t="shared" si="31"/>
        <v>9 SETTEMBRE 2022</v>
      </c>
      <c r="H279" s="59">
        <v>44.5</v>
      </c>
      <c r="I279" s="59" t="s">
        <v>1019</v>
      </c>
      <c r="J279" s="28"/>
    </row>
    <row r="280" spans="1:10">
      <c r="A280" s="57" t="s">
        <v>1029</v>
      </c>
      <c r="B280" s="57" t="s">
        <v>1011</v>
      </c>
      <c r="C280" s="57" t="s">
        <v>261</v>
      </c>
      <c r="D280" s="57">
        <v>2022</v>
      </c>
      <c r="E280" s="58">
        <f t="shared" si="29"/>
        <v>8</v>
      </c>
      <c r="F280" s="57" t="str">
        <f t="shared" si="30"/>
        <v>AGOSTO 2022</v>
      </c>
      <c r="G280" s="57" t="str">
        <f t="shared" si="31"/>
        <v>8 AGOSTO 2022</v>
      </c>
      <c r="H280" s="59">
        <v>3.5</v>
      </c>
      <c r="I280" s="59" t="s">
        <v>1013</v>
      </c>
      <c r="J280" s="28"/>
    </row>
    <row r="281" spans="1:10">
      <c r="A281" s="57" t="s">
        <v>1030</v>
      </c>
      <c r="B281" s="57" t="s">
        <v>1025</v>
      </c>
      <c r="C281" s="57" t="s">
        <v>261</v>
      </c>
      <c r="D281" s="57">
        <v>2022</v>
      </c>
      <c r="E281" s="58">
        <f t="shared" si="29"/>
        <v>8</v>
      </c>
      <c r="F281" s="57" t="str">
        <f t="shared" si="30"/>
        <v>AGOSTO 2022</v>
      </c>
      <c r="G281" s="57" t="str">
        <f t="shared" si="31"/>
        <v>8 AGOSTO 2022</v>
      </c>
      <c r="H281" s="59">
        <v>-870</v>
      </c>
      <c r="I281" s="59" t="s">
        <v>1012</v>
      </c>
      <c r="J281" s="28"/>
    </row>
    <row r="282" spans="1:10">
      <c r="A282" s="57" t="s">
        <v>1022</v>
      </c>
      <c r="B282" s="57" t="s">
        <v>1011</v>
      </c>
      <c r="C282" s="57" t="s">
        <v>261</v>
      </c>
      <c r="D282" s="57">
        <v>2022</v>
      </c>
      <c r="E282" s="58">
        <f t="shared" si="29"/>
        <v>8</v>
      </c>
      <c r="F282" s="57" t="str">
        <f t="shared" si="30"/>
        <v>AGOSTO 2022</v>
      </c>
      <c r="G282" s="57" t="str">
        <f t="shared" si="31"/>
        <v>8 AGOSTO 2022</v>
      </c>
      <c r="H282" s="59">
        <v>630.59</v>
      </c>
      <c r="I282" s="59" t="s">
        <v>1022</v>
      </c>
      <c r="J282" s="28"/>
    </row>
    <row r="283" spans="1:10">
      <c r="A283" s="57" t="s">
        <v>1036</v>
      </c>
      <c r="B283" s="57" t="s">
        <v>1011</v>
      </c>
      <c r="C283" s="57" t="s">
        <v>261</v>
      </c>
      <c r="D283" s="57">
        <v>2022</v>
      </c>
      <c r="E283" s="58">
        <f t="shared" si="29"/>
        <v>8</v>
      </c>
      <c r="F283" s="57" t="str">
        <f t="shared" si="30"/>
        <v>AGOSTO 2022</v>
      </c>
      <c r="G283" s="57" t="str">
        <f t="shared" si="31"/>
        <v>8 AGOSTO 2022</v>
      </c>
      <c r="H283" s="59">
        <v>51.06</v>
      </c>
      <c r="I283" s="59" t="s">
        <v>1015</v>
      </c>
      <c r="J283" s="28"/>
    </row>
    <row r="284" spans="1:10">
      <c r="A284" s="57" t="s">
        <v>1034</v>
      </c>
      <c r="B284" s="57" t="s">
        <v>1011</v>
      </c>
      <c r="C284" s="57" t="s">
        <v>261</v>
      </c>
      <c r="D284" s="57">
        <v>2022</v>
      </c>
      <c r="E284" s="58">
        <f t="shared" si="29"/>
        <v>8</v>
      </c>
      <c r="F284" s="57" t="str">
        <f t="shared" si="30"/>
        <v>AGOSTO 2022</v>
      </c>
      <c r="G284" s="57" t="str">
        <f t="shared" si="31"/>
        <v>8 AGOSTO 2022</v>
      </c>
      <c r="H284" s="59">
        <v>135.5</v>
      </c>
      <c r="I284" s="59" t="s">
        <v>1016</v>
      </c>
      <c r="J284" s="28"/>
    </row>
    <row r="285" spans="1:10">
      <c r="A285" s="57" t="s">
        <v>1031</v>
      </c>
      <c r="B285" s="57" t="s">
        <v>1011</v>
      </c>
      <c r="C285" s="57" t="s">
        <v>261</v>
      </c>
      <c r="D285" s="57">
        <v>2022</v>
      </c>
      <c r="E285" s="58">
        <f t="shared" si="29"/>
        <v>8</v>
      </c>
      <c r="F285" s="57" t="str">
        <f t="shared" si="30"/>
        <v>AGOSTO 2022</v>
      </c>
      <c r="G285" s="57" t="str">
        <f t="shared" si="31"/>
        <v>8 AGOSTO 2022</v>
      </c>
      <c r="H285" s="59">
        <v>44.5</v>
      </c>
      <c r="I285" s="59" t="s">
        <v>1019</v>
      </c>
      <c r="J285" s="28"/>
    </row>
    <row r="286" spans="1:10">
      <c r="A286" s="57" t="s">
        <v>1030</v>
      </c>
      <c r="B286" s="57" t="s">
        <v>1025</v>
      </c>
      <c r="C286" s="57" t="s">
        <v>288</v>
      </c>
      <c r="D286" s="57">
        <v>2022</v>
      </c>
      <c r="E286" s="58">
        <f t="shared" si="29"/>
        <v>7</v>
      </c>
      <c r="F286" s="57" t="str">
        <f t="shared" si="30"/>
        <v>LUGLIO 2022</v>
      </c>
      <c r="G286" s="57" t="str">
        <f t="shared" si="31"/>
        <v>7 LUGLIO 2022</v>
      </c>
      <c r="H286" s="59">
        <v>-200</v>
      </c>
      <c r="I286" s="59" t="s">
        <v>1012</v>
      </c>
      <c r="J286" s="28"/>
    </row>
    <row r="287" spans="1:10">
      <c r="A287" s="57" t="s">
        <v>1033</v>
      </c>
      <c r="B287" s="57" t="s">
        <v>1011</v>
      </c>
      <c r="C287" s="57" t="s">
        <v>288</v>
      </c>
      <c r="D287" s="57">
        <v>2022</v>
      </c>
      <c r="E287" s="58">
        <f t="shared" si="29"/>
        <v>7</v>
      </c>
      <c r="F287" s="57" t="str">
        <f t="shared" si="30"/>
        <v>LUGLIO 2022</v>
      </c>
      <c r="G287" s="57" t="str">
        <f t="shared" si="31"/>
        <v>7 LUGLIO 2022</v>
      </c>
      <c r="H287" s="59">
        <v>32.869999999999997</v>
      </c>
      <c r="I287" s="59" t="s">
        <v>1013</v>
      </c>
      <c r="J287" s="28"/>
    </row>
    <row r="288" spans="1:10">
      <c r="A288" s="57" t="s">
        <v>1029</v>
      </c>
      <c r="B288" s="57" t="s">
        <v>1011</v>
      </c>
      <c r="C288" s="57" t="s">
        <v>288</v>
      </c>
      <c r="D288" s="57">
        <v>2022</v>
      </c>
      <c r="E288" s="58">
        <f t="shared" si="29"/>
        <v>7</v>
      </c>
      <c r="F288" s="57" t="str">
        <f t="shared" si="30"/>
        <v>LUGLIO 2022</v>
      </c>
      <c r="G288" s="57" t="str">
        <f t="shared" si="31"/>
        <v>7 LUGLIO 2022</v>
      </c>
      <c r="H288" s="59">
        <v>3.5</v>
      </c>
      <c r="I288" s="59" t="s">
        <v>1013</v>
      </c>
      <c r="J288" s="28"/>
    </row>
    <row r="289" spans="1:10">
      <c r="A289" s="57" t="s">
        <v>1030</v>
      </c>
      <c r="B289" s="57" t="s">
        <v>1025</v>
      </c>
      <c r="C289" s="57" t="s">
        <v>288</v>
      </c>
      <c r="D289" s="57">
        <v>2022</v>
      </c>
      <c r="E289" s="58">
        <f t="shared" si="29"/>
        <v>7</v>
      </c>
      <c r="F289" s="57" t="str">
        <f t="shared" si="30"/>
        <v>LUGLIO 2022</v>
      </c>
      <c r="G289" s="57" t="str">
        <f t="shared" si="31"/>
        <v>7 LUGLIO 2022</v>
      </c>
      <c r="H289" s="59">
        <v>-870</v>
      </c>
      <c r="I289" s="59" t="s">
        <v>1012</v>
      </c>
      <c r="J289" s="28"/>
    </row>
    <row r="290" spans="1:10">
      <c r="A290" s="57" t="s">
        <v>1022</v>
      </c>
      <c r="B290" s="57" t="s">
        <v>1011</v>
      </c>
      <c r="C290" s="57" t="s">
        <v>288</v>
      </c>
      <c r="D290" s="57">
        <v>2022</v>
      </c>
      <c r="E290" s="58">
        <f t="shared" si="29"/>
        <v>7</v>
      </c>
      <c r="F290" s="57" t="str">
        <f t="shared" si="30"/>
        <v>LUGLIO 2022</v>
      </c>
      <c r="G290" s="57" t="str">
        <f t="shared" si="31"/>
        <v>7 LUGLIO 2022</v>
      </c>
      <c r="H290" s="59">
        <v>629.97</v>
      </c>
      <c r="I290" s="59" t="s">
        <v>1022</v>
      </c>
      <c r="J290" s="28"/>
    </row>
    <row r="291" spans="1:10">
      <c r="A291" s="57" t="s">
        <v>1036</v>
      </c>
      <c r="B291" s="57" t="s">
        <v>1011</v>
      </c>
      <c r="C291" s="57" t="s">
        <v>288</v>
      </c>
      <c r="D291" s="57">
        <v>2022</v>
      </c>
      <c r="E291" s="58">
        <f t="shared" si="29"/>
        <v>7</v>
      </c>
      <c r="F291" s="57" t="str">
        <f t="shared" si="30"/>
        <v>LUGLIO 2022</v>
      </c>
      <c r="G291" s="57" t="str">
        <f t="shared" si="31"/>
        <v>7 LUGLIO 2022</v>
      </c>
      <c r="H291" s="59">
        <v>51.06</v>
      </c>
      <c r="I291" s="59" t="s">
        <v>1015</v>
      </c>
      <c r="J291" s="28"/>
    </row>
    <row r="292" spans="1:10">
      <c r="A292" s="57" t="s">
        <v>1034</v>
      </c>
      <c r="B292" s="57" t="s">
        <v>1011</v>
      </c>
      <c r="C292" s="57" t="s">
        <v>288</v>
      </c>
      <c r="D292" s="57">
        <v>2022</v>
      </c>
      <c r="E292" s="58">
        <f t="shared" si="29"/>
        <v>7</v>
      </c>
      <c r="F292" s="57" t="str">
        <f t="shared" si="30"/>
        <v>LUGLIO 2022</v>
      </c>
      <c r="G292" s="57" t="str">
        <f t="shared" si="31"/>
        <v>7 LUGLIO 2022</v>
      </c>
      <c r="H292" s="59">
        <v>135.5</v>
      </c>
      <c r="I292" s="59" t="s">
        <v>1016</v>
      </c>
      <c r="J292" s="28"/>
    </row>
    <row r="293" spans="1:10">
      <c r="A293" s="57" t="s">
        <v>1031</v>
      </c>
      <c r="B293" s="57" t="s">
        <v>1011</v>
      </c>
      <c r="C293" s="57" t="s">
        <v>288</v>
      </c>
      <c r="D293" s="57">
        <v>2022</v>
      </c>
      <c r="E293" s="58">
        <f t="shared" si="29"/>
        <v>7</v>
      </c>
      <c r="F293" s="57" t="str">
        <f t="shared" si="30"/>
        <v>LUGLIO 2022</v>
      </c>
      <c r="G293" s="57" t="str">
        <f t="shared" si="31"/>
        <v>7 LUGLIO 2022</v>
      </c>
      <c r="H293" s="59">
        <v>44.5</v>
      </c>
      <c r="I293" s="59" t="s">
        <v>1019</v>
      </c>
      <c r="J293" s="28"/>
    </row>
    <row r="294" spans="1:10">
      <c r="A294" s="57" t="s">
        <v>1029</v>
      </c>
      <c r="B294" s="57" t="s">
        <v>1011</v>
      </c>
      <c r="C294" s="57" t="s">
        <v>314</v>
      </c>
      <c r="D294" s="57">
        <v>2022</v>
      </c>
      <c r="E294" s="58">
        <f t="shared" si="29"/>
        <v>6</v>
      </c>
      <c r="F294" s="57" t="str">
        <f t="shared" si="30"/>
        <v>GIUGNO 2022</v>
      </c>
      <c r="G294" s="57" t="str">
        <f t="shared" si="31"/>
        <v>6 GIUGNO 2022</v>
      </c>
      <c r="H294" s="59">
        <v>3.5</v>
      </c>
      <c r="I294" s="59" t="s">
        <v>1013</v>
      </c>
      <c r="J294" s="28"/>
    </row>
    <row r="295" spans="1:10">
      <c r="A295" s="57" t="s">
        <v>1030</v>
      </c>
      <c r="B295" s="57" t="s">
        <v>1025</v>
      </c>
      <c r="C295" s="57" t="s">
        <v>314</v>
      </c>
      <c r="D295" s="57">
        <v>2022</v>
      </c>
      <c r="E295" s="58">
        <f t="shared" si="29"/>
        <v>6</v>
      </c>
      <c r="F295" s="57" t="str">
        <f t="shared" si="30"/>
        <v>GIUGNO 2022</v>
      </c>
      <c r="G295" s="57" t="str">
        <f t="shared" si="31"/>
        <v>6 GIUGNO 2022</v>
      </c>
      <c r="H295" s="59">
        <v>-700</v>
      </c>
      <c r="I295" s="59" t="s">
        <v>1012</v>
      </c>
      <c r="J295" s="28"/>
    </row>
    <row r="296" spans="1:10">
      <c r="A296" s="57" t="s">
        <v>1022</v>
      </c>
      <c r="B296" s="57" t="s">
        <v>1011</v>
      </c>
      <c r="C296" s="57" t="s">
        <v>314</v>
      </c>
      <c r="D296" s="57">
        <v>2022</v>
      </c>
      <c r="E296" s="58">
        <f t="shared" si="29"/>
        <v>6</v>
      </c>
      <c r="F296" s="57" t="str">
        <f t="shared" si="30"/>
        <v>GIUGNO 2022</v>
      </c>
      <c r="G296" s="57" t="str">
        <f t="shared" si="31"/>
        <v>6 GIUGNO 2022</v>
      </c>
      <c r="H296" s="59">
        <v>630.84</v>
      </c>
      <c r="I296" s="59" t="s">
        <v>1022</v>
      </c>
      <c r="J296" s="28"/>
    </row>
    <row r="297" spans="1:10">
      <c r="A297" s="57" t="s">
        <v>1036</v>
      </c>
      <c r="B297" s="57" t="s">
        <v>1011</v>
      </c>
      <c r="C297" s="57" t="s">
        <v>314</v>
      </c>
      <c r="D297" s="57">
        <v>2022</v>
      </c>
      <c r="E297" s="58">
        <f t="shared" si="29"/>
        <v>6</v>
      </c>
      <c r="F297" s="57" t="str">
        <f t="shared" si="30"/>
        <v>GIUGNO 2022</v>
      </c>
      <c r="G297" s="57" t="str">
        <f t="shared" si="31"/>
        <v>6 GIUGNO 2022</v>
      </c>
      <c r="H297" s="59">
        <v>51.06</v>
      </c>
      <c r="I297" s="59" t="s">
        <v>1015</v>
      </c>
      <c r="J297" s="28"/>
    </row>
    <row r="298" spans="1:10">
      <c r="A298" s="57" t="s">
        <v>1034</v>
      </c>
      <c r="B298" s="57" t="s">
        <v>1011</v>
      </c>
      <c r="C298" s="57" t="s">
        <v>314</v>
      </c>
      <c r="D298" s="57">
        <v>2022</v>
      </c>
      <c r="E298" s="58">
        <f t="shared" si="29"/>
        <v>6</v>
      </c>
      <c r="F298" s="57" t="str">
        <f t="shared" si="30"/>
        <v>GIUGNO 2022</v>
      </c>
      <c r="G298" s="57" t="str">
        <f t="shared" si="31"/>
        <v>6 GIUGNO 2022</v>
      </c>
      <c r="H298" s="59">
        <v>135.5</v>
      </c>
      <c r="I298" s="59" t="s">
        <v>1016</v>
      </c>
      <c r="J298" s="28"/>
    </row>
    <row r="299" spans="1:10">
      <c r="A299" s="57" t="s">
        <v>1031</v>
      </c>
      <c r="B299" s="57" t="s">
        <v>1011</v>
      </c>
      <c r="C299" s="57" t="s">
        <v>314</v>
      </c>
      <c r="D299" s="57">
        <v>2022</v>
      </c>
      <c r="E299" s="58">
        <f t="shared" si="29"/>
        <v>6</v>
      </c>
      <c r="F299" s="57" t="str">
        <f t="shared" si="30"/>
        <v>GIUGNO 2022</v>
      </c>
      <c r="G299" s="57" t="str">
        <f t="shared" si="31"/>
        <v>6 GIUGNO 2022</v>
      </c>
      <c r="H299" s="59">
        <v>44.5</v>
      </c>
      <c r="I299" s="59" t="s">
        <v>1019</v>
      </c>
      <c r="J299" s="28"/>
    </row>
    <row r="300" spans="1:10">
      <c r="A300" s="57" t="s">
        <v>1029</v>
      </c>
      <c r="B300" s="57" t="s">
        <v>1011</v>
      </c>
      <c r="C300" s="57" t="s">
        <v>333</v>
      </c>
      <c r="D300" s="57">
        <v>2022</v>
      </c>
      <c r="E300" s="58">
        <f t="shared" si="29"/>
        <v>5</v>
      </c>
      <c r="F300" s="57" t="str">
        <f t="shared" si="30"/>
        <v>MAGGIO 2022</v>
      </c>
      <c r="G300" s="57" t="str">
        <f t="shared" si="31"/>
        <v>5 MAGGIO 2022</v>
      </c>
      <c r="H300" s="59">
        <v>3.5</v>
      </c>
      <c r="I300" s="59" t="s">
        <v>1013</v>
      </c>
      <c r="J300" s="28"/>
    </row>
    <row r="301" spans="1:10">
      <c r="A301" s="57" t="s">
        <v>1030</v>
      </c>
      <c r="B301" s="57" t="s">
        <v>1025</v>
      </c>
      <c r="C301" s="57" t="s">
        <v>333</v>
      </c>
      <c r="D301" s="57">
        <v>2022</v>
      </c>
      <c r="E301" s="58">
        <f t="shared" si="29"/>
        <v>5</v>
      </c>
      <c r="F301" s="57" t="str">
        <f t="shared" si="30"/>
        <v>MAGGIO 2022</v>
      </c>
      <c r="G301" s="57" t="str">
        <f t="shared" si="31"/>
        <v>5 MAGGIO 2022</v>
      </c>
      <c r="H301" s="59">
        <v>-820</v>
      </c>
      <c r="I301" s="59" t="s">
        <v>1012</v>
      </c>
      <c r="J301" s="28"/>
    </row>
    <row r="302" spans="1:10">
      <c r="A302" s="57" t="s">
        <v>1022</v>
      </c>
      <c r="B302" s="57" t="s">
        <v>1011</v>
      </c>
      <c r="C302" s="57" t="s">
        <v>333</v>
      </c>
      <c r="D302" s="57">
        <v>2022</v>
      </c>
      <c r="E302" s="58">
        <f t="shared" si="29"/>
        <v>5</v>
      </c>
      <c r="F302" s="57" t="str">
        <f t="shared" si="30"/>
        <v>MAGGIO 2022</v>
      </c>
      <c r="G302" s="57" t="str">
        <f t="shared" si="31"/>
        <v>5 MAGGIO 2022</v>
      </c>
      <c r="H302" s="59">
        <v>629.97</v>
      </c>
      <c r="I302" s="59" t="s">
        <v>1022</v>
      </c>
      <c r="J302" s="28"/>
    </row>
    <row r="303" spans="1:10">
      <c r="A303" s="57" t="s">
        <v>1036</v>
      </c>
      <c r="B303" s="57" t="s">
        <v>1011</v>
      </c>
      <c r="C303" s="57" t="s">
        <v>333</v>
      </c>
      <c r="D303" s="57">
        <v>2022</v>
      </c>
      <c r="E303" s="58">
        <f t="shared" si="29"/>
        <v>5</v>
      </c>
      <c r="F303" s="57" t="str">
        <f t="shared" si="30"/>
        <v>MAGGIO 2022</v>
      </c>
      <c r="G303" s="57" t="str">
        <f t="shared" si="31"/>
        <v>5 MAGGIO 2022</v>
      </c>
      <c r="H303" s="59">
        <v>51.06</v>
      </c>
      <c r="I303" s="59" t="s">
        <v>1015</v>
      </c>
      <c r="J303" s="28"/>
    </row>
    <row r="304" spans="1:10">
      <c r="A304" s="57" t="s">
        <v>1034</v>
      </c>
      <c r="B304" s="57" t="s">
        <v>1011</v>
      </c>
      <c r="C304" s="57" t="s">
        <v>333</v>
      </c>
      <c r="D304" s="57">
        <v>2022</v>
      </c>
      <c r="E304" s="58">
        <f t="shared" si="29"/>
        <v>5</v>
      </c>
      <c r="F304" s="57" t="str">
        <f t="shared" si="30"/>
        <v>MAGGIO 2022</v>
      </c>
      <c r="G304" s="57" t="str">
        <f t="shared" si="31"/>
        <v>5 MAGGIO 2022</v>
      </c>
      <c r="H304" s="59">
        <v>135.5</v>
      </c>
      <c r="I304" s="59" t="s">
        <v>1016</v>
      </c>
      <c r="J304" s="28"/>
    </row>
    <row r="305" spans="1:10">
      <c r="A305" s="57" t="s">
        <v>1031</v>
      </c>
      <c r="B305" s="57" t="s">
        <v>1011</v>
      </c>
      <c r="C305" s="57" t="s">
        <v>333</v>
      </c>
      <c r="D305" s="57">
        <v>2022</v>
      </c>
      <c r="E305" s="58">
        <f t="shared" ref="E305:E368" si="32">VLOOKUP(C305,$AC$421:$AD$432,2,FALSE)</f>
        <v>5</v>
      </c>
      <c r="F305" s="57" t="str">
        <f t="shared" si="30"/>
        <v>MAGGIO 2022</v>
      </c>
      <c r="G305" s="57" t="str">
        <f t="shared" si="31"/>
        <v>5 MAGGIO 2022</v>
      </c>
      <c r="H305" s="59">
        <v>44.5</v>
      </c>
      <c r="I305" s="59" t="s">
        <v>1019</v>
      </c>
      <c r="J305" s="28"/>
    </row>
    <row r="306" spans="1:10">
      <c r="A306" s="57" t="s">
        <v>1029</v>
      </c>
      <c r="B306" s="57" t="s">
        <v>1011</v>
      </c>
      <c r="C306" s="57" t="s">
        <v>352</v>
      </c>
      <c r="D306" s="57">
        <v>2022</v>
      </c>
      <c r="E306" s="58">
        <f t="shared" si="32"/>
        <v>4</v>
      </c>
      <c r="F306" s="57" t="str">
        <f t="shared" si="30"/>
        <v>APRILE 2022</v>
      </c>
      <c r="G306" s="57" t="str">
        <f t="shared" si="31"/>
        <v>4 APRILE 2022</v>
      </c>
      <c r="H306" s="59">
        <v>3.5</v>
      </c>
      <c r="I306" s="59" t="s">
        <v>1013</v>
      </c>
      <c r="J306" s="28"/>
    </row>
    <row r="307" spans="1:10">
      <c r="A307" s="57" t="s">
        <v>1030</v>
      </c>
      <c r="B307" s="57" t="s">
        <v>1025</v>
      </c>
      <c r="C307" s="57" t="s">
        <v>352</v>
      </c>
      <c r="D307" s="57">
        <v>2022</v>
      </c>
      <c r="E307" s="58">
        <f t="shared" si="32"/>
        <v>4</v>
      </c>
      <c r="F307" s="57" t="str">
        <f t="shared" si="30"/>
        <v>APRILE 2022</v>
      </c>
      <c r="G307" s="57" t="str">
        <f t="shared" si="31"/>
        <v>4 APRILE 2022</v>
      </c>
      <c r="H307" s="59">
        <v>-700</v>
      </c>
      <c r="I307" s="59" t="s">
        <v>1012</v>
      </c>
      <c r="J307" s="28"/>
    </row>
    <row r="308" spans="1:10">
      <c r="A308" s="57" t="s">
        <v>1022</v>
      </c>
      <c r="B308" s="57" t="s">
        <v>1011</v>
      </c>
      <c r="C308" s="57" t="s">
        <v>352</v>
      </c>
      <c r="D308" s="57">
        <v>2022</v>
      </c>
      <c r="E308" s="58">
        <f t="shared" si="32"/>
        <v>4</v>
      </c>
      <c r="F308" s="57" t="str">
        <f t="shared" si="30"/>
        <v>APRILE 2022</v>
      </c>
      <c r="G308" s="57" t="str">
        <f t="shared" si="31"/>
        <v>4 APRILE 2022</v>
      </c>
      <c r="H308" s="59">
        <v>630.65</v>
      </c>
      <c r="I308" s="59" t="s">
        <v>1022</v>
      </c>
      <c r="J308" s="28"/>
    </row>
    <row r="309" spans="1:10">
      <c r="A309" s="57" t="s">
        <v>1036</v>
      </c>
      <c r="B309" s="57" t="s">
        <v>1011</v>
      </c>
      <c r="C309" s="57" t="s">
        <v>352</v>
      </c>
      <c r="D309" s="57">
        <v>2022</v>
      </c>
      <c r="E309" s="58">
        <f t="shared" si="32"/>
        <v>4</v>
      </c>
      <c r="F309" s="57" t="str">
        <f t="shared" si="30"/>
        <v>APRILE 2022</v>
      </c>
      <c r="G309" s="57" t="str">
        <f t="shared" si="31"/>
        <v>4 APRILE 2022</v>
      </c>
      <c r="H309" s="59">
        <v>51.06</v>
      </c>
      <c r="I309" s="59" t="s">
        <v>1015</v>
      </c>
      <c r="J309" s="28"/>
    </row>
    <row r="310" spans="1:10">
      <c r="A310" s="57" t="s">
        <v>1034</v>
      </c>
      <c r="B310" s="57" t="s">
        <v>1011</v>
      </c>
      <c r="C310" s="57" t="s">
        <v>352</v>
      </c>
      <c r="D310" s="57">
        <v>2022</v>
      </c>
      <c r="E310" s="58">
        <f t="shared" si="32"/>
        <v>4</v>
      </c>
      <c r="F310" s="57" t="str">
        <f t="shared" si="30"/>
        <v>APRILE 2022</v>
      </c>
      <c r="G310" s="57" t="str">
        <f t="shared" si="31"/>
        <v>4 APRILE 2022</v>
      </c>
      <c r="H310" s="59">
        <v>135.5</v>
      </c>
      <c r="I310" s="59" t="s">
        <v>1016</v>
      </c>
      <c r="J310" s="28"/>
    </row>
    <row r="311" spans="1:10">
      <c r="A311" s="57" t="s">
        <v>1031</v>
      </c>
      <c r="B311" s="57" t="s">
        <v>1011</v>
      </c>
      <c r="C311" s="57" t="s">
        <v>352</v>
      </c>
      <c r="D311" s="57">
        <v>2022</v>
      </c>
      <c r="E311" s="58">
        <f t="shared" si="32"/>
        <v>4</v>
      </c>
      <c r="F311" s="57" t="str">
        <f t="shared" si="30"/>
        <v>APRILE 2022</v>
      </c>
      <c r="G311" s="57" t="str">
        <f t="shared" si="31"/>
        <v>4 APRILE 2022</v>
      </c>
      <c r="H311" s="59">
        <v>44.5</v>
      </c>
      <c r="I311" s="59" t="s">
        <v>1019</v>
      </c>
      <c r="J311" s="28"/>
    </row>
    <row r="312" spans="1:10">
      <c r="A312" s="57" t="s">
        <v>675</v>
      </c>
      <c r="B312" s="57" t="s">
        <v>1011</v>
      </c>
      <c r="C312" s="57" t="s">
        <v>90</v>
      </c>
      <c r="D312" s="57">
        <v>2022</v>
      </c>
      <c r="E312" s="58">
        <f t="shared" si="32"/>
        <v>3</v>
      </c>
      <c r="F312" s="57" t="str">
        <f t="shared" si="30"/>
        <v>MARZO 2022</v>
      </c>
      <c r="G312" s="57" t="str">
        <f t="shared" si="31"/>
        <v>3 MARZO 2022</v>
      </c>
      <c r="H312" s="59">
        <v>7.0000000000000007E-2</v>
      </c>
      <c r="I312" s="59" t="s">
        <v>1013</v>
      </c>
      <c r="J312" s="28"/>
    </row>
    <row r="313" spans="1:10">
      <c r="A313" s="57" t="s">
        <v>1029</v>
      </c>
      <c r="B313" s="57" t="s">
        <v>1011</v>
      </c>
      <c r="C313" s="57" t="s">
        <v>90</v>
      </c>
      <c r="D313" s="57">
        <v>2022</v>
      </c>
      <c r="E313" s="58">
        <f t="shared" si="32"/>
        <v>3</v>
      </c>
      <c r="F313" s="57" t="str">
        <f t="shared" si="30"/>
        <v>MARZO 2022</v>
      </c>
      <c r="G313" s="57" t="str">
        <f t="shared" si="31"/>
        <v>3 MARZO 2022</v>
      </c>
      <c r="H313" s="59">
        <v>3.5</v>
      </c>
      <c r="I313" s="59" t="s">
        <v>1013</v>
      </c>
      <c r="J313" s="28"/>
    </row>
    <row r="314" spans="1:10">
      <c r="A314" s="57" t="s">
        <v>1030</v>
      </c>
      <c r="B314" s="57" t="s">
        <v>1025</v>
      </c>
      <c r="C314" s="57" t="s">
        <v>90</v>
      </c>
      <c r="D314" s="57">
        <v>2022</v>
      </c>
      <c r="E314" s="58">
        <f t="shared" si="32"/>
        <v>3</v>
      </c>
      <c r="F314" s="57" t="str">
        <f t="shared" si="30"/>
        <v>MARZO 2022</v>
      </c>
      <c r="G314" s="57" t="str">
        <f t="shared" si="31"/>
        <v>3 MARZO 2022</v>
      </c>
      <c r="H314" s="59">
        <v>-600</v>
      </c>
      <c r="I314" s="59" t="s">
        <v>1012</v>
      </c>
      <c r="J314" s="28"/>
    </row>
    <row r="315" spans="1:10">
      <c r="A315" s="57" t="s">
        <v>1022</v>
      </c>
      <c r="B315" s="57" t="s">
        <v>1011</v>
      </c>
      <c r="C315" s="57" t="s">
        <v>90</v>
      </c>
      <c r="D315" s="57">
        <v>2022</v>
      </c>
      <c r="E315" s="58">
        <f t="shared" si="32"/>
        <v>3</v>
      </c>
      <c r="F315" s="57" t="str">
        <f t="shared" ref="F315:F378" si="33">CONCATENATE(,C315," ",D315)</f>
        <v>MARZO 2022</v>
      </c>
      <c r="G315" s="57" t="str">
        <f t="shared" ref="G315:G378" si="34">CONCATENATE(E315," ",F315)</f>
        <v>3 MARZO 2022</v>
      </c>
      <c r="H315" s="59">
        <v>630.9</v>
      </c>
      <c r="I315" s="59" t="s">
        <v>1022</v>
      </c>
      <c r="J315" s="28"/>
    </row>
    <row r="316" spans="1:10">
      <c r="A316" s="57" t="s">
        <v>1036</v>
      </c>
      <c r="B316" s="57" t="s">
        <v>1011</v>
      </c>
      <c r="C316" s="57" t="s">
        <v>90</v>
      </c>
      <c r="D316" s="57">
        <v>2022</v>
      </c>
      <c r="E316" s="58">
        <f t="shared" si="32"/>
        <v>3</v>
      </c>
      <c r="F316" s="57" t="str">
        <f t="shared" si="33"/>
        <v>MARZO 2022</v>
      </c>
      <c r="G316" s="57" t="str">
        <f t="shared" si="34"/>
        <v>3 MARZO 2022</v>
      </c>
      <c r="H316" s="59">
        <v>51.06</v>
      </c>
      <c r="I316" s="59" t="s">
        <v>1015</v>
      </c>
      <c r="J316" s="28"/>
    </row>
    <row r="317" spans="1:10">
      <c r="A317" s="57" t="s">
        <v>1034</v>
      </c>
      <c r="B317" s="57" t="s">
        <v>1011</v>
      </c>
      <c r="C317" s="57" t="s">
        <v>90</v>
      </c>
      <c r="D317" s="57">
        <v>2022</v>
      </c>
      <c r="E317" s="58">
        <f t="shared" si="32"/>
        <v>3</v>
      </c>
      <c r="F317" s="57" t="str">
        <f t="shared" si="33"/>
        <v>MARZO 2022</v>
      </c>
      <c r="G317" s="57" t="str">
        <f t="shared" si="34"/>
        <v>3 MARZO 2022</v>
      </c>
      <c r="H317" s="59">
        <v>135.5</v>
      </c>
      <c r="I317" s="59" t="s">
        <v>1016</v>
      </c>
      <c r="J317" s="28"/>
    </row>
    <row r="318" spans="1:10">
      <c r="A318" s="57" t="s">
        <v>1031</v>
      </c>
      <c r="B318" s="57" t="s">
        <v>1011</v>
      </c>
      <c r="C318" s="57" t="s">
        <v>90</v>
      </c>
      <c r="D318" s="57">
        <v>2022</v>
      </c>
      <c r="E318" s="58">
        <f t="shared" si="32"/>
        <v>3</v>
      </c>
      <c r="F318" s="57" t="str">
        <f t="shared" si="33"/>
        <v>MARZO 2022</v>
      </c>
      <c r="G318" s="57" t="str">
        <f t="shared" si="34"/>
        <v>3 MARZO 2022</v>
      </c>
      <c r="H318" s="59">
        <v>44.5</v>
      </c>
      <c r="I318" s="59" t="s">
        <v>1019</v>
      </c>
      <c r="J318" s="28"/>
    </row>
    <row r="319" spans="1:10">
      <c r="A319" s="57" t="s">
        <v>1036</v>
      </c>
      <c r="B319" s="57" t="s">
        <v>1011</v>
      </c>
      <c r="C319" s="57" t="s">
        <v>90</v>
      </c>
      <c r="D319" s="57">
        <v>2022</v>
      </c>
      <c r="E319" s="58">
        <f t="shared" si="32"/>
        <v>3</v>
      </c>
      <c r="F319" s="57" t="str">
        <f t="shared" si="33"/>
        <v>MARZO 2022</v>
      </c>
      <c r="G319" s="57" t="str">
        <f t="shared" si="34"/>
        <v>3 MARZO 2022</v>
      </c>
      <c r="H319" s="59">
        <v>51.06</v>
      </c>
      <c r="I319" s="59" t="s">
        <v>1015</v>
      </c>
      <c r="J319" s="28"/>
    </row>
    <row r="320" spans="1:10">
      <c r="A320" s="57" t="s">
        <v>1029</v>
      </c>
      <c r="B320" s="57" t="s">
        <v>1011</v>
      </c>
      <c r="C320" s="57" t="s">
        <v>129</v>
      </c>
      <c r="D320" s="57">
        <v>2022</v>
      </c>
      <c r="E320" s="58">
        <f t="shared" si="32"/>
        <v>2</v>
      </c>
      <c r="F320" s="57" t="str">
        <f t="shared" si="33"/>
        <v>FEBBRAIO 2022</v>
      </c>
      <c r="G320" s="57" t="str">
        <f t="shared" si="34"/>
        <v>2 FEBBRAIO 2022</v>
      </c>
      <c r="H320" s="59">
        <v>3.5</v>
      </c>
      <c r="I320" s="59" t="s">
        <v>1013</v>
      </c>
      <c r="J320" s="28"/>
    </row>
    <row r="321" spans="1:10">
      <c r="A321" s="57" t="s">
        <v>1030</v>
      </c>
      <c r="B321" s="57" t="s">
        <v>1025</v>
      </c>
      <c r="C321" s="57" t="s">
        <v>129</v>
      </c>
      <c r="D321" s="57">
        <v>2022</v>
      </c>
      <c r="E321" s="58">
        <f t="shared" si="32"/>
        <v>2</v>
      </c>
      <c r="F321" s="57" t="str">
        <f t="shared" si="33"/>
        <v>FEBBRAIO 2022</v>
      </c>
      <c r="G321" s="57" t="str">
        <f t="shared" si="34"/>
        <v>2 FEBBRAIO 2022</v>
      </c>
      <c r="H321" s="59">
        <v>-870</v>
      </c>
      <c r="I321" s="59" t="s">
        <v>1012</v>
      </c>
      <c r="J321" s="28"/>
    </row>
    <row r="322" spans="1:10">
      <c r="A322" s="57" t="s">
        <v>1037</v>
      </c>
      <c r="B322" s="57" t="s">
        <v>1011</v>
      </c>
      <c r="C322" s="57" t="s">
        <v>129</v>
      </c>
      <c r="D322" s="57">
        <v>2022</v>
      </c>
      <c r="E322" s="58">
        <f t="shared" si="32"/>
        <v>2</v>
      </c>
      <c r="F322" s="57" t="str">
        <f t="shared" si="33"/>
        <v>FEBBRAIO 2022</v>
      </c>
      <c r="G322" s="57" t="str">
        <f t="shared" si="34"/>
        <v>2 FEBBRAIO 2022</v>
      </c>
      <c r="H322" s="59">
        <v>150.5</v>
      </c>
      <c r="I322" s="59" t="s">
        <v>307</v>
      </c>
      <c r="J322" s="28"/>
    </row>
    <row r="323" spans="1:10">
      <c r="A323" s="57" t="s">
        <v>1022</v>
      </c>
      <c r="B323" s="57" t="s">
        <v>1011</v>
      </c>
      <c r="C323" s="57" t="s">
        <v>129</v>
      </c>
      <c r="D323" s="57">
        <v>2022</v>
      </c>
      <c r="E323" s="58">
        <f t="shared" si="32"/>
        <v>2</v>
      </c>
      <c r="F323" s="57" t="str">
        <f t="shared" si="33"/>
        <v>FEBBRAIO 2022</v>
      </c>
      <c r="G323" s="57" t="str">
        <f t="shared" si="34"/>
        <v>2 FEBBRAIO 2022</v>
      </c>
      <c r="H323" s="59">
        <v>630.4</v>
      </c>
      <c r="I323" s="59" t="s">
        <v>1022</v>
      </c>
      <c r="J323" s="28"/>
    </row>
    <row r="324" spans="1:10">
      <c r="A324" s="57" t="s">
        <v>1038</v>
      </c>
      <c r="B324" s="57" t="s">
        <v>1011</v>
      </c>
      <c r="C324" s="57" t="s">
        <v>129</v>
      </c>
      <c r="D324" s="57">
        <v>2022</v>
      </c>
      <c r="E324" s="58">
        <f t="shared" si="32"/>
        <v>2</v>
      </c>
      <c r="F324" s="57" t="str">
        <f t="shared" si="33"/>
        <v>FEBBRAIO 2022</v>
      </c>
      <c r="G324" s="57" t="str">
        <f t="shared" si="34"/>
        <v>2 FEBBRAIO 2022</v>
      </c>
      <c r="H324" s="59">
        <v>-65.040000000000006</v>
      </c>
      <c r="I324" s="59" t="s">
        <v>1017</v>
      </c>
      <c r="J324" s="28"/>
    </row>
    <row r="325" spans="1:10">
      <c r="A325" s="57" t="s">
        <v>1034</v>
      </c>
      <c r="B325" s="57" t="s">
        <v>1011</v>
      </c>
      <c r="C325" s="57" t="s">
        <v>129</v>
      </c>
      <c r="D325" s="57">
        <v>2022</v>
      </c>
      <c r="E325" s="58">
        <f t="shared" si="32"/>
        <v>2</v>
      </c>
      <c r="F325" s="57" t="str">
        <f t="shared" si="33"/>
        <v>FEBBRAIO 2022</v>
      </c>
      <c r="G325" s="57" t="str">
        <f t="shared" si="34"/>
        <v>2 FEBBRAIO 2022</v>
      </c>
      <c r="H325" s="59">
        <v>135.5</v>
      </c>
      <c r="I325" s="59" t="s">
        <v>1016</v>
      </c>
      <c r="J325" s="28"/>
    </row>
    <row r="326" spans="1:10">
      <c r="A326" s="57" t="s">
        <v>1031</v>
      </c>
      <c r="B326" s="57" t="s">
        <v>1011</v>
      </c>
      <c r="C326" s="57" t="s">
        <v>129</v>
      </c>
      <c r="D326" s="57">
        <v>2022</v>
      </c>
      <c r="E326" s="58">
        <f t="shared" si="32"/>
        <v>2</v>
      </c>
      <c r="F326" s="57" t="str">
        <f t="shared" si="33"/>
        <v>FEBBRAIO 2022</v>
      </c>
      <c r="G326" s="57" t="str">
        <f t="shared" si="34"/>
        <v>2 FEBBRAIO 2022</v>
      </c>
      <c r="H326" s="59">
        <v>44.5</v>
      </c>
      <c r="I326" s="59" t="s">
        <v>1019</v>
      </c>
      <c r="J326" s="28"/>
    </row>
    <row r="327" spans="1:10">
      <c r="A327" s="57" t="s">
        <v>1030</v>
      </c>
      <c r="B327" s="57" t="s">
        <v>1025</v>
      </c>
      <c r="C327" s="57" t="s">
        <v>154</v>
      </c>
      <c r="D327" s="57">
        <v>2022</v>
      </c>
      <c r="E327" s="58">
        <f t="shared" si="32"/>
        <v>1</v>
      </c>
      <c r="F327" s="57" t="str">
        <f t="shared" si="33"/>
        <v>GENNAIO 2022</v>
      </c>
      <c r="G327" s="57" t="str">
        <f t="shared" si="34"/>
        <v>1 GENNAIO 2022</v>
      </c>
      <c r="H327" s="59">
        <v>-845</v>
      </c>
      <c r="I327" s="59" t="s">
        <v>1012</v>
      </c>
      <c r="J327" s="28"/>
    </row>
    <row r="328" spans="1:10">
      <c r="A328" s="57" t="s">
        <v>1038</v>
      </c>
      <c r="B328" s="57" t="s">
        <v>1011</v>
      </c>
      <c r="C328" s="57" t="s">
        <v>154</v>
      </c>
      <c r="D328" s="57">
        <v>2022</v>
      </c>
      <c r="E328" s="58">
        <f t="shared" si="32"/>
        <v>1</v>
      </c>
      <c r="F328" s="57" t="str">
        <f t="shared" si="33"/>
        <v>GENNAIO 2022</v>
      </c>
      <c r="G328" s="57" t="str">
        <f t="shared" si="34"/>
        <v>1 GENNAIO 2022</v>
      </c>
      <c r="H328" s="59">
        <v>67.540000000000006</v>
      </c>
      <c r="I328" s="59" t="s">
        <v>1017</v>
      </c>
      <c r="J328" s="28"/>
    </row>
    <row r="329" spans="1:10">
      <c r="A329" s="57" t="s">
        <v>1029</v>
      </c>
      <c r="B329" s="57" t="s">
        <v>1011</v>
      </c>
      <c r="C329" s="57" t="s">
        <v>154</v>
      </c>
      <c r="D329" s="57">
        <v>2022</v>
      </c>
      <c r="E329" s="58">
        <f t="shared" si="32"/>
        <v>1</v>
      </c>
      <c r="F329" s="57" t="str">
        <f t="shared" si="33"/>
        <v>GENNAIO 2022</v>
      </c>
      <c r="G329" s="57" t="str">
        <f t="shared" si="34"/>
        <v>1 GENNAIO 2022</v>
      </c>
      <c r="H329" s="59">
        <v>3.5</v>
      </c>
      <c r="I329" s="59" t="s">
        <v>1013</v>
      </c>
      <c r="J329" s="28"/>
    </row>
    <row r="330" spans="1:10">
      <c r="A330" s="57" t="s">
        <v>1022</v>
      </c>
      <c r="B330" s="57" t="s">
        <v>1011</v>
      </c>
      <c r="C330" s="57" t="s">
        <v>154</v>
      </c>
      <c r="D330" s="57">
        <v>2022</v>
      </c>
      <c r="E330" s="58">
        <f t="shared" si="32"/>
        <v>1</v>
      </c>
      <c r="F330" s="57" t="str">
        <f t="shared" si="33"/>
        <v>GENNAIO 2022</v>
      </c>
      <c r="G330" s="57" t="str">
        <f t="shared" si="34"/>
        <v>1 GENNAIO 2022</v>
      </c>
      <c r="H330" s="59">
        <v>629.97</v>
      </c>
      <c r="I330" s="59" t="s">
        <v>1022</v>
      </c>
      <c r="J330" s="28"/>
    </row>
    <row r="331" spans="1:10">
      <c r="A331" s="57" t="s">
        <v>1036</v>
      </c>
      <c r="B331" s="57" t="s">
        <v>1011</v>
      </c>
      <c r="C331" s="57" t="s">
        <v>154</v>
      </c>
      <c r="D331" s="57">
        <v>2022</v>
      </c>
      <c r="E331" s="58">
        <f t="shared" si="32"/>
        <v>1</v>
      </c>
      <c r="F331" s="57" t="str">
        <f t="shared" si="33"/>
        <v>GENNAIO 2022</v>
      </c>
      <c r="G331" s="57" t="str">
        <f t="shared" si="34"/>
        <v>1 GENNAIO 2022</v>
      </c>
      <c r="H331" s="59">
        <f>51.76+2.5</f>
        <v>54.26</v>
      </c>
      <c r="I331" s="59" t="s">
        <v>1015</v>
      </c>
      <c r="J331" s="28"/>
    </row>
    <row r="332" spans="1:10">
      <c r="A332" s="57" t="s">
        <v>1034</v>
      </c>
      <c r="B332" s="57" t="s">
        <v>1011</v>
      </c>
      <c r="C332" s="57" t="s">
        <v>154</v>
      </c>
      <c r="D332" s="57">
        <v>2022</v>
      </c>
      <c r="E332" s="58">
        <f t="shared" si="32"/>
        <v>1</v>
      </c>
      <c r="F332" s="57" t="str">
        <f t="shared" si="33"/>
        <v>GENNAIO 2022</v>
      </c>
      <c r="G332" s="57" t="str">
        <f t="shared" si="34"/>
        <v>1 GENNAIO 2022</v>
      </c>
      <c r="H332" s="59">
        <v>135.5</v>
      </c>
      <c r="I332" s="59" t="s">
        <v>1016</v>
      </c>
      <c r="J332" s="28"/>
    </row>
    <row r="333" spans="1:10">
      <c r="A333" s="57" t="s">
        <v>1031</v>
      </c>
      <c r="B333" s="57" t="s">
        <v>1011</v>
      </c>
      <c r="C333" s="57" t="s">
        <v>154</v>
      </c>
      <c r="D333" s="57">
        <v>2022</v>
      </c>
      <c r="E333" s="58">
        <f t="shared" si="32"/>
        <v>1</v>
      </c>
      <c r="F333" s="57" t="str">
        <f t="shared" si="33"/>
        <v>GENNAIO 2022</v>
      </c>
      <c r="G333" s="57" t="str">
        <f t="shared" si="34"/>
        <v>1 GENNAIO 2022</v>
      </c>
      <c r="H333" s="59">
        <v>44.5</v>
      </c>
      <c r="I333" s="59" t="s">
        <v>1019</v>
      </c>
      <c r="J333" s="28"/>
    </row>
    <row r="334" spans="1:10">
      <c r="A334" s="57" t="s">
        <v>1030</v>
      </c>
      <c r="B334" s="57" t="s">
        <v>1025</v>
      </c>
      <c r="C334" s="57" t="s">
        <v>154</v>
      </c>
      <c r="D334" s="57">
        <v>2022</v>
      </c>
      <c r="E334" s="58">
        <f t="shared" si="32"/>
        <v>1</v>
      </c>
      <c r="F334" s="57" t="str">
        <f t="shared" si="33"/>
        <v>GENNAIO 2022</v>
      </c>
      <c r="G334" s="57" t="str">
        <f t="shared" si="34"/>
        <v>1 GENNAIO 2022</v>
      </c>
      <c r="H334" s="59">
        <v>-50</v>
      </c>
      <c r="I334" s="59" t="s">
        <v>1012</v>
      </c>
      <c r="J334" s="28"/>
    </row>
    <row r="335" spans="1:10">
      <c r="A335" s="57" t="s">
        <v>675</v>
      </c>
      <c r="B335" s="57" t="s">
        <v>1011</v>
      </c>
      <c r="C335" s="57" t="s">
        <v>154</v>
      </c>
      <c r="D335" s="57">
        <v>2022</v>
      </c>
      <c r="E335" s="58">
        <f t="shared" si="32"/>
        <v>1</v>
      </c>
      <c r="F335" s="57" t="str">
        <f t="shared" si="33"/>
        <v>GENNAIO 2022</v>
      </c>
      <c r="G335" s="57" t="str">
        <f t="shared" si="34"/>
        <v>1 GENNAIO 2022</v>
      </c>
      <c r="H335" s="59">
        <v>0.03</v>
      </c>
      <c r="I335" s="59" t="s">
        <v>1013</v>
      </c>
      <c r="J335" s="28"/>
    </row>
    <row r="336" spans="1:10">
      <c r="A336" s="57" t="s">
        <v>1033</v>
      </c>
      <c r="B336" s="57" t="s">
        <v>1011</v>
      </c>
      <c r="C336" s="57" t="s">
        <v>154</v>
      </c>
      <c r="D336" s="57">
        <v>2022</v>
      </c>
      <c r="E336" s="58">
        <f t="shared" si="32"/>
        <v>1</v>
      </c>
      <c r="F336" s="57" t="str">
        <f t="shared" si="33"/>
        <v>GENNAIO 2022</v>
      </c>
      <c r="G336" s="57" t="str">
        <f t="shared" si="34"/>
        <v>1 GENNAIO 2022</v>
      </c>
      <c r="H336" s="59">
        <v>-0.1</v>
      </c>
      <c r="I336" s="59" t="s">
        <v>1013</v>
      </c>
      <c r="J336" s="28"/>
    </row>
    <row r="337" spans="1:10">
      <c r="A337" s="57" t="s">
        <v>1033</v>
      </c>
      <c r="B337" s="57" t="s">
        <v>1011</v>
      </c>
      <c r="C337" s="57" t="s">
        <v>154</v>
      </c>
      <c r="D337" s="57">
        <v>2022</v>
      </c>
      <c r="E337" s="58">
        <f t="shared" si="32"/>
        <v>1</v>
      </c>
      <c r="F337" s="57" t="str">
        <f t="shared" si="33"/>
        <v>GENNAIO 2022</v>
      </c>
      <c r="G337" s="57" t="str">
        <f t="shared" si="34"/>
        <v>1 GENNAIO 2022</v>
      </c>
      <c r="H337" s="59">
        <v>11.61</v>
      </c>
      <c r="I337" s="59" t="s">
        <v>1013</v>
      </c>
      <c r="J337" s="28"/>
    </row>
    <row r="338" spans="1:10">
      <c r="A338" s="57" t="s">
        <v>1030</v>
      </c>
      <c r="B338" s="57" t="s">
        <v>1025</v>
      </c>
      <c r="C338" s="57" t="s">
        <v>173</v>
      </c>
      <c r="D338" s="57">
        <v>2021</v>
      </c>
      <c r="E338" s="58">
        <f t="shared" si="32"/>
        <v>12</v>
      </c>
      <c r="F338" s="57" t="str">
        <f t="shared" si="33"/>
        <v>DICEMBRE 2021</v>
      </c>
      <c r="G338" s="57" t="str">
        <f t="shared" si="34"/>
        <v>12 DICEMBRE 2021</v>
      </c>
      <c r="H338" s="59">
        <v>-250</v>
      </c>
      <c r="I338" s="59" t="s">
        <v>1012</v>
      </c>
      <c r="J338" s="28"/>
    </row>
    <row r="339" spans="1:10">
      <c r="A339" s="57" t="s">
        <v>721</v>
      </c>
      <c r="B339" s="57" t="s">
        <v>1011</v>
      </c>
      <c r="C339" s="57" t="s">
        <v>173</v>
      </c>
      <c r="D339" s="57">
        <v>2021</v>
      </c>
      <c r="E339" s="58">
        <f t="shared" si="32"/>
        <v>12</v>
      </c>
      <c r="F339" s="57" t="str">
        <f t="shared" si="33"/>
        <v>DICEMBRE 2021</v>
      </c>
      <c r="G339" s="57" t="str">
        <f t="shared" si="34"/>
        <v>12 DICEMBRE 2021</v>
      </c>
      <c r="H339" s="59">
        <v>253.16</v>
      </c>
      <c r="I339" s="59" t="s">
        <v>1020</v>
      </c>
      <c r="J339" s="28"/>
    </row>
    <row r="340" spans="1:10">
      <c r="A340" s="57" t="s">
        <v>1029</v>
      </c>
      <c r="B340" s="57" t="s">
        <v>1011</v>
      </c>
      <c r="C340" s="57" t="s">
        <v>173</v>
      </c>
      <c r="D340" s="57">
        <v>2021</v>
      </c>
      <c r="E340" s="58">
        <f t="shared" si="32"/>
        <v>12</v>
      </c>
      <c r="F340" s="57" t="str">
        <f t="shared" si="33"/>
        <v>DICEMBRE 2021</v>
      </c>
      <c r="G340" s="57" t="str">
        <f t="shared" si="34"/>
        <v>12 DICEMBRE 2021</v>
      </c>
      <c r="H340" s="59">
        <v>3.5</v>
      </c>
      <c r="I340" s="59" t="s">
        <v>1013</v>
      </c>
      <c r="J340" s="28"/>
    </row>
    <row r="341" spans="1:10">
      <c r="A341" s="57" t="s">
        <v>1030</v>
      </c>
      <c r="B341" s="57" t="s">
        <v>1025</v>
      </c>
      <c r="C341" s="57" t="s">
        <v>173</v>
      </c>
      <c r="D341" s="57">
        <v>2021</v>
      </c>
      <c r="E341" s="58">
        <f t="shared" si="32"/>
        <v>12</v>
      </c>
      <c r="F341" s="57" t="str">
        <f t="shared" si="33"/>
        <v>DICEMBRE 2021</v>
      </c>
      <c r="G341" s="57" t="str">
        <f t="shared" si="34"/>
        <v>12 DICEMBRE 2021</v>
      </c>
      <c r="H341" s="59">
        <v>-1000</v>
      </c>
      <c r="I341" s="59" t="s">
        <v>1012</v>
      </c>
      <c r="J341" s="28"/>
    </row>
    <row r="342" spans="1:10">
      <c r="A342" s="57" t="s">
        <v>1039</v>
      </c>
      <c r="B342" s="57" t="s">
        <v>1011</v>
      </c>
      <c r="C342" s="57" t="s">
        <v>173</v>
      </c>
      <c r="D342" s="57">
        <v>2021</v>
      </c>
      <c r="E342" s="58">
        <f t="shared" si="32"/>
        <v>12</v>
      </c>
      <c r="F342" s="57" t="str">
        <f t="shared" si="33"/>
        <v>DICEMBRE 2021</v>
      </c>
      <c r="G342" s="57" t="str">
        <f t="shared" si="34"/>
        <v>12 DICEMBRE 2021</v>
      </c>
      <c r="H342" s="59">
        <f>48.31+0.5</f>
        <v>48.81</v>
      </c>
      <c r="I342" s="59" t="s">
        <v>1024</v>
      </c>
      <c r="J342" s="28"/>
    </row>
    <row r="343" spans="1:10">
      <c r="A343" s="57" t="s">
        <v>1039</v>
      </c>
      <c r="B343" s="57" t="s">
        <v>1011</v>
      </c>
      <c r="C343" s="57" t="s">
        <v>173</v>
      </c>
      <c r="D343" s="57">
        <v>2021</v>
      </c>
      <c r="E343" s="58">
        <f t="shared" si="32"/>
        <v>12</v>
      </c>
      <c r="F343" s="57" t="str">
        <f t="shared" si="33"/>
        <v>DICEMBRE 2021</v>
      </c>
      <c r="G343" s="57" t="str">
        <f t="shared" si="34"/>
        <v>12 DICEMBRE 2021</v>
      </c>
      <c r="H343" s="59">
        <f>48.46+0.5</f>
        <v>48.96</v>
      </c>
      <c r="I343" s="59" t="s">
        <v>1023</v>
      </c>
      <c r="J343" s="28"/>
    </row>
    <row r="344" spans="1:10">
      <c r="A344" s="57" t="s">
        <v>1036</v>
      </c>
      <c r="B344" s="57" t="s">
        <v>1011</v>
      </c>
      <c r="C344" s="57" t="s">
        <v>173</v>
      </c>
      <c r="D344" s="57">
        <v>2021</v>
      </c>
      <c r="E344" s="58">
        <f t="shared" si="32"/>
        <v>12</v>
      </c>
      <c r="F344" s="57" t="str">
        <f t="shared" si="33"/>
        <v>DICEMBRE 2021</v>
      </c>
      <c r="G344" s="57" t="str">
        <f t="shared" si="34"/>
        <v>12 DICEMBRE 2021</v>
      </c>
      <c r="H344" s="59">
        <v>51.06</v>
      </c>
      <c r="I344" s="59" t="s">
        <v>1015</v>
      </c>
      <c r="J344" s="28"/>
    </row>
    <row r="345" spans="1:10">
      <c r="A345" s="57" t="s">
        <v>1034</v>
      </c>
      <c r="B345" s="57" t="s">
        <v>1011</v>
      </c>
      <c r="C345" s="57" t="s">
        <v>173</v>
      </c>
      <c r="D345" s="57">
        <v>2021</v>
      </c>
      <c r="E345" s="58">
        <f t="shared" si="32"/>
        <v>12</v>
      </c>
      <c r="F345" s="57" t="str">
        <f t="shared" si="33"/>
        <v>DICEMBRE 2021</v>
      </c>
      <c r="G345" s="57" t="str">
        <f t="shared" si="34"/>
        <v>12 DICEMBRE 2021</v>
      </c>
      <c r="H345" s="59">
        <v>135.5</v>
      </c>
      <c r="I345" s="59" t="s">
        <v>1016</v>
      </c>
      <c r="J345" s="28"/>
    </row>
    <row r="346" spans="1:10">
      <c r="A346" s="57" t="s">
        <v>1038</v>
      </c>
      <c r="B346" s="57" t="s">
        <v>1011</v>
      </c>
      <c r="C346" s="57" t="s">
        <v>173</v>
      </c>
      <c r="D346" s="57">
        <v>2021</v>
      </c>
      <c r="E346" s="58">
        <f t="shared" si="32"/>
        <v>12</v>
      </c>
      <c r="F346" s="57" t="str">
        <f t="shared" si="33"/>
        <v>DICEMBRE 2021</v>
      </c>
      <c r="G346" s="57" t="str">
        <f t="shared" si="34"/>
        <v>12 DICEMBRE 2021</v>
      </c>
      <c r="H346" s="59">
        <v>67.540000000000006</v>
      </c>
      <c r="I346" s="59" t="s">
        <v>1017</v>
      </c>
      <c r="J346" s="28"/>
    </row>
    <row r="347" spans="1:10">
      <c r="A347" s="57" t="s">
        <v>1031</v>
      </c>
      <c r="B347" s="57" t="s">
        <v>1011</v>
      </c>
      <c r="C347" s="57" t="s">
        <v>173</v>
      </c>
      <c r="D347" s="57">
        <v>2021</v>
      </c>
      <c r="E347" s="58">
        <f t="shared" si="32"/>
        <v>12</v>
      </c>
      <c r="F347" s="57" t="str">
        <f t="shared" si="33"/>
        <v>DICEMBRE 2021</v>
      </c>
      <c r="G347" s="57" t="str">
        <f t="shared" si="34"/>
        <v>12 DICEMBRE 2021</v>
      </c>
      <c r="H347" s="59">
        <v>44.5</v>
      </c>
      <c r="I347" s="59" t="s">
        <v>1019</v>
      </c>
      <c r="J347" s="28"/>
    </row>
    <row r="348" spans="1:10">
      <c r="A348" s="57" t="s">
        <v>1029</v>
      </c>
      <c r="B348" s="57" t="s">
        <v>1011</v>
      </c>
      <c r="C348" s="57" t="s">
        <v>200</v>
      </c>
      <c r="D348" s="57">
        <v>2021</v>
      </c>
      <c r="E348" s="58">
        <f t="shared" si="32"/>
        <v>11</v>
      </c>
      <c r="F348" s="57" t="str">
        <f t="shared" si="33"/>
        <v>NOVEMBRE 2021</v>
      </c>
      <c r="G348" s="57" t="str">
        <f t="shared" si="34"/>
        <v>11 NOVEMBRE 2021</v>
      </c>
      <c r="H348" s="59">
        <v>3.5</v>
      </c>
      <c r="I348" s="59" t="s">
        <v>1013</v>
      </c>
      <c r="J348" s="28"/>
    </row>
    <row r="349" spans="1:10">
      <c r="A349" s="57" t="s">
        <v>1022</v>
      </c>
      <c r="B349" s="57" t="s">
        <v>1011</v>
      </c>
      <c r="C349" s="57" t="s">
        <v>200</v>
      </c>
      <c r="D349" s="57">
        <v>2021</v>
      </c>
      <c r="E349" s="58">
        <f t="shared" si="32"/>
        <v>11</v>
      </c>
      <c r="F349" s="57" t="str">
        <f t="shared" si="33"/>
        <v>NOVEMBRE 2021</v>
      </c>
      <c r="G349" s="57" t="str">
        <f t="shared" si="34"/>
        <v>11 NOVEMBRE 2021</v>
      </c>
      <c r="H349" s="59">
        <v>629.97</v>
      </c>
      <c r="I349" s="59" t="s">
        <v>1022</v>
      </c>
      <c r="J349" s="28"/>
    </row>
    <row r="350" spans="1:10">
      <c r="A350" s="57" t="s">
        <v>1036</v>
      </c>
      <c r="B350" s="57" t="s">
        <v>1011</v>
      </c>
      <c r="C350" s="57" t="s">
        <v>200</v>
      </c>
      <c r="D350" s="57">
        <v>2021</v>
      </c>
      <c r="E350" s="58">
        <f t="shared" si="32"/>
        <v>11</v>
      </c>
      <c r="F350" s="57" t="str">
        <f t="shared" si="33"/>
        <v>NOVEMBRE 2021</v>
      </c>
      <c r="G350" s="57" t="str">
        <f t="shared" si="34"/>
        <v>11 NOVEMBRE 2021</v>
      </c>
      <c r="H350" s="59">
        <v>51.06</v>
      </c>
      <c r="I350" s="59" t="s">
        <v>1015</v>
      </c>
      <c r="J350" s="28"/>
    </row>
    <row r="351" spans="1:10">
      <c r="A351" s="57" t="s">
        <v>1030</v>
      </c>
      <c r="B351" s="57" t="s">
        <v>1025</v>
      </c>
      <c r="C351" s="57" t="s">
        <v>200</v>
      </c>
      <c r="D351" s="57">
        <v>2021</v>
      </c>
      <c r="E351" s="58">
        <f t="shared" si="32"/>
        <v>11</v>
      </c>
      <c r="F351" s="57" t="str">
        <f t="shared" si="33"/>
        <v>NOVEMBRE 2021</v>
      </c>
      <c r="G351" s="57" t="str">
        <f t="shared" si="34"/>
        <v>11 NOVEMBRE 2021</v>
      </c>
      <c r="H351" s="59">
        <v>-950</v>
      </c>
      <c r="I351" s="59" t="s">
        <v>1012</v>
      </c>
      <c r="J351" s="28"/>
    </row>
    <row r="352" spans="1:10">
      <c r="A352" s="57" t="s">
        <v>1034</v>
      </c>
      <c r="B352" s="57" t="s">
        <v>1011</v>
      </c>
      <c r="C352" s="57" t="s">
        <v>200</v>
      </c>
      <c r="D352" s="57">
        <v>2021</v>
      </c>
      <c r="E352" s="58">
        <f t="shared" si="32"/>
        <v>11</v>
      </c>
      <c r="F352" s="57" t="str">
        <f t="shared" si="33"/>
        <v>NOVEMBRE 2021</v>
      </c>
      <c r="G352" s="57" t="str">
        <f t="shared" si="34"/>
        <v>11 NOVEMBRE 2021</v>
      </c>
      <c r="H352" s="59">
        <v>135.5</v>
      </c>
      <c r="I352" s="59" t="s">
        <v>1016</v>
      </c>
      <c r="J352" s="28"/>
    </row>
    <row r="353" spans="1:10">
      <c r="A353" s="57" t="s">
        <v>1038</v>
      </c>
      <c r="B353" s="57" t="s">
        <v>1011</v>
      </c>
      <c r="C353" s="57" t="s">
        <v>200</v>
      </c>
      <c r="D353" s="57">
        <v>2021</v>
      </c>
      <c r="E353" s="58">
        <f t="shared" si="32"/>
        <v>11</v>
      </c>
      <c r="F353" s="57" t="str">
        <f t="shared" si="33"/>
        <v>NOVEMBRE 2021</v>
      </c>
      <c r="G353" s="57" t="str">
        <f t="shared" si="34"/>
        <v>11 NOVEMBRE 2021</v>
      </c>
      <c r="H353" s="59">
        <v>67.540000000000006</v>
      </c>
      <c r="I353" s="59" t="s">
        <v>1017</v>
      </c>
      <c r="J353" s="28"/>
    </row>
    <row r="354" spans="1:10">
      <c r="A354" s="57" t="s">
        <v>1031</v>
      </c>
      <c r="B354" s="57" t="s">
        <v>1011</v>
      </c>
      <c r="C354" s="57" t="s">
        <v>200</v>
      </c>
      <c r="D354" s="57">
        <v>2021</v>
      </c>
      <c r="E354" s="58">
        <f t="shared" si="32"/>
        <v>11</v>
      </c>
      <c r="F354" s="57" t="str">
        <f t="shared" si="33"/>
        <v>NOVEMBRE 2021</v>
      </c>
      <c r="G354" s="57" t="str">
        <f t="shared" si="34"/>
        <v>11 NOVEMBRE 2021</v>
      </c>
      <c r="H354" s="59">
        <v>44.5</v>
      </c>
      <c r="I354" s="59" t="s">
        <v>1019</v>
      </c>
      <c r="J354" s="28"/>
    </row>
    <row r="355" spans="1:10">
      <c r="A355" s="57" t="s">
        <v>1029</v>
      </c>
      <c r="B355" s="57" t="s">
        <v>1011</v>
      </c>
      <c r="C355" s="57" t="s">
        <v>217</v>
      </c>
      <c r="D355" s="57">
        <v>2021</v>
      </c>
      <c r="E355" s="58">
        <f t="shared" si="32"/>
        <v>10</v>
      </c>
      <c r="F355" s="57" t="str">
        <f t="shared" si="33"/>
        <v>OTTOBRE 2021</v>
      </c>
      <c r="G355" s="57" t="str">
        <f t="shared" si="34"/>
        <v>10 OTTOBRE 2021</v>
      </c>
      <c r="H355" s="59">
        <v>3.5</v>
      </c>
      <c r="I355" s="59" t="s">
        <v>1013</v>
      </c>
      <c r="J355" s="28"/>
    </row>
    <row r="356" spans="1:10">
      <c r="A356" s="57" t="s">
        <v>1030</v>
      </c>
      <c r="B356" s="57" t="s">
        <v>1025</v>
      </c>
      <c r="C356" s="57" t="s">
        <v>217</v>
      </c>
      <c r="D356" s="57">
        <v>2021</v>
      </c>
      <c r="E356" s="58">
        <f t="shared" si="32"/>
        <v>10</v>
      </c>
      <c r="F356" s="57" t="str">
        <f t="shared" si="33"/>
        <v>OTTOBRE 2021</v>
      </c>
      <c r="G356" s="57" t="str">
        <f t="shared" si="34"/>
        <v>10 OTTOBRE 2021</v>
      </c>
      <c r="H356" s="59">
        <v>-1000</v>
      </c>
      <c r="I356" s="59" t="s">
        <v>1012</v>
      </c>
      <c r="J356" s="28"/>
    </row>
    <row r="357" spans="1:10">
      <c r="A357" s="57" t="s">
        <v>1022</v>
      </c>
      <c r="B357" s="57" t="s">
        <v>1011</v>
      </c>
      <c r="C357" s="57" t="s">
        <v>217</v>
      </c>
      <c r="D357" s="57">
        <v>2021</v>
      </c>
      <c r="E357" s="58">
        <f t="shared" si="32"/>
        <v>10</v>
      </c>
      <c r="F357" s="57" t="str">
        <f t="shared" si="33"/>
        <v>OTTOBRE 2021</v>
      </c>
      <c r="G357" s="57" t="str">
        <f t="shared" si="34"/>
        <v>10 OTTOBRE 2021</v>
      </c>
      <c r="H357" s="59">
        <v>629.97</v>
      </c>
      <c r="I357" s="59" t="s">
        <v>1022</v>
      </c>
      <c r="J357" s="28"/>
    </row>
    <row r="358" spans="1:10">
      <c r="A358" s="57" t="s">
        <v>1036</v>
      </c>
      <c r="B358" s="57" t="s">
        <v>1011</v>
      </c>
      <c r="C358" s="57" t="s">
        <v>217</v>
      </c>
      <c r="D358" s="57">
        <v>2021</v>
      </c>
      <c r="E358" s="58">
        <f t="shared" si="32"/>
        <v>10</v>
      </c>
      <c r="F358" s="57" t="str">
        <f t="shared" si="33"/>
        <v>OTTOBRE 2021</v>
      </c>
      <c r="G358" s="57" t="str">
        <f t="shared" si="34"/>
        <v>10 OTTOBRE 2021</v>
      </c>
      <c r="H358" s="59">
        <v>51.06</v>
      </c>
      <c r="I358" s="59" t="s">
        <v>1015</v>
      </c>
      <c r="J358" s="28"/>
    </row>
    <row r="359" spans="1:10">
      <c r="A359" s="57" t="s">
        <v>1039</v>
      </c>
      <c r="B359" s="57" t="s">
        <v>1011</v>
      </c>
      <c r="C359" s="57" t="s">
        <v>217</v>
      </c>
      <c r="D359" s="57">
        <v>2021</v>
      </c>
      <c r="E359" s="58">
        <f t="shared" si="32"/>
        <v>10</v>
      </c>
      <c r="F359" s="57" t="str">
        <f t="shared" si="33"/>
        <v>OTTOBRE 2021</v>
      </c>
      <c r="G359" s="57" t="str">
        <f t="shared" si="34"/>
        <v>10 OTTOBRE 2021</v>
      </c>
      <c r="H359" s="59">
        <v>101.25</v>
      </c>
      <c r="I359" s="59" t="s">
        <v>1024</v>
      </c>
      <c r="J359" s="28"/>
    </row>
    <row r="360" spans="1:10">
      <c r="A360" s="57" t="s">
        <v>1039</v>
      </c>
      <c r="B360" s="57" t="s">
        <v>1011</v>
      </c>
      <c r="C360" s="57" t="s">
        <v>217</v>
      </c>
      <c r="D360" s="57">
        <v>2021</v>
      </c>
      <c r="E360" s="58">
        <f t="shared" si="32"/>
        <v>10</v>
      </c>
      <c r="F360" s="57" t="str">
        <f t="shared" si="33"/>
        <v>OTTOBRE 2021</v>
      </c>
      <c r="G360" s="57" t="str">
        <f t="shared" si="34"/>
        <v>10 OTTOBRE 2021</v>
      </c>
      <c r="H360" s="59">
        <v>9.5</v>
      </c>
      <c r="I360" s="59" t="s">
        <v>1024</v>
      </c>
      <c r="J360" s="28"/>
    </row>
    <row r="361" spans="1:10">
      <c r="A361" s="57" t="s">
        <v>1039</v>
      </c>
      <c r="B361" s="57" t="s">
        <v>1011</v>
      </c>
      <c r="C361" s="57" t="s">
        <v>217</v>
      </c>
      <c r="D361" s="57">
        <v>2021</v>
      </c>
      <c r="E361" s="58">
        <f t="shared" si="32"/>
        <v>10</v>
      </c>
      <c r="F361" s="57" t="str">
        <f t="shared" si="33"/>
        <v>OTTOBRE 2021</v>
      </c>
      <c r="G361" s="57" t="str">
        <f t="shared" si="34"/>
        <v>10 OTTOBRE 2021</v>
      </c>
      <c r="H361" s="59">
        <v>37.5</v>
      </c>
      <c r="I361" s="59" t="s">
        <v>1023</v>
      </c>
      <c r="J361" s="28"/>
    </row>
    <row r="362" spans="1:10">
      <c r="A362" s="57" t="s">
        <v>1034</v>
      </c>
      <c r="B362" s="57" t="s">
        <v>1011</v>
      </c>
      <c r="C362" s="57" t="s">
        <v>217</v>
      </c>
      <c r="D362" s="57">
        <v>2021</v>
      </c>
      <c r="E362" s="58">
        <f t="shared" si="32"/>
        <v>10</v>
      </c>
      <c r="F362" s="57" t="str">
        <f t="shared" si="33"/>
        <v>OTTOBRE 2021</v>
      </c>
      <c r="G362" s="57" t="str">
        <f t="shared" si="34"/>
        <v>10 OTTOBRE 2021</v>
      </c>
      <c r="H362" s="59">
        <v>135.5</v>
      </c>
      <c r="I362" s="59" t="s">
        <v>1016</v>
      </c>
      <c r="J362" s="28"/>
    </row>
    <row r="363" spans="1:10">
      <c r="A363" s="57" t="s">
        <v>1038</v>
      </c>
      <c r="B363" s="57" t="s">
        <v>1011</v>
      </c>
      <c r="C363" s="57" t="s">
        <v>217</v>
      </c>
      <c r="D363" s="57">
        <v>2021</v>
      </c>
      <c r="E363" s="58">
        <f t="shared" si="32"/>
        <v>10</v>
      </c>
      <c r="F363" s="57" t="str">
        <f t="shared" si="33"/>
        <v>OTTOBRE 2021</v>
      </c>
      <c r="G363" s="57" t="str">
        <f t="shared" si="34"/>
        <v>10 OTTOBRE 2021</v>
      </c>
      <c r="H363" s="59">
        <v>67.540000000000006</v>
      </c>
      <c r="I363" s="59" t="s">
        <v>1017</v>
      </c>
      <c r="J363" s="28"/>
    </row>
    <row r="364" spans="1:10">
      <c r="A364" s="57" t="s">
        <v>1031</v>
      </c>
      <c r="B364" s="57" t="s">
        <v>1011</v>
      </c>
      <c r="C364" s="57" t="s">
        <v>217</v>
      </c>
      <c r="D364" s="57">
        <v>2021</v>
      </c>
      <c r="E364" s="58">
        <f t="shared" si="32"/>
        <v>10</v>
      </c>
      <c r="F364" s="57" t="str">
        <f t="shared" si="33"/>
        <v>OTTOBRE 2021</v>
      </c>
      <c r="G364" s="57" t="str">
        <f t="shared" si="34"/>
        <v>10 OTTOBRE 2021</v>
      </c>
      <c r="H364" s="59">
        <v>44.57</v>
      </c>
      <c r="I364" s="59" t="s">
        <v>1019</v>
      </c>
      <c r="J364" s="28"/>
    </row>
    <row r="365" spans="1:10">
      <c r="A365" s="57" t="s">
        <v>1033</v>
      </c>
      <c r="B365" s="57" t="s">
        <v>1011</v>
      </c>
      <c r="C365" s="57" t="s">
        <v>217</v>
      </c>
      <c r="D365" s="57">
        <v>2021</v>
      </c>
      <c r="E365" s="58">
        <f t="shared" si="32"/>
        <v>10</v>
      </c>
      <c r="F365" s="57" t="str">
        <f t="shared" si="33"/>
        <v>OTTOBRE 2021</v>
      </c>
      <c r="G365" s="57" t="str">
        <f t="shared" si="34"/>
        <v>10 OTTOBRE 2021</v>
      </c>
      <c r="H365" s="59">
        <v>9.89</v>
      </c>
      <c r="I365" s="59" t="s">
        <v>1013</v>
      </c>
      <c r="J365" s="28"/>
    </row>
    <row r="366" spans="1:10">
      <c r="A366" s="57" t="s">
        <v>1029</v>
      </c>
      <c r="B366" s="57" t="s">
        <v>1011</v>
      </c>
      <c r="C366" s="57" t="s">
        <v>240</v>
      </c>
      <c r="D366" s="57">
        <v>2021</v>
      </c>
      <c r="E366" s="58">
        <f t="shared" si="32"/>
        <v>9</v>
      </c>
      <c r="F366" s="57" t="str">
        <f t="shared" si="33"/>
        <v>SETTEMBRE 2021</v>
      </c>
      <c r="G366" s="57" t="str">
        <f t="shared" si="34"/>
        <v>9 SETTEMBRE 2021</v>
      </c>
      <c r="H366" s="59">
        <v>3.5</v>
      </c>
      <c r="I366" s="59" t="s">
        <v>1013</v>
      </c>
      <c r="J366" s="28"/>
    </row>
    <row r="367" spans="1:10">
      <c r="A367" s="57" t="s">
        <v>1022</v>
      </c>
      <c r="B367" s="57" t="s">
        <v>1011</v>
      </c>
      <c r="C367" s="57" t="s">
        <v>240</v>
      </c>
      <c r="D367" s="57">
        <v>2021</v>
      </c>
      <c r="E367" s="58">
        <f t="shared" si="32"/>
        <v>9</v>
      </c>
      <c r="F367" s="57" t="str">
        <f t="shared" si="33"/>
        <v>SETTEMBRE 2021</v>
      </c>
      <c r="G367" s="57" t="str">
        <f t="shared" si="34"/>
        <v>9 SETTEMBRE 2021</v>
      </c>
      <c r="H367" s="59">
        <v>629.97</v>
      </c>
      <c r="I367" s="59" t="s">
        <v>1022</v>
      </c>
      <c r="J367" s="28"/>
    </row>
    <row r="368" spans="1:10">
      <c r="A368" s="57" t="s">
        <v>1036</v>
      </c>
      <c r="B368" s="57" t="s">
        <v>1011</v>
      </c>
      <c r="C368" s="57" t="s">
        <v>240</v>
      </c>
      <c r="D368" s="57">
        <v>2021</v>
      </c>
      <c r="E368" s="58">
        <f t="shared" si="32"/>
        <v>9</v>
      </c>
      <c r="F368" s="57" t="str">
        <f t="shared" si="33"/>
        <v>SETTEMBRE 2021</v>
      </c>
      <c r="G368" s="57" t="str">
        <f t="shared" si="34"/>
        <v>9 SETTEMBRE 2021</v>
      </c>
      <c r="H368" s="59">
        <v>51.06</v>
      </c>
      <c r="I368" s="59" t="s">
        <v>1015</v>
      </c>
      <c r="J368" s="28"/>
    </row>
    <row r="369" spans="1:10">
      <c r="A369" s="57" t="s">
        <v>1030</v>
      </c>
      <c r="B369" s="57" t="s">
        <v>1025</v>
      </c>
      <c r="C369" s="57" t="s">
        <v>240</v>
      </c>
      <c r="D369" s="57">
        <v>2021</v>
      </c>
      <c r="E369" s="58">
        <f t="shared" ref="E369:E432" si="35">VLOOKUP(C369,$AC$421:$AD$432,2,FALSE)</f>
        <v>9</v>
      </c>
      <c r="F369" s="57" t="str">
        <f t="shared" si="33"/>
        <v>SETTEMBRE 2021</v>
      </c>
      <c r="G369" s="57" t="str">
        <f t="shared" si="34"/>
        <v>9 SETTEMBRE 2021</v>
      </c>
      <c r="H369" s="59">
        <v>-950</v>
      </c>
      <c r="I369" s="59" t="s">
        <v>1012</v>
      </c>
      <c r="J369" s="28"/>
    </row>
    <row r="370" spans="1:10">
      <c r="A370" s="57" t="s">
        <v>1034</v>
      </c>
      <c r="B370" s="57" t="s">
        <v>1011</v>
      </c>
      <c r="C370" s="57" t="s">
        <v>240</v>
      </c>
      <c r="D370" s="57">
        <v>2021</v>
      </c>
      <c r="E370" s="58">
        <f t="shared" si="35"/>
        <v>9</v>
      </c>
      <c r="F370" s="57" t="str">
        <f t="shared" si="33"/>
        <v>SETTEMBRE 2021</v>
      </c>
      <c r="G370" s="57" t="str">
        <f t="shared" si="34"/>
        <v>9 SETTEMBRE 2021</v>
      </c>
      <c r="H370" s="59">
        <v>135.5</v>
      </c>
      <c r="I370" s="59" t="s">
        <v>1016</v>
      </c>
      <c r="J370" s="28"/>
    </row>
    <row r="371" spans="1:10">
      <c r="A371" s="57" t="s">
        <v>1038</v>
      </c>
      <c r="B371" s="57" t="s">
        <v>1011</v>
      </c>
      <c r="C371" s="57" t="s">
        <v>240</v>
      </c>
      <c r="D371" s="57">
        <v>2021</v>
      </c>
      <c r="E371" s="58">
        <f t="shared" si="35"/>
        <v>9</v>
      </c>
      <c r="F371" s="57" t="str">
        <f t="shared" si="33"/>
        <v>SETTEMBRE 2021</v>
      </c>
      <c r="G371" s="57" t="str">
        <f t="shared" si="34"/>
        <v>9 SETTEMBRE 2021</v>
      </c>
      <c r="H371" s="59">
        <v>67.540000000000006</v>
      </c>
      <c r="I371" s="59" t="s">
        <v>1017</v>
      </c>
      <c r="J371" s="28"/>
    </row>
    <row r="372" spans="1:10">
      <c r="A372" s="57" t="s">
        <v>1031</v>
      </c>
      <c r="B372" s="57" t="s">
        <v>1011</v>
      </c>
      <c r="C372" s="57" t="s">
        <v>240</v>
      </c>
      <c r="D372" s="57">
        <v>2021</v>
      </c>
      <c r="E372" s="58">
        <f t="shared" si="35"/>
        <v>9</v>
      </c>
      <c r="F372" s="57" t="str">
        <f t="shared" si="33"/>
        <v>SETTEMBRE 2021</v>
      </c>
      <c r="G372" s="57" t="str">
        <f t="shared" si="34"/>
        <v>9 SETTEMBRE 2021</v>
      </c>
      <c r="H372" s="59">
        <v>44.5</v>
      </c>
      <c r="I372" s="59" t="s">
        <v>1019</v>
      </c>
      <c r="J372" s="28"/>
    </row>
    <row r="373" spans="1:10">
      <c r="A373" s="57" t="s">
        <v>1029</v>
      </c>
      <c r="B373" s="57" t="s">
        <v>1011</v>
      </c>
      <c r="C373" s="57" t="s">
        <v>261</v>
      </c>
      <c r="D373" s="57">
        <v>2021</v>
      </c>
      <c r="E373" s="58">
        <f t="shared" si="35"/>
        <v>8</v>
      </c>
      <c r="F373" s="57" t="str">
        <f t="shared" si="33"/>
        <v>AGOSTO 2021</v>
      </c>
      <c r="G373" s="57" t="str">
        <f t="shared" si="34"/>
        <v>8 AGOSTO 2021</v>
      </c>
      <c r="H373" s="59">
        <v>3.5</v>
      </c>
      <c r="I373" s="59" t="s">
        <v>1013</v>
      </c>
      <c r="J373" s="28"/>
    </row>
    <row r="374" spans="1:10">
      <c r="A374" s="57" t="s">
        <v>1030</v>
      </c>
      <c r="B374" s="57" t="s">
        <v>1025</v>
      </c>
      <c r="C374" s="57" t="s">
        <v>261</v>
      </c>
      <c r="D374" s="57">
        <v>2021</v>
      </c>
      <c r="E374" s="58">
        <f t="shared" si="35"/>
        <v>8</v>
      </c>
      <c r="F374" s="57" t="str">
        <f t="shared" si="33"/>
        <v>AGOSTO 2021</v>
      </c>
      <c r="G374" s="57" t="str">
        <f t="shared" si="34"/>
        <v>8 AGOSTO 2021</v>
      </c>
      <c r="H374" s="59">
        <v>-900</v>
      </c>
      <c r="I374" s="59" t="s">
        <v>1012</v>
      </c>
      <c r="J374" s="28"/>
    </row>
    <row r="375" spans="1:10">
      <c r="A375" s="57" t="s">
        <v>1022</v>
      </c>
      <c r="B375" s="57" t="s">
        <v>1011</v>
      </c>
      <c r="C375" s="57" t="s">
        <v>261</v>
      </c>
      <c r="D375" s="57">
        <v>2021</v>
      </c>
      <c r="E375" s="58">
        <f t="shared" si="35"/>
        <v>8</v>
      </c>
      <c r="F375" s="57" t="str">
        <f t="shared" si="33"/>
        <v>AGOSTO 2021</v>
      </c>
      <c r="G375" s="57" t="str">
        <f t="shared" si="34"/>
        <v>8 AGOSTO 2021</v>
      </c>
      <c r="H375" s="59">
        <v>629.97</v>
      </c>
      <c r="I375" s="59" t="s">
        <v>1022</v>
      </c>
      <c r="J375" s="28"/>
    </row>
    <row r="376" spans="1:10">
      <c r="A376" s="57" t="s">
        <v>1036</v>
      </c>
      <c r="B376" s="57" t="s">
        <v>1011</v>
      </c>
      <c r="C376" s="57" t="s">
        <v>261</v>
      </c>
      <c r="D376" s="57">
        <v>2021</v>
      </c>
      <c r="E376" s="58">
        <f t="shared" si="35"/>
        <v>8</v>
      </c>
      <c r="F376" s="57" t="str">
        <f t="shared" si="33"/>
        <v>AGOSTO 2021</v>
      </c>
      <c r="G376" s="57" t="str">
        <f t="shared" si="34"/>
        <v>8 AGOSTO 2021</v>
      </c>
      <c r="H376" s="59">
        <v>51.06</v>
      </c>
      <c r="I376" s="59" t="s">
        <v>1015</v>
      </c>
      <c r="J376" s="28"/>
    </row>
    <row r="377" spans="1:10">
      <c r="A377" s="57" t="s">
        <v>1039</v>
      </c>
      <c r="B377" s="57" t="s">
        <v>1011</v>
      </c>
      <c r="C377" s="57" t="s">
        <v>261</v>
      </c>
      <c r="D377" s="57">
        <v>2021</v>
      </c>
      <c r="E377" s="58">
        <f t="shared" si="35"/>
        <v>8</v>
      </c>
      <c r="F377" s="57" t="str">
        <f t="shared" si="33"/>
        <v>AGOSTO 2021</v>
      </c>
      <c r="G377" s="57" t="str">
        <f t="shared" si="34"/>
        <v>8 AGOSTO 2021</v>
      </c>
      <c r="H377" s="59">
        <v>111.88</v>
      </c>
      <c r="I377" s="59" t="s">
        <v>1024</v>
      </c>
      <c r="J377" s="28"/>
    </row>
    <row r="378" spans="1:10">
      <c r="A378" s="57" t="s">
        <v>1039</v>
      </c>
      <c r="B378" s="57" t="s">
        <v>1011</v>
      </c>
      <c r="C378" s="57" t="s">
        <v>261</v>
      </c>
      <c r="D378" s="57">
        <v>2021</v>
      </c>
      <c r="E378" s="58">
        <f t="shared" si="35"/>
        <v>8</v>
      </c>
      <c r="F378" s="57" t="str">
        <f t="shared" si="33"/>
        <v>AGOSTO 2021</v>
      </c>
      <c r="G378" s="57" t="str">
        <f t="shared" si="34"/>
        <v>8 AGOSTO 2021</v>
      </c>
      <c r="H378" s="59">
        <v>41.39</v>
      </c>
      <c r="I378" s="59" t="s">
        <v>1023</v>
      </c>
      <c r="J378" s="28"/>
    </row>
    <row r="379" spans="1:10">
      <c r="A379" s="57" t="s">
        <v>1034</v>
      </c>
      <c r="B379" s="57" t="s">
        <v>1011</v>
      </c>
      <c r="C379" s="57" t="s">
        <v>261</v>
      </c>
      <c r="D379" s="57">
        <v>2021</v>
      </c>
      <c r="E379" s="58">
        <f t="shared" si="35"/>
        <v>8</v>
      </c>
      <c r="F379" s="57" t="str">
        <f t="shared" ref="F379:F442" si="36">CONCATENATE(,C379," ",D379)</f>
        <v>AGOSTO 2021</v>
      </c>
      <c r="G379" s="57" t="str">
        <f t="shared" ref="G379:G442" si="37">CONCATENATE(E379," ",F379)</f>
        <v>8 AGOSTO 2021</v>
      </c>
      <c r="H379" s="59">
        <v>135.5</v>
      </c>
      <c r="I379" s="59" t="s">
        <v>1016</v>
      </c>
      <c r="J379" s="28"/>
    </row>
    <row r="380" spans="1:10">
      <c r="A380" s="57" t="s">
        <v>1038</v>
      </c>
      <c r="B380" s="57" t="s">
        <v>1011</v>
      </c>
      <c r="C380" s="57" t="s">
        <v>261</v>
      </c>
      <c r="D380" s="57">
        <v>2021</v>
      </c>
      <c r="E380" s="58">
        <f t="shared" si="35"/>
        <v>8</v>
      </c>
      <c r="F380" s="57" t="str">
        <f t="shared" si="36"/>
        <v>AGOSTO 2021</v>
      </c>
      <c r="G380" s="57" t="str">
        <f t="shared" si="37"/>
        <v>8 AGOSTO 2021</v>
      </c>
      <c r="H380" s="59">
        <v>67.540000000000006</v>
      </c>
      <c r="I380" s="59" t="s">
        <v>1017</v>
      </c>
      <c r="J380" s="28"/>
    </row>
    <row r="381" spans="1:10">
      <c r="A381" s="57" t="s">
        <v>1031</v>
      </c>
      <c r="B381" s="57" t="s">
        <v>1011</v>
      </c>
      <c r="C381" s="57" t="s">
        <v>261</v>
      </c>
      <c r="D381" s="57">
        <v>2021</v>
      </c>
      <c r="E381" s="58">
        <f t="shared" si="35"/>
        <v>8</v>
      </c>
      <c r="F381" s="57" t="str">
        <f t="shared" si="36"/>
        <v>AGOSTO 2021</v>
      </c>
      <c r="G381" s="57" t="str">
        <f t="shared" si="37"/>
        <v>8 AGOSTO 2021</v>
      </c>
      <c r="H381" s="59">
        <v>44.5</v>
      </c>
      <c r="I381" s="59" t="s">
        <v>1019</v>
      </c>
      <c r="J381" s="28"/>
    </row>
    <row r="382" spans="1:10">
      <c r="A382" s="57" t="s">
        <v>1029</v>
      </c>
      <c r="B382" s="57" t="s">
        <v>1011</v>
      </c>
      <c r="C382" s="57" t="s">
        <v>288</v>
      </c>
      <c r="D382" s="57">
        <v>2021</v>
      </c>
      <c r="E382" s="58">
        <f t="shared" si="35"/>
        <v>7</v>
      </c>
      <c r="F382" s="57" t="str">
        <f t="shared" si="36"/>
        <v>LUGLIO 2021</v>
      </c>
      <c r="G382" s="57" t="str">
        <f t="shared" si="37"/>
        <v>7 LUGLIO 2021</v>
      </c>
      <c r="H382" s="59">
        <v>3.5</v>
      </c>
      <c r="I382" s="59" t="s">
        <v>1013</v>
      </c>
      <c r="J382" s="28"/>
    </row>
    <row r="383" spans="1:10">
      <c r="A383" s="57" t="s">
        <v>1022</v>
      </c>
      <c r="B383" s="57" t="s">
        <v>1011</v>
      </c>
      <c r="C383" s="57" t="s">
        <v>288</v>
      </c>
      <c r="D383" s="57">
        <v>2021</v>
      </c>
      <c r="E383" s="58">
        <f t="shared" si="35"/>
        <v>7</v>
      </c>
      <c r="F383" s="57" t="str">
        <f t="shared" si="36"/>
        <v>LUGLIO 2021</v>
      </c>
      <c r="G383" s="57" t="str">
        <f t="shared" si="37"/>
        <v>7 LUGLIO 2021</v>
      </c>
      <c r="H383" s="59">
        <v>629.97</v>
      </c>
      <c r="I383" s="59" t="s">
        <v>1022</v>
      </c>
      <c r="J383" s="28"/>
    </row>
    <row r="384" spans="1:10">
      <c r="A384" s="57" t="s">
        <v>1030</v>
      </c>
      <c r="B384" s="57" t="s">
        <v>1025</v>
      </c>
      <c r="C384" s="57" t="s">
        <v>288</v>
      </c>
      <c r="D384" s="57">
        <v>2021</v>
      </c>
      <c r="E384" s="58">
        <f t="shared" si="35"/>
        <v>7</v>
      </c>
      <c r="F384" s="57" t="str">
        <f t="shared" si="36"/>
        <v>LUGLIO 2021</v>
      </c>
      <c r="G384" s="57" t="str">
        <f t="shared" si="37"/>
        <v>7 LUGLIO 2021</v>
      </c>
      <c r="H384" s="59">
        <v>-550</v>
      </c>
      <c r="I384" s="59" t="s">
        <v>1012</v>
      </c>
      <c r="J384" s="28"/>
    </row>
    <row r="385" spans="1:10">
      <c r="A385" s="57" t="s">
        <v>1036</v>
      </c>
      <c r="B385" s="57" t="s">
        <v>1011</v>
      </c>
      <c r="C385" s="57" t="s">
        <v>288</v>
      </c>
      <c r="D385" s="57">
        <v>2021</v>
      </c>
      <c r="E385" s="58">
        <f t="shared" si="35"/>
        <v>7</v>
      </c>
      <c r="F385" s="57" t="str">
        <f t="shared" si="36"/>
        <v>LUGLIO 2021</v>
      </c>
      <c r="G385" s="57" t="str">
        <f t="shared" si="37"/>
        <v>7 LUGLIO 2021</v>
      </c>
      <c r="H385" s="59">
        <v>51.06</v>
      </c>
      <c r="I385" s="59" t="s">
        <v>1015</v>
      </c>
      <c r="J385" s="28"/>
    </row>
    <row r="386" spans="1:10">
      <c r="A386" s="57" t="s">
        <v>1040</v>
      </c>
      <c r="B386" s="57" t="s">
        <v>1010</v>
      </c>
      <c r="C386" s="57" t="s">
        <v>288</v>
      </c>
      <c r="D386" s="57">
        <v>2021</v>
      </c>
      <c r="E386" s="58">
        <f t="shared" si="35"/>
        <v>7</v>
      </c>
      <c r="F386" s="57" t="str">
        <f t="shared" si="36"/>
        <v>LUGLIO 2021</v>
      </c>
      <c r="G386" s="57" t="str">
        <f t="shared" si="37"/>
        <v>7 LUGLIO 2021</v>
      </c>
      <c r="H386" s="59">
        <v>-500</v>
      </c>
      <c r="I386" s="59" t="s">
        <v>1012</v>
      </c>
      <c r="J386" s="28"/>
    </row>
    <row r="387" spans="1:10">
      <c r="A387" s="57" t="s">
        <v>1034</v>
      </c>
      <c r="B387" s="57" t="s">
        <v>1011</v>
      </c>
      <c r="C387" s="57" t="s">
        <v>288</v>
      </c>
      <c r="D387" s="57">
        <v>2021</v>
      </c>
      <c r="E387" s="58">
        <f t="shared" si="35"/>
        <v>7</v>
      </c>
      <c r="F387" s="57" t="str">
        <f t="shared" si="36"/>
        <v>LUGLIO 2021</v>
      </c>
      <c r="G387" s="57" t="str">
        <f t="shared" si="37"/>
        <v>7 LUGLIO 2021</v>
      </c>
      <c r="H387" s="59">
        <v>135.5</v>
      </c>
      <c r="I387" s="59" t="s">
        <v>1016</v>
      </c>
      <c r="J387" s="28"/>
    </row>
    <row r="388" spans="1:10">
      <c r="A388" s="57" t="s">
        <v>1038</v>
      </c>
      <c r="B388" s="57" t="s">
        <v>1011</v>
      </c>
      <c r="C388" s="57" t="s">
        <v>288</v>
      </c>
      <c r="D388" s="57">
        <v>2021</v>
      </c>
      <c r="E388" s="58">
        <f t="shared" si="35"/>
        <v>7</v>
      </c>
      <c r="F388" s="57" t="str">
        <f t="shared" si="36"/>
        <v>LUGLIO 2021</v>
      </c>
      <c r="G388" s="57" t="str">
        <f t="shared" si="37"/>
        <v>7 LUGLIO 2021</v>
      </c>
      <c r="H388" s="59">
        <v>67.540000000000006</v>
      </c>
      <c r="I388" s="59" t="s">
        <v>1017</v>
      </c>
      <c r="J388" s="28"/>
    </row>
    <row r="389" spans="1:10">
      <c r="A389" s="57" t="s">
        <v>1031</v>
      </c>
      <c r="B389" s="57" t="s">
        <v>1011</v>
      </c>
      <c r="C389" s="57" t="s">
        <v>288</v>
      </c>
      <c r="D389" s="57">
        <v>2021</v>
      </c>
      <c r="E389" s="58">
        <f t="shared" si="35"/>
        <v>7</v>
      </c>
      <c r="F389" s="57" t="str">
        <f t="shared" si="36"/>
        <v>LUGLIO 2021</v>
      </c>
      <c r="G389" s="57" t="str">
        <f t="shared" si="37"/>
        <v>7 LUGLIO 2021</v>
      </c>
      <c r="H389" s="59">
        <v>44.5</v>
      </c>
      <c r="I389" s="59" t="s">
        <v>1019</v>
      </c>
      <c r="J389" s="28"/>
    </row>
    <row r="390" spans="1:10">
      <c r="A390" s="57" t="s">
        <v>1041</v>
      </c>
      <c r="B390" s="57" t="s">
        <v>1011</v>
      </c>
      <c r="C390" s="57" t="s">
        <v>288</v>
      </c>
      <c r="D390" s="57">
        <v>2021</v>
      </c>
      <c r="E390" s="58">
        <f t="shared" si="35"/>
        <v>7</v>
      </c>
      <c r="F390" s="57" t="str">
        <f t="shared" si="36"/>
        <v>LUGLIO 2021</v>
      </c>
      <c r="G390" s="57" t="str">
        <f t="shared" si="37"/>
        <v>7 LUGLIO 2021</v>
      </c>
      <c r="H390" s="59">
        <v>150.5</v>
      </c>
      <c r="I390" s="59" t="s">
        <v>307</v>
      </c>
      <c r="J390" s="28"/>
    </row>
    <row r="391" spans="1:10">
      <c r="A391" s="57" t="s">
        <v>1022</v>
      </c>
      <c r="B391" s="57" t="s">
        <v>1011</v>
      </c>
      <c r="C391" s="57" t="s">
        <v>314</v>
      </c>
      <c r="D391" s="57">
        <v>2021</v>
      </c>
      <c r="E391" s="58">
        <f t="shared" si="35"/>
        <v>6</v>
      </c>
      <c r="F391" s="57" t="str">
        <f t="shared" si="36"/>
        <v>GIUGNO 2021</v>
      </c>
      <c r="G391" s="57" t="str">
        <f t="shared" si="37"/>
        <v>6 GIUGNO 2021</v>
      </c>
      <c r="H391" s="59">
        <v>629.97</v>
      </c>
      <c r="I391" s="59" t="s">
        <v>1022</v>
      </c>
      <c r="J391" s="28"/>
    </row>
    <row r="392" spans="1:10">
      <c r="A392" s="57" t="s">
        <v>1029</v>
      </c>
      <c r="B392" s="57" t="s">
        <v>1011</v>
      </c>
      <c r="C392" s="57" t="s">
        <v>314</v>
      </c>
      <c r="D392" s="57">
        <v>2021</v>
      </c>
      <c r="E392" s="58">
        <f t="shared" si="35"/>
        <v>6</v>
      </c>
      <c r="F392" s="57" t="str">
        <f t="shared" si="36"/>
        <v>GIUGNO 2021</v>
      </c>
      <c r="G392" s="57" t="str">
        <f t="shared" si="37"/>
        <v>6 GIUGNO 2021</v>
      </c>
      <c r="H392" s="59">
        <v>3.5</v>
      </c>
      <c r="I392" s="59" t="s">
        <v>1013</v>
      </c>
      <c r="J392" s="28"/>
    </row>
    <row r="393" spans="1:10">
      <c r="A393" s="57" t="s">
        <v>1030</v>
      </c>
      <c r="B393" s="57" t="s">
        <v>1025</v>
      </c>
      <c r="C393" s="57" t="s">
        <v>314</v>
      </c>
      <c r="D393" s="57">
        <v>2021</v>
      </c>
      <c r="E393" s="58">
        <f t="shared" si="35"/>
        <v>6</v>
      </c>
      <c r="F393" s="57" t="str">
        <f t="shared" si="36"/>
        <v>GIUGNO 2021</v>
      </c>
      <c r="G393" s="57" t="str">
        <f t="shared" si="37"/>
        <v>6 GIUGNO 2021</v>
      </c>
      <c r="H393" s="59">
        <v>-600</v>
      </c>
      <c r="I393" s="59" t="s">
        <v>1012</v>
      </c>
      <c r="J393" s="28"/>
    </row>
    <row r="394" spans="1:10">
      <c r="A394" s="57" t="s">
        <v>1036</v>
      </c>
      <c r="B394" s="57" t="s">
        <v>1011</v>
      </c>
      <c r="C394" s="57" t="s">
        <v>314</v>
      </c>
      <c r="D394" s="57">
        <v>2021</v>
      </c>
      <c r="E394" s="58">
        <f t="shared" si="35"/>
        <v>6</v>
      </c>
      <c r="F394" s="57" t="str">
        <f t="shared" si="36"/>
        <v>GIUGNO 2021</v>
      </c>
      <c r="G394" s="57" t="str">
        <f t="shared" si="37"/>
        <v>6 GIUGNO 2021</v>
      </c>
      <c r="H394" s="59">
        <v>51.06</v>
      </c>
      <c r="I394" s="59" t="s">
        <v>1015</v>
      </c>
      <c r="J394" s="28"/>
    </row>
    <row r="395" spans="1:10">
      <c r="A395" s="57" t="s">
        <v>1040</v>
      </c>
      <c r="B395" s="57" t="s">
        <v>1010</v>
      </c>
      <c r="C395" s="57" t="s">
        <v>314</v>
      </c>
      <c r="D395" s="57">
        <v>2021</v>
      </c>
      <c r="E395" s="58">
        <f t="shared" si="35"/>
        <v>6</v>
      </c>
      <c r="F395" s="57" t="str">
        <f t="shared" si="36"/>
        <v>GIUGNO 2021</v>
      </c>
      <c r="G395" s="57" t="str">
        <f t="shared" si="37"/>
        <v>6 GIUGNO 2021</v>
      </c>
      <c r="H395" s="59">
        <v>-450</v>
      </c>
      <c r="I395" s="59" t="s">
        <v>1012</v>
      </c>
      <c r="J395" s="28"/>
    </row>
    <row r="396" spans="1:10">
      <c r="A396" s="57" t="s">
        <v>1034</v>
      </c>
      <c r="B396" s="57" t="s">
        <v>1011</v>
      </c>
      <c r="C396" s="57" t="s">
        <v>314</v>
      </c>
      <c r="D396" s="57">
        <v>2021</v>
      </c>
      <c r="E396" s="58">
        <f t="shared" si="35"/>
        <v>6</v>
      </c>
      <c r="F396" s="57" t="str">
        <f t="shared" si="36"/>
        <v>GIUGNO 2021</v>
      </c>
      <c r="G396" s="57" t="str">
        <f t="shared" si="37"/>
        <v>6 GIUGNO 2021</v>
      </c>
      <c r="H396" s="59">
        <v>135.5</v>
      </c>
      <c r="I396" s="59" t="s">
        <v>1016</v>
      </c>
      <c r="J396" s="28"/>
    </row>
    <row r="397" spans="1:10">
      <c r="A397" s="57" t="s">
        <v>1038</v>
      </c>
      <c r="B397" s="57" t="s">
        <v>1011</v>
      </c>
      <c r="C397" s="57" t="s">
        <v>314</v>
      </c>
      <c r="D397" s="57">
        <v>2021</v>
      </c>
      <c r="E397" s="58">
        <f t="shared" si="35"/>
        <v>6</v>
      </c>
      <c r="F397" s="57" t="str">
        <f t="shared" si="36"/>
        <v>GIUGNO 2021</v>
      </c>
      <c r="G397" s="57" t="str">
        <f t="shared" si="37"/>
        <v>6 GIUGNO 2021</v>
      </c>
      <c r="H397" s="59">
        <v>67.540000000000006</v>
      </c>
      <c r="I397" s="59" t="s">
        <v>1017</v>
      </c>
      <c r="J397" s="28"/>
    </row>
    <row r="398" spans="1:10">
      <c r="A398" s="57" t="s">
        <v>1039</v>
      </c>
      <c r="B398" s="57" t="s">
        <v>1011</v>
      </c>
      <c r="C398" s="57" t="s">
        <v>314</v>
      </c>
      <c r="D398" s="57">
        <v>2021</v>
      </c>
      <c r="E398" s="58">
        <f t="shared" si="35"/>
        <v>6</v>
      </c>
      <c r="F398" s="57" t="str">
        <f t="shared" si="36"/>
        <v>GIUGNO 2021</v>
      </c>
      <c r="G398" s="57" t="str">
        <f t="shared" si="37"/>
        <v>6 GIUGNO 2021</v>
      </c>
      <c r="H398" s="59">
        <v>116.72</v>
      </c>
      <c r="I398" s="59" t="s">
        <v>1024</v>
      </c>
      <c r="J398" s="28"/>
    </row>
    <row r="399" spans="1:10">
      <c r="A399" s="57" t="s">
        <v>1039</v>
      </c>
      <c r="B399" s="57" t="s">
        <v>1011</v>
      </c>
      <c r="C399" s="57" t="s">
        <v>314</v>
      </c>
      <c r="D399" s="57">
        <v>2021</v>
      </c>
      <c r="E399" s="58">
        <f t="shared" si="35"/>
        <v>6</v>
      </c>
      <c r="F399" s="57" t="str">
        <f t="shared" si="36"/>
        <v>GIUGNO 2021</v>
      </c>
      <c r="G399" s="57" t="str">
        <f t="shared" si="37"/>
        <v>6 GIUGNO 2021</v>
      </c>
      <c r="H399" s="59">
        <v>66.38</v>
      </c>
      <c r="I399" s="59" t="s">
        <v>1023</v>
      </c>
      <c r="J399" s="28"/>
    </row>
    <row r="400" spans="1:10">
      <c r="A400" s="57" t="s">
        <v>1031</v>
      </c>
      <c r="B400" s="57" t="s">
        <v>1011</v>
      </c>
      <c r="C400" s="57" t="s">
        <v>314</v>
      </c>
      <c r="D400" s="57">
        <v>2021</v>
      </c>
      <c r="E400" s="58">
        <f t="shared" si="35"/>
        <v>6</v>
      </c>
      <c r="F400" s="57" t="str">
        <f t="shared" si="36"/>
        <v>GIUGNO 2021</v>
      </c>
      <c r="G400" s="57" t="str">
        <f t="shared" si="37"/>
        <v>6 GIUGNO 2021</v>
      </c>
      <c r="H400" s="59">
        <v>44.5</v>
      </c>
      <c r="I400" s="59" t="s">
        <v>1019</v>
      </c>
      <c r="J400" s="28"/>
    </row>
    <row r="401" spans="1:10">
      <c r="A401" s="57" t="s">
        <v>1029</v>
      </c>
      <c r="B401" s="57" t="s">
        <v>1011</v>
      </c>
      <c r="C401" s="57" t="s">
        <v>333</v>
      </c>
      <c r="D401" s="57">
        <v>2021</v>
      </c>
      <c r="E401" s="58">
        <f t="shared" si="35"/>
        <v>5</v>
      </c>
      <c r="F401" s="57" t="str">
        <f t="shared" si="36"/>
        <v>MAGGIO 2021</v>
      </c>
      <c r="G401" s="57" t="str">
        <f t="shared" si="37"/>
        <v>5 MAGGIO 2021</v>
      </c>
      <c r="H401" s="59">
        <v>3.5</v>
      </c>
      <c r="I401" s="59" t="s">
        <v>1013</v>
      </c>
      <c r="J401" s="28"/>
    </row>
    <row r="402" spans="1:10">
      <c r="A402" s="57" t="s">
        <v>1022</v>
      </c>
      <c r="B402" s="57" t="s">
        <v>1011</v>
      </c>
      <c r="C402" s="57" t="s">
        <v>333</v>
      </c>
      <c r="D402" s="57">
        <v>2021</v>
      </c>
      <c r="E402" s="58">
        <f t="shared" si="35"/>
        <v>5</v>
      </c>
      <c r="F402" s="57" t="str">
        <f t="shared" si="36"/>
        <v>MAGGIO 2021</v>
      </c>
      <c r="G402" s="57" t="str">
        <f t="shared" si="37"/>
        <v>5 MAGGIO 2021</v>
      </c>
      <c r="H402" s="59">
        <v>629.97</v>
      </c>
      <c r="I402" s="59" t="s">
        <v>1022</v>
      </c>
      <c r="J402" s="28"/>
    </row>
    <row r="403" spans="1:10">
      <c r="A403" s="57" t="s">
        <v>1036</v>
      </c>
      <c r="B403" s="57" t="s">
        <v>1011</v>
      </c>
      <c r="C403" s="57" t="s">
        <v>333</v>
      </c>
      <c r="D403" s="57">
        <v>2021</v>
      </c>
      <c r="E403" s="58">
        <f t="shared" si="35"/>
        <v>5</v>
      </c>
      <c r="F403" s="57" t="str">
        <f t="shared" si="36"/>
        <v>MAGGIO 2021</v>
      </c>
      <c r="G403" s="57" t="str">
        <f t="shared" si="37"/>
        <v>5 MAGGIO 2021</v>
      </c>
      <c r="H403" s="59">
        <v>51.06</v>
      </c>
      <c r="I403" s="59" t="s">
        <v>1015</v>
      </c>
      <c r="J403" s="28"/>
    </row>
    <row r="404" spans="1:10">
      <c r="A404" s="57" t="s">
        <v>1038</v>
      </c>
      <c r="B404" s="57" t="s">
        <v>1011</v>
      </c>
      <c r="C404" s="57" t="s">
        <v>333</v>
      </c>
      <c r="D404" s="57">
        <v>2021</v>
      </c>
      <c r="E404" s="58">
        <f t="shared" si="35"/>
        <v>5</v>
      </c>
      <c r="F404" s="57" t="str">
        <f t="shared" si="36"/>
        <v>MAGGIO 2021</v>
      </c>
      <c r="G404" s="57" t="str">
        <f t="shared" si="37"/>
        <v>5 MAGGIO 2021</v>
      </c>
      <c r="H404" s="59">
        <v>67.540000000000006</v>
      </c>
      <c r="I404" s="59" t="s">
        <v>1017</v>
      </c>
      <c r="J404" s="28"/>
    </row>
    <row r="405" spans="1:10">
      <c r="A405" s="57" t="s">
        <v>1034</v>
      </c>
      <c r="B405" s="57" t="s">
        <v>1011</v>
      </c>
      <c r="C405" s="57" t="s">
        <v>333</v>
      </c>
      <c r="D405" s="57">
        <v>2021</v>
      </c>
      <c r="E405" s="58">
        <f t="shared" si="35"/>
        <v>5</v>
      </c>
      <c r="F405" s="57" t="str">
        <f t="shared" si="36"/>
        <v>MAGGIO 2021</v>
      </c>
      <c r="G405" s="57" t="str">
        <f t="shared" si="37"/>
        <v>5 MAGGIO 2021</v>
      </c>
      <c r="H405" s="59">
        <v>135.5</v>
      </c>
      <c r="I405" s="59" t="s">
        <v>1016</v>
      </c>
      <c r="J405" s="28"/>
    </row>
    <row r="406" spans="1:10">
      <c r="A406" s="57" t="s">
        <v>1031</v>
      </c>
      <c r="B406" s="57" t="s">
        <v>1011</v>
      </c>
      <c r="C406" s="57" t="s">
        <v>333</v>
      </c>
      <c r="D406" s="57">
        <v>2021</v>
      </c>
      <c r="E406" s="58">
        <f t="shared" si="35"/>
        <v>5</v>
      </c>
      <c r="F406" s="57" t="str">
        <f t="shared" si="36"/>
        <v>MAGGIO 2021</v>
      </c>
      <c r="G406" s="57" t="str">
        <f t="shared" si="37"/>
        <v>5 MAGGIO 2021</v>
      </c>
      <c r="H406" s="59">
        <v>44.5</v>
      </c>
      <c r="I406" s="59" t="s">
        <v>1019</v>
      </c>
      <c r="J406" s="28"/>
    </row>
    <row r="407" spans="1:10">
      <c r="A407" s="57" t="s">
        <v>1040</v>
      </c>
      <c r="B407" s="57" t="s">
        <v>1010</v>
      </c>
      <c r="C407" s="57" t="s">
        <v>333</v>
      </c>
      <c r="D407" s="57">
        <v>2021</v>
      </c>
      <c r="E407" s="58">
        <f t="shared" si="35"/>
        <v>5</v>
      </c>
      <c r="F407" s="57" t="str">
        <f t="shared" si="36"/>
        <v>MAGGIO 2021</v>
      </c>
      <c r="G407" s="57" t="str">
        <f t="shared" si="37"/>
        <v>5 MAGGIO 2021</v>
      </c>
      <c r="H407" s="59">
        <v>-500</v>
      </c>
      <c r="I407" s="59" t="s">
        <v>1012</v>
      </c>
      <c r="J407" s="28"/>
    </row>
    <row r="408" spans="1:10">
      <c r="A408" s="57" t="s">
        <v>1030</v>
      </c>
      <c r="B408" s="57" t="s">
        <v>1025</v>
      </c>
      <c r="C408" s="57" t="s">
        <v>333</v>
      </c>
      <c r="D408" s="57">
        <v>2021</v>
      </c>
      <c r="E408" s="58">
        <f t="shared" si="35"/>
        <v>5</v>
      </c>
      <c r="F408" s="57" t="str">
        <f t="shared" si="36"/>
        <v>MAGGIO 2021</v>
      </c>
      <c r="G408" s="57" t="str">
        <f t="shared" si="37"/>
        <v>5 MAGGIO 2021</v>
      </c>
      <c r="H408" s="59">
        <v>-500</v>
      </c>
      <c r="I408" s="59" t="s">
        <v>1012</v>
      </c>
      <c r="J408" s="28"/>
    </row>
    <row r="409" spans="1:10">
      <c r="A409" s="57" t="s">
        <v>1029</v>
      </c>
      <c r="B409" s="57" t="s">
        <v>1011</v>
      </c>
      <c r="C409" s="57" t="s">
        <v>352</v>
      </c>
      <c r="D409" s="57">
        <v>2021</v>
      </c>
      <c r="E409" s="58">
        <f t="shared" si="35"/>
        <v>4</v>
      </c>
      <c r="F409" s="57" t="str">
        <f t="shared" si="36"/>
        <v>APRILE 2021</v>
      </c>
      <c r="G409" s="57" t="str">
        <f t="shared" si="37"/>
        <v>4 APRILE 2021</v>
      </c>
      <c r="H409" s="59">
        <v>3.5</v>
      </c>
      <c r="I409" s="59" t="s">
        <v>1013</v>
      </c>
      <c r="J409" s="28"/>
    </row>
    <row r="410" spans="1:10">
      <c r="A410" s="57" t="s">
        <v>1022</v>
      </c>
      <c r="B410" s="57" t="s">
        <v>1011</v>
      </c>
      <c r="C410" s="57" t="s">
        <v>352</v>
      </c>
      <c r="D410" s="57">
        <v>2021</v>
      </c>
      <c r="E410" s="58">
        <f t="shared" si="35"/>
        <v>4</v>
      </c>
      <c r="F410" s="57" t="str">
        <f t="shared" si="36"/>
        <v>APRILE 2021</v>
      </c>
      <c r="G410" s="57" t="str">
        <f t="shared" si="37"/>
        <v>4 APRILE 2021</v>
      </c>
      <c r="H410" s="59">
        <v>629.97</v>
      </c>
      <c r="I410" s="59" t="s">
        <v>1022</v>
      </c>
      <c r="J410" s="28"/>
    </row>
    <row r="411" spans="1:10">
      <c r="A411" s="57" t="s">
        <v>1036</v>
      </c>
      <c r="B411" s="57" t="s">
        <v>1011</v>
      </c>
      <c r="C411" s="57" t="s">
        <v>352</v>
      </c>
      <c r="D411" s="57">
        <v>2021</v>
      </c>
      <c r="E411" s="58">
        <f t="shared" si="35"/>
        <v>4</v>
      </c>
      <c r="F411" s="57" t="str">
        <f t="shared" si="36"/>
        <v>APRILE 2021</v>
      </c>
      <c r="G411" s="57" t="str">
        <f t="shared" si="37"/>
        <v>4 APRILE 2021</v>
      </c>
      <c r="H411" s="59">
        <v>51.06</v>
      </c>
      <c r="I411" s="59" t="s">
        <v>1015</v>
      </c>
      <c r="J411" s="28"/>
    </row>
    <row r="412" spans="1:10">
      <c r="A412" s="57" t="s">
        <v>1034</v>
      </c>
      <c r="B412" s="57" t="s">
        <v>1011</v>
      </c>
      <c r="C412" s="57" t="s">
        <v>352</v>
      </c>
      <c r="D412" s="57">
        <v>2021</v>
      </c>
      <c r="E412" s="58">
        <f t="shared" si="35"/>
        <v>4</v>
      </c>
      <c r="F412" s="57" t="str">
        <f t="shared" si="36"/>
        <v>APRILE 2021</v>
      </c>
      <c r="G412" s="57" t="str">
        <f t="shared" si="37"/>
        <v>4 APRILE 2021</v>
      </c>
      <c r="H412" s="59">
        <v>135.5</v>
      </c>
      <c r="I412" s="59" t="s">
        <v>1016</v>
      </c>
      <c r="J412" s="28"/>
    </row>
    <row r="413" spans="1:10">
      <c r="A413" s="57" t="s">
        <v>1039</v>
      </c>
      <c r="B413" s="57" t="s">
        <v>1011</v>
      </c>
      <c r="C413" s="57" t="s">
        <v>352</v>
      </c>
      <c r="D413" s="57">
        <v>2021</v>
      </c>
      <c r="E413" s="58">
        <f t="shared" si="35"/>
        <v>4</v>
      </c>
      <c r="F413" s="57" t="str">
        <f t="shared" si="36"/>
        <v>APRILE 2021</v>
      </c>
      <c r="G413" s="57" t="str">
        <f t="shared" si="37"/>
        <v>4 APRILE 2021</v>
      </c>
      <c r="H413" s="59">
        <v>100.96</v>
      </c>
      <c r="I413" s="59" t="s">
        <v>1023</v>
      </c>
      <c r="J413" s="28"/>
    </row>
    <row r="414" spans="1:10">
      <c r="A414" s="57" t="s">
        <v>1040</v>
      </c>
      <c r="B414" s="57" t="s">
        <v>1010</v>
      </c>
      <c r="C414" s="57" t="s">
        <v>352</v>
      </c>
      <c r="D414" s="57">
        <v>2021</v>
      </c>
      <c r="E414" s="58">
        <f t="shared" si="35"/>
        <v>4</v>
      </c>
      <c r="F414" s="57" t="str">
        <f t="shared" si="36"/>
        <v>APRILE 2021</v>
      </c>
      <c r="G414" s="57" t="str">
        <f t="shared" si="37"/>
        <v>4 APRILE 2021</v>
      </c>
      <c r="H414" s="59">
        <v>-500</v>
      </c>
      <c r="I414" s="59" t="s">
        <v>1012</v>
      </c>
      <c r="J414" s="28"/>
    </row>
    <row r="415" spans="1:10">
      <c r="A415" s="57" t="s">
        <v>1030</v>
      </c>
      <c r="B415" s="57" t="s">
        <v>1025</v>
      </c>
      <c r="C415" s="57" t="s">
        <v>352</v>
      </c>
      <c r="D415" s="57">
        <v>2021</v>
      </c>
      <c r="E415" s="58">
        <f t="shared" si="35"/>
        <v>4</v>
      </c>
      <c r="F415" s="57" t="str">
        <f t="shared" si="36"/>
        <v>APRILE 2021</v>
      </c>
      <c r="G415" s="57" t="str">
        <f t="shared" si="37"/>
        <v>4 APRILE 2021</v>
      </c>
      <c r="H415" s="59">
        <v>-500</v>
      </c>
      <c r="I415" s="59" t="s">
        <v>1012</v>
      </c>
      <c r="J415" s="28"/>
    </row>
    <row r="416" spans="1:10">
      <c r="A416" s="57" t="s">
        <v>1039</v>
      </c>
      <c r="B416" s="57" t="s">
        <v>1011</v>
      </c>
      <c r="C416" s="57" t="s">
        <v>352</v>
      </c>
      <c r="D416" s="57">
        <v>2021</v>
      </c>
      <c r="E416" s="58">
        <f t="shared" si="35"/>
        <v>4</v>
      </c>
      <c r="F416" s="57" t="str">
        <f t="shared" si="36"/>
        <v>APRILE 2021</v>
      </c>
      <c r="G416" s="57" t="str">
        <f t="shared" si="37"/>
        <v>4 APRILE 2021</v>
      </c>
      <c r="H416" s="59">
        <v>133.32</v>
      </c>
      <c r="I416" s="59" t="s">
        <v>1024</v>
      </c>
      <c r="J416" s="28"/>
    </row>
    <row r="417" spans="1:30">
      <c r="A417" s="57" t="s">
        <v>1031</v>
      </c>
      <c r="B417" s="57" t="s">
        <v>1011</v>
      </c>
      <c r="C417" s="57" t="s">
        <v>352</v>
      </c>
      <c r="D417" s="57">
        <v>2021</v>
      </c>
      <c r="E417" s="58">
        <f t="shared" si="35"/>
        <v>4</v>
      </c>
      <c r="F417" s="57" t="str">
        <f t="shared" si="36"/>
        <v>APRILE 2021</v>
      </c>
      <c r="G417" s="57" t="str">
        <f t="shared" si="37"/>
        <v>4 APRILE 2021</v>
      </c>
      <c r="H417" s="59">
        <v>44.5</v>
      </c>
      <c r="I417" s="59" t="s">
        <v>1019</v>
      </c>
      <c r="J417" s="28"/>
    </row>
    <row r="418" spans="1:30">
      <c r="A418" s="57" t="s">
        <v>1029</v>
      </c>
      <c r="B418" s="57" t="s">
        <v>1011</v>
      </c>
      <c r="C418" s="57" t="s">
        <v>90</v>
      </c>
      <c r="D418" s="57">
        <v>2021</v>
      </c>
      <c r="E418" s="58">
        <f t="shared" si="35"/>
        <v>3</v>
      </c>
      <c r="F418" s="57" t="str">
        <f t="shared" si="36"/>
        <v>MARZO 2021</v>
      </c>
      <c r="G418" s="57" t="str">
        <f t="shared" si="37"/>
        <v>3 MARZO 2021</v>
      </c>
      <c r="H418" s="59">
        <v>3.5</v>
      </c>
      <c r="I418" s="59" t="s">
        <v>1013</v>
      </c>
      <c r="J418" s="28"/>
    </row>
    <row r="419" spans="1:30">
      <c r="A419" s="57" t="s">
        <v>1022</v>
      </c>
      <c r="B419" s="57" t="s">
        <v>1011</v>
      </c>
      <c r="C419" s="57" t="s">
        <v>90</v>
      </c>
      <c r="D419" s="57">
        <v>2021</v>
      </c>
      <c r="E419" s="58">
        <f t="shared" si="35"/>
        <v>3</v>
      </c>
      <c r="F419" s="57" t="str">
        <f t="shared" si="36"/>
        <v>MARZO 2021</v>
      </c>
      <c r="G419" s="57" t="str">
        <f t="shared" si="37"/>
        <v>3 MARZO 2021</v>
      </c>
      <c r="H419" s="59">
        <v>629.97</v>
      </c>
      <c r="I419" s="59" t="s">
        <v>1022</v>
      </c>
      <c r="J419" s="28"/>
    </row>
    <row r="420" spans="1:30">
      <c r="A420" s="57" t="s">
        <v>1036</v>
      </c>
      <c r="B420" s="57" t="s">
        <v>1011</v>
      </c>
      <c r="C420" s="57" t="s">
        <v>90</v>
      </c>
      <c r="D420" s="57">
        <v>2021</v>
      </c>
      <c r="E420" s="58">
        <f t="shared" si="35"/>
        <v>3</v>
      </c>
      <c r="F420" s="57" t="str">
        <f t="shared" si="36"/>
        <v>MARZO 2021</v>
      </c>
      <c r="G420" s="57" t="str">
        <f t="shared" si="37"/>
        <v>3 MARZO 2021</v>
      </c>
      <c r="H420" s="59">
        <v>51.06</v>
      </c>
      <c r="I420" s="59" t="s">
        <v>1015</v>
      </c>
      <c r="J420" s="28"/>
    </row>
    <row r="421" spans="1:30">
      <c r="A421" s="57" t="s">
        <v>1030</v>
      </c>
      <c r="B421" s="57" t="s">
        <v>1025</v>
      </c>
      <c r="C421" s="57" t="s">
        <v>90</v>
      </c>
      <c r="D421" s="57">
        <v>2021</v>
      </c>
      <c r="E421" s="58">
        <f t="shared" si="35"/>
        <v>3</v>
      </c>
      <c r="F421" s="57" t="str">
        <f t="shared" si="36"/>
        <v>MARZO 2021</v>
      </c>
      <c r="G421" s="57" t="str">
        <f t="shared" si="37"/>
        <v>3 MARZO 2021</v>
      </c>
      <c r="H421" s="59">
        <v>-350</v>
      </c>
      <c r="I421" s="59" t="s">
        <v>1012</v>
      </c>
      <c r="J421" s="28"/>
      <c r="S421"/>
      <c r="T421"/>
      <c r="U421"/>
      <c r="V421"/>
      <c r="W421"/>
      <c r="X421"/>
      <c r="Y421"/>
      <c r="Z421"/>
      <c r="AC421" s="9" t="s">
        <v>154</v>
      </c>
      <c r="AD421" s="9">
        <v>1</v>
      </c>
    </row>
    <row r="422" spans="1:30">
      <c r="A422" s="57" t="s">
        <v>1034</v>
      </c>
      <c r="B422" s="57" t="s">
        <v>1011</v>
      </c>
      <c r="C422" s="57" t="s">
        <v>90</v>
      </c>
      <c r="D422" s="57">
        <v>2021</v>
      </c>
      <c r="E422" s="58">
        <f t="shared" si="35"/>
        <v>3</v>
      </c>
      <c r="F422" s="57" t="str">
        <f t="shared" si="36"/>
        <v>MARZO 2021</v>
      </c>
      <c r="G422" s="57" t="str">
        <f t="shared" si="37"/>
        <v>3 MARZO 2021</v>
      </c>
      <c r="H422" s="59">
        <v>150</v>
      </c>
      <c r="I422" s="59" t="s">
        <v>1016</v>
      </c>
      <c r="J422" s="28"/>
      <c r="S422"/>
      <c r="T422"/>
      <c r="U422"/>
      <c r="V422"/>
      <c r="W422"/>
      <c r="X422"/>
      <c r="Y422"/>
      <c r="Z422"/>
      <c r="AC422" s="9" t="s">
        <v>129</v>
      </c>
      <c r="AD422" s="9">
        <v>2</v>
      </c>
    </row>
    <row r="423" spans="1:30">
      <c r="A423" s="57" t="s">
        <v>1031</v>
      </c>
      <c r="B423" s="57" t="s">
        <v>1011</v>
      </c>
      <c r="C423" s="57" t="s">
        <v>90</v>
      </c>
      <c r="D423" s="57">
        <v>2021</v>
      </c>
      <c r="E423" s="58">
        <f t="shared" si="35"/>
        <v>3</v>
      </c>
      <c r="F423" s="57" t="str">
        <f t="shared" si="36"/>
        <v>MARZO 2021</v>
      </c>
      <c r="G423" s="57" t="str">
        <f t="shared" si="37"/>
        <v>3 MARZO 2021</v>
      </c>
      <c r="H423" s="59">
        <v>44.5</v>
      </c>
      <c r="I423" s="59" t="s">
        <v>1019</v>
      </c>
      <c r="J423" s="28"/>
      <c r="S423"/>
      <c r="T423"/>
      <c r="U423"/>
      <c r="V423"/>
      <c r="W423"/>
      <c r="X423"/>
      <c r="Y423"/>
      <c r="Z423"/>
      <c r="AC423" s="9" t="s">
        <v>90</v>
      </c>
      <c r="AD423" s="9">
        <v>3</v>
      </c>
    </row>
    <row r="424" spans="1:30">
      <c r="A424" s="57" t="s">
        <v>1040</v>
      </c>
      <c r="B424" s="57" t="s">
        <v>1010</v>
      </c>
      <c r="C424" s="57" t="s">
        <v>90</v>
      </c>
      <c r="D424" s="57">
        <v>2021</v>
      </c>
      <c r="E424" s="58">
        <f t="shared" si="35"/>
        <v>3</v>
      </c>
      <c r="F424" s="57" t="str">
        <f t="shared" si="36"/>
        <v>MARZO 2021</v>
      </c>
      <c r="G424" s="57" t="str">
        <f t="shared" si="37"/>
        <v>3 MARZO 2021</v>
      </c>
      <c r="H424" s="59">
        <v>-500</v>
      </c>
      <c r="I424" s="59" t="s">
        <v>1012</v>
      </c>
      <c r="J424" s="28"/>
      <c r="S424"/>
      <c r="T424"/>
      <c r="U424"/>
      <c r="V424"/>
      <c r="W424"/>
      <c r="X424"/>
      <c r="Y424"/>
      <c r="Z424"/>
      <c r="AC424" s="9" t="s">
        <v>352</v>
      </c>
      <c r="AD424" s="9">
        <v>4</v>
      </c>
    </row>
    <row r="425" spans="1:30">
      <c r="A425" s="57" t="s">
        <v>1036</v>
      </c>
      <c r="B425" s="57" t="s">
        <v>1011</v>
      </c>
      <c r="C425" s="57" t="s">
        <v>129</v>
      </c>
      <c r="D425" s="57">
        <v>2021</v>
      </c>
      <c r="E425" s="58">
        <f t="shared" si="35"/>
        <v>2</v>
      </c>
      <c r="F425" s="57" t="str">
        <f t="shared" si="36"/>
        <v>FEBBRAIO 2021</v>
      </c>
      <c r="G425" s="57" t="str">
        <f t="shared" si="37"/>
        <v>2 FEBBRAIO 2021</v>
      </c>
      <c r="H425" s="59">
        <v>67.06</v>
      </c>
      <c r="I425" s="59" t="s">
        <v>1015</v>
      </c>
      <c r="J425" s="28"/>
      <c r="S425"/>
      <c r="T425"/>
      <c r="U425"/>
      <c r="V425"/>
      <c r="W425"/>
      <c r="X425"/>
      <c r="Y425"/>
      <c r="Z425"/>
      <c r="AC425" s="9" t="s">
        <v>333</v>
      </c>
      <c r="AD425" s="9">
        <v>5</v>
      </c>
    </row>
    <row r="426" spans="1:30">
      <c r="A426" s="57" t="s">
        <v>1029</v>
      </c>
      <c r="B426" s="57" t="s">
        <v>1011</v>
      </c>
      <c r="C426" s="57" t="s">
        <v>129</v>
      </c>
      <c r="D426" s="57">
        <v>2021</v>
      </c>
      <c r="E426" s="58">
        <f t="shared" si="35"/>
        <v>2</v>
      </c>
      <c r="F426" s="57" t="str">
        <f t="shared" si="36"/>
        <v>FEBBRAIO 2021</v>
      </c>
      <c r="G426" s="57" t="str">
        <f t="shared" si="37"/>
        <v>2 FEBBRAIO 2021</v>
      </c>
      <c r="H426" s="59">
        <v>3.5</v>
      </c>
      <c r="I426" s="59" t="s">
        <v>1013</v>
      </c>
      <c r="J426" s="28"/>
      <c r="S426"/>
      <c r="T426"/>
      <c r="U426"/>
      <c r="V426"/>
      <c r="W426"/>
      <c r="X426"/>
      <c r="Y426"/>
      <c r="Z426"/>
      <c r="AC426" s="9" t="s">
        <v>314</v>
      </c>
      <c r="AD426" s="9">
        <v>6</v>
      </c>
    </row>
    <row r="427" spans="1:30">
      <c r="A427" s="57" t="s">
        <v>1022</v>
      </c>
      <c r="B427" s="57" t="s">
        <v>1011</v>
      </c>
      <c r="C427" s="57" t="s">
        <v>129</v>
      </c>
      <c r="D427" s="57">
        <v>2021</v>
      </c>
      <c r="E427" s="58">
        <f t="shared" si="35"/>
        <v>2</v>
      </c>
      <c r="F427" s="57" t="str">
        <f t="shared" si="36"/>
        <v>FEBBRAIO 2021</v>
      </c>
      <c r="G427" s="57" t="str">
        <f t="shared" si="37"/>
        <v>2 FEBBRAIO 2021</v>
      </c>
      <c r="H427" s="59">
        <v>629.97</v>
      </c>
      <c r="I427" s="59" t="s">
        <v>1022</v>
      </c>
      <c r="J427" s="28"/>
      <c r="S427"/>
      <c r="T427"/>
      <c r="U427"/>
      <c r="V427"/>
      <c r="W427"/>
      <c r="X427"/>
      <c r="Y427"/>
      <c r="Z427"/>
      <c r="AC427" s="9" t="s">
        <v>288</v>
      </c>
      <c r="AD427" s="9">
        <v>7</v>
      </c>
    </row>
    <row r="428" spans="1:30">
      <c r="A428" s="57" t="s">
        <v>1040</v>
      </c>
      <c r="B428" s="57" t="s">
        <v>1010</v>
      </c>
      <c r="C428" s="57" t="s">
        <v>129</v>
      </c>
      <c r="D428" s="57">
        <v>2021</v>
      </c>
      <c r="E428" s="58">
        <f t="shared" si="35"/>
        <v>2</v>
      </c>
      <c r="F428" s="57" t="str">
        <f t="shared" si="36"/>
        <v>FEBBRAIO 2021</v>
      </c>
      <c r="G428" s="57" t="str">
        <f t="shared" si="37"/>
        <v>2 FEBBRAIO 2021</v>
      </c>
      <c r="H428" s="59">
        <v>-500</v>
      </c>
      <c r="I428" s="59" t="s">
        <v>1012</v>
      </c>
      <c r="J428" s="28"/>
      <c r="S428"/>
      <c r="T428"/>
      <c r="U428"/>
      <c r="V428"/>
      <c r="W428"/>
      <c r="X428"/>
      <c r="Y428"/>
      <c r="Z428"/>
      <c r="AC428" s="9" t="s">
        <v>261</v>
      </c>
      <c r="AD428" s="9">
        <v>8</v>
      </c>
    </row>
    <row r="429" spans="1:30">
      <c r="A429" s="57" t="s">
        <v>1039</v>
      </c>
      <c r="B429" s="57" t="s">
        <v>1011</v>
      </c>
      <c r="C429" s="57" t="s">
        <v>129</v>
      </c>
      <c r="D429" s="57">
        <v>2021</v>
      </c>
      <c r="E429" s="58">
        <f t="shared" si="35"/>
        <v>2</v>
      </c>
      <c r="F429" s="57" t="str">
        <f t="shared" si="36"/>
        <v>FEBBRAIO 2021</v>
      </c>
      <c r="G429" s="57" t="str">
        <f t="shared" si="37"/>
        <v>2 FEBBRAIO 2021</v>
      </c>
      <c r="H429" s="59">
        <v>272.57</v>
      </c>
      <c r="I429" s="59" t="s">
        <v>1024</v>
      </c>
      <c r="J429" s="28"/>
      <c r="S429"/>
      <c r="T429"/>
      <c r="U429"/>
      <c r="V429"/>
      <c r="W429"/>
      <c r="X429"/>
      <c r="Y429"/>
      <c r="Z429"/>
      <c r="AC429" s="9" t="s">
        <v>240</v>
      </c>
      <c r="AD429" s="9">
        <v>9</v>
      </c>
    </row>
    <row r="430" spans="1:30">
      <c r="A430" s="57" t="s">
        <v>1039</v>
      </c>
      <c r="B430" s="57" t="s">
        <v>1011</v>
      </c>
      <c r="C430" s="57" t="s">
        <v>129</v>
      </c>
      <c r="D430" s="57">
        <v>2021</v>
      </c>
      <c r="E430" s="58">
        <f t="shared" si="35"/>
        <v>2</v>
      </c>
      <c r="F430" s="57" t="str">
        <f t="shared" si="36"/>
        <v>FEBBRAIO 2021</v>
      </c>
      <c r="G430" s="57" t="str">
        <f t="shared" si="37"/>
        <v>2 FEBBRAIO 2021</v>
      </c>
      <c r="H430" s="59">
        <v>111.86</v>
      </c>
      <c r="I430" s="59" t="s">
        <v>1023</v>
      </c>
      <c r="J430" s="28"/>
      <c r="S430"/>
      <c r="T430"/>
      <c r="U430"/>
      <c r="V430"/>
      <c r="W430"/>
      <c r="X430"/>
      <c r="Y430"/>
      <c r="Z430"/>
      <c r="AC430" s="9" t="s">
        <v>217</v>
      </c>
      <c r="AD430" s="9">
        <v>10</v>
      </c>
    </row>
    <row r="431" spans="1:30">
      <c r="A431" s="57" t="s">
        <v>1031</v>
      </c>
      <c r="B431" s="57" t="s">
        <v>1011</v>
      </c>
      <c r="C431" s="57" t="s">
        <v>129</v>
      </c>
      <c r="D431" s="57">
        <v>2021</v>
      </c>
      <c r="E431" s="58">
        <f t="shared" si="35"/>
        <v>2</v>
      </c>
      <c r="F431" s="57" t="str">
        <f t="shared" si="36"/>
        <v>FEBBRAIO 2021</v>
      </c>
      <c r="G431" s="57" t="str">
        <f t="shared" si="37"/>
        <v>2 FEBBRAIO 2021</v>
      </c>
      <c r="H431" s="59">
        <v>44.5</v>
      </c>
      <c r="I431" s="59" t="s">
        <v>1019</v>
      </c>
      <c r="J431" s="28"/>
      <c r="S431"/>
      <c r="T431"/>
      <c r="U431"/>
      <c r="V431"/>
      <c r="W431"/>
      <c r="X431"/>
      <c r="Y431"/>
      <c r="Z431"/>
      <c r="AC431" s="9" t="s">
        <v>200</v>
      </c>
      <c r="AD431" s="9">
        <v>11</v>
      </c>
    </row>
    <row r="432" spans="1:30">
      <c r="A432" s="57" t="s">
        <v>1030</v>
      </c>
      <c r="B432" s="57" t="s">
        <v>1025</v>
      </c>
      <c r="C432" s="57" t="s">
        <v>129</v>
      </c>
      <c r="D432" s="57">
        <v>2021</v>
      </c>
      <c r="E432" s="58">
        <f t="shared" si="35"/>
        <v>2</v>
      </c>
      <c r="F432" s="57" t="str">
        <f t="shared" si="36"/>
        <v>FEBBRAIO 2021</v>
      </c>
      <c r="G432" s="57" t="str">
        <f t="shared" si="37"/>
        <v>2 FEBBRAIO 2021</v>
      </c>
      <c r="H432" s="59">
        <v>-500</v>
      </c>
      <c r="I432" s="59" t="s">
        <v>1012</v>
      </c>
      <c r="J432" s="28"/>
      <c r="S432"/>
      <c r="T432"/>
      <c r="U432"/>
      <c r="V432"/>
      <c r="W432"/>
      <c r="X432"/>
      <c r="Y432"/>
      <c r="Z432"/>
      <c r="AC432" s="9" t="s">
        <v>173</v>
      </c>
      <c r="AD432" s="9">
        <v>12</v>
      </c>
    </row>
    <row r="433" spans="1:26">
      <c r="A433" s="57" t="s">
        <v>1042</v>
      </c>
      <c r="B433" s="57" t="s">
        <v>1011</v>
      </c>
      <c r="C433" s="57" t="s">
        <v>129</v>
      </c>
      <c r="D433" s="57">
        <v>2021</v>
      </c>
      <c r="E433" s="58">
        <f t="shared" ref="E433:E464" si="38">VLOOKUP(C433,$AC$421:$AD$432,2,FALSE)</f>
        <v>2</v>
      </c>
      <c r="F433" s="57" t="str">
        <f t="shared" si="36"/>
        <v>FEBBRAIO 2021</v>
      </c>
      <c r="G433" s="57" t="str">
        <f t="shared" si="37"/>
        <v>2 FEBBRAIO 2021</v>
      </c>
      <c r="H433" s="59">
        <v>1144.5</v>
      </c>
      <c r="I433" s="59" t="s">
        <v>1012</v>
      </c>
      <c r="J433" s="28"/>
      <c r="S433"/>
      <c r="T433"/>
      <c r="U433"/>
      <c r="V433"/>
      <c r="W433"/>
      <c r="X433"/>
      <c r="Y433"/>
      <c r="Z433"/>
    </row>
    <row r="434" spans="1:26">
      <c r="A434" s="57" t="s">
        <v>1043</v>
      </c>
      <c r="B434" s="57" t="s">
        <v>1011</v>
      </c>
      <c r="C434" s="57" t="s">
        <v>129</v>
      </c>
      <c r="D434" s="57">
        <v>2021</v>
      </c>
      <c r="E434" s="58">
        <f t="shared" si="38"/>
        <v>2</v>
      </c>
      <c r="F434" s="57" t="str">
        <f t="shared" si="36"/>
        <v>FEBBRAIO 2021</v>
      </c>
      <c r="G434" s="57" t="str">
        <f t="shared" si="37"/>
        <v>2 FEBBRAIO 2021</v>
      </c>
      <c r="H434" s="59">
        <v>-1160</v>
      </c>
      <c r="I434" s="59" t="s">
        <v>1012</v>
      </c>
      <c r="J434" s="28"/>
      <c r="S434"/>
      <c r="T434"/>
      <c r="U434"/>
      <c r="V434"/>
      <c r="W434"/>
      <c r="X434"/>
      <c r="Y434"/>
      <c r="Z434"/>
    </row>
    <row r="435" spans="1:26">
      <c r="A435" s="57" t="s">
        <v>1029</v>
      </c>
      <c r="B435" s="57" t="s">
        <v>1011</v>
      </c>
      <c r="C435" s="57" t="s">
        <v>154</v>
      </c>
      <c r="D435" s="57">
        <v>2021</v>
      </c>
      <c r="E435" s="58">
        <f t="shared" si="38"/>
        <v>1</v>
      </c>
      <c r="F435" s="57" t="str">
        <f t="shared" si="36"/>
        <v>GENNAIO 2021</v>
      </c>
      <c r="G435" s="57" t="str">
        <f t="shared" si="37"/>
        <v>1 GENNAIO 2021</v>
      </c>
      <c r="H435" s="59">
        <v>3.5</v>
      </c>
      <c r="I435" s="59" t="s">
        <v>1013</v>
      </c>
      <c r="J435" s="28"/>
    </row>
    <row r="436" spans="1:26">
      <c r="A436" s="57" t="s">
        <v>1022</v>
      </c>
      <c r="B436" s="57" t="s">
        <v>1011</v>
      </c>
      <c r="C436" s="57" t="s">
        <v>154</v>
      </c>
      <c r="D436" s="57">
        <v>2021</v>
      </c>
      <c r="E436" s="58">
        <f t="shared" si="38"/>
        <v>1</v>
      </c>
      <c r="F436" s="57" t="str">
        <f t="shared" si="36"/>
        <v>GENNAIO 2021</v>
      </c>
      <c r="G436" s="57" t="str">
        <f t="shared" si="37"/>
        <v>1 GENNAIO 2021</v>
      </c>
      <c r="H436" s="59">
        <v>629.97</v>
      </c>
      <c r="I436" s="59" t="s">
        <v>1022</v>
      </c>
      <c r="J436" s="28"/>
    </row>
    <row r="437" spans="1:26">
      <c r="A437" s="57" t="s">
        <v>1031</v>
      </c>
      <c r="B437" s="57" t="s">
        <v>1011</v>
      </c>
      <c r="C437" s="57" t="s">
        <v>154</v>
      </c>
      <c r="D437" s="57">
        <v>2021</v>
      </c>
      <c r="E437" s="58">
        <f t="shared" si="38"/>
        <v>1</v>
      </c>
      <c r="F437" s="57" t="str">
        <f t="shared" si="36"/>
        <v>GENNAIO 2021</v>
      </c>
      <c r="G437" s="57" t="str">
        <f t="shared" si="37"/>
        <v>1 GENNAIO 2021</v>
      </c>
      <c r="H437" s="59">
        <v>44.5</v>
      </c>
      <c r="I437" s="59" t="s">
        <v>1019</v>
      </c>
      <c r="J437" s="28"/>
    </row>
    <row r="438" spans="1:26">
      <c r="A438" s="57" t="s">
        <v>1040</v>
      </c>
      <c r="B438" s="57" t="s">
        <v>1010</v>
      </c>
      <c r="C438" s="57" t="s">
        <v>154</v>
      </c>
      <c r="D438" s="57">
        <v>2021</v>
      </c>
      <c r="E438" s="58">
        <f t="shared" si="38"/>
        <v>1</v>
      </c>
      <c r="F438" s="57" t="str">
        <f t="shared" si="36"/>
        <v>GENNAIO 2021</v>
      </c>
      <c r="G438" s="57" t="str">
        <f t="shared" si="37"/>
        <v>1 GENNAIO 2021</v>
      </c>
      <c r="H438" s="59">
        <v>-800</v>
      </c>
      <c r="I438" s="59" t="s">
        <v>1012</v>
      </c>
      <c r="J438" s="28"/>
    </row>
    <row r="439" spans="1:26">
      <c r="A439" s="57" t="s">
        <v>1044</v>
      </c>
      <c r="B439" s="57" t="s">
        <v>1011</v>
      </c>
      <c r="C439" s="57" t="s">
        <v>173</v>
      </c>
      <c r="D439" s="57">
        <v>2020</v>
      </c>
      <c r="E439" s="58">
        <f t="shared" si="38"/>
        <v>12</v>
      </c>
      <c r="F439" s="57" t="str">
        <f t="shared" si="36"/>
        <v>DICEMBRE 2020</v>
      </c>
      <c r="G439" s="57" t="str">
        <f t="shared" si="37"/>
        <v>12 DICEMBRE 2020</v>
      </c>
      <c r="H439" s="59">
        <v>0.02</v>
      </c>
      <c r="I439" s="59" t="s">
        <v>1013</v>
      </c>
      <c r="J439" s="28"/>
    </row>
    <row r="440" spans="1:26">
      <c r="A440" s="57" t="s">
        <v>1045</v>
      </c>
      <c r="B440" s="57" t="s">
        <v>1011</v>
      </c>
      <c r="C440" s="57" t="s">
        <v>173</v>
      </c>
      <c r="D440" s="57">
        <v>2020</v>
      </c>
      <c r="E440" s="58">
        <f t="shared" si="38"/>
        <v>12</v>
      </c>
      <c r="F440" s="57" t="str">
        <f t="shared" si="36"/>
        <v>DICEMBRE 2020</v>
      </c>
      <c r="G440" s="57" t="str">
        <f t="shared" si="37"/>
        <v>12 DICEMBRE 2020</v>
      </c>
      <c r="H440" s="59">
        <v>-7.0000000000000007E-2</v>
      </c>
      <c r="I440" s="59" t="s">
        <v>1013</v>
      </c>
      <c r="J440" s="28"/>
    </row>
    <row r="441" spans="1:26">
      <c r="A441" s="57" t="s">
        <v>1029</v>
      </c>
      <c r="B441" s="57" t="s">
        <v>1011</v>
      </c>
      <c r="C441" s="57" t="s">
        <v>173</v>
      </c>
      <c r="D441" s="57">
        <v>2020</v>
      </c>
      <c r="E441" s="58">
        <f t="shared" si="38"/>
        <v>12</v>
      </c>
      <c r="F441" s="57" t="str">
        <f t="shared" si="36"/>
        <v>DICEMBRE 2020</v>
      </c>
      <c r="G441" s="57" t="str">
        <f t="shared" si="37"/>
        <v>12 DICEMBRE 2020</v>
      </c>
      <c r="H441" s="59">
        <v>3.5</v>
      </c>
      <c r="I441" s="59" t="s">
        <v>1013</v>
      </c>
      <c r="J441" s="28"/>
    </row>
    <row r="442" spans="1:26">
      <c r="A442" s="57" t="s">
        <v>1022</v>
      </c>
      <c r="B442" s="57" t="s">
        <v>1011</v>
      </c>
      <c r="C442" s="57" t="s">
        <v>173</v>
      </c>
      <c r="D442" s="57">
        <v>2020</v>
      </c>
      <c r="E442" s="58">
        <f t="shared" si="38"/>
        <v>12</v>
      </c>
      <c r="F442" s="57" t="str">
        <f t="shared" si="36"/>
        <v>DICEMBRE 2020</v>
      </c>
      <c r="G442" s="57" t="str">
        <f t="shared" si="37"/>
        <v>12 DICEMBRE 2020</v>
      </c>
      <c r="H442" s="59">
        <v>629.97</v>
      </c>
      <c r="I442" s="59" t="s">
        <v>1022</v>
      </c>
      <c r="J442" s="28"/>
    </row>
    <row r="443" spans="1:26">
      <c r="A443" s="57" t="s">
        <v>1030</v>
      </c>
      <c r="B443" s="57" t="s">
        <v>1025</v>
      </c>
      <c r="C443" s="57" t="s">
        <v>173</v>
      </c>
      <c r="D443" s="57">
        <v>2020</v>
      </c>
      <c r="E443" s="58">
        <f t="shared" si="38"/>
        <v>12</v>
      </c>
      <c r="F443" s="57" t="str">
        <f t="shared" ref="F443:F464" si="39">CONCATENATE(,C443," ",D443)</f>
        <v>DICEMBRE 2020</v>
      </c>
      <c r="G443" s="57" t="str">
        <f t="shared" ref="G443:G464" si="40">CONCATENATE(E443," ",F443)</f>
        <v>12 DICEMBRE 2020</v>
      </c>
      <c r="H443" s="59">
        <v>-350</v>
      </c>
      <c r="I443" s="59" t="s">
        <v>1012</v>
      </c>
      <c r="J443" s="28"/>
    </row>
    <row r="444" spans="1:26">
      <c r="A444" s="57" t="s">
        <v>1031</v>
      </c>
      <c r="B444" s="57" t="s">
        <v>1011</v>
      </c>
      <c r="C444" s="57" t="s">
        <v>173</v>
      </c>
      <c r="D444" s="57">
        <v>2020</v>
      </c>
      <c r="E444" s="58">
        <f t="shared" si="38"/>
        <v>12</v>
      </c>
      <c r="F444" s="57" t="str">
        <f t="shared" si="39"/>
        <v>DICEMBRE 2020</v>
      </c>
      <c r="G444" s="57" t="str">
        <f t="shared" si="40"/>
        <v>12 DICEMBRE 2020</v>
      </c>
      <c r="H444" s="59">
        <v>44.5</v>
      </c>
      <c r="I444" s="59" t="s">
        <v>1019</v>
      </c>
      <c r="J444" s="28"/>
    </row>
    <row r="445" spans="1:26">
      <c r="A445" s="57" t="s">
        <v>1040</v>
      </c>
      <c r="B445" s="57" t="s">
        <v>1010</v>
      </c>
      <c r="C445" s="57" t="s">
        <v>173</v>
      </c>
      <c r="D445" s="57">
        <v>2020</v>
      </c>
      <c r="E445" s="58">
        <f t="shared" si="38"/>
        <v>12</v>
      </c>
      <c r="F445" s="57" t="str">
        <f t="shared" si="39"/>
        <v>DICEMBRE 2020</v>
      </c>
      <c r="G445" s="57" t="str">
        <f t="shared" si="40"/>
        <v>12 DICEMBRE 2020</v>
      </c>
      <c r="H445" s="59">
        <v>-700</v>
      </c>
      <c r="I445" s="59" t="s">
        <v>1012</v>
      </c>
      <c r="J445" s="28"/>
    </row>
    <row r="446" spans="1:26">
      <c r="A446" s="57" t="s">
        <v>1046</v>
      </c>
      <c r="B446" s="57" t="s">
        <v>1011</v>
      </c>
      <c r="C446" s="57" t="s">
        <v>173</v>
      </c>
      <c r="D446" s="57">
        <v>2020</v>
      </c>
      <c r="E446" s="58">
        <f t="shared" si="38"/>
        <v>12</v>
      </c>
      <c r="F446" s="57" t="str">
        <f t="shared" si="39"/>
        <v>DICEMBRE 2020</v>
      </c>
      <c r="G446" s="57" t="str">
        <f t="shared" si="40"/>
        <v>12 DICEMBRE 2020</v>
      </c>
      <c r="H446" s="59">
        <v>1169.29</v>
      </c>
      <c r="I446" s="59" t="s">
        <v>1020</v>
      </c>
      <c r="J446" s="28"/>
    </row>
    <row r="447" spans="1:26">
      <c r="A447" s="57" t="s">
        <v>1047</v>
      </c>
      <c r="B447" s="57" t="s">
        <v>1011</v>
      </c>
      <c r="C447" s="57" t="s">
        <v>173</v>
      </c>
      <c r="D447" s="57">
        <v>2020</v>
      </c>
      <c r="E447" s="58">
        <f t="shared" si="38"/>
        <v>12</v>
      </c>
      <c r="F447" s="57" t="str">
        <f t="shared" si="39"/>
        <v>DICEMBRE 2020</v>
      </c>
      <c r="G447" s="57" t="str">
        <f t="shared" si="40"/>
        <v>12 DICEMBRE 2020</v>
      </c>
      <c r="H447" s="59">
        <v>1823.6</v>
      </c>
      <c r="I447" s="59" t="s">
        <v>1020</v>
      </c>
      <c r="J447" s="28"/>
    </row>
    <row r="448" spans="1:26">
      <c r="A448" s="57" t="s">
        <v>721</v>
      </c>
      <c r="B448" s="57" t="s">
        <v>1011</v>
      </c>
      <c r="C448" s="57" t="s">
        <v>173</v>
      </c>
      <c r="D448" s="57">
        <v>2020</v>
      </c>
      <c r="E448" s="58">
        <f t="shared" si="38"/>
        <v>12</v>
      </c>
      <c r="F448" s="57" t="str">
        <f t="shared" si="39"/>
        <v>DICEMBRE 2020</v>
      </c>
      <c r="G448" s="57" t="str">
        <f t="shared" si="40"/>
        <v>12 DICEMBRE 2020</v>
      </c>
      <c r="H448" s="59">
        <v>253.16</v>
      </c>
      <c r="I448" s="59" t="s">
        <v>1020</v>
      </c>
      <c r="J448" s="28"/>
    </row>
    <row r="449" spans="1:10">
      <c r="A449" s="57" t="s">
        <v>1048</v>
      </c>
      <c r="B449" s="57" t="s">
        <v>1011</v>
      </c>
      <c r="C449" s="57" t="s">
        <v>173</v>
      </c>
      <c r="D449" s="57">
        <v>2020</v>
      </c>
      <c r="E449" s="58">
        <f t="shared" si="38"/>
        <v>12</v>
      </c>
      <c r="F449" s="57" t="str">
        <f t="shared" si="39"/>
        <v>DICEMBRE 2020</v>
      </c>
      <c r="G449" s="57" t="str">
        <f t="shared" si="40"/>
        <v>12 DICEMBRE 2020</v>
      </c>
      <c r="H449" s="59">
        <v>840.32</v>
      </c>
      <c r="I449" s="59" t="s">
        <v>1020</v>
      </c>
      <c r="J449" s="28"/>
    </row>
    <row r="450" spans="1:10">
      <c r="A450" s="57" t="s">
        <v>1049</v>
      </c>
      <c r="B450" s="57" t="s">
        <v>1011</v>
      </c>
      <c r="C450" s="57" t="s">
        <v>173</v>
      </c>
      <c r="D450" s="57">
        <v>2020</v>
      </c>
      <c r="E450" s="58">
        <f t="shared" si="38"/>
        <v>12</v>
      </c>
      <c r="F450" s="57" t="str">
        <f t="shared" si="39"/>
        <v>DICEMBRE 2020</v>
      </c>
      <c r="G450" s="57" t="str">
        <f t="shared" si="40"/>
        <v>12 DICEMBRE 2020</v>
      </c>
      <c r="H450" s="59">
        <v>721.27</v>
      </c>
      <c r="I450" s="59" t="s">
        <v>1020</v>
      </c>
      <c r="J450" s="28"/>
    </row>
    <row r="451" spans="1:10">
      <c r="A451" s="57" t="s">
        <v>1029</v>
      </c>
      <c r="B451" s="57" t="s">
        <v>1011</v>
      </c>
      <c r="C451" s="57" t="s">
        <v>200</v>
      </c>
      <c r="D451" s="57">
        <v>2020</v>
      </c>
      <c r="E451" s="58">
        <f t="shared" si="38"/>
        <v>11</v>
      </c>
      <c r="F451" s="57" t="str">
        <f t="shared" si="39"/>
        <v>NOVEMBRE 2020</v>
      </c>
      <c r="G451" s="57" t="str">
        <f t="shared" si="40"/>
        <v>11 NOVEMBRE 2020</v>
      </c>
      <c r="H451" s="59">
        <v>3.5</v>
      </c>
      <c r="I451" s="59" t="s">
        <v>1013</v>
      </c>
      <c r="J451" s="28"/>
    </row>
    <row r="452" spans="1:10">
      <c r="A452" s="57" t="s">
        <v>1031</v>
      </c>
      <c r="B452" s="57" t="s">
        <v>1011</v>
      </c>
      <c r="C452" s="57" t="s">
        <v>200</v>
      </c>
      <c r="D452" s="57">
        <v>2020</v>
      </c>
      <c r="E452" s="58">
        <f t="shared" si="38"/>
        <v>11</v>
      </c>
      <c r="F452" s="57" t="str">
        <f t="shared" si="39"/>
        <v>NOVEMBRE 2020</v>
      </c>
      <c r="G452" s="57" t="str">
        <f t="shared" si="40"/>
        <v>11 NOVEMBRE 2020</v>
      </c>
      <c r="H452" s="59">
        <v>31.13</v>
      </c>
      <c r="I452" s="59" t="s">
        <v>1019</v>
      </c>
      <c r="J452" s="28"/>
    </row>
    <row r="453" spans="1:10">
      <c r="A453" s="57" t="s">
        <v>1050</v>
      </c>
      <c r="B453" s="57" t="s">
        <v>1011</v>
      </c>
      <c r="C453" s="57" t="s">
        <v>200</v>
      </c>
      <c r="D453" s="57">
        <v>2020</v>
      </c>
      <c r="E453" s="58">
        <f t="shared" si="38"/>
        <v>11</v>
      </c>
      <c r="F453" s="57" t="str">
        <f t="shared" si="39"/>
        <v>NOVEMBRE 2020</v>
      </c>
      <c r="G453" s="57" t="str">
        <f t="shared" si="40"/>
        <v>11 NOVEMBRE 2020</v>
      </c>
      <c r="H453" s="59">
        <v>4292</v>
      </c>
      <c r="I453" s="59" t="s">
        <v>1014</v>
      </c>
      <c r="J453" s="28"/>
    </row>
    <row r="454" spans="1:10">
      <c r="A454" s="57" t="s">
        <v>1051</v>
      </c>
      <c r="B454" s="57" t="s">
        <v>1011</v>
      </c>
      <c r="C454" s="57" t="s">
        <v>200</v>
      </c>
      <c r="D454" s="57">
        <v>2020</v>
      </c>
      <c r="E454" s="58">
        <f t="shared" si="38"/>
        <v>11</v>
      </c>
      <c r="F454" s="57" t="str">
        <f t="shared" si="39"/>
        <v>NOVEMBRE 2020</v>
      </c>
      <c r="G454" s="57" t="str">
        <f t="shared" si="40"/>
        <v>11 NOVEMBRE 2020</v>
      </c>
      <c r="H454" s="59">
        <v>11.25</v>
      </c>
      <c r="I454" s="59" t="s">
        <v>1013</v>
      </c>
      <c r="J454" s="28"/>
    </row>
    <row r="455" spans="1:10">
      <c r="A455" s="57" t="s">
        <v>1052</v>
      </c>
      <c r="B455" s="57" t="s">
        <v>1011</v>
      </c>
      <c r="C455" s="57" t="s">
        <v>200</v>
      </c>
      <c r="D455" s="57">
        <v>2020</v>
      </c>
      <c r="E455" s="58">
        <f t="shared" si="38"/>
        <v>11</v>
      </c>
      <c r="F455" s="57" t="str">
        <f t="shared" si="39"/>
        <v>NOVEMBRE 2020</v>
      </c>
      <c r="G455" s="57" t="str">
        <f t="shared" si="40"/>
        <v>11 NOVEMBRE 2020</v>
      </c>
      <c r="H455" s="59">
        <v>-4500</v>
      </c>
      <c r="I455" s="59" t="s">
        <v>1021</v>
      </c>
      <c r="J455" s="28"/>
    </row>
    <row r="456" spans="1:10">
      <c r="A456" s="57" t="s">
        <v>1053</v>
      </c>
      <c r="B456" s="57" t="s">
        <v>1011</v>
      </c>
      <c r="C456" s="57" t="s">
        <v>200</v>
      </c>
      <c r="D456" s="57">
        <v>2020</v>
      </c>
      <c r="E456" s="58">
        <f t="shared" si="38"/>
        <v>11</v>
      </c>
      <c r="F456" s="57" t="str">
        <f t="shared" si="39"/>
        <v>NOVEMBRE 2020</v>
      </c>
      <c r="G456" s="57" t="str">
        <f t="shared" si="40"/>
        <v>11 NOVEMBRE 2020</v>
      </c>
      <c r="H456" s="59">
        <v>146693</v>
      </c>
      <c r="I456" s="59" t="s">
        <v>1014</v>
      </c>
      <c r="J456" s="28"/>
    </row>
    <row r="457" spans="1:10">
      <c r="A457" s="57" t="s">
        <v>1054</v>
      </c>
      <c r="B457" s="57" t="s">
        <v>1011</v>
      </c>
      <c r="C457" s="57" t="s">
        <v>200</v>
      </c>
      <c r="D457" s="57">
        <v>2020</v>
      </c>
      <c r="E457" s="58">
        <f t="shared" si="38"/>
        <v>11</v>
      </c>
      <c r="F457" s="57" t="str">
        <f t="shared" si="39"/>
        <v>NOVEMBRE 2020</v>
      </c>
      <c r="G457" s="57" t="str">
        <f t="shared" si="40"/>
        <v>11 NOVEMBRE 2020</v>
      </c>
      <c r="H457" s="59">
        <v>321.75</v>
      </c>
      <c r="I457" s="59" t="s">
        <v>1014</v>
      </c>
      <c r="J457" s="28"/>
    </row>
    <row r="458" spans="1:10">
      <c r="A458" s="57" t="s">
        <v>1055</v>
      </c>
      <c r="B458" s="57" t="s">
        <v>1011</v>
      </c>
      <c r="C458" s="57" t="s">
        <v>200</v>
      </c>
      <c r="D458" s="57">
        <v>2020</v>
      </c>
      <c r="E458" s="58">
        <f t="shared" si="38"/>
        <v>11</v>
      </c>
      <c r="F458" s="57" t="str">
        <f t="shared" si="39"/>
        <v>NOVEMBRE 2020</v>
      </c>
      <c r="G458" s="57" t="str">
        <f t="shared" si="40"/>
        <v>11 NOVEMBRE 2020</v>
      </c>
      <c r="H458" s="59">
        <v>1000</v>
      </c>
      <c r="I458" s="59" t="s">
        <v>1014</v>
      </c>
      <c r="J458" s="28"/>
    </row>
    <row r="459" spans="1:10">
      <c r="A459" s="57" t="s">
        <v>1056</v>
      </c>
      <c r="B459" s="57" t="s">
        <v>1011</v>
      </c>
      <c r="C459" s="57" t="s">
        <v>200</v>
      </c>
      <c r="D459" s="57">
        <v>2020</v>
      </c>
      <c r="E459" s="58">
        <f t="shared" si="38"/>
        <v>11</v>
      </c>
      <c r="F459" s="57" t="str">
        <f t="shared" si="39"/>
        <v>NOVEMBRE 2020</v>
      </c>
      <c r="G459" s="57" t="str">
        <f t="shared" si="40"/>
        <v>11 NOVEMBRE 2020</v>
      </c>
      <c r="H459" s="59">
        <v>-128700</v>
      </c>
      <c r="I459" s="59" t="s">
        <v>1018</v>
      </c>
      <c r="J459" s="28"/>
    </row>
    <row r="460" spans="1:10">
      <c r="A460" s="57" t="s">
        <v>1057</v>
      </c>
      <c r="B460" s="57" t="s">
        <v>1011</v>
      </c>
      <c r="C460" s="57" t="s">
        <v>200</v>
      </c>
      <c r="D460" s="57">
        <v>2020</v>
      </c>
      <c r="E460" s="58">
        <f t="shared" si="38"/>
        <v>11</v>
      </c>
      <c r="F460" s="57" t="str">
        <f t="shared" si="39"/>
        <v>NOVEMBRE 2020</v>
      </c>
      <c r="G460" s="57" t="str">
        <f t="shared" si="40"/>
        <v>11 NOVEMBRE 2020</v>
      </c>
      <c r="H460" s="59">
        <v>-213.5</v>
      </c>
      <c r="I460" s="59" t="s">
        <v>1014</v>
      </c>
      <c r="J460" s="28"/>
    </row>
    <row r="461" spans="1:10">
      <c r="A461" s="57" t="s">
        <v>1040</v>
      </c>
      <c r="B461" s="57" t="s">
        <v>1010</v>
      </c>
      <c r="C461" s="57" t="s">
        <v>200</v>
      </c>
      <c r="D461" s="57">
        <v>2020</v>
      </c>
      <c r="E461" s="58">
        <f t="shared" si="38"/>
        <v>11</v>
      </c>
      <c r="F461" s="57" t="str">
        <f t="shared" si="39"/>
        <v>NOVEMBRE 2020</v>
      </c>
      <c r="G461" s="57" t="str">
        <f t="shared" si="40"/>
        <v>11 NOVEMBRE 2020</v>
      </c>
      <c r="H461" s="59">
        <v>-13000</v>
      </c>
      <c r="I461" s="59" t="s">
        <v>1026</v>
      </c>
      <c r="J461" s="28"/>
    </row>
    <row r="462" spans="1:10">
      <c r="A462" s="57" t="s">
        <v>1058</v>
      </c>
      <c r="B462" s="57" t="s">
        <v>1011</v>
      </c>
      <c r="C462" s="57" t="s">
        <v>200</v>
      </c>
      <c r="D462" s="57">
        <v>2020</v>
      </c>
      <c r="E462" s="58">
        <f t="shared" si="38"/>
        <v>11</v>
      </c>
      <c r="F462" s="57" t="str">
        <f t="shared" si="39"/>
        <v>NOVEMBRE 2020</v>
      </c>
      <c r="G462" s="57" t="str">
        <f t="shared" si="40"/>
        <v>11 NOVEMBRE 2020</v>
      </c>
      <c r="H462" s="59">
        <v>218.5</v>
      </c>
      <c r="I462" s="59" t="s">
        <v>1014</v>
      </c>
      <c r="J462" s="28"/>
    </row>
    <row r="463" spans="1:10">
      <c r="A463" s="57" t="s">
        <v>1030</v>
      </c>
      <c r="B463" s="57" t="s">
        <v>1025</v>
      </c>
      <c r="C463" s="57" t="s">
        <v>200</v>
      </c>
      <c r="D463" s="57">
        <v>2020</v>
      </c>
      <c r="E463" s="58">
        <f t="shared" si="38"/>
        <v>11</v>
      </c>
      <c r="F463" s="57" t="str">
        <f t="shared" si="39"/>
        <v>NOVEMBRE 2020</v>
      </c>
      <c r="G463" s="57" t="str">
        <f t="shared" si="40"/>
        <v>11 NOVEMBRE 2020</v>
      </c>
      <c r="H463" s="59">
        <v>-11000</v>
      </c>
      <c r="I463" s="59" t="s">
        <v>1026</v>
      </c>
      <c r="J463" s="28"/>
    </row>
    <row r="464" spans="1:10">
      <c r="A464" s="57" t="s">
        <v>1029</v>
      </c>
      <c r="B464" s="57" t="s">
        <v>1011</v>
      </c>
      <c r="C464" s="57" t="s">
        <v>217</v>
      </c>
      <c r="D464" s="57">
        <v>2020</v>
      </c>
      <c r="E464" s="58">
        <f t="shared" si="38"/>
        <v>10</v>
      </c>
      <c r="F464" s="57" t="str">
        <f t="shared" si="39"/>
        <v>OTTOBRE 2020</v>
      </c>
      <c r="G464" s="57" t="str">
        <f t="shared" si="40"/>
        <v>10 OTTOBRE 2020</v>
      </c>
      <c r="H464" s="59">
        <v>0.56000000000000005</v>
      </c>
      <c r="I464" s="59" t="s">
        <v>1013</v>
      </c>
      <c r="J464" s="28"/>
    </row>
  </sheetData>
  <autoFilter ref="A1:AD464" xr:uid="{70717730-623C-4522-9977-589CFFCA4981}"/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18C3269-4702-41DE-9189-86843BE78BE0}">
            <xm:f>'Analisi Spese Cointestato'!$A$2</xm:f>
            <x14:dxf>
              <font>
                <color rgb="FFFF0000"/>
              </font>
              <fill>
                <patternFill>
                  <bgColor rgb="FFFFFF00"/>
                </patternFill>
              </fill>
            </x14:dxf>
          </x14:cfRule>
          <xm:sqref>G1:G1048576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0AD5-AE80-472F-92ED-AF213F1B3B06}">
  <sheetPr codeName="Foglio6">
    <tabColor theme="7" tint="0.39997558519241921"/>
  </sheetPr>
  <dimension ref="A1:BF882"/>
  <sheetViews>
    <sheetView showGridLines="0" topLeftCell="H1" zoomScale="85" zoomScaleNormal="85" workbookViewId="0">
      <pane ySplit="6" topLeftCell="A17" activePane="bottomLeft" state="frozen"/>
      <selection activeCell="T1" sqref="T1"/>
      <selection pane="bottomLeft" activeCell="O50" sqref="O50"/>
    </sheetView>
  </sheetViews>
  <sheetFormatPr defaultColWidth="9.140625" defaultRowHeight="15"/>
  <cols>
    <col min="1" max="1" width="3.85546875" style="9" customWidth="1"/>
    <col min="2" max="2" width="27.5703125" style="9" bestFit="1" customWidth="1"/>
    <col min="3" max="5" width="25.28515625" style="9" customWidth="1"/>
    <col min="6" max="6" width="25.5703125" style="9" bestFit="1" customWidth="1"/>
    <col min="7" max="7" width="23.42578125" style="9" customWidth="1"/>
    <col min="8" max="8" width="22.42578125" style="9" bestFit="1" customWidth="1"/>
    <col min="9" max="9" width="23.140625" style="9" bestFit="1" customWidth="1"/>
    <col min="10" max="10" width="23.140625" style="9" hidden="1" customWidth="1"/>
    <col min="11" max="11" width="16.5703125" style="9" customWidth="1"/>
    <col min="12" max="12" width="23" style="9" bestFit="1" customWidth="1"/>
    <col min="13" max="13" width="22.5703125" style="9" bestFit="1" customWidth="1"/>
    <col min="14" max="14" width="17" style="9" customWidth="1"/>
    <col min="15" max="15" width="15.7109375" style="9" bestFit="1" customWidth="1"/>
    <col min="16" max="16" width="16.85546875" style="9" customWidth="1"/>
    <col min="17" max="17" width="17.140625" style="9" bestFit="1" customWidth="1"/>
    <col min="18" max="18" width="12" style="9" bestFit="1" customWidth="1"/>
    <col min="19" max="19" width="11.42578125" style="9" customWidth="1"/>
    <col min="20" max="20" width="11.42578125" style="9" bestFit="1" customWidth="1"/>
    <col min="21" max="21" width="16.5703125" style="9" bestFit="1" customWidth="1"/>
    <col min="22" max="23" width="9.140625" style="9"/>
    <col min="24" max="25" width="12.140625" style="9" customWidth="1"/>
    <col min="26" max="26" width="17.140625" style="9" bestFit="1" customWidth="1"/>
    <col min="27" max="27" width="11.28515625" style="9" bestFit="1" customWidth="1"/>
    <col min="28" max="28" width="11.28515625" style="9" customWidth="1"/>
    <col min="29" max="29" width="22.140625" style="9" bestFit="1" customWidth="1"/>
    <col min="30" max="30" width="22.140625" style="9" customWidth="1"/>
    <col min="31" max="31" width="3.42578125" style="9" customWidth="1"/>
    <col min="32" max="32" width="10.85546875" style="9" bestFit="1" customWidth="1"/>
    <col min="33" max="33" width="9.140625" style="9" customWidth="1"/>
    <col min="34" max="34" width="9.28515625" style="9" bestFit="1" customWidth="1"/>
    <col min="35" max="35" width="12" style="9" bestFit="1" customWidth="1"/>
    <col min="36" max="36" width="10.85546875" style="9" bestFit="1" customWidth="1"/>
    <col min="37" max="37" width="9.140625" style="9"/>
    <col min="38" max="38" width="12" style="9" bestFit="1" customWidth="1"/>
    <col min="39" max="39" width="9.140625" style="9"/>
    <col min="40" max="40" width="12" style="9" bestFit="1" customWidth="1"/>
    <col min="41" max="41" width="10.140625" style="9" bestFit="1" customWidth="1"/>
    <col min="42" max="42" width="10.140625" style="9" customWidth="1"/>
    <col min="43" max="43" width="16.140625" style="9" customWidth="1"/>
    <col min="44" max="44" width="10.7109375" style="9" bestFit="1" customWidth="1"/>
    <col min="45" max="45" width="9.85546875" style="9" bestFit="1" customWidth="1"/>
    <col min="46" max="46" width="10.85546875" style="9" bestFit="1" customWidth="1"/>
    <col min="47" max="47" width="9.5703125" style="9" bestFit="1" customWidth="1"/>
    <col min="48" max="48" width="14.140625" style="9" bestFit="1" customWidth="1"/>
    <col min="49" max="49" width="18.28515625" style="9" bestFit="1" customWidth="1"/>
    <col min="50" max="50" width="19" style="9" bestFit="1" customWidth="1"/>
    <col min="51" max="51" width="12.85546875" style="9" bestFit="1" customWidth="1"/>
    <col min="52" max="52" width="10.140625" style="9" bestFit="1" customWidth="1"/>
    <col min="53" max="53" width="14.85546875" style="9" bestFit="1" customWidth="1"/>
    <col min="54" max="56" width="9.140625" style="9"/>
    <col min="57" max="57" width="9.5703125" style="9" bestFit="1" customWidth="1"/>
    <col min="58" max="16384" width="9.140625" style="9"/>
  </cols>
  <sheetData>
    <row r="1" spans="2:53">
      <c r="C1" s="140">
        <f ca="1">TODAY()</f>
        <v>46300</v>
      </c>
    </row>
    <row r="2" spans="2:53">
      <c r="B2" s="17" t="s">
        <v>1059</v>
      </c>
      <c r="C2" s="141">
        <f>BILANCIO!B2</f>
        <v>46296</v>
      </c>
      <c r="R2" s="1497" t="s">
        <v>1060</v>
      </c>
      <c r="S2" s="1497"/>
      <c r="T2" s="1497"/>
      <c r="AR2" s="1498" t="s">
        <v>1061</v>
      </c>
      <c r="AS2" s="1498"/>
      <c r="AT2" s="142">
        <f>SUM(AA634:AA664)</f>
        <v>260.02999999999997</v>
      </c>
      <c r="AU2" s="1496" t="s">
        <v>1062</v>
      </c>
      <c r="AV2" s="1497"/>
      <c r="AW2" s="1497"/>
      <c r="AX2" s="1497"/>
      <c r="AY2" s="1497"/>
    </row>
    <row r="3" spans="2:53" ht="32.25" customHeight="1">
      <c r="B3" s="1491" t="str">
        <f>CONCATENATE("MEDIA CONSUMO ",ROUND(AX4,2)," L/Km"," - ",ROUND(AY4,1)," L/100Km")</f>
        <v>MEDIA CONSUMO 16,15 L/Km - 6,2 L/100Km</v>
      </c>
      <c r="C3" s="1491"/>
      <c r="D3" s="1491"/>
      <c r="E3" s="1491" t="str">
        <f>CONCATENATE("SPESA RIFORNIMENTO ATTUALE: ",VLOOKUP(B7,J23:L166,3,FALSE)," €")</f>
        <v>SPESA RIFORNIMENTO ATTUALE:  €</v>
      </c>
      <c r="F3" s="1491"/>
      <c r="G3" s="1491"/>
      <c r="H3" s="1491" t="str">
        <f>CONCATENATE("CONVIENE ",IF(I89&gt;0,"SLOVENIA","ITALIA")," RISPARMIATO / ",ROUND(I89,2), " €")</f>
        <v>CONVIENE SLOVENIA RISPARMIATO / 9,66 €</v>
      </c>
      <c r="I3" s="1491"/>
      <c r="J3" s="1491"/>
      <c r="K3" s="1491"/>
      <c r="R3" s="67">
        <v>2022</v>
      </c>
      <c r="S3" s="67">
        <v>2023</v>
      </c>
      <c r="T3" s="67">
        <v>2024</v>
      </c>
      <c r="U3" s="67">
        <v>2025</v>
      </c>
      <c r="AR3" s="1498" t="s">
        <v>1063</v>
      </c>
      <c r="AS3" s="1498"/>
      <c r="AT3" s="142">
        <f>SUM(AB634:AB664)</f>
        <v>3.72</v>
      </c>
      <c r="AV3" s="14" t="s">
        <v>1064</v>
      </c>
      <c r="AW3" s="14" t="s">
        <v>1065</v>
      </c>
      <c r="AX3" s="14" t="s">
        <v>1066</v>
      </c>
      <c r="AY3" s="14" t="s">
        <v>1067</v>
      </c>
    </row>
    <row r="4" spans="2:53" ht="30" customHeight="1">
      <c r="C4" s="1374"/>
      <c r="F4" s="1374" t="str">
        <f>CONCATENATE("PREZZO MEDIO GASOLIO: ",ROUND(AVERAGE(AC25:AC634),2)," €")</f>
        <v>PREZZO MEDIO GASOLIO: 1,69 €</v>
      </c>
      <c r="H4" s="1492" t="s">
        <v>1068</v>
      </c>
      <c r="I4" s="1492"/>
      <c r="K4" s="143">
        <v>75</v>
      </c>
      <c r="L4" s="144" t="str">
        <f>CONCATENATE((ROUND(E72/(27.7*2),2))," Volte in più al lavoro")</f>
        <v>2,2 Volte in più al lavoro</v>
      </c>
      <c r="R4" s="58">
        <f>SUM(AH25:AH151)</f>
        <v>6502.0999999999949</v>
      </c>
      <c r="S4" s="58">
        <f>SUM(AH152:AH512)</f>
        <v>23003.82</v>
      </c>
      <c r="T4" s="58">
        <f>SUM(AH517:AH882)</f>
        <v>6937.9300000000012</v>
      </c>
      <c r="U4" s="58">
        <f>SUM(AI517:AI882)</f>
        <v>12997880.520000068</v>
      </c>
      <c r="AR4" s="1498" t="s">
        <v>794</v>
      </c>
      <c r="AS4" s="1498"/>
      <c r="AT4" s="142">
        <f>AT2+AT3</f>
        <v>263.75</v>
      </c>
      <c r="AU4" s="81" t="s">
        <v>79</v>
      </c>
      <c r="AV4" s="145">
        <f>SUM(AD25:AD850)</f>
        <v>2691.0348324384327</v>
      </c>
      <c r="AW4" s="58">
        <f>SUM(AT25:AT831)</f>
        <v>42568.581862145562</v>
      </c>
      <c r="AX4" s="145">
        <f>AVERAGE(AU25:AU770)</f>
        <v>16.148699247006224</v>
      </c>
      <c r="AY4" s="145">
        <f>AVERAGEA(AV25:AV612)</f>
        <v>6.2404120231836391</v>
      </c>
      <c r="AZ4" s="1373" t="s">
        <v>1069</v>
      </c>
      <c r="BA4" s="58">
        <f>AVERAGE(AN:AN)</f>
        <v>126.39037637277083</v>
      </c>
    </row>
    <row r="5" spans="2:53" ht="30" customHeight="1">
      <c r="C5" s="1374"/>
      <c r="F5" s="1374"/>
      <c r="H5" s="1504" t="s">
        <v>1070</v>
      </c>
      <c r="I5" s="1504"/>
      <c r="J5" s="57"/>
      <c r="K5" s="146">
        <f>AT6</f>
        <v>263.75</v>
      </c>
      <c r="L5" s="147"/>
      <c r="AR5" s="1498" t="s">
        <v>1071</v>
      </c>
      <c r="AS5" s="1498"/>
      <c r="AT5" s="142">
        <v>0</v>
      </c>
      <c r="AU5" s="57"/>
      <c r="AV5" s="148" t="str">
        <f ca="1">CONCATENATE("Km - Lavoro anno ",YEAR(TODAY()))</f>
        <v>Km - Lavoro anno 2026</v>
      </c>
      <c r="AW5" s="1373">
        <f>SUM(AF517:AF976)</f>
        <v>3881.9999999999995</v>
      </c>
      <c r="AX5" s="1373" t="s">
        <v>1072</v>
      </c>
      <c r="AY5" s="145">
        <f>AVERAGEA(AJ117:AJ937)</f>
        <v>412.34999999999991</v>
      </c>
      <c r="AZ5" s="1373" t="s">
        <v>1073</v>
      </c>
      <c r="BA5" s="145">
        <f>AY5/7</f>
        <v>58.907142857142844</v>
      </c>
    </row>
    <row r="6" spans="2:53" ht="30" customHeight="1">
      <c r="C6" s="1374"/>
      <c r="F6" s="1374"/>
      <c r="H6" s="1493" t="s">
        <v>1074</v>
      </c>
      <c r="I6" s="1493"/>
      <c r="J6" s="149"/>
      <c r="K6" s="150">
        <f>BA4*$C$29</f>
        <v>192.49254321572997</v>
      </c>
      <c r="L6" s="147"/>
      <c r="AR6" s="1498" t="s">
        <v>1075</v>
      </c>
      <c r="AS6" s="1498"/>
      <c r="AT6" s="30">
        <f>AT4-AT5</f>
        <v>263.75</v>
      </c>
      <c r="AU6" s="1499" t="s">
        <v>1076</v>
      </c>
      <c r="AV6" s="1500"/>
      <c r="AW6" s="151">
        <f>SUM(AH517:AH877)</f>
        <v>6937.9300000000012</v>
      </c>
      <c r="AX6" s="1373" t="s">
        <v>1077</v>
      </c>
      <c r="AY6" s="145">
        <f>AVERAGEA(AK117:AK882)</f>
        <v>934.49142857142863</v>
      </c>
      <c r="AZ6" s="1373" t="s">
        <v>1078</v>
      </c>
      <c r="BA6" s="58">
        <f>AVERAGE(AL117:AL1102)</f>
        <v>903.55555555555554</v>
      </c>
    </row>
    <row r="7" spans="2:53" ht="28.5" customHeight="1">
      <c r="B7" s="11">
        <f>C2</f>
        <v>46296</v>
      </c>
      <c r="C7" s="40"/>
    </row>
    <row r="8" spans="2:53">
      <c r="B8" s="53" t="s">
        <v>1079</v>
      </c>
      <c r="C8" s="67" t="s">
        <v>1080</v>
      </c>
      <c r="D8" s="67" t="s">
        <v>1081</v>
      </c>
      <c r="E8" s="67" t="s">
        <v>1082</v>
      </c>
      <c r="F8" s="67" t="s">
        <v>1083</v>
      </c>
      <c r="G8" s="67" t="s">
        <v>1084</v>
      </c>
      <c r="H8" s="67" t="s">
        <v>1085</v>
      </c>
      <c r="I8" s="67" t="s">
        <v>1086</v>
      </c>
      <c r="K8" s="67" t="s">
        <v>1087</v>
      </c>
      <c r="L8" s="67" t="s">
        <v>1088</v>
      </c>
      <c r="M8" s="67" t="s">
        <v>1089</v>
      </c>
      <c r="N8" s="67" t="s">
        <v>1090</v>
      </c>
      <c r="O8" s="67" t="s">
        <v>1091</v>
      </c>
      <c r="P8" s="67" t="s">
        <v>1092</v>
      </c>
      <c r="Q8" s="67" t="s">
        <v>1093</v>
      </c>
      <c r="AG8" s="152"/>
      <c r="AH8" s="152"/>
      <c r="AI8" s="152"/>
      <c r="AJ8" s="152"/>
    </row>
    <row r="9" spans="2:53">
      <c r="B9" s="153" t="s">
        <v>1094</v>
      </c>
      <c r="C9" s="154">
        <f>D9/12</f>
        <v>297</v>
      </c>
      <c r="D9" s="154">
        <f>BILANCIO!C18</f>
        <v>3564</v>
      </c>
      <c r="E9" s="154">
        <f>F9/12</f>
        <v>297</v>
      </c>
      <c r="F9" s="154">
        <f>SUM(P23:P34)</f>
        <v>3564</v>
      </c>
      <c r="G9" s="154">
        <f>SUM(P35:P46)/12</f>
        <v>260.72916666666669</v>
      </c>
      <c r="H9" s="154">
        <f>SUM(P35:P46)</f>
        <v>3128.75</v>
      </c>
      <c r="I9" s="155">
        <f>SUM($P$47:$P$58)/COUNT(P47:P58)</f>
        <v>271.58333333333331</v>
      </c>
      <c r="K9" s="155">
        <f>I9*12</f>
        <v>3259</v>
      </c>
      <c r="L9" s="155">
        <f>SUM($P$59:$P$70)/COUNT(P59:P70)</f>
        <v>271.58333333333331</v>
      </c>
      <c r="M9" s="156">
        <f>L9*12</f>
        <v>3259</v>
      </c>
      <c r="N9" s="155">
        <f>SUM($P$71:$P$82)/COUNT(P71:P82)</f>
        <v>271.58333333333331</v>
      </c>
      <c r="O9" s="156">
        <f>N9*12</f>
        <v>3259</v>
      </c>
      <c r="P9" s="159">
        <f>SUM($P$83:$P$94)/COUNT(P83:P94)</f>
        <v>271.25</v>
      </c>
      <c r="Q9" s="156">
        <f>P9*12</f>
        <v>3255</v>
      </c>
    </row>
    <row r="10" spans="2:53">
      <c r="B10" s="153" t="s">
        <v>785</v>
      </c>
      <c r="C10" s="155">
        <f>AVERAGEA(BILANCIO!W60:AH60)</f>
        <v>139.33699999999999</v>
      </c>
      <c r="D10" s="154">
        <f>BILANCIO!C60</f>
        <v>1510.27</v>
      </c>
      <c r="E10" s="155">
        <f>AVERAGEA(BILANCIO!AI60:AT60)</f>
        <v>129.91666666666666</v>
      </c>
      <c r="F10" s="154">
        <f>SUM(L23:L34)</f>
        <v>1577.6</v>
      </c>
      <c r="G10" s="155">
        <f>H10/(COUNT(L35:L46))</f>
        <v>196.22083333333333</v>
      </c>
      <c r="H10" s="154">
        <f>SUM(L35:L46)</f>
        <v>2354.65</v>
      </c>
      <c r="I10" s="155">
        <f>SUM($L$47:$L$58)/COUNT(P47:P58)</f>
        <v>200.03333333333333</v>
      </c>
      <c r="K10" s="155">
        <f>I10*12</f>
        <v>2400.4</v>
      </c>
      <c r="L10" s="155">
        <f>SUM($L$59:$L$70)/12</f>
        <v>89.606666666666641</v>
      </c>
      <c r="M10" s="156">
        <f>L10*12</f>
        <v>1075.2799999999997</v>
      </c>
      <c r="N10" s="155">
        <f>SUM($L$71:$L$82)/12</f>
        <v>2.2383333333333333</v>
      </c>
      <c r="O10" s="156">
        <f>N10*12</f>
        <v>26.86</v>
      </c>
      <c r="P10" s="155">
        <f>SUM($L$83:$L$94)/12</f>
        <v>0</v>
      </c>
      <c r="Q10" s="156">
        <f>P10*12</f>
        <v>0</v>
      </c>
      <c r="AG10" s="89"/>
      <c r="AH10" s="89"/>
      <c r="AI10" s="89"/>
    </row>
    <row r="11" spans="2:53">
      <c r="B11" s="153" t="s">
        <v>1095</v>
      </c>
      <c r="C11" s="154">
        <f>D11/12</f>
        <v>19.084166666666665</v>
      </c>
      <c r="D11" s="710">
        <f>'Dettaglio Spese Generiche CC'!I2648</f>
        <v>229.01</v>
      </c>
      <c r="E11" s="154">
        <f>F11/12</f>
        <v>19.166666666666668</v>
      </c>
      <c r="F11" s="155">
        <v>230</v>
      </c>
      <c r="G11" s="154">
        <f>H11/12</f>
        <v>19.166666666666668</v>
      </c>
      <c r="H11" s="155">
        <f>SUM(Q35:Q46)</f>
        <v>230</v>
      </c>
      <c r="I11" s="155">
        <f>K11/12</f>
        <v>0</v>
      </c>
      <c r="K11" s="155">
        <f>SUM(Q47:Q58)</f>
        <v>0</v>
      </c>
      <c r="L11" s="155">
        <f>M11/12</f>
        <v>53.17499999999999</v>
      </c>
      <c r="M11" s="156">
        <f>SUM(Q59:Q70)</f>
        <v>638.09999999999991</v>
      </c>
      <c r="N11" s="155">
        <f>M11/12</f>
        <v>53.17499999999999</v>
      </c>
      <c r="O11" s="155">
        <f>SUM(Q71:Q82)</f>
        <v>327.71</v>
      </c>
      <c r="P11" s="155">
        <f>O11/12</f>
        <v>27.309166666666666</v>
      </c>
      <c r="Q11" s="155">
        <f>SUM(S83:S94)</f>
        <v>0</v>
      </c>
    </row>
    <row r="12" spans="2:53">
      <c r="B12" s="153" t="s">
        <v>786</v>
      </c>
      <c r="C12" s="154">
        <f>D12/12</f>
        <v>44.99083333333332</v>
      </c>
      <c r="D12" s="154">
        <f>BILANCIO!C19</f>
        <v>539.88999999999987</v>
      </c>
      <c r="E12" s="154">
        <f>F12/12</f>
        <v>44.324166666666663</v>
      </c>
      <c r="F12" s="155">
        <f>SUM(M23:M34)</f>
        <v>531.89</v>
      </c>
      <c r="G12" s="154">
        <f>H12/12</f>
        <v>49.111666666666672</v>
      </c>
      <c r="H12" s="154">
        <f>SUM(M35:M46)</f>
        <v>589.34</v>
      </c>
      <c r="I12" s="155">
        <f>K12/12</f>
        <v>31.666666666666668</v>
      </c>
      <c r="K12" s="710">
        <f>SUM(M47:M58)</f>
        <v>380</v>
      </c>
      <c r="L12" s="155">
        <f>K12/12</f>
        <v>31.666666666666668</v>
      </c>
      <c r="M12" s="156">
        <f>SUM(M59:M70)</f>
        <v>0</v>
      </c>
      <c r="N12" s="155">
        <f>M12/12</f>
        <v>0</v>
      </c>
      <c r="O12" s="155">
        <f>SUM(M71:M82)</f>
        <v>0</v>
      </c>
      <c r="P12" s="155">
        <f>O12/12</f>
        <v>0</v>
      </c>
      <c r="Q12" s="155">
        <f>SUM(O83:O94)</f>
        <v>1882.5</v>
      </c>
    </row>
    <row r="13" spans="2:53">
      <c r="B13" s="153" t="s">
        <v>1096</v>
      </c>
      <c r="C13" s="154">
        <f>D13/12</f>
        <v>25.833333333333332</v>
      </c>
      <c r="D13" s="154">
        <v>310</v>
      </c>
      <c r="E13" s="154">
        <f>F13/12</f>
        <v>0</v>
      </c>
      <c r="F13" s="154"/>
      <c r="G13" s="154">
        <f>H13/12</f>
        <v>25.833333333333332</v>
      </c>
      <c r="H13" s="711">
        <f>SUM(R35:R46)</f>
        <v>310</v>
      </c>
      <c r="I13" s="155">
        <f>K13/12</f>
        <v>39.166666666666664</v>
      </c>
      <c r="K13" s="155">
        <f>SUM(R47:R58)</f>
        <v>470</v>
      </c>
      <c r="L13" s="155">
        <f>M13/12</f>
        <v>21.666666666666668</v>
      </c>
      <c r="M13" s="156">
        <f>SUM(R59:R70)</f>
        <v>260</v>
      </c>
      <c r="N13" s="155">
        <f>O13/12</f>
        <v>0</v>
      </c>
      <c r="O13" s="155">
        <f>SUM(R71:R82)</f>
        <v>0</v>
      </c>
      <c r="P13" s="155">
        <f>Q13/12</f>
        <v>0</v>
      </c>
      <c r="Q13" s="155">
        <f>SUM(T83:T94)</f>
        <v>0</v>
      </c>
    </row>
    <row r="14" spans="2:53">
      <c r="B14" s="153" t="s">
        <v>1097</v>
      </c>
      <c r="C14" s="154"/>
      <c r="D14" s="154"/>
      <c r="E14" s="154">
        <f>F14/12</f>
        <v>2.6666666666666665</v>
      </c>
      <c r="F14" s="154">
        <f>SUM(S23:S34)</f>
        <v>32</v>
      </c>
      <c r="G14" s="154">
        <f>H14/12</f>
        <v>53.833333333333336</v>
      </c>
      <c r="H14" s="154">
        <f>SUM(S35:S46)</f>
        <v>646</v>
      </c>
      <c r="I14" s="155">
        <f>K14/12</f>
        <v>20.833333333333332</v>
      </c>
      <c r="K14" s="155">
        <f>SUM(S47:S58)</f>
        <v>250</v>
      </c>
      <c r="L14" s="155">
        <f>M14/12</f>
        <v>0</v>
      </c>
      <c r="M14" s="156">
        <f>SUM(S59:S70)</f>
        <v>0</v>
      </c>
      <c r="N14" s="155">
        <f>O14/12</f>
        <v>0</v>
      </c>
      <c r="O14" s="155">
        <f>SUM(S71:S82)</f>
        <v>0</v>
      </c>
      <c r="P14" s="155">
        <f>Q14/12</f>
        <v>0</v>
      </c>
      <c r="Q14" s="155">
        <f>SUM(U83:U94)</f>
        <v>0</v>
      </c>
    </row>
    <row r="15" spans="2:53">
      <c r="B15" s="57" t="s">
        <v>79</v>
      </c>
      <c r="C15" s="157">
        <f>SUM(C9:C13)</f>
        <v>526.24533333333329</v>
      </c>
      <c r="D15" s="154">
        <f>SUM(D9:D12)</f>
        <v>5843.17</v>
      </c>
      <c r="E15" s="157">
        <f>SUM(E9:E13)</f>
        <v>490.40749999999997</v>
      </c>
      <c r="F15" s="154">
        <f>SUM(F9:F14)</f>
        <v>5935.4900000000007</v>
      </c>
      <c r="G15" s="157">
        <f>SUM(G9:G14)</f>
        <v>604.8950000000001</v>
      </c>
      <c r="H15" s="154">
        <f>SUM(H9:H14)</f>
        <v>7258.74</v>
      </c>
      <c r="I15" s="158">
        <f>SUM(I9:J14)</f>
        <v>563.28333333333342</v>
      </c>
      <c r="K15" s="155">
        <f>SUM(K9:K14)</f>
        <v>6759.4</v>
      </c>
      <c r="L15" s="158">
        <f>SUM(L9:L14)</f>
        <v>467.69833333333332</v>
      </c>
      <c r="M15" s="156">
        <f>L15*12</f>
        <v>5612.38</v>
      </c>
      <c r="N15" s="158">
        <f>SUM(N9:N14)</f>
        <v>326.99666666666667</v>
      </c>
      <c r="O15" s="159">
        <f>N15*12</f>
        <v>3923.96</v>
      </c>
      <c r="P15" s="158">
        <f>SUM(P9:P14)</f>
        <v>298.55916666666667</v>
      </c>
      <c r="Q15" s="159">
        <f>P15*12</f>
        <v>3582.71</v>
      </c>
    </row>
    <row r="16" spans="2:53">
      <c r="B16" s="153" t="s">
        <v>1098</v>
      </c>
      <c r="C16" s="154"/>
      <c r="D16" s="154"/>
      <c r="E16" s="154">
        <f t="shared" ref="E16:F16" si="0">E15-C15</f>
        <v>-35.837833333333322</v>
      </c>
      <c r="F16" s="154">
        <f t="shared" si="0"/>
        <v>92.320000000000618</v>
      </c>
      <c r="G16" s="154">
        <f>G15-E15</f>
        <v>114.48750000000013</v>
      </c>
      <c r="H16" s="154">
        <f>H15-F15</f>
        <v>1323.2499999999991</v>
      </c>
      <c r="I16" s="155">
        <f>I15-G15</f>
        <v>-41.611666666666679</v>
      </c>
      <c r="K16" s="155">
        <f>K15-H15</f>
        <v>-499.34000000000015</v>
      </c>
      <c r="L16" s="155">
        <f>L15-I15</f>
        <v>-95.585000000000093</v>
      </c>
      <c r="M16" s="155">
        <f>M15-K15</f>
        <v>-1147.0199999999995</v>
      </c>
      <c r="N16" s="155">
        <f>N15-K15</f>
        <v>-6432.4033333333327</v>
      </c>
      <c r="O16" s="155">
        <f>O15-M15</f>
        <v>-1688.42</v>
      </c>
      <c r="P16" s="155">
        <f>P15-N15</f>
        <v>-28.4375</v>
      </c>
      <c r="Q16" s="155">
        <f>Q15-O15</f>
        <v>-341.25</v>
      </c>
    </row>
    <row r="17" spans="2:49" ht="74.25" customHeight="1">
      <c r="C17" s="78"/>
      <c r="F17" s="37"/>
      <c r="G17" s="37"/>
      <c r="H17" s="37"/>
      <c r="I17" s="37"/>
      <c r="J17" s="37"/>
      <c r="K17" s="37"/>
    </row>
    <row r="18" spans="2:49">
      <c r="C18" s="78"/>
      <c r="F18" s="37"/>
      <c r="G18" s="37"/>
      <c r="H18" s="37"/>
      <c r="I18" s="37"/>
      <c r="J18" s="37"/>
      <c r="K18" s="37"/>
    </row>
    <row r="19" spans="2:49">
      <c r="C19" s="78"/>
      <c r="F19" s="37"/>
      <c r="G19" s="37"/>
      <c r="H19" s="37"/>
      <c r="I19" s="37"/>
      <c r="J19" s="37"/>
      <c r="K19" s="37"/>
    </row>
    <row r="22" spans="2:49">
      <c r="C22" s="14" t="s">
        <v>71</v>
      </c>
      <c r="D22" s="14" t="s">
        <v>1099</v>
      </c>
      <c r="E22" s="14" t="s">
        <v>1100</v>
      </c>
      <c r="J22" s="22"/>
      <c r="K22" s="38" t="s">
        <v>1101</v>
      </c>
      <c r="L22" s="38" t="s">
        <v>1061</v>
      </c>
      <c r="M22" s="38" t="s">
        <v>1102</v>
      </c>
      <c r="N22" s="38" t="s">
        <v>1103</v>
      </c>
      <c r="O22" s="38" t="s">
        <v>1104</v>
      </c>
      <c r="P22" s="38" t="s">
        <v>79</v>
      </c>
      <c r="Q22" s="38" t="s">
        <v>1095</v>
      </c>
      <c r="R22" s="38" t="s">
        <v>1105</v>
      </c>
      <c r="S22" s="38" t="s">
        <v>1097</v>
      </c>
      <c r="T22" s="38" t="s">
        <v>79</v>
      </c>
      <c r="U22" s="38" t="s">
        <v>1106</v>
      </c>
    </row>
    <row r="23" spans="2:49">
      <c r="B23" s="9" t="s">
        <v>1107</v>
      </c>
      <c r="C23" s="160">
        <f>I15</f>
        <v>563.28333333333342</v>
      </c>
      <c r="D23" s="160">
        <f>C23/30</f>
        <v>18.776111111111113</v>
      </c>
      <c r="E23" s="160">
        <f>D23*7</f>
        <v>131.4327777777778</v>
      </c>
      <c r="H23" s="89"/>
      <c r="I23" s="1501" t="s">
        <v>847</v>
      </c>
      <c r="J23" s="161">
        <f>K23</f>
        <v>44197</v>
      </c>
      <c r="K23" s="85">
        <v>44197</v>
      </c>
      <c r="L23" s="21">
        <f>BILANCIO!AI60+BILANCIO!AI61</f>
        <v>117.63</v>
      </c>
      <c r="M23" s="21">
        <f>BILANCIO!AH19</f>
        <v>54.03</v>
      </c>
      <c r="N23" s="21"/>
      <c r="O23" s="21">
        <v>297</v>
      </c>
      <c r="P23" s="37">
        <f>N23+O23</f>
        <v>297</v>
      </c>
      <c r="Q23" s="21"/>
      <c r="R23" s="21"/>
      <c r="S23" s="21"/>
      <c r="T23" s="37">
        <f>SUM(L23,M23,P23,Q23,R23,S23)</f>
        <v>468.65999999999997</v>
      </c>
      <c r="U23" s="21">
        <f>L23+M23+Q23+R23+S23</f>
        <v>171.66</v>
      </c>
      <c r="AV23" s="9" t="s">
        <v>1108</v>
      </c>
    </row>
    <row r="24" spans="2:49">
      <c r="C24" s="160"/>
      <c r="D24" s="160"/>
      <c r="E24" s="160"/>
      <c r="H24" s="89"/>
      <c r="I24" s="1502"/>
      <c r="J24" s="137">
        <f t="shared" ref="J24:J87" si="1">K24</f>
        <v>44228</v>
      </c>
      <c r="K24" s="85">
        <v>44228</v>
      </c>
      <c r="L24" s="21">
        <f>BILANCIO!AJ60+BILANCIO!AJ61</f>
        <v>96.88000000000001</v>
      </c>
      <c r="M24" s="21">
        <f>BILANCIO!AI19</f>
        <v>0</v>
      </c>
      <c r="N24" s="21"/>
      <c r="O24" s="21">
        <v>297</v>
      </c>
      <c r="P24" s="37">
        <f t="shared" ref="P24:P37" si="2">N24+O24</f>
        <v>297</v>
      </c>
      <c r="Q24" s="21"/>
      <c r="R24" s="21"/>
      <c r="S24" s="21"/>
      <c r="T24" s="37">
        <f t="shared" ref="T24:T45" si="3">SUM(L24,M24,P24,Q24,R24,S24)</f>
        <v>393.88</v>
      </c>
      <c r="U24" s="21">
        <f t="shared" ref="U24:U45" si="4">L24+M24+Q24+R24+S24</f>
        <v>96.88000000000001</v>
      </c>
      <c r="X24" s="38" t="s">
        <v>1109</v>
      </c>
      <c r="Y24" s="38" t="s">
        <v>1110</v>
      </c>
      <c r="Z24" s="162" t="s">
        <v>1111</v>
      </c>
      <c r="AA24" s="38" t="s">
        <v>1112</v>
      </c>
      <c r="AB24" s="38" t="s">
        <v>1113</v>
      </c>
      <c r="AC24" s="38" t="s">
        <v>1114</v>
      </c>
      <c r="AD24" s="38" t="s">
        <v>1115</v>
      </c>
      <c r="AE24" s="38"/>
      <c r="AF24" s="163" t="s">
        <v>1116</v>
      </c>
      <c r="AG24" s="38" t="s">
        <v>1117</v>
      </c>
      <c r="AH24" s="38" t="s">
        <v>1118</v>
      </c>
      <c r="AI24" s="38" t="s">
        <v>1119</v>
      </c>
      <c r="AJ24" s="38" t="s">
        <v>1120</v>
      </c>
      <c r="AK24" s="38" t="s">
        <v>1121</v>
      </c>
      <c r="AL24" s="38" t="s">
        <v>1122</v>
      </c>
      <c r="AM24" s="38" t="s">
        <v>1123</v>
      </c>
      <c r="AN24" s="164" t="s">
        <v>1069</v>
      </c>
      <c r="AO24" s="164" t="s">
        <v>1069</v>
      </c>
      <c r="AP24" s="18" t="s">
        <v>1124</v>
      </c>
      <c r="AQ24" s="18" t="s">
        <v>1125</v>
      </c>
      <c r="AR24" s="18"/>
      <c r="AS24" s="18" t="s">
        <v>1126</v>
      </c>
      <c r="AT24" s="18" t="s">
        <v>1127</v>
      </c>
      <c r="AU24" s="18" t="s">
        <v>1128</v>
      </c>
      <c r="AV24" s="18" t="s">
        <v>1123</v>
      </c>
      <c r="AW24" s="9" t="s">
        <v>1129</v>
      </c>
    </row>
    <row r="25" spans="2:49">
      <c r="C25" s="9" t="s">
        <v>1130</v>
      </c>
      <c r="D25" s="9" t="s">
        <v>1131</v>
      </c>
      <c r="H25" s="89"/>
      <c r="I25" s="1502"/>
      <c r="J25" s="137">
        <f t="shared" si="1"/>
        <v>44256</v>
      </c>
      <c r="K25" s="85">
        <v>44256</v>
      </c>
      <c r="L25" s="21">
        <f>BILANCIO!AK60+BILANCIO!AK61</f>
        <v>91.87</v>
      </c>
      <c r="M25" s="21">
        <f>BILANCIO!AJ19</f>
        <v>108.06</v>
      </c>
      <c r="N25" s="21"/>
      <c r="O25" s="21">
        <v>297</v>
      </c>
      <c r="P25" s="37">
        <f t="shared" si="2"/>
        <v>297</v>
      </c>
      <c r="Q25" s="21"/>
      <c r="R25" s="21"/>
      <c r="S25" s="21">
        <v>32</v>
      </c>
      <c r="T25" s="37">
        <f t="shared" si="3"/>
        <v>528.93000000000006</v>
      </c>
      <c r="U25" s="21">
        <f t="shared" si="4"/>
        <v>231.93</v>
      </c>
      <c r="W25" s="9" t="str">
        <f ca="1">IF(X25=TODAY(),1,"")</f>
        <v/>
      </c>
      <c r="X25" s="40">
        <v>44800</v>
      </c>
      <c r="Y25" s="93">
        <f>MONTH(X25)</f>
        <v>8</v>
      </c>
      <c r="Z25" s="44" t="s">
        <v>1132</v>
      </c>
      <c r="AA25" s="97">
        <v>25</v>
      </c>
      <c r="AB25" s="97">
        <v>0.62</v>
      </c>
      <c r="AC25" s="97">
        <v>1.7789999999999999</v>
      </c>
      <c r="AD25" s="165">
        <f>AA25/AC25</f>
        <v>14.05283867341203</v>
      </c>
      <c r="AE25" s="89"/>
      <c r="AF25" s="26"/>
      <c r="AG25" s="9">
        <f>(3.1*2)+(2.4*2)+14.8+14.9+34.4+(1.6*2)</f>
        <v>78.3</v>
      </c>
      <c r="AH25" s="9">
        <f>AF25+AG25</f>
        <v>78.3</v>
      </c>
      <c r="AI25" s="9">
        <f>AH25</f>
        <v>78.3</v>
      </c>
      <c r="AJ25" s="14"/>
      <c r="AK25" s="14"/>
      <c r="AL25" s="14"/>
      <c r="AM25" s="14"/>
      <c r="AN25" s="166"/>
      <c r="AO25" s="166"/>
      <c r="AP25" s="14"/>
      <c r="AQ25" s="14"/>
    </row>
    <row r="26" spans="2:49">
      <c r="B26" s="9" t="s">
        <v>1133</v>
      </c>
      <c r="C26" s="167">
        <v>1.5229999999999999</v>
      </c>
      <c r="D26" s="167">
        <v>1.7989999999999999</v>
      </c>
      <c r="H26" s="89"/>
      <c r="I26" s="1502"/>
      <c r="J26" s="137">
        <f t="shared" si="1"/>
        <v>44287</v>
      </c>
      <c r="K26" s="85">
        <v>44287</v>
      </c>
      <c r="L26" s="21">
        <f>BILANCIO!AL60+BILANCIO!AL61</f>
        <v>96.910000000000011</v>
      </c>
      <c r="M26" s="21">
        <f>BILANCIO!AK19</f>
        <v>54.53</v>
      </c>
      <c r="N26" s="21"/>
      <c r="O26" s="21">
        <v>297</v>
      </c>
      <c r="P26" s="37">
        <f t="shared" si="2"/>
        <v>297</v>
      </c>
      <c r="Q26" s="21"/>
      <c r="R26" s="21"/>
      <c r="S26" s="21"/>
      <c r="T26" s="37">
        <f t="shared" si="3"/>
        <v>448.44</v>
      </c>
      <c r="U26" s="21">
        <f t="shared" si="4"/>
        <v>151.44</v>
      </c>
      <c r="W26" s="9" t="str">
        <f t="shared" ref="W26:W89" ca="1" si="5">IF(X26=TODAY(),1,"")</f>
        <v/>
      </c>
      <c r="X26" s="40">
        <v>44801</v>
      </c>
      <c r="Y26" s="168">
        <f t="shared" ref="Y26:Y89" si="6">MONTH(X26)</f>
        <v>8</v>
      </c>
      <c r="Z26" s="44" t="s">
        <v>1134</v>
      </c>
      <c r="AA26" s="21">
        <v>0</v>
      </c>
      <c r="AB26" s="21"/>
      <c r="AC26" s="21"/>
      <c r="AF26" s="26"/>
      <c r="AG26" s="9">
        <f>(2.4*2)+(2.1*2)+(15.1*2)</f>
        <v>39.200000000000003</v>
      </c>
      <c r="AH26" s="9">
        <f>AF26+AG26</f>
        <v>39.200000000000003</v>
      </c>
      <c r="AI26" s="9">
        <f>AI25+AH26</f>
        <v>117.5</v>
      </c>
      <c r="AJ26" s="14"/>
      <c r="AK26" s="14"/>
      <c r="AL26" s="14"/>
      <c r="AM26" s="14"/>
      <c r="AN26" s="166"/>
      <c r="AO26" s="166"/>
      <c r="AP26" s="14"/>
      <c r="AQ26" s="14"/>
    </row>
    <row r="27" spans="2:49">
      <c r="B27" s="9" t="s">
        <v>1135</v>
      </c>
      <c r="C27" s="169"/>
      <c r="D27" s="167"/>
      <c r="E27" s="15"/>
      <c r="H27" s="89"/>
      <c r="I27" s="1502"/>
      <c r="J27" s="137">
        <f t="shared" si="1"/>
        <v>44317</v>
      </c>
      <c r="K27" s="85">
        <v>44317</v>
      </c>
      <c r="L27" s="21">
        <f>BILANCIO!AM60+BILANCIO!AM61</f>
        <v>66.279999999999987</v>
      </c>
      <c r="M27" s="21">
        <f>BILANCIO!AL19</f>
        <v>54.62</v>
      </c>
      <c r="N27" s="21"/>
      <c r="O27" s="21">
        <v>297</v>
      </c>
      <c r="P27" s="37">
        <f t="shared" si="2"/>
        <v>297</v>
      </c>
      <c r="Q27" s="21"/>
      <c r="R27" s="21"/>
      <c r="S27" s="21"/>
      <c r="T27" s="37">
        <f t="shared" si="3"/>
        <v>417.9</v>
      </c>
      <c r="U27" s="21">
        <f t="shared" si="4"/>
        <v>120.89999999999998</v>
      </c>
      <c r="W27" s="9" t="str">
        <f t="shared" ca="1" si="5"/>
        <v/>
      </c>
      <c r="X27" s="40">
        <v>44802</v>
      </c>
      <c r="Y27" s="168">
        <f t="shared" si="6"/>
        <v>8</v>
      </c>
      <c r="Z27" s="44" t="s">
        <v>1136</v>
      </c>
      <c r="AA27" s="97">
        <v>15</v>
      </c>
      <c r="AB27" s="97">
        <v>0.62</v>
      </c>
      <c r="AC27" s="97">
        <v>1.829</v>
      </c>
      <c r="AD27" s="165">
        <f>AA27/AC27</f>
        <v>8.201202843083653</v>
      </c>
      <c r="AE27" s="89"/>
      <c r="AF27" s="26">
        <f>27.2</f>
        <v>27.2</v>
      </c>
      <c r="AG27" s="9">
        <f>39.1+13.5</f>
        <v>52.6</v>
      </c>
      <c r="AH27" s="9">
        <f>AF27+AG27</f>
        <v>79.8</v>
      </c>
      <c r="AI27" s="9">
        <f t="shared" ref="AI27:AI90" si="7">AI26+AH27</f>
        <v>197.3</v>
      </c>
      <c r="AJ27" s="14"/>
      <c r="AK27" s="14"/>
      <c r="AL27" s="14"/>
      <c r="AM27" s="14"/>
      <c r="AN27" s="166"/>
      <c r="AO27" s="166"/>
      <c r="AP27" s="14"/>
      <c r="AQ27" s="14"/>
    </row>
    <row r="28" spans="2:49">
      <c r="B28" s="9" t="s">
        <v>1137</v>
      </c>
      <c r="C28" s="169"/>
      <c r="D28" s="170">
        <v>0.62</v>
      </c>
      <c r="H28" s="89"/>
      <c r="I28" s="1502"/>
      <c r="J28" s="137">
        <f t="shared" si="1"/>
        <v>44348</v>
      </c>
      <c r="K28" s="85">
        <v>44348</v>
      </c>
      <c r="L28" s="21">
        <f>BILANCIO!AN60+BILANCIO!AN61</f>
        <v>66.25</v>
      </c>
      <c r="M28" s="21">
        <f>BILANCIO!AM$19</f>
        <v>0</v>
      </c>
      <c r="N28" s="21"/>
      <c r="O28" s="21">
        <v>297</v>
      </c>
      <c r="P28" s="37">
        <f t="shared" si="2"/>
        <v>297</v>
      </c>
      <c r="Q28" s="21"/>
      <c r="R28" s="21"/>
      <c r="S28" s="21"/>
      <c r="T28" s="37">
        <f t="shared" si="3"/>
        <v>363.25</v>
      </c>
      <c r="U28" s="21">
        <f t="shared" si="4"/>
        <v>66.25</v>
      </c>
      <c r="W28" s="9" t="str">
        <f t="shared" ca="1" si="5"/>
        <v/>
      </c>
      <c r="X28" s="40">
        <v>44803</v>
      </c>
      <c r="Y28" s="168">
        <f t="shared" si="6"/>
        <v>8</v>
      </c>
      <c r="Z28" s="44" t="s">
        <v>1138</v>
      </c>
      <c r="AA28" s="21">
        <v>0</v>
      </c>
      <c r="AB28" s="21"/>
      <c r="AC28" s="21"/>
      <c r="AF28" s="26">
        <f>27.2*2</f>
        <v>54.4</v>
      </c>
      <c r="AG28" s="9">
        <f>(9.3*2)+(15.8*2)</f>
        <v>50.2</v>
      </c>
      <c r="AH28" s="9">
        <f>AF28+AG28</f>
        <v>104.6</v>
      </c>
      <c r="AI28" s="9">
        <f t="shared" si="7"/>
        <v>301.89999999999998</v>
      </c>
      <c r="AJ28" s="14"/>
      <c r="AK28" s="14"/>
      <c r="AL28" s="14"/>
      <c r="AM28" s="14"/>
      <c r="AN28" s="166"/>
      <c r="AO28" s="166"/>
      <c r="AP28" s="14"/>
      <c r="AQ28" s="14"/>
    </row>
    <row r="29" spans="2:49">
      <c r="B29" s="9" t="s">
        <v>1139</v>
      </c>
      <c r="C29" s="170">
        <f>C26-C28</f>
        <v>1.5229999999999999</v>
      </c>
      <c r="D29" s="170">
        <f>D26-D27</f>
        <v>1.7989999999999999</v>
      </c>
      <c r="E29" s="171"/>
      <c r="H29" s="89"/>
      <c r="I29" s="1502"/>
      <c r="J29" s="137">
        <f t="shared" si="1"/>
        <v>44378</v>
      </c>
      <c r="K29" s="85">
        <v>44378</v>
      </c>
      <c r="L29" s="21">
        <f>BILANCIO!AO60+BILANCIO!AO61</f>
        <v>214.72</v>
      </c>
      <c r="M29" s="21">
        <f>BILANCIO!AN$19</f>
        <v>0</v>
      </c>
      <c r="N29" s="21"/>
      <c r="O29" s="21">
        <v>297</v>
      </c>
      <c r="P29" s="37">
        <f t="shared" si="2"/>
        <v>297</v>
      </c>
      <c r="Q29" s="21"/>
      <c r="R29" s="21"/>
      <c r="S29" s="21"/>
      <c r="T29" s="37">
        <f t="shared" si="3"/>
        <v>511.72</v>
      </c>
      <c r="U29" s="21">
        <f t="shared" si="4"/>
        <v>214.72</v>
      </c>
      <c r="W29" s="9" t="str">
        <f t="shared" ca="1" si="5"/>
        <v/>
      </c>
      <c r="X29" s="40">
        <v>44804</v>
      </c>
      <c r="Y29" s="168">
        <f t="shared" si="6"/>
        <v>8</v>
      </c>
      <c r="Z29" s="44" t="s">
        <v>1140</v>
      </c>
      <c r="AA29" s="21">
        <v>0</v>
      </c>
      <c r="AB29" s="21"/>
      <c r="AC29" s="21"/>
      <c r="AF29" s="26">
        <v>27.2</v>
      </c>
      <c r="AG29" s="9">
        <f>16.7+14.3</f>
        <v>31</v>
      </c>
      <c r="AH29" s="9">
        <f t="shared" ref="AH29:AH59" si="8">AF29+AG29</f>
        <v>58.2</v>
      </c>
      <c r="AI29" s="9">
        <f t="shared" si="7"/>
        <v>360.09999999999997</v>
      </c>
      <c r="AJ29" s="168"/>
      <c r="AK29" s="14"/>
      <c r="AL29" s="14"/>
      <c r="AM29" s="14"/>
      <c r="AN29" s="166"/>
      <c r="AO29" s="166"/>
      <c r="AP29" s="14"/>
      <c r="AQ29" s="14"/>
    </row>
    <row r="30" spans="2:49">
      <c r="B30" s="9" t="s">
        <v>1141</v>
      </c>
      <c r="C30" s="15">
        <v>60</v>
      </c>
      <c r="D30" s="15">
        <v>60</v>
      </c>
      <c r="E30" s="9" t="s">
        <v>1142</v>
      </c>
      <c r="H30" s="89"/>
      <c r="I30" s="1502"/>
      <c r="J30" s="137">
        <f t="shared" si="1"/>
        <v>44409</v>
      </c>
      <c r="K30" s="85">
        <v>44409</v>
      </c>
      <c r="L30" s="21">
        <f>BILANCIO!AP60+BILANCIO!AP61</f>
        <v>84.62</v>
      </c>
      <c r="M30" s="21">
        <f>BILANCIO!AO$19</f>
        <v>52.13</v>
      </c>
      <c r="N30" s="21"/>
      <c r="O30" s="21">
        <v>297</v>
      </c>
      <c r="P30" s="37">
        <f t="shared" si="2"/>
        <v>297</v>
      </c>
      <c r="Q30" s="21"/>
      <c r="R30" s="21"/>
      <c r="S30" s="21"/>
      <c r="T30" s="37">
        <f t="shared" si="3"/>
        <v>433.75</v>
      </c>
      <c r="U30" s="21">
        <f t="shared" si="4"/>
        <v>136.75</v>
      </c>
      <c r="W30" s="9" t="str">
        <f t="shared" ca="1" si="5"/>
        <v/>
      </c>
      <c r="X30" s="40">
        <v>44805</v>
      </c>
      <c r="Y30" s="168">
        <f t="shared" si="6"/>
        <v>9</v>
      </c>
      <c r="Z30" s="44" t="s">
        <v>1143</v>
      </c>
      <c r="AA30" s="21">
        <v>0</v>
      </c>
      <c r="AB30" s="21"/>
      <c r="AC30" s="21"/>
      <c r="AF30" s="26"/>
      <c r="AG30" s="9">
        <f>27.2+8.6</f>
        <v>35.799999999999997</v>
      </c>
      <c r="AH30" s="9">
        <f t="shared" si="8"/>
        <v>35.799999999999997</v>
      </c>
      <c r="AI30" s="9">
        <f t="shared" si="7"/>
        <v>395.9</v>
      </c>
      <c r="AJ30" s="168">
        <f>SUM(AH25:AH30)</f>
        <v>395.9</v>
      </c>
      <c r="AK30" s="130">
        <f>SUM(AD25:AD30)</f>
        <v>22.254041516495683</v>
      </c>
      <c r="AL30" s="130">
        <f>AJ30/AK30</f>
        <v>17.790027025272749</v>
      </c>
      <c r="AM30" s="130">
        <f>100/AL30</f>
        <v>5.6211269301580415</v>
      </c>
      <c r="AN30" s="172"/>
      <c r="AO30" s="172"/>
      <c r="AP30" s="130"/>
      <c r="AQ30" s="130"/>
    </row>
    <row r="31" spans="2:49">
      <c r="B31" s="9" t="s">
        <v>1144</v>
      </c>
      <c r="C31" s="72">
        <f>C29*C30</f>
        <v>91.38</v>
      </c>
      <c r="D31" s="72">
        <f>D29*D30</f>
        <v>107.94</v>
      </c>
      <c r="E31" s="72">
        <f>D31-C31</f>
        <v>16.560000000000002</v>
      </c>
      <c r="H31" s="89"/>
      <c r="I31" s="1502"/>
      <c r="J31" s="137">
        <f t="shared" si="1"/>
        <v>44440</v>
      </c>
      <c r="K31" s="85">
        <v>44440</v>
      </c>
      <c r="L31" s="21">
        <f>BILANCIO!AQ60+BILANCIO!AQ61</f>
        <v>204.18</v>
      </c>
      <c r="M31" s="21">
        <f>BILANCIO!AP$19</f>
        <v>52.13</v>
      </c>
      <c r="N31" s="21"/>
      <c r="O31" s="21">
        <v>297</v>
      </c>
      <c r="P31" s="37">
        <f t="shared" si="2"/>
        <v>297</v>
      </c>
      <c r="Q31" s="21"/>
      <c r="R31" s="21"/>
      <c r="S31" s="21"/>
      <c r="T31" s="37">
        <f t="shared" si="3"/>
        <v>553.30999999999995</v>
      </c>
      <c r="U31" s="21">
        <f t="shared" si="4"/>
        <v>256.31</v>
      </c>
      <c r="W31" s="9" t="str">
        <f t="shared" ca="1" si="5"/>
        <v/>
      </c>
      <c r="X31" s="40">
        <v>44806</v>
      </c>
      <c r="Y31" s="168">
        <f t="shared" si="6"/>
        <v>9</v>
      </c>
      <c r="Z31" s="44" t="s">
        <v>1145</v>
      </c>
      <c r="AA31" s="97">
        <v>40</v>
      </c>
      <c r="AB31" s="97">
        <v>0.62</v>
      </c>
      <c r="AC31" s="97">
        <v>1.829</v>
      </c>
      <c r="AD31" s="165">
        <f>AA31/AC31</f>
        <v>21.869874248223073</v>
      </c>
      <c r="AF31" s="26">
        <f>27.2*2+17.7</f>
        <v>72.099999999999994</v>
      </c>
      <c r="AG31" s="9">
        <f>(2.4*2)</f>
        <v>4.8</v>
      </c>
      <c r="AH31" s="9">
        <f t="shared" si="8"/>
        <v>76.899999999999991</v>
      </c>
      <c r="AI31" s="9">
        <f t="shared" si="7"/>
        <v>472.79999999999995</v>
      </c>
      <c r="AJ31" s="168"/>
      <c r="AK31" s="14"/>
      <c r="AL31" s="130"/>
      <c r="AM31" s="130"/>
      <c r="AN31" s="172"/>
      <c r="AO31" s="172"/>
      <c r="AP31" s="130"/>
      <c r="AQ31" s="130"/>
    </row>
    <row r="32" spans="2:49">
      <c r="B32" s="9" t="s">
        <v>1146</v>
      </c>
      <c r="C32" s="93">
        <f>30.9*2</f>
        <v>61.8</v>
      </c>
      <c r="D32" s="94">
        <f>4</f>
        <v>4</v>
      </c>
      <c r="H32" s="89"/>
      <c r="I32" s="1502"/>
      <c r="J32" s="137">
        <f t="shared" si="1"/>
        <v>44470</v>
      </c>
      <c r="K32" s="85">
        <v>44470</v>
      </c>
      <c r="L32" s="21">
        <f>BILANCIO!AR60+BILANCIO!AR61</f>
        <v>214.45000000000002</v>
      </c>
      <c r="M32" s="21">
        <f>BILANCIO!AQ$19</f>
        <v>52.13</v>
      </c>
      <c r="N32" s="21"/>
      <c r="O32" s="21">
        <v>297</v>
      </c>
      <c r="P32" s="37">
        <f t="shared" si="2"/>
        <v>297</v>
      </c>
      <c r="Q32" s="21"/>
      <c r="R32" s="21"/>
      <c r="S32" s="21"/>
      <c r="T32" s="37">
        <f t="shared" si="3"/>
        <v>563.58000000000004</v>
      </c>
      <c r="U32" s="21">
        <f t="shared" si="4"/>
        <v>266.58000000000004</v>
      </c>
      <c r="W32" s="9" t="str">
        <f t="shared" ca="1" si="5"/>
        <v/>
      </c>
      <c r="X32" s="40">
        <v>44807</v>
      </c>
      <c r="Y32" s="168">
        <f t="shared" si="6"/>
        <v>9</v>
      </c>
      <c r="Z32" s="44" t="s">
        <v>1132</v>
      </c>
      <c r="AA32" s="21">
        <v>0</v>
      </c>
      <c r="AB32" s="21"/>
      <c r="AC32" s="21"/>
      <c r="AF32" s="26"/>
      <c r="AG32" s="9">
        <f>2.4*2+1.9+2.6+3.2+2.9+3.8+2.9</f>
        <v>22.099999999999998</v>
      </c>
      <c r="AH32" s="9">
        <f t="shared" si="8"/>
        <v>22.099999999999998</v>
      </c>
      <c r="AI32" s="9">
        <f t="shared" si="7"/>
        <v>494.9</v>
      </c>
      <c r="AJ32" s="168"/>
      <c r="AK32" s="14"/>
      <c r="AL32" s="130"/>
      <c r="AM32" s="130"/>
      <c r="AN32" s="172"/>
      <c r="AO32" s="172"/>
      <c r="AP32" s="130"/>
      <c r="AQ32" s="130"/>
    </row>
    <row r="33" spans="2:48">
      <c r="B33" s="9" t="s">
        <v>1147</v>
      </c>
      <c r="C33" s="37">
        <f>($C$32/$E$63)*C29</f>
        <v>5.8284198968811047</v>
      </c>
      <c r="D33" s="37">
        <f>($D$32/$E$63)*D29</f>
        <v>0.44560864562104296</v>
      </c>
      <c r="E33" s="1373" t="s">
        <v>1148</v>
      </c>
      <c r="H33" s="89"/>
      <c r="I33" s="1502"/>
      <c r="J33" s="137">
        <f t="shared" si="1"/>
        <v>44501</v>
      </c>
      <c r="K33" s="85">
        <v>44501</v>
      </c>
      <c r="L33" s="28">
        <f>BILANCIO!AS60+BILANCIO!AS61</f>
        <v>150.67999999999998</v>
      </c>
      <c r="M33" s="28">
        <f>BILANCIO!AR$19</f>
        <v>52.13</v>
      </c>
      <c r="N33" s="28"/>
      <c r="O33" s="28">
        <v>297</v>
      </c>
      <c r="P33" s="37">
        <f t="shared" si="2"/>
        <v>297</v>
      </c>
      <c r="Q33" s="28"/>
      <c r="R33" s="28"/>
      <c r="S33" s="28"/>
      <c r="T33" s="37">
        <f t="shared" si="3"/>
        <v>499.80999999999995</v>
      </c>
      <c r="U33" s="21">
        <f t="shared" si="4"/>
        <v>202.80999999999997</v>
      </c>
      <c r="W33" s="9" t="str">
        <f t="shared" ca="1" si="5"/>
        <v/>
      </c>
      <c r="X33" s="40">
        <v>44808</v>
      </c>
      <c r="Y33" s="168">
        <f t="shared" si="6"/>
        <v>9</v>
      </c>
      <c r="Z33" s="44" t="s">
        <v>1134</v>
      </c>
      <c r="AA33" s="21">
        <v>0</v>
      </c>
      <c r="AB33" s="21"/>
      <c r="AC33" s="21"/>
      <c r="AF33" s="26"/>
      <c r="AG33" s="9">
        <f>2.4*2+(15.1*2)+50</f>
        <v>85</v>
      </c>
      <c r="AH33" s="9">
        <f t="shared" si="8"/>
        <v>85</v>
      </c>
      <c r="AI33" s="9">
        <f t="shared" si="7"/>
        <v>579.9</v>
      </c>
      <c r="AJ33" s="168"/>
      <c r="AK33" s="14"/>
      <c r="AL33" s="130"/>
      <c r="AM33" s="130"/>
      <c r="AN33" s="172"/>
      <c r="AO33" s="172"/>
      <c r="AP33" s="130"/>
      <c r="AQ33" s="130"/>
    </row>
    <row r="34" spans="2:48">
      <c r="B34" s="9" t="s">
        <v>79</v>
      </c>
      <c r="C34" s="173">
        <f>C31+C33</f>
        <v>97.208419896881097</v>
      </c>
      <c r="D34" s="173">
        <f>D31+D33+D28</f>
        <v>109.00560864562105</v>
      </c>
      <c r="E34" s="174">
        <f>C34-D34</f>
        <v>-11.797188748739956</v>
      </c>
      <c r="H34" s="89"/>
      <c r="I34" s="1502"/>
      <c r="J34" s="137">
        <f t="shared" si="1"/>
        <v>44531</v>
      </c>
      <c r="K34" s="86">
        <v>44531</v>
      </c>
      <c r="L34" s="68">
        <f>BILANCIO!AT60+BILANCIO!AT61</f>
        <v>173.13</v>
      </c>
      <c r="M34" s="68">
        <f>BILANCIO!AS$19</f>
        <v>52.13</v>
      </c>
      <c r="N34" s="68"/>
      <c r="O34" s="68">
        <v>297</v>
      </c>
      <c r="P34" s="50">
        <f t="shared" si="2"/>
        <v>297</v>
      </c>
      <c r="Q34" s="68"/>
      <c r="R34" s="68"/>
      <c r="S34" s="68"/>
      <c r="T34" s="50">
        <f t="shared" si="3"/>
        <v>522.26</v>
      </c>
      <c r="U34" s="21">
        <f t="shared" si="4"/>
        <v>225.26</v>
      </c>
      <c r="W34" s="9" t="str">
        <f t="shared" ca="1" si="5"/>
        <v/>
      </c>
      <c r="X34" s="40">
        <v>44809</v>
      </c>
      <c r="Y34" s="168">
        <f t="shared" si="6"/>
        <v>9</v>
      </c>
      <c r="Z34" s="44" t="s">
        <v>1136</v>
      </c>
      <c r="AA34" s="21">
        <v>0</v>
      </c>
      <c r="AB34" s="21"/>
      <c r="AC34" s="21"/>
      <c r="AF34" s="26">
        <f>27.2*2</f>
        <v>54.4</v>
      </c>
      <c r="AG34" s="9">
        <f>2.4*2</f>
        <v>4.8</v>
      </c>
      <c r="AH34" s="9">
        <f t="shared" si="8"/>
        <v>59.199999999999996</v>
      </c>
      <c r="AI34" s="9">
        <f t="shared" si="7"/>
        <v>639.1</v>
      </c>
      <c r="AJ34" s="168"/>
      <c r="AK34" s="14"/>
      <c r="AL34" s="130"/>
      <c r="AM34" s="130"/>
      <c r="AN34" s="172"/>
      <c r="AO34" s="172"/>
      <c r="AP34" s="130"/>
      <c r="AQ34" s="130"/>
    </row>
    <row r="35" spans="2:48">
      <c r="H35" s="89"/>
      <c r="I35" s="1502"/>
      <c r="J35" s="137">
        <f t="shared" si="1"/>
        <v>44562</v>
      </c>
      <c r="K35" s="85">
        <v>44562</v>
      </c>
      <c r="L35" s="21">
        <f>BILANCIO!AU60+BILANCIO!AU61</f>
        <v>202.34000000000003</v>
      </c>
      <c r="M35" s="21">
        <f>BILANCIO!AT$19</f>
        <v>55.73</v>
      </c>
      <c r="N35" s="21"/>
      <c r="O35" s="21">
        <v>297</v>
      </c>
      <c r="P35" s="37">
        <f t="shared" si="2"/>
        <v>297</v>
      </c>
      <c r="Q35" s="21"/>
      <c r="R35" s="21"/>
      <c r="S35" s="21">
        <v>25</v>
      </c>
      <c r="T35" s="37">
        <f t="shared" si="3"/>
        <v>580.07000000000005</v>
      </c>
      <c r="U35" s="21">
        <f t="shared" si="4"/>
        <v>283.07000000000005</v>
      </c>
      <c r="W35" s="9" t="str">
        <f t="shared" ca="1" si="5"/>
        <v/>
      </c>
      <c r="X35" s="40">
        <v>44810</v>
      </c>
      <c r="Y35" s="168">
        <f t="shared" si="6"/>
        <v>9</v>
      </c>
      <c r="Z35" s="44" t="s">
        <v>1138</v>
      </c>
      <c r="AA35" s="21">
        <v>0</v>
      </c>
      <c r="AB35" s="21"/>
      <c r="AC35" s="21"/>
      <c r="AF35" s="26">
        <f>(27.2*2)</f>
        <v>54.4</v>
      </c>
      <c r="AG35" s="9">
        <f>9.3*2</f>
        <v>18.600000000000001</v>
      </c>
      <c r="AH35" s="9">
        <f t="shared" si="8"/>
        <v>73</v>
      </c>
      <c r="AI35" s="9">
        <f t="shared" si="7"/>
        <v>712.1</v>
      </c>
      <c r="AJ35" s="168"/>
      <c r="AK35" s="14"/>
      <c r="AL35" s="130"/>
      <c r="AM35" s="130"/>
      <c r="AN35" s="172"/>
      <c r="AO35" s="172"/>
      <c r="AP35" s="130"/>
      <c r="AQ35" s="130"/>
    </row>
    <row r="36" spans="2:48">
      <c r="C36" s="57" t="s">
        <v>1149</v>
      </c>
      <c r="D36" s="57" t="s">
        <v>1150</v>
      </c>
      <c r="E36" s="57" t="s">
        <v>1151</v>
      </c>
      <c r="F36" s="57" t="s">
        <v>1152</v>
      </c>
      <c r="G36" s="83" t="s">
        <v>1153</v>
      </c>
      <c r="H36" s="89"/>
      <c r="I36" s="1502"/>
      <c r="J36" s="137">
        <f t="shared" si="1"/>
        <v>44593</v>
      </c>
      <c r="K36" s="85">
        <v>44593</v>
      </c>
      <c r="L36" s="28">
        <f>BILANCIO!AV60+BILANCIO!AV61+83.41</f>
        <v>256.58999999999997</v>
      </c>
      <c r="M36" s="28">
        <f>BILANCIO!AU$19</f>
        <v>52.13</v>
      </c>
      <c r="N36" s="28"/>
      <c r="O36" s="28">
        <v>202.25</v>
      </c>
      <c r="P36" s="37">
        <f t="shared" si="2"/>
        <v>202.25</v>
      </c>
      <c r="Q36" s="28">
        <v>230</v>
      </c>
      <c r="R36" s="28">
        <v>310</v>
      </c>
      <c r="S36" s="28"/>
      <c r="T36" s="37">
        <f t="shared" si="3"/>
        <v>1050.97</v>
      </c>
      <c r="U36" s="21">
        <f t="shared" si="4"/>
        <v>848.72</v>
      </c>
      <c r="W36" s="9" t="str">
        <f t="shared" ca="1" si="5"/>
        <v/>
      </c>
      <c r="X36" s="40">
        <v>44811</v>
      </c>
      <c r="Y36" s="168">
        <f t="shared" si="6"/>
        <v>9</v>
      </c>
      <c r="Z36" s="44" t="s">
        <v>1140</v>
      </c>
      <c r="AA36" s="21">
        <v>0</v>
      </c>
      <c r="AB36" s="21"/>
      <c r="AC36" s="21"/>
      <c r="AD36" s="89"/>
      <c r="AF36" s="26">
        <f>27.2+8.6</f>
        <v>35.799999999999997</v>
      </c>
      <c r="AG36" s="9">
        <f>3.9*2</f>
        <v>7.8</v>
      </c>
      <c r="AH36" s="9">
        <f t="shared" si="8"/>
        <v>43.599999999999994</v>
      </c>
      <c r="AI36" s="9">
        <f t="shared" si="7"/>
        <v>755.7</v>
      </c>
      <c r="AJ36" s="168">
        <f>SUM(AH31:AH36)</f>
        <v>359.79999999999995</v>
      </c>
      <c r="AK36" s="130">
        <f>SUM(AD31:AD35)</f>
        <v>21.869874248223073</v>
      </c>
      <c r="AL36" s="130">
        <f>AJ36/AK36</f>
        <v>16.451854999999998</v>
      </c>
      <c r="AM36" s="130">
        <f>100/AL36</f>
        <v>6.0783419255761739</v>
      </c>
      <c r="AN36" s="172"/>
      <c r="AO36" s="172"/>
      <c r="AP36" s="130"/>
      <c r="AQ36" s="130"/>
      <c r="AR36" s="9">
        <f>411-AJ36</f>
        <v>51.200000000000045</v>
      </c>
      <c r="AS36" s="9">
        <v>173265</v>
      </c>
    </row>
    <row r="37" spans="2:48" ht="15.75" thickBot="1">
      <c r="C37" s="59">
        <v>115</v>
      </c>
      <c r="D37" s="151">
        <f t="shared" ref="D37:D58" si="9">C37/$D$29</f>
        <v>63.924402445803224</v>
      </c>
      <c r="E37" s="151">
        <f t="shared" ref="E37:E58" si="10">(C37/$C$29)</f>
        <v>75.50886408404466</v>
      </c>
      <c r="F37" s="151">
        <f t="shared" ref="F37:F58" si="11">D37/$C$68</f>
        <v>11.052540530844446</v>
      </c>
      <c r="G37" s="58">
        <f>30/F37</f>
        <v>2.714308073901984</v>
      </c>
      <c r="H37" s="89"/>
      <c r="I37" s="1503"/>
      <c r="J37" s="175">
        <f t="shared" si="1"/>
        <v>44621</v>
      </c>
      <c r="K37" s="176">
        <v>44621</v>
      </c>
      <c r="L37" s="177">
        <f>BILANCIO!AW60+BILANCIO!AW61</f>
        <v>220.56</v>
      </c>
      <c r="M37" s="177">
        <f>BILANCIO!AV$19</f>
        <v>52.13</v>
      </c>
      <c r="N37" s="177"/>
      <c r="O37" s="177">
        <v>188.25</v>
      </c>
      <c r="P37" s="178">
        <f t="shared" si="2"/>
        <v>188.25</v>
      </c>
      <c r="Q37" s="177"/>
      <c r="R37" s="177"/>
      <c r="S37" s="177"/>
      <c r="T37" s="178">
        <f t="shared" si="3"/>
        <v>460.94</v>
      </c>
      <c r="U37" s="177">
        <f t="shared" si="4"/>
        <v>272.69</v>
      </c>
      <c r="W37" s="9" t="str">
        <f t="shared" ca="1" si="5"/>
        <v/>
      </c>
      <c r="X37" s="40">
        <v>44812</v>
      </c>
      <c r="Y37" s="168">
        <f t="shared" si="6"/>
        <v>9</v>
      </c>
      <c r="Z37" s="44" t="s">
        <v>1143</v>
      </c>
      <c r="AA37" s="97">
        <v>50</v>
      </c>
      <c r="AB37" s="97">
        <v>0.62</v>
      </c>
      <c r="AC37" s="97">
        <v>1.819</v>
      </c>
      <c r="AD37" s="165">
        <f>AA37/AC37</f>
        <v>27.487630566245191</v>
      </c>
      <c r="AF37" s="26">
        <f>27.2+17.7+14.6+18.1</f>
        <v>77.599999999999994</v>
      </c>
      <c r="AG37" s="9">
        <f>2.4*2</f>
        <v>4.8</v>
      </c>
      <c r="AH37" s="9">
        <f t="shared" si="8"/>
        <v>82.399999999999991</v>
      </c>
      <c r="AI37" s="9">
        <f t="shared" si="7"/>
        <v>838.1</v>
      </c>
      <c r="AJ37" s="168"/>
      <c r="AK37" s="14"/>
      <c r="AL37" s="130"/>
      <c r="AM37" s="130"/>
      <c r="AN37" s="172"/>
      <c r="AO37" s="172"/>
      <c r="AP37" s="130"/>
      <c r="AQ37" s="130"/>
    </row>
    <row r="38" spans="2:48">
      <c r="C38" s="59">
        <v>110</v>
      </c>
      <c r="D38" s="151">
        <f t="shared" si="9"/>
        <v>61.145080600333522</v>
      </c>
      <c r="E38" s="151">
        <f t="shared" si="10"/>
        <v>72.225869993434017</v>
      </c>
      <c r="F38" s="151">
        <f t="shared" si="11"/>
        <v>10.57199529037295</v>
      </c>
      <c r="G38" s="58">
        <f t="shared" ref="G38:G40" si="12">30/F38</f>
        <v>2.837685713624801</v>
      </c>
      <c r="H38" s="89"/>
      <c r="I38" s="1508" t="s">
        <v>852</v>
      </c>
      <c r="J38" s="137">
        <f t="shared" si="1"/>
        <v>44652</v>
      </c>
      <c r="K38" s="85">
        <v>44652</v>
      </c>
      <c r="L38" s="21">
        <f>BILANCIO!AX60+BILANCIO!AX61</f>
        <v>308.55</v>
      </c>
      <c r="M38" s="21">
        <f>BILANCIO!AW$19</f>
        <v>52.13</v>
      </c>
      <c r="N38" s="21">
        <f t="shared" ref="N38:N69" si="13">IF($B$7&gt;=J38,83,"")</f>
        <v>83</v>
      </c>
      <c r="O38" s="21">
        <f t="shared" ref="O38:O69" si="14">IF($B$7&gt;=J38,188.25,"")</f>
        <v>188.25</v>
      </c>
      <c r="P38" s="37">
        <f t="shared" ref="P38:P46" si="15">IFERROR(N38+O38,"")</f>
        <v>271.25</v>
      </c>
      <c r="Q38" s="21"/>
      <c r="R38" s="21"/>
      <c r="S38" s="21">
        <v>450</v>
      </c>
      <c r="T38" s="37">
        <f t="shared" si="3"/>
        <v>1081.93</v>
      </c>
      <c r="U38" s="21">
        <f t="shared" si="4"/>
        <v>810.68000000000006</v>
      </c>
      <c r="W38" s="9" t="str">
        <f t="shared" ca="1" si="5"/>
        <v/>
      </c>
      <c r="X38" s="40">
        <v>44813</v>
      </c>
      <c r="Y38" s="168">
        <f t="shared" si="6"/>
        <v>9</v>
      </c>
      <c r="Z38" s="44" t="s">
        <v>1145</v>
      </c>
      <c r="AA38" s="21">
        <v>0</v>
      </c>
      <c r="AB38" s="21"/>
      <c r="AC38" s="21"/>
      <c r="AF38" s="26">
        <f>(27.2*2)</f>
        <v>54.4</v>
      </c>
      <c r="AG38" s="9">
        <f>2.4*2</f>
        <v>4.8</v>
      </c>
      <c r="AH38" s="9">
        <f t="shared" si="8"/>
        <v>59.199999999999996</v>
      </c>
      <c r="AI38" s="9">
        <f t="shared" si="7"/>
        <v>897.30000000000007</v>
      </c>
      <c r="AJ38" s="168"/>
      <c r="AK38" s="14"/>
      <c r="AL38" s="130"/>
      <c r="AM38" s="130"/>
      <c r="AN38" s="172"/>
      <c r="AO38" s="172"/>
      <c r="AP38" s="130"/>
      <c r="AQ38" s="130"/>
    </row>
    <row r="39" spans="2:48">
      <c r="C39" s="59">
        <v>105</v>
      </c>
      <c r="D39" s="151">
        <f t="shared" si="9"/>
        <v>58.365758754863812</v>
      </c>
      <c r="E39" s="151">
        <f t="shared" si="10"/>
        <v>68.942875902823374</v>
      </c>
      <c r="F39" s="151">
        <f t="shared" si="11"/>
        <v>10.09145004990145</v>
      </c>
      <c r="G39" s="58">
        <f t="shared" si="12"/>
        <v>2.9728136047497919</v>
      </c>
      <c r="H39" s="89"/>
      <c r="I39" s="1502"/>
      <c r="J39" s="137">
        <f t="shared" si="1"/>
        <v>44682</v>
      </c>
      <c r="K39" s="85">
        <v>44682</v>
      </c>
      <c r="L39" s="21">
        <f>BILANCIO!AY60+BILANCIO!AY61</f>
        <v>269.43999999999994</v>
      </c>
      <c r="M39" s="21">
        <f>BILANCIO!AX$19</f>
        <v>52.22</v>
      </c>
      <c r="N39" s="21">
        <f t="shared" si="13"/>
        <v>83</v>
      </c>
      <c r="O39" s="21">
        <f t="shared" si="14"/>
        <v>188.25</v>
      </c>
      <c r="P39" s="37">
        <f t="shared" si="15"/>
        <v>271.25</v>
      </c>
      <c r="Q39" s="21"/>
      <c r="R39" s="21"/>
      <c r="S39" s="21"/>
      <c r="T39" s="37">
        <f t="shared" si="3"/>
        <v>592.91</v>
      </c>
      <c r="U39" s="21">
        <f t="shared" si="4"/>
        <v>321.65999999999997</v>
      </c>
      <c r="W39" s="9" t="str">
        <f t="shared" ca="1" si="5"/>
        <v/>
      </c>
      <c r="X39" s="40">
        <v>44814</v>
      </c>
      <c r="Y39" s="168">
        <f t="shared" si="6"/>
        <v>9</v>
      </c>
      <c r="Z39" s="44" t="s">
        <v>1132</v>
      </c>
      <c r="AA39" s="21">
        <v>0</v>
      </c>
      <c r="AB39" s="21"/>
      <c r="AC39" s="21"/>
      <c r="AF39" s="26"/>
      <c r="AG39" s="9">
        <f>2.4*2+(5.2*2)</f>
        <v>15.2</v>
      </c>
      <c r="AH39" s="9">
        <f t="shared" si="8"/>
        <v>15.2</v>
      </c>
      <c r="AI39" s="9">
        <f t="shared" si="7"/>
        <v>912.50000000000011</v>
      </c>
      <c r="AJ39" s="168"/>
      <c r="AK39" s="14"/>
      <c r="AL39" s="130"/>
      <c r="AM39" s="130"/>
      <c r="AN39" s="172"/>
      <c r="AO39" s="172"/>
      <c r="AP39" s="130"/>
      <c r="AQ39" s="130"/>
    </row>
    <row r="40" spans="2:48">
      <c r="C40" s="59">
        <v>100</v>
      </c>
      <c r="D40" s="151">
        <f t="shared" si="9"/>
        <v>55.586436909394109</v>
      </c>
      <c r="E40" s="151">
        <f t="shared" si="10"/>
        <v>65.659881812212745</v>
      </c>
      <c r="F40" s="151">
        <f t="shared" si="11"/>
        <v>9.6109048094299538</v>
      </c>
      <c r="G40" s="58">
        <f t="shared" si="12"/>
        <v>3.1214542849872813</v>
      </c>
      <c r="H40" s="89"/>
      <c r="I40" s="1502"/>
      <c r="J40" s="137">
        <f t="shared" si="1"/>
        <v>44713</v>
      </c>
      <c r="K40" s="85">
        <v>44713</v>
      </c>
      <c r="L40" s="21">
        <f>BILANCIO!AZ60+BILANCIO!AZ61</f>
        <v>301.97999999999996</v>
      </c>
      <c r="M40" s="21">
        <f>BILANCIO!AY$19</f>
        <v>0</v>
      </c>
      <c r="N40" s="21">
        <f t="shared" si="13"/>
        <v>83</v>
      </c>
      <c r="O40" s="21">
        <f t="shared" si="14"/>
        <v>188.25</v>
      </c>
      <c r="P40" s="37">
        <f t="shared" si="15"/>
        <v>271.25</v>
      </c>
      <c r="Q40" s="21"/>
      <c r="R40" s="21"/>
      <c r="S40" s="21"/>
      <c r="T40" s="37">
        <f t="shared" si="3"/>
        <v>573.23</v>
      </c>
      <c r="U40" s="21">
        <f t="shared" si="4"/>
        <v>301.97999999999996</v>
      </c>
      <c r="W40" s="9" t="str">
        <f t="shared" ca="1" si="5"/>
        <v/>
      </c>
      <c r="X40" s="40">
        <v>44815</v>
      </c>
      <c r="Y40" s="168">
        <f t="shared" si="6"/>
        <v>9</v>
      </c>
      <c r="Z40" s="44" t="s">
        <v>1134</v>
      </c>
      <c r="AA40" s="21">
        <v>0</v>
      </c>
      <c r="AB40" s="21"/>
      <c r="AC40" s="21"/>
      <c r="AF40" s="26"/>
      <c r="AG40" s="9">
        <f>2.4*2+15.1*2+3.2*2</f>
        <v>41.4</v>
      </c>
      <c r="AH40" s="9">
        <f t="shared" si="8"/>
        <v>41.4</v>
      </c>
      <c r="AI40" s="9">
        <f t="shared" si="7"/>
        <v>953.90000000000009</v>
      </c>
      <c r="AJ40" s="168"/>
      <c r="AK40" s="14"/>
      <c r="AL40" s="130"/>
      <c r="AM40" s="130"/>
      <c r="AN40" s="172"/>
      <c r="AO40" s="172"/>
      <c r="AP40" s="130"/>
      <c r="AQ40" s="130"/>
    </row>
    <row r="41" spans="2:48">
      <c r="C41" s="59">
        <v>95</v>
      </c>
      <c r="D41" s="151">
        <f t="shared" si="9"/>
        <v>52.807115063924407</v>
      </c>
      <c r="E41" s="151">
        <f t="shared" si="10"/>
        <v>62.376887721602102</v>
      </c>
      <c r="F41" s="151">
        <f t="shared" si="11"/>
        <v>9.1303595689584558</v>
      </c>
      <c r="G41" s="58">
        <f t="shared" ref="G41:G42" si="16">30/F41</f>
        <v>3.2857413526181909</v>
      </c>
      <c r="H41" s="89"/>
      <c r="I41" s="1502"/>
      <c r="J41" s="137">
        <f t="shared" si="1"/>
        <v>44743</v>
      </c>
      <c r="K41" s="85">
        <v>44743</v>
      </c>
      <c r="L41" s="21">
        <f>BILANCIO!BA60+BILANCIO!BA61</f>
        <v>210.1</v>
      </c>
      <c r="M41" s="21">
        <v>325</v>
      </c>
      <c r="N41" s="21">
        <f t="shared" si="13"/>
        <v>83</v>
      </c>
      <c r="O41" s="21">
        <f t="shared" si="14"/>
        <v>188.25</v>
      </c>
      <c r="P41" s="37">
        <f t="shared" si="15"/>
        <v>271.25</v>
      </c>
      <c r="Q41" s="21"/>
      <c r="R41" s="21"/>
      <c r="S41" s="21"/>
      <c r="T41" s="37">
        <f t="shared" si="3"/>
        <v>806.35</v>
      </c>
      <c r="U41" s="21">
        <f t="shared" si="4"/>
        <v>535.1</v>
      </c>
      <c r="W41" s="9" t="str">
        <f t="shared" ca="1" si="5"/>
        <v/>
      </c>
      <c r="X41" s="40">
        <v>44816</v>
      </c>
      <c r="Y41" s="168">
        <f t="shared" si="6"/>
        <v>9</v>
      </c>
      <c r="Z41" s="44" t="s">
        <v>1136</v>
      </c>
      <c r="AA41" s="21">
        <v>0</v>
      </c>
      <c r="AB41" s="21"/>
      <c r="AC41" s="21"/>
      <c r="AF41" s="26">
        <f>(27.2*2)</f>
        <v>54.4</v>
      </c>
      <c r="AG41" s="9">
        <f>9.8+9.2+11.7</f>
        <v>30.7</v>
      </c>
      <c r="AH41" s="9">
        <f t="shared" si="8"/>
        <v>85.1</v>
      </c>
      <c r="AI41" s="9">
        <f t="shared" si="7"/>
        <v>1039</v>
      </c>
      <c r="AJ41" s="168"/>
      <c r="AK41" s="14"/>
      <c r="AL41" s="130"/>
      <c r="AM41" s="130"/>
      <c r="AN41" s="172"/>
      <c r="AO41" s="172"/>
      <c r="AP41" s="130"/>
      <c r="AQ41" s="130"/>
    </row>
    <row r="42" spans="2:48">
      <c r="C42" s="59">
        <v>90</v>
      </c>
      <c r="D42" s="151">
        <f t="shared" si="9"/>
        <v>50.027793218454697</v>
      </c>
      <c r="E42" s="151">
        <f t="shared" si="10"/>
        <v>59.093893630991467</v>
      </c>
      <c r="F42" s="151">
        <f t="shared" si="11"/>
        <v>8.6498143284869577</v>
      </c>
      <c r="G42" s="58">
        <f t="shared" si="16"/>
        <v>3.4682825388747571</v>
      </c>
      <c r="H42" s="89"/>
      <c r="I42" s="1502"/>
      <c r="J42" s="137">
        <f t="shared" si="1"/>
        <v>44774</v>
      </c>
      <c r="K42" s="85">
        <v>44774</v>
      </c>
      <c r="L42" s="21">
        <f>BILANCIO!BB60+BILANCIO!BB61</f>
        <v>102.56</v>
      </c>
      <c r="M42" s="21">
        <v>0</v>
      </c>
      <c r="N42" s="21">
        <f t="shared" si="13"/>
        <v>83</v>
      </c>
      <c r="O42" s="21">
        <f t="shared" si="14"/>
        <v>188.25</v>
      </c>
      <c r="P42" s="37">
        <f t="shared" si="15"/>
        <v>271.25</v>
      </c>
      <c r="Q42" s="21"/>
      <c r="R42" s="21"/>
      <c r="S42" s="21">
        <v>79</v>
      </c>
      <c r="T42" s="37">
        <f t="shared" si="3"/>
        <v>452.81</v>
      </c>
      <c r="U42" s="21">
        <f t="shared" si="4"/>
        <v>181.56</v>
      </c>
      <c r="W42" s="9" t="str">
        <f t="shared" ca="1" si="5"/>
        <v/>
      </c>
      <c r="X42" s="40">
        <v>44817</v>
      </c>
      <c r="Y42" s="168">
        <f t="shared" si="6"/>
        <v>9</v>
      </c>
      <c r="Z42" s="44" t="s">
        <v>1138</v>
      </c>
      <c r="AA42" s="21">
        <v>0</v>
      </c>
      <c r="AB42" s="21"/>
      <c r="AC42" s="21"/>
      <c r="AF42" s="26">
        <f>(27.2*2)</f>
        <v>54.4</v>
      </c>
      <c r="AG42" s="9">
        <f>2.4*2</f>
        <v>4.8</v>
      </c>
      <c r="AH42" s="9">
        <f t="shared" si="8"/>
        <v>59.199999999999996</v>
      </c>
      <c r="AI42" s="9">
        <f t="shared" si="7"/>
        <v>1098.2</v>
      </c>
      <c r="AJ42" s="168">
        <f>SUM(AH36:AH42)</f>
        <v>386.09999999999997</v>
      </c>
      <c r="AK42" s="130">
        <f>SUM(AD36:AD40)</f>
        <v>27.487630566245191</v>
      </c>
      <c r="AL42" s="130">
        <f>AJ42/AK42</f>
        <v>14.046317999999998</v>
      </c>
      <c r="AM42" s="130">
        <f>100/AL42</f>
        <v>7.1193034359609415</v>
      </c>
      <c r="AN42" s="172"/>
      <c r="AO42" s="172"/>
      <c r="AP42" s="130"/>
      <c r="AQ42" s="130"/>
      <c r="AR42" s="9">
        <v>84</v>
      </c>
      <c r="AS42" s="9">
        <v>173704</v>
      </c>
      <c r="AT42" s="9">
        <f>AS42-AS36+(AR42-AR36)</f>
        <v>471.79999999999995</v>
      </c>
      <c r="AU42" s="89">
        <f>AT42/AD37</f>
        <v>17.164083999999999</v>
      </c>
      <c r="AV42" s="9">
        <f>100/AU42</f>
        <v>5.8261192382885101</v>
      </c>
    </row>
    <row r="43" spans="2:48">
      <c r="C43" s="59">
        <v>85</v>
      </c>
      <c r="D43" s="151">
        <f t="shared" si="9"/>
        <v>47.248471372984994</v>
      </c>
      <c r="E43" s="151">
        <f t="shared" si="10"/>
        <v>55.810899540380831</v>
      </c>
      <c r="F43" s="151">
        <f t="shared" si="11"/>
        <v>8.1692690880154615</v>
      </c>
      <c r="G43" s="58">
        <f>30/F43</f>
        <v>3.6722991588085661</v>
      </c>
      <c r="H43" s="89"/>
      <c r="I43" s="1502"/>
      <c r="J43" s="137">
        <f t="shared" si="1"/>
        <v>44805</v>
      </c>
      <c r="K43" s="85">
        <v>44805</v>
      </c>
      <c r="L43" s="21">
        <f>BILANCIO!BC60+BILANCIO!BC61</f>
        <v>208.79</v>
      </c>
      <c r="M43" s="21">
        <v>0</v>
      </c>
      <c r="N43" s="21">
        <f t="shared" si="13"/>
        <v>83</v>
      </c>
      <c r="O43" s="21">
        <f t="shared" si="14"/>
        <v>188.25</v>
      </c>
      <c r="P43" s="37">
        <f t="shared" si="15"/>
        <v>271.25</v>
      </c>
      <c r="Q43" s="21"/>
      <c r="R43" s="21"/>
      <c r="S43" s="21"/>
      <c r="T43" s="37">
        <f>SUM(L43,M43,P43,Q43,R43,S43)</f>
        <v>480.03999999999996</v>
      </c>
      <c r="U43" s="21">
        <f t="shared" si="4"/>
        <v>208.79</v>
      </c>
      <c r="W43" s="9" t="str">
        <f t="shared" ca="1" si="5"/>
        <v/>
      </c>
      <c r="X43" s="40">
        <v>44818</v>
      </c>
      <c r="Y43" s="168">
        <f t="shared" si="6"/>
        <v>9</v>
      </c>
      <c r="Z43" s="44" t="s">
        <v>1140</v>
      </c>
      <c r="AA43" s="97">
        <f>60</f>
        <v>60</v>
      </c>
      <c r="AB43" s="97">
        <v>0.62</v>
      </c>
      <c r="AC43" s="97">
        <v>1.7989999999999999</v>
      </c>
      <c r="AD43" s="165">
        <f>AA43/AC43</f>
        <v>33.351862145636467</v>
      </c>
      <c r="AF43" s="26">
        <f>27.2</f>
        <v>27.2</v>
      </c>
      <c r="AG43" s="9">
        <f>372+371</f>
        <v>743</v>
      </c>
      <c r="AH43" s="9">
        <f t="shared" si="8"/>
        <v>770.2</v>
      </c>
      <c r="AI43" s="9">
        <f t="shared" si="7"/>
        <v>1868.4</v>
      </c>
      <c r="AJ43" s="168">
        <f>AH43</f>
        <v>770.2</v>
      </c>
      <c r="AK43" s="95">
        <f>(AD43+AD44-((AR43-AR42)/AV43))</f>
        <v>44.352508208833967</v>
      </c>
      <c r="AL43" s="130">
        <f>AJ43/AK43</f>
        <v>17.365421508373554</v>
      </c>
      <c r="AM43" s="130">
        <f>100/AL43</f>
        <v>5.7585702686099669</v>
      </c>
      <c r="AN43" s="172"/>
      <c r="AO43" s="172"/>
      <c r="AP43" s="130"/>
      <c r="AQ43" s="130"/>
      <c r="AR43" s="9">
        <v>120</v>
      </c>
      <c r="AS43" s="119">
        <f>AS42+AG43+27.2</f>
        <v>174474.2</v>
      </c>
      <c r="AT43" s="119">
        <f>AS43-AS42</f>
        <v>770.20000000001164</v>
      </c>
      <c r="AU43" s="89">
        <f>AT43/(AD43+AD44)</f>
        <v>15.432348132030475</v>
      </c>
      <c r="AV43" s="9">
        <f>100/AU43</f>
        <v>6.4798952916598527</v>
      </c>
    </row>
    <row r="44" spans="2:48">
      <c r="C44" s="59">
        <v>80</v>
      </c>
      <c r="D44" s="151">
        <f t="shared" si="9"/>
        <v>44.469149527515285</v>
      </c>
      <c r="E44" s="151">
        <f t="shared" si="10"/>
        <v>52.527905449770195</v>
      </c>
      <c r="F44" s="151">
        <f t="shared" si="11"/>
        <v>7.6887238475439625</v>
      </c>
      <c r="G44" s="58">
        <f t="shared" ref="G44:G51" si="17">30/F44</f>
        <v>3.9018178562341022</v>
      </c>
      <c r="H44" s="89"/>
      <c r="I44" s="1502"/>
      <c r="J44" s="137">
        <f t="shared" si="1"/>
        <v>44835</v>
      </c>
      <c r="K44" s="85">
        <v>44835</v>
      </c>
      <c r="L44" s="21">
        <f>BILANCIO!BD60+BILANCIO!BD61</f>
        <v>0</v>
      </c>
      <c r="M44" s="21">
        <v>0</v>
      </c>
      <c r="N44" s="21">
        <f t="shared" si="13"/>
        <v>83</v>
      </c>
      <c r="O44" s="21">
        <f t="shared" si="14"/>
        <v>188.25</v>
      </c>
      <c r="P44" s="37">
        <f t="shared" si="15"/>
        <v>271.25</v>
      </c>
      <c r="Q44" s="21"/>
      <c r="R44" s="21"/>
      <c r="S44" s="21">
        <v>92</v>
      </c>
      <c r="T44" s="37">
        <f t="shared" si="3"/>
        <v>363.25</v>
      </c>
      <c r="U44" s="21">
        <f t="shared" si="4"/>
        <v>92</v>
      </c>
      <c r="W44" s="9" t="str">
        <f t="shared" ca="1" si="5"/>
        <v/>
      </c>
      <c r="X44" s="40">
        <v>44819</v>
      </c>
      <c r="Y44" s="168">
        <f t="shared" si="6"/>
        <v>9</v>
      </c>
      <c r="Z44" s="44" t="s">
        <v>1143</v>
      </c>
      <c r="AA44" s="97">
        <v>30</v>
      </c>
      <c r="AB44" s="97">
        <v>0.62</v>
      </c>
      <c r="AC44" s="97">
        <v>1.8120000000000001</v>
      </c>
      <c r="AD44" s="165">
        <f>AA44/AC44</f>
        <v>16.556291390728475</v>
      </c>
      <c r="AF44" s="26">
        <f>(27.2*2)</f>
        <v>54.4</v>
      </c>
      <c r="AG44" s="9">
        <f>9.8*2</f>
        <v>19.600000000000001</v>
      </c>
      <c r="AH44" s="9">
        <f t="shared" si="8"/>
        <v>74</v>
      </c>
      <c r="AI44" s="9">
        <f t="shared" si="7"/>
        <v>1942.4</v>
      </c>
      <c r="AJ44" s="168">
        <v>844</v>
      </c>
      <c r="AK44" s="95">
        <f>(AD44+AD45+AD43-((AR44-AR42)/AV44))</f>
        <v>62.644037738309798</v>
      </c>
      <c r="AL44" s="130">
        <f>AJ44/AK44</f>
        <v>13.472950187625822</v>
      </c>
      <c r="AM44" s="130">
        <f>100/AL44</f>
        <v>7.4222793528803077</v>
      </c>
      <c r="AN44" s="172"/>
      <c r="AO44" s="172"/>
      <c r="AP44" s="130"/>
      <c r="AQ44" s="130"/>
      <c r="AR44" s="9">
        <v>58</v>
      </c>
      <c r="AS44" s="119">
        <f>AS43+AH44</f>
        <v>174548.2</v>
      </c>
      <c r="AT44" s="119">
        <f>AS44-AS42</f>
        <v>844.20000000001164</v>
      </c>
      <c r="AU44" s="89">
        <f>AT44/(AD44+AD43)</f>
        <v>16.915071790522084</v>
      </c>
      <c r="AV44" s="9">
        <f>100/AU44</f>
        <v>5.9118874125046501</v>
      </c>
    </row>
    <row r="45" spans="2:48">
      <c r="C45" s="59">
        <v>75</v>
      </c>
      <c r="D45" s="151">
        <f t="shared" si="9"/>
        <v>41.689827682045582</v>
      </c>
      <c r="E45" s="151">
        <f t="shared" si="10"/>
        <v>49.244911359159559</v>
      </c>
      <c r="F45" s="151">
        <f t="shared" si="11"/>
        <v>7.2081786070724654</v>
      </c>
      <c r="G45" s="58">
        <f t="shared" si="17"/>
        <v>4.1619390466497084</v>
      </c>
      <c r="H45" s="89"/>
      <c r="I45" s="1502"/>
      <c r="J45" s="137">
        <f t="shared" si="1"/>
        <v>44866</v>
      </c>
      <c r="K45" s="85">
        <v>44866</v>
      </c>
      <c r="L45" s="21">
        <f>BILANCIO!BE60+BILANCIO!BE61</f>
        <v>131.88</v>
      </c>
      <c r="M45" s="21">
        <v>0</v>
      </c>
      <c r="N45" s="21">
        <f t="shared" si="13"/>
        <v>83</v>
      </c>
      <c r="O45" s="21">
        <f t="shared" si="14"/>
        <v>188.25</v>
      </c>
      <c r="P45" s="37">
        <f t="shared" si="15"/>
        <v>271.25</v>
      </c>
      <c r="Q45" s="21"/>
      <c r="R45" s="21"/>
      <c r="S45" s="21"/>
      <c r="T45" s="37">
        <f t="shared" si="3"/>
        <v>403.13</v>
      </c>
      <c r="U45" s="21">
        <f t="shared" si="4"/>
        <v>131.88</v>
      </c>
      <c r="W45" s="9" t="str">
        <f t="shared" ca="1" si="5"/>
        <v/>
      </c>
      <c r="X45" s="40">
        <v>44820</v>
      </c>
      <c r="Y45" s="168">
        <f t="shared" si="6"/>
        <v>9</v>
      </c>
      <c r="Z45" s="44" t="s">
        <v>1145</v>
      </c>
      <c r="AA45" s="97">
        <v>15</v>
      </c>
      <c r="AB45" s="97">
        <v>0.62</v>
      </c>
      <c r="AC45" s="97">
        <v>1.7989999999999999</v>
      </c>
      <c r="AD45" s="165">
        <f>AA45/AC45</f>
        <v>8.3379655364091168</v>
      </c>
      <c r="AF45" s="26">
        <f>(27.2*2)</f>
        <v>54.4</v>
      </c>
      <c r="AG45" s="9">
        <f>(2.4*2)+(37.8*2)</f>
        <v>80.399999999999991</v>
      </c>
      <c r="AH45" s="9">
        <f t="shared" si="8"/>
        <v>134.79999999999998</v>
      </c>
      <c r="AI45" s="9">
        <f t="shared" si="7"/>
        <v>2077.2000000000003</v>
      </c>
      <c r="AJ45" s="14"/>
      <c r="AK45" s="14"/>
      <c r="AL45" s="14"/>
      <c r="AM45" s="14"/>
      <c r="AN45" s="166"/>
      <c r="AO45" s="166"/>
      <c r="AP45" s="14"/>
      <c r="AQ45" s="14"/>
    </row>
    <row r="46" spans="2:48">
      <c r="C46" s="59">
        <v>70</v>
      </c>
      <c r="D46" s="151">
        <f t="shared" si="9"/>
        <v>38.910505836575879</v>
      </c>
      <c r="E46" s="151">
        <f t="shared" si="10"/>
        <v>45.961917268548916</v>
      </c>
      <c r="F46" s="151">
        <f t="shared" si="11"/>
        <v>6.7276333666009682</v>
      </c>
      <c r="G46" s="58">
        <f t="shared" si="17"/>
        <v>4.459220407124687</v>
      </c>
      <c r="H46" s="89"/>
      <c r="I46" s="1502"/>
      <c r="J46" s="137">
        <f t="shared" si="1"/>
        <v>44896</v>
      </c>
      <c r="K46" s="86">
        <v>44896</v>
      </c>
      <c r="L46" s="68">
        <f>BILANCIO!BF60+BILANCIO!BF61</f>
        <v>141.86000000000001</v>
      </c>
      <c r="M46" s="68">
        <v>0</v>
      </c>
      <c r="N46" s="68">
        <f t="shared" si="13"/>
        <v>83</v>
      </c>
      <c r="O46" s="68">
        <f t="shared" si="14"/>
        <v>188.25</v>
      </c>
      <c r="P46" s="50">
        <f t="shared" si="15"/>
        <v>271.25</v>
      </c>
      <c r="Q46" s="68"/>
      <c r="R46" s="68"/>
      <c r="S46" s="68"/>
      <c r="T46" s="50">
        <f>IF(L46&lt;&gt;"",SUM(L46,M46,P46,Q46,R46,S46),"")</f>
        <v>413.11</v>
      </c>
      <c r="U46" s="68">
        <f>IF(L46&lt;&gt;"",SUM(L46,M46,Q46,R46,S46,S46),"")</f>
        <v>141.86000000000001</v>
      </c>
      <c r="W46" s="9" t="str">
        <f t="shared" ca="1" si="5"/>
        <v/>
      </c>
      <c r="X46" s="40">
        <v>44821</v>
      </c>
      <c r="Y46" s="168">
        <f t="shared" si="6"/>
        <v>9</v>
      </c>
      <c r="Z46" s="44" t="s">
        <v>1132</v>
      </c>
      <c r="AA46" s="97">
        <v>60</v>
      </c>
      <c r="AB46" s="21"/>
      <c r="AC46" s="97">
        <v>1.7989999999999999</v>
      </c>
      <c r="AD46" s="165">
        <f>AA46/AC46</f>
        <v>33.351862145636467</v>
      </c>
      <c r="AF46" s="26"/>
      <c r="AG46" s="9">
        <f>(2.4*2)+4.8+8.5+4.8</f>
        <v>22.900000000000002</v>
      </c>
      <c r="AH46" s="9">
        <f t="shared" si="8"/>
        <v>22.900000000000002</v>
      </c>
      <c r="AI46" s="9">
        <f t="shared" si="7"/>
        <v>2100.1000000000004</v>
      </c>
      <c r="AJ46" s="14"/>
      <c r="AK46" s="14"/>
      <c r="AL46" s="14"/>
      <c r="AM46" s="14"/>
      <c r="AN46" s="166"/>
      <c r="AO46" s="166"/>
      <c r="AP46" s="14"/>
      <c r="AQ46" s="14"/>
    </row>
    <row r="47" spans="2:48">
      <c r="C47" s="59">
        <v>65</v>
      </c>
      <c r="D47" s="151">
        <f t="shared" si="9"/>
        <v>36.13118399110617</v>
      </c>
      <c r="E47" s="151">
        <f t="shared" si="10"/>
        <v>42.67892317793828</v>
      </c>
      <c r="F47" s="151">
        <f t="shared" si="11"/>
        <v>6.2470881261294693</v>
      </c>
      <c r="G47" s="58">
        <f t="shared" si="17"/>
        <v>4.8022373615188947</v>
      </c>
      <c r="H47" s="89"/>
      <c r="I47" s="1502"/>
      <c r="J47" s="132">
        <f>K47</f>
        <v>44927</v>
      </c>
      <c r="K47" s="85">
        <v>44927</v>
      </c>
      <c r="L47" s="21">
        <f>BILANCIO!BG60+BILANCIO!BG61+'Spese Generiche BANCOMAT '!I186</f>
        <v>214.57000000000002</v>
      </c>
      <c r="M47" s="21">
        <v>0</v>
      </c>
      <c r="N47" s="21">
        <f t="shared" si="13"/>
        <v>83</v>
      </c>
      <c r="O47" s="21">
        <f t="shared" si="14"/>
        <v>188.25</v>
      </c>
      <c r="P47" s="37">
        <f>IFERROR(N47+O47,"")</f>
        <v>271.25</v>
      </c>
      <c r="T47" s="37">
        <f t="shared" ref="T47:T110" si="18">IF(L47&lt;&gt;"",SUM(L47,M47,P47,Q47,R47,S47),"")</f>
        <v>485.82000000000005</v>
      </c>
      <c r="U47" s="21">
        <f t="shared" ref="U47:U110" si="19">IF(L47&lt;&gt;"",SUM(L47,M47,Q47,R47,S47,S47),"")</f>
        <v>214.57000000000002</v>
      </c>
      <c r="W47" s="9" t="str">
        <f t="shared" ca="1" si="5"/>
        <v/>
      </c>
      <c r="X47" s="40">
        <v>44822</v>
      </c>
      <c r="Y47" s="168">
        <f t="shared" si="6"/>
        <v>9</v>
      </c>
      <c r="Z47" s="44" t="s">
        <v>1134</v>
      </c>
      <c r="AA47" s="21">
        <v>0</v>
      </c>
      <c r="AB47" s="21"/>
      <c r="AC47" s="21"/>
      <c r="AF47" s="26"/>
      <c r="AG47" s="88">
        <f>(15.1*2)+(2.4*2)</f>
        <v>35</v>
      </c>
      <c r="AH47" s="88">
        <f t="shared" si="8"/>
        <v>35</v>
      </c>
      <c r="AI47" s="88">
        <f t="shared" si="7"/>
        <v>2135.1000000000004</v>
      </c>
      <c r="AJ47" s="14"/>
      <c r="AK47" s="14"/>
      <c r="AL47" s="14"/>
      <c r="AM47" s="14"/>
      <c r="AN47" s="166"/>
      <c r="AO47" s="166"/>
      <c r="AP47" s="14"/>
      <c r="AQ47" s="14"/>
    </row>
    <row r="48" spans="2:48">
      <c r="C48" s="59">
        <v>60</v>
      </c>
      <c r="D48" s="151">
        <f t="shared" si="9"/>
        <v>33.351862145636467</v>
      </c>
      <c r="E48" s="151">
        <f t="shared" si="10"/>
        <v>39.395929087327644</v>
      </c>
      <c r="F48" s="151">
        <f t="shared" si="11"/>
        <v>5.7665428856579721</v>
      </c>
      <c r="G48" s="58">
        <f t="shared" si="17"/>
        <v>5.2024238083121359</v>
      </c>
      <c r="H48" s="89"/>
      <c r="I48" s="1502"/>
      <c r="J48" s="137">
        <f t="shared" si="1"/>
        <v>44958</v>
      </c>
      <c r="K48" s="85">
        <v>44958</v>
      </c>
      <c r="L48" s="21">
        <f>BILANCIO!BH60+BILANCIO!BH61</f>
        <v>219.92000000000002</v>
      </c>
      <c r="M48" s="21">
        <v>0</v>
      </c>
      <c r="N48" s="21">
        <f t="shared" si="13"/>
        <v>83</v>
      </c>
      <c r="O48" s="21">
        <f t="shared" si="14"/>
        <v>188.25</v>
      </c>
      <c r="P48" s="84">
        <f t="shared" ref="P48:P111" si="20">IFERROR(N48+O48,"")</f>
        <v>271.25</v>
      </c>
      <c r="T48" s="37">
        <f t="shared" si="18"/>
        <v>491.17</v>
      </c>
      <c r="U48" s="21">
        <f t="shared" si="19"/>
        <v>219.92000000000002</v>
      </c>
      <c r="W48" s="9" t="str">
        <f t="shared" ca="1" si="5"/>
        <v/>
      </c>
      <c r="X48" s="40">
        <v>44823</v>
      </c>
      <c r="Y48" s="168">
        <f t="shared" si="6"/>
        <v>9</v>
      </c>
      <c r="Z48" s="44" t="s">
        <v>1136</v>
      </c>
      <c r="AA48" s="21">
        <v>0</v>
      </c>
      <c r="AB48" s="21"/>
      <c r="AC48" s="21"/>
      <c r="AF48" s="26">
        <f>(27.2*2)</f>
        <v>54.4</v>
      </c>
      <c r="AG48" s="9">
        <f>9.8*2</f>
        <v>19.600000000000001</v>
      </c>
      <c r="AH48" s="9">
        <f t="shared" si="8"/>
        <v>74</v>
      </c>
      <c r="AI48" s="9">
        <f t="shared" si="7"/>
        <v>2209.1000000000004</v>
      </c>
      <c r="AJ48" s="14"/>
      <c r="AK48" s="14"/>
      <c r="AL48" s="14"/>
      <c r="AM48" s="14"/>
      <c r="AN48" s="166"/>
      <c r="AO48" s="166"/>
      <c r="AP48" s="14"/>
      <c r="AQ48" s="14"/>
    </row>
    <row r="49" spans="2:48">
      <c r="C49" s="59">
        <v>55</v>
      </c>
      <c r="D49" s="151">
        <f t="shared" si="9"/>
        <v>30.572540300166761</v>
      </c>
      <c r="E49" s="151">
        <f t="shared" si="10"/>
        <v>36.112934996717009</v>
      </c>
      <c r="F49" s="151">
        <f t="shared" si="11"/>
        <v>5.285997645186475</v>
      </c>
      <c r="G49" s="58">
        <f t="shared" si="17"/>
        <v>5.6753714272496021</v>
      </c>
      <c r="H49" s="89"/>
      <c r="I49" s="1502"/>
      <c r="J49" s="137">
        <f t="shared" si="1"/>
        <v>44986</v>
      </c>
      <c r="K49" s="85">
        <v>44986</v>
      </c>
      <c r="L49" s="21">
        <f>BILANCIO!BI60+BILANCIO!BI61</f>
        <v>175.01999999999998</v>
      </c>
      <c r="M49" s="21">
        <v>0</v>
      </c>
      <c r="N49" s="21">
        <f t="shared" si="13"/>
        <v>83</v>
      </c>
      <c r="O49" s="21">
        <f t="shared" si="14"/>
        <v>188.25</v>
      </c>
      <c r="P49" s="37">
        <f t="shared" si="20"/>
        <v>271.25</v>
      </c>
      <c r="T49" s="37">
        <f t="shared" si="18"/>
        <v>446.27</v>
      </c>
      <c r="U49" s="21">
        <f t="shared" si="19"/>
        <v>175.01999999999998</v>
      </c>
      <c r="W49" s="9" t="str">
        <f t="shared" ca="1" si="5"/>
        <v/>
      </c>
      <c r="X49" s="40">
        <v>44824</v>
      </c>
      <c r="Y49" s="168">
        <f t="shared" si="6"/>
        <v>9</v>
      </c>
      <c r="Z49" s="44" t="s">
        <v>1138</v>
      </c>
      <c r="AA49" s="21">
        <v>0</v>
      </c>
      <c r="AB49" s="21"/>
      <c r="AC49" s="21"/>
      <c r="AF49" s="26">
        <f>(27.2)</f>
        <v>27.2</v>
      </c>
      <c r="AH49" s="9">
        <f t="shared" si="8"/>
        <v>27.2</v>
      </c>
      <c r="AI49" s="9">
        <f t="shared" si="7"/>
        <v>2236.3000000000002</v>
      </c>
      <c r="AJ49" s="14"/>
      <c r="AK49" s="14"/>
      <c r="AL49" s="14"/>
      <c r="AM49" s="14"/>
      <c r="AN49" s="166"/>
      <c r="AO49" s="166"/>
      <c r="AP49" s="14"/>
      <c r="AQ49" s="14"/>
    </row>
    <row r="50" spans="2:48">
      <c r="C50" s="59">
        <v>50</v>
      </c>
      <c r="D50" s="151">
        <f t="shared" si="9"/>
        <v>27.793218454697055</v>
      </c>
      <c r="E50" s="151">
        <f t="shared" si="10"/>
        <v>32.829940906106373</v>
      </c>
      <c r="F50" s="151">
        <f t="shared" si="11"/>
        <v>4.8054524047149769</v>
      </c>
      <c r="G50" s="58">
        <f t="shared" si="17"/>
        <v>6.2429085699745626</v>
      </c>
      <c r="H50" s="89"/>
      <c r="I50" s="1502"/>
      <c r="J50" s="137">
        <f t="shared" si="1"/>
        <v>45017</v>
      </c>
      <c r="K50" s="85">
        <v>45017</v>
      </c>
      <c r="L50" s="21">
        <f>BILANCIO!BJ60+BILANCIO!BJ61</f>
        <v>203.64</v>
      </c>
      <c r="M50" s="21">
        <v>0</v>
      </c>
      <c r="N50" s="21">
        <f>IF($B$7&gt;=J50,82.5+2.5,"")</f>
        <v>85</v>
      </c>
      <c r="O50" s="21">
        <f>IF($B$7&gt;=J50,187.75+2.5,"")</f>
        <v>190.25</v>
      </c>
      <c r="P50" s="37">
        <f t="shared" si="20"/>
        <v>275.25</v>
      </c>
      <c r="Q50" s="21"/>
      <c r="T50" s="37">
        <f>IF(L50&lt;&gt;"",SUM(L50,M50,P50,Q50,R50,S51),"")</f>
        <v>728.89</v>
      </c>
      <c r="U50" s="21">
        <f t="shared" si="19"/>
        <v>203.64</v>
      </c>
      <c r="W50" s="9" t="str">
        <f t="shared" ca="1" si="5"/>
        <v/>
      </c>
      <c r="X50" s="40">
        <v>44825</v>
      </c>
      <c r="Y50" s="168">
        <f t="shared" si="6"/>
        <v>9</v>
      </c>
      <c r="Z50" s="44" t="s">
        <v>1140</v>
      </c>
      <c r="AA50" s="21">
        <v>0</v>
      </c>
      <c r="AB50" s="21"/>
      <c r="AC50" s="21"/>
      <c r="AD50" s="89"/>
      <c r="AF50" s="26"/>
      <c r="AH50" s="9">
        <f t="shared" si="8"/>
        <v>0</v>
      </c>
      <c r="AI50" s="9">
        <f t="shared" si="7"/>
        <v>2236.3000000000002</v>
      </c>
      <c r="AJ50" s="14"/>
      <c r="AK50" s="14"/>
      <c r="AL50" s="14"/>
      <c r="AM50" s="14"/>
      <c r="AN50" s="166"/>
      <c r="AO50" s="166"/>
      <c r="AP50" s="14"/>
      <c r="AQ50" s="14"/>
    </row>
    <row r="51" spans="2:48">
      <c r="C51" s="59">
        <v>45</v>
      </c>
      <c r="D51" s="151">
        <f t="shared" si="9"/>
        <v>25.013896609227348</v>
      </c>
      <c r="E51" s="151">
        <f t="shared" si="10"/>
        <v>29.546946815495733</v>
      </c>
      <c r="F51" s="151">
        <f t="shared" si="11"/>
        <v>4.3249071642434789</v>
      </c>
      <c r="G51" s="58">
        <f t="shared" si="17"/>
        <v>6.9365650777495143</v>
      </c>
      <c r="H51" s="89"/>
      <c r="I51" s="1502"/>
      <c r="J51" s="137">
        <f t="shared" si="1"/>
        <v>45047</v>
      </c>
      <c r="K51" s="85">
        <v>45047</v>
      </c>
      <c r="L51" s="21">
        <f>BILANCIO!BK60+BILANCIO!BK61</f>
        <v>211.91</v>
      </c>
      <c r="M51" s="21">
        <v>0</v>
      </c>
      <c r="N51" s="21">
        <f t="shared" si="13"/>
        <v>83</v>
      </c>
      <c r="O51" s="21">
        <f t="shared" si="14"/>
        <v>188.25</v>
      </c>
      <c r="P51" s="37">
        <f t="shared" si="20"/>
        <v>271.25</v>
      </c>
      <c r="S51" s="21">
        <v>250</v>
      </c>
      <c r="T51" s="37">
        <f>IF(L51&lt;&gt;"",SUM(L51,L52,P51,Q51,R51,S52),"")</f>
        <v>543.78</v>
      </c>
      <c r="U51" s="21">
        <f t="shared" si="19"/>
        <v>711.91</v>
      </c>
      <c r="W51" s="9" t="str">
        <f t="shared" ca="1" si="5"/>
        <v/>
      </c>
      <c r="X51" s="40">
        <v>44826</v>
      </c>
      <c r="Y51" s="168">
        <f t="shared" si="6"/>
        <v>9</v>
      </c>
      <c r="Z51" s="44" t="s">
        <v>1143</v>
      </c>
      <c r="AA51" s="21">
        <v>0</v>
      </c>
      <c r="AB51" s="21"/>
      <c r="AC51" s="21"/>
      <c r="AD51" s="89"/>
      <c r="AF51" s="26"/>
      <c r="AH51" s="9">
        <f t="shared" si="8"/>
        <v>0</v>
      </c>
      <c r="AI51" s="9">
        <f t="shared" si="7"/>
        <v>2236.3000000000002</v>
      </c>
      <c r="AJ51" s="14"/>
      <c r="AK51" s="14"/>
      <c r="AL51" s="14"/>
      <c r="AM51" s="14"/>
      <c r="AN51" s="166"/>
      <c r="AO51" s="166"/>
      <c r="AP51" s="14"/>
      <c r="AQ51" s="14"/>
    </row>
    <row r="52" spans="2:48">
      <c r="C52" s="59">
        <v>40</v>
      </c>
      <c r="D52" s="151">
        <f t="shared" si="9"/>
        <v>22.234574763757642</v>
      </c>
      <c r="E52" s="151">
        <f t="shared" si="10"/>
        <v>26.263952724885097</v>
      </c>
      <c r="F52" s="151">
        <f t="shared" si="11"/>
        <v>3.8443619237719813</v>
      </c>
      <c r="G52" s="58">
        <f t="shared" ref="G52:G58" si="21">30/F52</f>
        <v>7.8036357124682043</v>
      </c>
      <c r="H52" s="89"/>
      <c r="I52" s="1502"/>
      <c r="J52" s="137">
        <f t="shared" si="1"/>
        <v>45078</v>
      </c>
      <c r="K52" s="85">
        <v>45078</v>
      </c>
      <c r="L52" s="21">
        <f>BILANCIO!BL60+BILANCIO!BL61</f>
        <v>60.62</v>
      </c>
      <c r="M52" s="21">
        <v>0</v>
      </c>
      <c r="N52" s="21">
        <f t="shared" si="13"/>
        <v>83</v>
      </c>
      <c r="O52" s="21">
        <f t="shared" si="14"/>
        <v>188.25</v>
      </c>
      <c r="P52" s="37">
        <f t="shared" si="20"/>
        <v>271.25</v>
      </c>
      <c r="Q52" s="21"/>
      <c r="T52" s="37">
        <f t="shared" ref="T52:T58" si="22">IF(L52&lt;&gt;"",SUM(L52,L53,P52,Q52,R52,S53),"")</f>
        <v>513.78</v>
      </c>
      <c r="U52" s="21">
        <f t="shared" si="19"/>
        <v>60.62</v>
      </c>
      <c r="W52" s="9" t="str">
        <f t="shared" ca="1" si="5"/>
        <v/>
      </c>
      <c r="X52" s="40">
        <v>44827</v>
      </c>
      <c r="Y52" s="168">
        <f t="shared" si="6"/>
        <v>9</v>
      </c>
      <c r="Z52" s="44" t="s">
        <v>1145</v>
      </c>
      <c r="AA52" s="21">
        <v>0</v>
      </c>
      <c r="AB52" s="21"/>
      <c r="AC52" s="21"/>
      <c r="AF52" s="26">
        <f>(27.2*2)</f>
        <v>54.4</v>
      </c>
      <c r="AG52" s="9">
        <f>4.8+(37.8*2)</f>
        <v>80.399999999999991</v>
      </c>
      <c r="AH52" s="9">
        <f t="shared" si="8"/>
        <v>134.79999999999998</v>
      </c>
      <c r="AI52" s="9">
        <f t="shared" si="7"/>
        <v>2371.1000000000004</v>
      </c>
      <c r="AJ52" s="14"/>
      <c r="AK52" s="14"/>
      <c r="AL52" s="14"/>
      <c r="AM52" s="14"/>
      <c r="AN52" s="166"/>
      <c r="AO52" s="166"/>
      <c r="AP52" s="14"/>
      <c r="AQ52" s="14"/>
    </row>
    <row r="53" spans="2:48">
      <c r="C53" s="59">
        <v>35</v>
      </c>
      <c r="D53" s="151">
        <f t="shared" si="9"/>
        <v>19.45525291828794</v>
      </c>
      <c r="E53" s="151">
        <f t="shared" si="10"/>
        <v>22.980958634274458</v>
      </c>
      <c r="F53" s="151">
        <f t="shared" si="11"/>
        <v>3.3638166833004841</v>
      </c>
      <c r="G53" s="58">
        <f t="shared" si="21"/>
        <v>8.9184408142493741</v>
      </c>
      <c r="H53" s="89"/>
      <c r="I53" s="1502"/>
      <c r="J53" s="137">
        <f t="shared" si="1"/>
        <v>45108</v>
      </c>
      <c r="K53" s="85">
        <v>45108</v>
      </c>
      <c r="L53" s="21">
        <f>BILANCIO!BM60+BILANCIO!BM61</f>
        <v>181.91</v>
      </c>
      <c r="M53" s="21">
        <v>0</v>
      </c>
      <c r="N53" s="21">
        <f t="shared" si="13"/>
        <v>83</v>
      </c>
      <c r="O53" s="21">
        <f t="shared" si="14"/>
        <v>188.25</v>
      </c>
      <c r="P53" s="37">
        <f t="shared" si="20"/>
        <v>271.25</v>
      </c>
      <c r="T53" s="37">
        <f t="shared" si="22"/>
        <v>747.69</v>
      </c>
      <c r="U53" s="21">
        <f t="shared" si="19"/>
        <v>181.91</v>
      </c>
      <c r="W53" s="9" t="str">
        <f t="shared" ca="1" si="5"/>
        <v/>
      </c>
      <c r="X53" s="40">
        <v>44828</v>
      </c>
      <c r="Y53" s="168">
        <f t="shared" si="6"/>
        <v>9</v>
      </c>
      <c r="Z53" s="44" t="s">
        <v>1132</v>
      </c>
      <c r="AA53" s="21">
        <v>0</v>
      </c>
      <c r="AB53" s="21"/>
      <c r="AC53" s="21"/>
      <c r="AF53" s="26"/>
      <c r="AG53" s="9">
        <f>4.8+3.2*2</f>
        <v>11.2</v>
      </c>
      <c r="AH53" s="9">
        <f t="shared" si="8"/>
        <v>11.2</v>
      </c>
      <c r="AI53" s="9">
        <f t="shared" si="7"/>
        <v>2382.3000000000002</v>
      </c>
      <c r="AJ53" s="14"/>
      <c r="AK53" s="14"/>
      <c r="AL53" s="14"/>
      <c r="AM53" s="14"/>
      <c r="AN53" s="166"/>
      <c r="AO53" s="166"/>
      <c r="AP53" s="14"/>
      <c r="AQ53" s="14"/>
    </row>
    <row r="54" spans="2:48">
      <c r="C54" s="59">
        <v>30</v>
      </c>
      <c r="D54" s="151">
        <f t="shared" si="9"/>
        <v>16.675931072818234</v>
      </c>
      <c r="E54" s="151">
        <f t="shared" si="10"/>
        <v>19.697964543663822</v>
      </c>
      <c r="F54" s="151">
        <f t="shared" si="11"/>
        <v>2.8832714428289861</v>
      </c>
      <c r="G54" s="58">
        <f t="shared" si="21"/>
        <v>10.404847616624272</v>
      </c>
      <c r="H54" s="89"/>
      <c r="I54" s="1502"/>
      <c r="J54" s="137">
        <f t="shared" si="1"/>
        <v>45139</v>
      </c>
      <c r="K54" s="85">
        <v>45139</v>
      </c>
      <c r="L54" s="21">
        <f>BILANCIO!BN60+BILANCIO!BN61</f>
        <v>294.53000000000003</v>
      </c>
      <c r="M54" s="21">
        <v>0</v>
      </c>
      <c r="N54" s="21">
        <f t="shared" si="13"/>
        <v>83</v>
      </c>
      <c r="O54" s="21">
        <f t="shared" si="14"/>
        <v>188.25</v>
      </c>
      <c r="P54" s="37">
        <f t="shared" si="20"/>
        <v>271.25</v>
      </c>
      <c r="Q54" s="21"/>
      <c r="T54" s="37">
        <f t="shared" si="22"/>
        <v>791.49</v>
      </c>
      <c r="U54" s="21">
        <f t="shared" si="19"/>
        <v>294.53000000000003</v>
      </c>
      <c r="W54" s="9" t="str">
        <f t="shared" ca="1" si="5"/>
        <v/>
      </c>
      <c r="X54" s="40">
        <v>44829</v>
      </c>
      <c r="Y54" s="168">
        <f t="shared" si="6"/>
        <v>9</v>
      </c>
      <c r="Z54" s="44" t="s">
        <v>1134</v>
      </c>
      <c r="AA54" s="21">
        <v>0</v>
      </c>
      <c r="AB54" s="21"/>
      <c r="AC54" s="21"/>
      <c r="AF54" s="26"/>
      <c r="AG54" s="9">
        <f>3.2*2</f>
        <v>6.4</v>
      </c>
      <c r="AH54" s="9">
        <f t="shared" si="8"/>
        <v>6.4</v>
      </c>
      <c r="AI54" s="9">
        <f t="shared" si="7"/>
        <v>2388.7000000000003</v>
      </c>
      <c r="AJ54" s="14"/>
      <c r="AK54" s="14"/>
      <c r="AL54" s="14"/>
      <c r="AM54" s="14"/>
      <c r="AN54" s="166"/>
      <c r="AO54" s="166"/>
      <c r="AP54" s="14"/>
      <c r="AQ54" s="14"/>
    </row>
    <row r="55" spans="2:48">
      <c r="C55" s="59">
        <v>25</v>
      </c>
      <c r="D55" s="151">
        <f t="shared" si="9"/>
        <v>13.896609227348527</v>
      </c>
      <c r="E55" s="151">
        <f t="shared" si="10"/>
        <v>16.414970453053186</v>
      </c>
      <c r="F55" s="151">
        <f t="shared" si="11"/>
        <v>2.4027262023574885</v>
      </c>
      <c r="G55" s="58">
        <f t="shared" si="21"/>
        <v>12.485817139949125</v>
      </c>
      <c r="H55" s="89"/>
      <c r="I55" s="1502"/>
      <c r="J55" s="137">
        <f t="shared" si="1"/>
        <v>45170</v>
      </c>
      <c r="K55" s="85">
        <v>45170</v>
      </c>
      <c r="L55" s="21">
        <f>BILANCIO!BO60+BILANCIO!BO61</f>
        <v>225.71</v>
      </c>
      <c r="M55" s="21">
        <v>380</v>
      </c>
      <c r="N55" s="21">
        <f t="shared" si="13"/>
        <v>83</v>
      </c>
      <c r="O55" s="21">
        <f t="shared" si="14"/>
        <v>188.25</v>
      </c>
      <c r="P55" s="37">
        <f t="shared" si="20"/>
        <v>271.25</v>
      </c>
      <c r="R55" s="21">
        <v>470</v>
      </c>
      <c r="T55" s="37">
        <f t="shared" si="22"/>
        <v>1148.25</v>
      </c>
      <c r="U55" s="21">
        <f t="shared" si="19"/>
        <v>1075.71</v>
      </c>
      <c r="W55" s="9" t="str">
        <f t="shared" ca="1" si="5"/>
        <v/>
      </c>
      <c r="X55" s="40">
        <v>44830</v>
      </c>
      <c r="Y55" s="168">
        <f t="shared" si="6"/>
        <v>9</v>
      </c>
      <c r="Z55" s="44" t="s">
        <v>1136</v>
      </c>
      <c r="AA55" s="21">
        <v>0</v>
      </c>
      <c r="AB55" s="21"/>
      <c r="AC55" s="21"/>
      <c r="AD55" s="89"/>
      <c r="AF55" s="26">
        <f>(27.2*2)</f>
        <v>54.4</v>
      </c>
      <c r="AG55" s="9">
        <f>9.2*2</f>
        <v>18.399999999999999</v>
      </c>
      <c r="AH55" s="9">
        <f t="shared" si="8"/>
        <v>72.8</v>
      </c>
      <c r="AI55" s="9">
        <f t="shared" si="7"/>
        <v>2461.5000000000005</v>
      </c>
      <c r="AK55" s="14"/>
      <c r="AL55" s="14"/>
      <c r="AM55" s="14"/>
      <c r="AN55" s="166"/>
      <c r="AO55" s="166"/>
      <c r="AP55" s="14"/>
      <c r="AQ55" s="14"/>
      <c r="AR55" s="9">
        <v>240</v>
      </c>
      <c r="AT55" s="14">
        <f>SUM(AH45:AH55)</f>
        <v>519.09999999999991</v>
      </c>
    </row>
    <row r="56" spans="2:48">
      <c r="C56" s="59">
        <v>20</v>
      </c>
      <c r="D56" s="151">
        <f t="shared" si="9"/>
        <v>11.117287381878821</v>
      </c>
      <c r="E56" s="151">
        <f t="shared" si="10"/>
        <v>13.131976362442549</v>
      </c>
      <c r="F56" s="151">
        <f t="shared" si="11"/>
        <v>1.9221809618859906</v>
      </c>
      <c r="G56" s="58">
        <f t="shared" si="21"/>
        <v>15.607271424936409</v>
      </c>
      <c r="H56" s="89"/>
      <c r="I56" s="1502"/>
      <c r="J56" s="137">
        <f t="shared" si="1"/>
        <v>45200</v>
      </c>
      <c r="K56" s="85">
        <v>45200</v>
      </c>
      <c r="L56" s="21">
        <f>BILANCIO!BP60+BILANCIO!BP61</f>
        <v>181.29000000000002</v>
      </c>
      <c r="M56" s="21">
        <v>0</v>
      </c>
      <c r="N56" s="21">
        <f t="shared" si="13"/>
        <v>83</v>
      </c>
      <c r="O56" s="21">
        <f t="shared" si="14"/>
        <v>188.25</v>
      </c>
      <c r="P56" s="37">
        <f>IFERROR(N56+O56,"")</f>
        <v>271.25</v>
      </c>
      <c r="Q56" s="21"/>
      <c r="T56" s="37">
        <f t="shared" si="22"/>
        <v>706.34</v>
      </c>
      <c r="U56" s="21">
        <f t="shared" si="19"/>
        <v>181.29000000000002</v>
      </c>
      <c r="W56" s="9" t="str">
        <f t="shared" ca="1" si="5"/>
        <v/>
      </c>
      <c r="X56" s="39">
        <v>44831</v>
      </c>
      <c r="Y56" s="179">
        <f t="shared" si="6"/>
        <v>9</v>
      </c>
      <c r="Z56" s="107" t="s">
        <v>1138</v>
      </c>
      <c r="AA56" s="68">
        <v>0</v>
      </c>
      <c r="AB56" s="68"/>
      <c r="AC56" s="68"/>
      <c r="AD56" s="180"/>
      <c r="AE56" s="22"/>
      <c r="AF56" s="115">
        <f>27.2</f>
        <v>27.2</v>
      </c>
      <c r="AG56" s="22"/>
      <c r="AH56" s="22">
        <f t="shared" si="8"/>
        <v>27.2</v>
      </c>
      <c r="AI56" s="22">
        <f t="shared" si="7"/>
        <v>2488.7000000000003</v>
      </c>
      <c r="AJ56" s="1372"/>
      <c r="AK56" s="1372">
        <f>SUM(AH26:AH56)</f>
        <v>2410.4</v>
      </c>
      <c r="AL56" s="1372">
        <f>SUM(AF26:AF56)</f>
        <v>919.9</v>
      </c>
      <c r="AM56" s="1372">
        <f>SUM(AG26:AG56)</f>
        <v>1490.5000000000005</v>
      </c>
      <c r="AN56" s="181">
        <f>SUM(AD26:AD56)</f>
        <v>149.15668887596246</v>
      </c>
      <c r="AO56" s="182">
        <f>AK56/AN56</f>
        <v>16.160187103673707</v>
      </c>
      <c r="AP56" s="183">
        <f>SUM(AA25:AB56)/SUM(AD25:AD56)</f>
        <v>1.8340841033893875</v>
      </c>
      <c r="AQ56" s="184">
        <f>(AP56/AO56)*(SUM(AH25:AH56))</f>
        <v>282.45249134940536</v>
      </c>
      <c r="AR56" s="50"/>
      <c r="AS56" s="22"/>
      <c r="AT56" s="22"/>
      <c r="AU56" s="22"/>
      <c r="AV56" s="22"/>
    </row>
    <row r="57" spans="2:48">
      <c r="C57" s="59">
        <v>15</v>
      </c>
      <c r="D57" s="151">
        <f t="shared" si="9"/>
        <v>8.3379655364091168</v>
      </c>
      <c r="E57" s="151">
        <f t="shared" si="10"/>
        <v>9.8489822718319111</v>
      </c>
      <c r="F57" s="151">
        <f t="shared" si="11"/>
        <v>1.441635721414493</v>
      </c>
      <c r="G57" s="58">
        <f t="shared" si="21"/>
        <v>20.809695233248544</v>
      </c>
      <c r="H57" s="89"/>
      <c r="I57" s="1502"/>
      <c r="J57" s="137">
        <f t="shared" si="1"/>
        <v>45231</v>
      </c>
      <c r="K57" s="85">
        <v>45231</v>
      </c>
      <c r="L57" s="21">
        <f>BILANCIO!BQ60+BILANCIO!BQ61</f>
        <v>253.79999999999998</v>
      </c>
      <c r="M57" s="21">
        <v>0</v>
      </c>
      <c r="N57" s="21">
        <f t="shared" si="13"/>
        <v>83</v>
      </c>
      <c r="O57" s="21">
        <f t="shared" si="14"/>
        <v>188.25</v>
      </c>
      <c r="P57" s="37">
        <f t="shared" si="20"/>
        <v>271.25</v>
      </c>
      <c r="T57" s="37">
        <f t="shared" si="22"/>
        <v>702.53</v>
      </c>
      <c r="U57" s="21">
        <f t="shared" si="19"/>
        <v>253.79999999999998</v>
      </c>
      <c r="W57" s="9" t="str">
        <f t="shared" ca="1" si="5"/>
        <v/>
      </c>
      <c r="X57" s="40">
        <v>44832</v>
      </c>
      <c r="Y57" s="168">
        <f t="shared" si="6"/>
        <v>9</v>
      </c>
      <c r="Z57" s="44" t="s">
        <v>1140</v>
      </c>
      <c r="AA57" s="21">
        <v>0</v>
      </c>
      <c r="AB57" s="21"/>
      <c r="AC57" s="21"/>
      <c r="AF57" s="26"/>
      <c r="AH57" s="9">
        <f t="shared" si="8"/>
        <v>0</v>
      </c>
      <c r="AI57" s="9">
        <f t="shared" si="7"/>
        <v>2488.7000000000003</v>
      </c>
      <c r="AJ57" s="14"/>
      <c r="AK57" s="14"/>
      <c r="AL57" s="14"/>
      <c r="AM57" s="14"/>
      <c r="AN57" s="166"/>
      <c r="AO57" s="166"/>
      <c r="AP57" s="14"/>
      <c r="AQ57" s="14"/>
    </row>
    <row r="58" spans="2:48">
      <c r="C58" s="59">
        <v>10</v>
      </c>
      <c r="D58" s="151">
        <f t="shared" si="9"/>
        <v>5.5586436909394106</v>
      </c>
      <c r="E58" s="151">
        <f t="shared" si="10"/>
        <v>6.5659881812212744</v>
      </c>
      <c r="F58" s="151">
        <f t="shared" si="11"/>
        <v>0.96109048094299532</v>
      </c>
      <c r="G58" s="58">
        <f t="shared" si="21"/>
        <v>31.214542849872817</v>
      </c>
      <c r="H58" s="89"/>
      <c r="I58" s="1509"/>
      <c r="J58" s="137">
        <f t="shared" si="1"/>
        <v>45261</v>
      </c>
      <c r="K58" s="86">
        <v>45261</v>
      </c>
      <c r="L58" s="68">
        <f>BILANCIO!BR60+BILANCIO!BR61</f>
        <v>177.48</v>
      </c>
      <c r="M58" s="68">
        <v>0</v>
      </c>
      <c r="N58" s="68">
        <f t="shared" si="13"/>
        <v>83</v>
      </c>
      <c r="O58" s="68">
        <f t="shared" si="14"/>
        <v>188.25</v>
      </c>
      <c r="P58" s="50">
        <f t="shared" si="20"/>
        <v>271.25</v>
      </c>
      <c r="Q58" s="68"/>
      <c r="R58" s="22"/>
      <c r="S58" s="22"/>
      <c r="T58" s="50">
        <f t="shared" si="22"/>
        <v>620.6</v>
      </c>
      <c r="U58" s="68">
        <f t="shared" si="19"/>
        <v>177.48</v>
      </c>
      <c r="W58" s="9" t="str">
        <f t="shared" ca="1" si="5"/>
        <v/>
      </c>
      <c r="X58" s="40">
        <v>44833</v>
      </c>
      <c r="Y58" s="168">
        <f t="shared" si="6"/>
        <v>9</v>
      </c>
      <c r="Z58" s="44" t="s">
        <v>1143</v>
      </c>
      <c r="AA58" s="21">
        <v>0</v>
      </c>
      <c r="AB58" s="21"/>
      <c r="AC58" s="21"/>
      <c r="AD58" s="89"/>
      <c r="AF58" s="26">
        <f>(27.2)</f>
        <v>27.2</v>
      </c>
      <c r="AG58" s="9">
        <f>9.2*2+3</f>
        <v>21.4</v>
      </c>
      <c r="AH58" s="9">
        <f t="shared" si="8"/>
        <v>48.599999999999994</v>
      </c>
      <c r="AI58" s="9">
        <f t="shared" si="7"/>
        <v>2537.3000000000002</v>
      </c>
      <c r="AN58" s="44"/>
      <c r="AO58" s="44"/>
      <c r="AS58" s="14">
        <f>AT55+(SUM(AH56:AH58))</f>
        <v>594.89999999999986</v>
      </c>
      <c r="AT58" s="130">
        <f>SUM(AD46:AD58)</f>
        <v>33.351862145636467</v>
      </c>
      <c r="AU58" s="14">
        <f>AS58/AT58</f>
        <v>17.837084999999995</v>
      </c>
      <c r="AV58" s="172">
        <f>100/AU58</f>
        <v>5.6062972172863468</v>
      </c>
    </row>
    <row r="59" spans="2:48">
      <c r="H59" s="89"/>
      <c r="J59" s="9">
        <f t="shared" si="1"/>
        <v>45292</v>
      </c>
      <c r="K59" s="85">
        <v>45292</v>
      </c>
      <c r="L59" s="28">
        <f>BILANCIO!BS61+BILANCIO!BS60</f>
        <v>171.87</v>
      </c>
      <c r="M59" s="21">
        <v>0</v>
      </c>
      <c r="N59" s="21">
        <f t="shared" si="13"/>
        <v>83</v>
      </c>
      <c r="O59" s="21">
        <f t="shared" si="14"/>
        <v>188.25</v>
      </c>
      <c r="P59" s="37">
        <f t="shared" si="20"/>
        <v>271.25</v>
      </c>
      <c r="Q59" s="21">
        <v>327.71</v>
      </c>
      <c r="T59" s="37">
        <f>IF(L59&lt;&gt;"",SUM(L59,M59,P59,Q59,R59,S59),"")</f>
        <v>770.82999999999993</v>
      </c>
      <c r="U59" s="21">
        <f t="shared" si="19"/>
        <v>499.58</v>
      </c>
      <c r="W59" s="9" t="str">
        <f t="shared" ca="1" si="5"/>
        <v/>
      </c>
      <c r="X59" s="40">
        <v>44834</v>
      </c>
      <c r="Y59" s="168">
        <f t="shared" si="6"/>
        <v>9</v>
      </c>
      <c r="Z59" s="44" t="s">
        <v>1145</v>
      </c>
      <c r="AA59" s="97">
        <v>60</v>
      </c>
      <c r="AB59" s="21"/>
      <c r="AC59" s="97">
        <v>1.7390000000000001</v>
      </c>
      <c r="AD59" s="165">
        <f>AA59/AC59</f>
        <v>34.502587694077057</v>
      </c>
      <c r="AF59" s="26">
        <f>(27.2*2)</f>
        <v>54.4</v>
      </c>
      <c r="AH59" s="9">
        <f t="shared" si="8"/>
        <v>54.4</v>
      </c>
      <c r="AI59" s="9">
        <f t="shared" si="7"/>
        <v>2591.7000000000003</v>
      </c>
      <c r="AJ59" s="14"/>
      <c r="AK59" s="14"/>
      <c r="AL59" s="14"/>
      <c r="AM59" s="14"/>
      <c r="AN59" s="166"/>
      <c r="AO59" s="166"/>
      <c r="AP59" s="14"/>
      <c r="AQ59" s="14"/>
      <c r="AR59" s="9">
        <v>115</v>
      </c>
      <c r="AS59" s="119"/>
      <c r="AT59" s="119"/>
      <c r="AU59" s="89"/>
    </row>
    <row r="60" spans="2:48">
      <c r="H60" s="89"/>
      <c r="J60" s="9">
        <f t="shared" si="1"/>
        <v>45323</v>
      </c>
      <c r="K60" s="85">
        <v>45323</v>
      </c>
      <c r="L60" s="21">
        <f>BILANCIO!BT60+BILANCIO!BT61</f>
        <v>206.53</v>
      </c>
      <c r="M60" s="21">
        <v>0</v>
      </c>
      <c r="N60" s="21">
        <f t="shared" si="13"/>
        <v>83</v>
      </c>
      <c r="O60" s="21">
        <f t="shared" si="14"/>
        <v>188.25</v>
      </c>
      <c r="P60" s="37">
        <f t="shared" si="20"/>
        <v>271.25</v>
      </c>
      <c r="T60" s="37">
        <f t="shared" si="18"/>
        <v>477.78</v>
      </c>
      <c r="U60" s="21">
        <f t="shared" si="19"/>
        <v>206.53</v>
      </c>
      <c r="V60" s="37"/>
      <c r="W60" s="9" t="str">
        <f t="shared" ca="1" si="5"/>
        <v/>
      </c>
      <c r="X60" s="40">
        <v>44835</v>
      </c>
      <c r="Y60" s="168">
        <f t="shared" si="6"/>
        <v>10</v>
      </c>
      <c r="Z60" s="44" t="s">
        <v>1132</v>
      </c>
      <c r="AA60" s="21">
        <v>0</v>
      </c>
      <c r="AB60" s="21"/>
      <c r="AC60" s="21"/>
      <c r="AF60" s="26"/>
      <c r="AG60" s="9">
        <f>2.8*2</f>
        <v>5.6</v>
      </c>
      <c r="AH60" s="9">
        <f t="shared" ref="AH60:AH123" si="23">AF60+AG60</f>
        <v>5.6</v>
      </c>
      <c r="AI60" s="9">
        <f t="shared" si="7"/>
        <v>2597.3000000000002</v>
      </c>
      <c r="AJ60" s="14"/>
      <c r="AK60" s="14"/>
      <c r="AL60" s="14"/>
      <c r="AM60" s="14"/>
      <c r="AN60" s="166"/>
      <c r="AO60" s="166"/>
      <c r="AP60" s="14"/>
      <c r="AQ60" s="14"/>
    </row>
    <row r="61" spans="2:48">
      <c r="J61" s="9">
        <f t="shared" si="1"/>
        <v>45352</v>
      </c>
      <c r="K61" s="85">
        <v>45352</v>
      </c>
      <c r="L61" s="21">
        <f>BILANCIO!BU60+BILANCIO!BU61</f>
        <v>195.01999999999998</v>
      </c>
      <c r="M61" s="21">
        <v>0</v>
      </c>
      <c r="N61" s="21">
        <f t="shared" si="13"/>
        <v>83</v>
      </c>
      <c r="O61" s="21">
        <f t="shared" si="14"/>
        <v>188.25</v>
      </c>
      <c r="P61" s="37">
        <f t="shared" si="20"/>
        <v>271.25</v>
      </c>
      <c r="T61" s="37">
        <f t="shared" si="18"/>
        <v>466.27</v>
      </c>
      <c r="U61" s="21">
        <f t="shared" si="19"/>
        <v>195.01999999999998</v>
      </c>
      <c r="W61" s="9" t="str">
        <f t="shared" ca="1" si="5"/>
        <v/>
      </c>
      <c r="X61" s="40">
        <v>44836</v>
      </c>
      <c r="Y61" s="168">
        <f t="shared" si="6"/>
        <v>10</v>
      </c>
      <c r="Z61" s="44" t="s">
        <v>1134</v>
      </c>
      <c r="AA61" s="21">
        <v>0</v>
      </c>
      <c r="AB61" s="21"/>
      <c r="AC61" s="21"/>
      <c r="AF61" s="26"/>
      <c r="AG61" s="9">
        <f>29.5*2+(30.3*2)</f>
        <v>119.6</v>
      </c>
      <c r="AH61" s="9">
        <f t="shared" si="23"/>
        <v>119.6</v>
      </c>
      <c r="AI61" s="9">
        <f t="shared" si="7"/>
        <v>2716.9</v>
      </c>
      <c r="AJ61" s="14"/>
      <c r="AK61" s="14"/>
      <c r="AL61" s="14"/>
      <c r="AM61" s="14"/>
      <c r="AN61" s="166"/>
      <c r="AO61" s="166"/>
      <c r="AP61" s="14"/>
      <c r="AQ61" s="14"/>
    </row>
    <row r="62" spans="2:48">
      <c r="B62" s="49" t="s">
        <v>1154</v>
      </c>
      <c r="C62" s="185">
        <f>E63</f>
        <v>16.148699247006224</v>
      </c>
      <c r="D62" s="49" t="s">
        <v>1123</v>
      </c>
      <c r="E62" s="130">
        <f>AY4</f>
        <v>6.2404120231836391</v>
      </c>
      <c r="J62" s="9">
        <f t="shared" si="1"/>
        <v>45383</v>
      </c>
      <c r="K62" s="85">
        <v>45383</v>
      </c>
      <c r="L62" s="21">
        <f>BILANCIO!BV60+BILANCIO!BV61</f>
        <v>197.48999999999998</v>
      </c>
      <c r="M62" s="21">
        <v>0</v>
      </c>
      <c r="N62" s="21">
        <f>IF($B$7&gt;=J62,82.5+2.5,"")</f>
        <v>85</v>
      </c>
      <c r="O62" s="21">
        <f>IF($B$7&gt;=J62,187.75+2.5,"")</f>
        <v>190.25</v>
      </c>
      <c r="P62" s="37">
        <f t="shared" ref="P62" si="24">IFERROR(N62+O62,"")</f>
        <v>275.25</v>
      </c>
      <c r="T62" s="37">
        <f t="shared" si="18"/>
        <v>472.74</v>
      </c>
      <c r="U62" s="21">
        <f t="shared" si="19"/>
        <v>197.48999999999998</v>
      </c>
      <c r="W62" s="9" t="str">
        <f t="shared" ca="1" si="5"/>
        <v/>
      </c>
      <c r="X62" s="40">
        <v>44837</v>
      </c>
      <c r="Y62" s="168">
        <f t="shared" si="6"/>
        <v>10</v>
      </c>
      <c r="Z62" s="44" t="s">
        <v>1136</v>
      </c>
      <c r="AA62" s="21">
        <v>0</v>
      </c>
      <c r="AB62" s="21"/>
      <c r="AC62" s="21"/>
      <c r="AF62" s="26"/>
      <c r="AH62" s="9">
        <f t="shared" si="23"/>
        <v>0</v>
      </c>
      <c r="AI62" s="9">
        <f t="shared" si="7"/>
        <v>2716.9</v>
      </c>
      <c r="AJ62" s="14"/>
      <c r="AK62" s="14"/>
      <c r="AL62" s="14"/>
      <c r="AM62" s="14"/>
      <c r="AN62" s="166"/>
      <c r="AO62" s="166"/>
      <c r="AP62" s="14"/>
      <c r="AQ62" s="14"/>
    </row>
    <row r="63" spans="2:48">
      <c r="B63" s="49" t="s">
        <v>1155</v>
      </c>
      <c r="C63" s="93">
        <f>C62*D30</f>
        <v>968.92195482037346</v>
      </c>
      <c r="D63" s="49" t="s">
        <v>1156</v>
      </c>
      <c r="E63" s="94">
        <f>AX4</f>
        <v>16.148699247006224</v>
      </c>
      <c r="J63" s="9">
        <f t="shared" si="1"/>
        <v>45413</v>
      </c>
      <c r="K63" s="85">
        <v>45413</v>
      </c>
      <c r="L63" s="21">
        <f>BILANCIO!BW60+BILANCIO!BW61</f>
        <v>263.75</v>
      </c>
      <c r="M63" s="21">
        <v>0</v>
      </c>
      <c r="N63" s="21">
        <f t="shared" si="13"/>
        <v>83</v>
      </c>
      <c r="O63" s="21">
        <f t="shared" si="14"/>
        <v>188.25</v>
      </c>
      <c r="P63" s="37">
        <f t="shared" si="20"/>
        <v>271.25</v>
      </c>
      <c r="T63" s="37">
        <f t="shared" si="18"/>
        <v>535</v>
      </c>
      <c r="U63" s="21">
        <f t="shared" si="19"/>
        <v>263.75</v>
      </c>
      <c r="W63" s="9" t="str">
        <f t="shared" ca="1" si="5"/>
        <v/>
      </c>
      <c r="X63" s="40">
        <v>44838</v>
      </c>
      <c r="Y63" s="168">
        <f t="shared" si="6"/>
        <v>10</v>
      </c>
      <c r="Z63" s="44" t="s">
        <v>1138</v>
      </c>
      <c r="AA63" s="21">
        <v>0</v>
      </c>
      <c r="AB63" s="21"/>
      <c r="AC63" s="21"/>
      <c r="AF63" s="26">
        <f>(27.2+20.6)</f>
        <v>47.8</v>
      </c>
      <c r="AG63" s="9">
        <f>8.2+2.8</f>
        <v>11</v>
      </c>
      <c r="AH63" s="9">
        <f t="shared" si="23"/>
        <v>58.8</v>
      </c>
      <c r="AI63" s="9">
        <f t="shared" si="7"/>
        <v>2775.7000000000003</v>
      </c>
      <c r="AJ63" s="14"/>
      <c r="AK63" s="14"/>
      <c r="AL63" s="14"/>
      <c r="AM63" s="14"/>
      <c r="AN63" s="166"/>
      <c r="AO63" s="166"/>
      <c r="AP63" s="14"/>
      <c r="AQ63" s="14"/>
      <c r="AS63" s="119"/>
    </row>
    <row r="64" spans="2:48">
      <c r="B64" s="49" t="s">
        <v>1157</v>
      </c>
      <c r="C64" s="185">
        <f>27.2*2</f>
        <v>54.4</v>
      </c>
      <c r="J64" s="9">
        <f t="shared" si="1"/>
        <v>45444</v>
      </c>
      <c r="K64" s="85">
        <v>45444</v>
      </c>
      <c r="L64" s="21">
        <f>BILANCIO!BX60+BILANCIO!BX61</f>
        <v>40.619999999999997</v>
      </c>
      <c r="M64" s="21">
        <v>0</v>
      </c>
      <c r="N64" s="21">
        <f t="shared" si="13"/>
        <v>83</v>
      </c>
      <c r="O64" s="21">
        <f t="shared" si="14"/>
        <v>188.25</v>
      </c>
      <c r="P64" s="37">
        <f t="shared" si="20"/>
        <v>271.25</v>
      </c>
      <c r="T64" s="37">
        <f t="shared" si="18"/>
        <v>311.87</v>
      </c>
      <c r="U64" s="21">
        <f t="shared" si="19"/>
        <v>40.619999999999997</v>
      </c>
      <c r="W64" s="9" t="str">
        <f t="shared" ca="1" si="5"/>
        <v/>
      </c>
      <c r="X64" s="40">
        <v>44839</v>
      </c>
      <c r="Y64" s="168">
        <f t="shared" si="6"/>
        <v>10</v>
      </c>
      <c r="Z64" s="44" t="s">
        <v>1140</v>
      </c>
      <c r="AA64" s="21">
        <v>0</v>
      </c>
      <c r="AB64" s="21"/>
      <c r="AC64" s="21"/>
      <c r="AF64" s="26">
        <f t="shared" ref="AF64:AF123" si="25">(27.2*2)</f>
        <v>54.4</v>
      </c>
      <c r="AG64" s="9">
        <f>14*2</f>
        <v>28</v>
      </c>
      <c r="AH64" s="9">
        <f t="shared" si="23"/>
        <v>82.4</v>
      </c>
      <c r="AI64" s="9">
        <f t="shared" si="7"/>
        <v>2858.1000000000004</v>
      </c>
      <c r="AK64" s="14"/>
      <c r="AL64" s="14"/>
      <c r="AM64" s="14"/>
      <c r="AN64" s="166"/>
      <c r="AO64" s="166"/>
      <c r="AP64" s="14"/>
      <c r="AQ64" s="14"/>
    </row>
    <row r="65" spans="2:48">
      <c r="B65" s="49" t="s">
        <v>1158</v>
      </c>
      <c r="C65" s="95">
        <f>C64/C62</f>
        <v>3.3686923737888739</v>
      </c>
      <c r="D65" s="9" t="s">
        <v>1159</v>
      </c>
      <c r="E65" s="15">
        <v>140</v>
      </c>
      <c r="J65" s="9">
        <f t="shared" si="1"/>
        <v>45474</v>
      </c>
      <c r="K65" s="85">
        <v>45474</v>
      </c>
      <c r="L65" s="21">
        <f>BILANCIO!BY60+BILANCIO!BY61</f>
        <v>0</v>
      </c>
      <c r="M65" s="21">
        <v>0</v>
      </c>
      <c r="N65" s="21">
        <f t="shared" si="13"/>
        <v>83</v>
      </c>
      <c r="O65" s="21">
        <f t="shared" si="14"/>
        <v>188.25</v>
      </c>
      <c r="P65" s="37">
        <f t="shared" si="20"/>
        <v>271.25</v>
      </c>
      <c r="T65" s="37">
        <f t="shared" si="18"/>
        <v>271.25</v>
      </c>
      <c r="U65" s="21">
        <f t="shared" si="19"/>
        <v>0</v>
      </c>
      <c r="W65" s="9" t="str">
        <f t="shared" ca="1" si="5"/>
        <v/>
      </c>
      <c r="X65" s="40">
        <v>44840</v>
      </c>
      <c r="Y65" s="168">
        <f t="shared" si="6"/>
        <v>10</v>
      </c>
      <c r="Z65" s="44" t="s">
        <v>1143</v>
      </c>
      <c r="AA65" s="21">
        <v>0</v>
      </c>
      <c r="AB65" s="21"/>
      <c r="AC65" s="21"/>
      <c r="AF65" s="26">
        <f t="shared" si="25"/>
        <v>54.4</v>
      </c>
      <c r="AG65" s="9">
        <f>9.8*2</f>
        <v>19.600000000000001</v>
      </c>
      <c r="AH65" s="9">
        <f t="shared" si="23"/>
        <v>74</v>
      </c>
      <c r="AI65" s="9">
        <f t="shared" si="7"/>
        <v>2932.1000000000004</v>
      </c>
      <c r="AJ65" s="14"/>
      <c r="AK65" s="14"/>
      <c r="AL65" s="14"/>
      <c r="AM65" s="14"/>
      <c r="AN65" s="166"/>
      <c r="AO65" s="166"/>
      <c r="AP65" s="14"/>
      <c r="AQ65" s="14"/>
    </row>
    <row r="66" spans="2:48">
      <c r="B66" s="49" t="s">
        <v>1160</v>
      </c>
      <c r="C66" s="185">
        <f>AVERAGEA(AG25:AG302)</f>
        <v>38.998974358974358</v>
      </c>
      <c r="D66" s="9" t="s">
        <v>1161</v>
      </c>
      <c r="E66" s="95">
        <f>E65/E63</f>
        <v>8.6694289031331326</v>
      </c>
      <c r="J66" s="9">
        <f t="shared" si="1"/>
        <v>45505</v>
      </c>
      <c r="K66" s="85">
        <v>45505</v>
      </c>
      <c r="L66" s="21">
        <f>BILANCIO!BZ60+BILANCIO!BZ61</f>
        <v>0</v>
      </c>
      <c r="M66" s="21">
        <v>0</v>
      </c>
      <c r="N66" s="21">
        <f t="shared" si="13"/>
        <v>83</v>
      </c>
      <c r="O66" s="21">
        <f t="shared" si="14"/>
        <v>188.25</v>
      </c>
      <c r="P66" s="37">
        <f t="shared" si="20"/>
        <v>271.25</v>
      </c>
      <c r="Q66" s="21">
        <v>310.39</v>
      </c>
      <c r="T66" s="37">
        <f t="shared" ref="T66" si="26">IF(L66&lt;&gt;"",SUM(L66,M66,P66,Q66,R66,S66),"")</f>
        <v>581.64</v>
      </c>
      <c r="U66" s="21">
        <f t="shared" ref="U66" si="27">IF(L66&lt;&gt;"",SUM(L66,M66,Q66,R66,S66,S66),"")</f>
        <v>310.39</v>
      </c>
      <c r="W66" s="9" t="str">
        <f t="shared" ca="1" si="5"/>
        <v/>
      </c>
      <c r="X66" s="40">
        <v>44841</v>
      </c>
      <c r="Y66" s="168">
        <f t="shared" si="6"/>
        <v>10</v>
      </c>
      <c r="Z66" s="44" t="s">
        <v>1145</v>
      </c>
      <c r="AA66" s="21">
        <v>0</v>
      </c>
      <c r="AB66" s="21"/>
      <c r="AC66" s="21"/>
      <c r="AF66" s="26">
        <f t="shared" si="25"/>
        <v>54.4</v>
      </c>
      <c r="AG66" s="9">
        <f>8.4*2</f>
        <v>16.8</v>
      </c>
      <c r="AH66" s="9">
        <f t="shared" si="23"/>
        <v>71.2</v>
      </c>
      <c r="AI66" s="9">
        <f t="shared" si="7"/>
        <v>3003.3</v>
      </c>
      <c r="AJ66" s="14">
        <f>SUM(AH59:AH66)+AR66</f>
        <v>465.99999999999994</v>
      </c>
      <c r="AK66" s="130">
        <f>SUM(AD59:AD66)</f>
        <v>34.502587694077057</v>
      </c>
      <c r="AL66" s="14">
        <f>AJ66/AK66</f>
        <v>13.506233333333331</v>
      </c>
      <c r="AM66" s="14">
        <f>100/AL66</f>
        <v>7.4039887755530174</v>
      </c>
      <c r="AN66" s="166"/>
      <c r="AO66" s="166"/>
      <c r="AP66" s="14"/>
      <c r="AQ66" s="14"/>
      <c r="AS66" s="119"/>
      <c r="AT66" s="119"/>
      <c r="AU66" s="89"/>
    </row>
    <row r="67" spans="2:48">
      <c r="B67" s="49" t="s">
        <v>1162</v>
      </c>
      <c r="C67" s="95">
        <f>C66/C62</f>
        <v>2.4149916821445729</v>
      </c>
      <c r="D67" s="9" t="s">
        <v>714</v>
      </c>
      <c r="E67" s="72">
        <f>K4</f>
        <v>75</v>
      </c>
      <c r="F67" s="9" t="s">
        <v>1163</v>
      </c>
      <c r="G67" s="9" t="s">
        <v>1164</v>
      </c>
      <c r="H67" s="9" t="s">
        <v>1165</v>
      </c>
      <c r="I67" s="9" t="s">
        <v>1166</v>
      </c>
      <c r="J67" s="9">
        <f t="shared" si="1"/>
        <v>45536</v>
      </c>
      <c r="K67" s="85">
        <v>45536</v>
      </c>
      <c r="L67" s="21">
        <f>BILANCIO!CA60+BILANCIO!CA61</f>
        <v>0</v>
      </c>
      <c r="M67" s="21">
        <v>0</v>
      </c>
      <c r="N67" s="21">
        <f t="shared" si="13"/>
        <v>83</v>
      </c>
      <c r="O67" s="21">
        <f t="shared" si="14"/>
        <v>188.25</v>
      </c>
      <c r="P67" s="37">
        <f t="shared" si="20"/>
        <v>271.25</v>
      </c>
      <c r="R67" s="21">
        <v>260</v>
      </c>
      <c r="T67" s="37">
        <f t="shared" si="18"/>
        <v>531.25</v>
      </c>
      <c r="U67" s="21">
        <f t="shared" si="19"/>
        <v>260</v>
      </c>
      <c r="W67" s="9" t="str">
        <f t="shared" ca="1" si="5"/>
        <v/>
      </c>
      <c r="X67" s="40">
        <v>44842</v>
      </c>
      <c r="Y67" s="168">
        <f t="shared" si="6"/>
        <v>10</v>
      </c>
      <c r="Z67" s="44" t="s">
        <v>1132</v>
      </c>
      <c r="AA67" s="97">
        <v>40</v>
      </c>
      <c r="AB67" s="97"/>
      <c r="AC67" s="97">
        <v>1.7390000000000001</v>
      </c>
      <c r="AD67" s="165">
        <f>AA67/AC67</f>
        <v>23.001725129384702</v>
      </c>
      <c r="AF67" s="26"/>
      <c r="AG67" s="9">
        <f>20.8</f>
        <v>20.8</v>
      </c>
      <c r="AH67" s="9">
        <f t="shared" si="23"/>
        <v>20.8</v>
      </c>
      <c r="AI67" s="9">
        <f t="shared" si="7"/>
        <v>3024.1000000000004</v>
      </c>
      <c r="AJ67" s="14"/>
      <c r="AK67" s="14"/>
      <c r="AL67" s="14"/>
      <c r="AM67" s="14"/>
      <c r="AN67" s="166"/>
      <c r="AO67" s="166"/>
      <c r="AP67" s="14"/>
      <c r="AQ67" s="14"/>
    </row>
    <row r="68" spans="2:48">
      <c r="B68" s="49" t="s">
        <v>1167</v>
      </c>
      <c r="C68" s="95">
        <f>C65+C67</f>
        <v>5.7836840559334473</v>
      </c>
      <c r="D68" s="9" t="s">
        <v>1150</v>
      </c>
      <c r="E68" s="95">
        <f>VLOOKUP($E$67,$C$37:$E$58,2,FALSE)</f>
        <v>41.689827682045582</v>
      </c>
      <c r="F68" s="94">
        <f>(E68)/$C$69</f>
        <v>8.6471880819340434</v>
      </c>
      <c r="G68" s="92">
        <f>CEILING(COUNTA(X179:X209)/F68,1)</f>
        <v>4</v>
      </c>
      <c r="H68" s="95">
        <f>F68*$BA$5</f>
        <v>509.3811436550717</v>
      </c>
      <c r="I68" s="37">
        <f>G68*E67</f>
        <v>300</v>
      </c>
      <c r="J68" s="37">
        <f t="shared" si="1"/>
        <v>45566</v>
      </c>
      <c r="K68" s="85">
        <v>45566</v>
      </c>
      <c r="L68" s="21">
        <f>BILANCIO!CB60+BILANCIO!CB61</f>
        <v>0</v>
      </c>
      <c r="M68" s="21">
        <v>0</v>
      </c>
      <c r="N68" s="21">
        <f t="shared" si="13"/>
        <v>83</v>
      </c>
      <c r="O68" s="21">
        <f t="shared" si="14"/>
        <v>188.25</v>
      </c>
      <c r="P68" s="37">
        <f t="shared" si="20"/>
        <v>271.25</v>
      </c>
      <c r="T68" s="37">
        <f t="shared" si="18"/>
        <v>271.25</v>
      </c>
      <c r="U68" s="21">
        <f t="shared" si="19"/>
        <v>0</v>
      </c>
      <c r="W68" s="9" t="str">
        <f t="shared" ca="1" si="5"/>
        <v/>
      </c>
      <c r="X68" s="40">
        <v>44843</v>
      </c>
      <c r="Y68" s="168">
        <f t="shared" si="6"/>
        <v>10</v>
      </c>
      <c r="Z68" s="44" t="s">
        <v>1134</v>
      </c>
      <c r="AA68" s="21">
        <v>0</v>
      </c>
      <c r="AB68" s="21"/>
      <c r="AC68" s="21"/>
      <c r="AF68" s="26"/>
      <c r="AG68" s="9">
        <f>3.1*2</f>
        <v>6.2</v>
      </c>
      <c r="AH68" s="9">
        <f t="shared" si="23"/>
        <v>6.2</v>
      </c>
      <c r="AI68" s="9">
        <f t="shared" si="7"/>
        <v>3030.3</v>
      </c>
      <c r="AJ68" s="14"/>
      <c r="AK68" s="14"/>
      <c r="AL68" s="14"/>
      <c r="AM68" s="14"/>
      <c r="AN68" s="166"/>
      <c r="AO68" s="166"/>
      <c r="AP68" s="14"/>
      <c r="AQ68" s="14"/>
    </row>
    <row r="69" spans="2:48">
      <c r="B69" s="49" t="s">
        <v>1168</v>
      </c>
      <c r="C69" s="95">
        <f>((C65*5)/7)+C67</f>
        <v>4.8212005205651973</v>
      </c>
      <c r="D69" s="9" t="s">
        <v>1151</v>
      </c>
      <c r="E69" s="95">
        <f>VLOOKUP($E$67,$C$37:$E$58,3,FALSE)</f>
        <v>49.244911359159559</v>
      </c>
      <c r="F69" s="94">
        <f>(E69)/$C$69</f>
        <v>10.214242520945072</v>
      </c>
      <c r="G69" s="92">
        <f>CEILING(COUNTA(X179:X209)/F69,1)</f>
        <v>4</v>
      </c>
      <c r="H69" s="95">
        <f>F69*$BA$5</f>
        <v>601.69184335881425</v>
      </c>
      <c r="I69" s="37">
        <f>G69*E67</f>
        <v>300</v>
      </c>
      <c r="J69" s="37">
        <f t="shared" si="1"/>
        <v>45597</v>
      </c>
      <c r="K69" s="85">
        <v>45597</v>
      </c>
      <c r="L69" s="21">
        <f>BILANCIO!CC60+BILANCIO!CC61</f>
        <v>0</v>
      </c>
      <c r="M69" s="21">
        <v>0</v>
      </c>
      <c r="N69" s="21">
        <f t="shared" si="13"/>
        <v>83</v>
      </c>
      <c r="O69" s="21">
        <f t="shared" si="14"/>
        <v>188.25</v>
      </c>
      <c r="P69" s="37">
        <f>IFERROR(N69+O69,"")</f>
        <v>271.25</v>
      </c>
      <c r="T69" s="37">
        <f t="shared" si="18"/>
        <v>271.25</v>
      </c>
      <c r="U69" s="21">
        <f t="shared" si="19"/>
        <v>0</v>
      </c>
      <c r="W69" s="9" t="str">
        <f t="shared" ca="1" si="5"/>
        <v/>
      </c>
      <c r="X69" s="40">
        <v>44844</v>
      </c>
      <c r="Y69" s="168">
        <f t="shared" si="6"/>
        <v>10</v>
      </c>
      <c r="Z69" s="44" t="s">
        <v>1136</v>
      </c>
      <c r="AA69" s="21">
        <v>0</v>
      </c>
      <c r="AB69" s="21"/>
      <c r="AC69" s="21"/>
      <c r="AF69" s="26"/>
      <c r="AH69" s="9">
        <f t="shared" si="23"/>
        <v>0</v>
      </c>
      <c r="AI69" s="9">
        <f t="shared" si="7"/>
        <v>3030.3</v>
      </c>
      <c r="AJ69" s="14"/>
      <c r="AK69" s="14"/>
      <c r="AL69" s="14"/>
      <c r="AM69" s="14"/>
      <c r="AN69" s="166"/>
      <c r="AO69" s="166"/>
      <c r="AP69" s="14"/>
      <c r="AQ69" s="14"/>
    </row>
    <row r="70" spans="2:48">
      <c r="B70" s="49" t="s">
        <v>1169</v>
      </c>
      <c r="C70" s="93">
        <f>(C64*20)+(C66*30)</f>
        <v>2257.9692307692308</v>
      </c>
      <c r="D70" s="9" t="s">
        <v>1170</v>
      </c>
      <c r="E70" s="95">
        <f>E69-E68</f>
        <v>7.5550836771139771</v>
      </c>
      <c r="J70" s="9">
        <f t="shared" si="1"/>
        <v>45627</v>
      </c>
      <c r="K70" s="86">
        <v>45627</v>
      </c>
      <c r="L70" s="68">
        <f>BILANCIO!CD60+BILANCIO!CD61</f>
        <v>0</v>
      </c>
      <c r="M70" s="68">
        <v>0</v>
      </c>
      <c r="N70" s="68">
        <f t="shared" ref="N70:N101" si="28">IF($B$7&gt;=J70,83,"")</f>
        <v>83</v>
      </c>
      <c r="O70" s="68">
        <f t="shared" ref="O70:O101" si="29">IF($B$7&gt;=J70,188.25,"")</f>
        <v>188.25</v>
      </c>
      <c r="P70" s="50">
        <f t="shared" si="20"/>
        <v>271.25</v>
      </c>
      <c r="Q70" s="22"/>
      <c r="R70" s="22"/>
      <c r="S70" s="22"/>
      <c r="T70" s="50">
        <f t="shared" si="18"/>
        <v>271.25</v>
      </c>
      <c r="U70" s="68">
        <f t="shared" si="19"/>
        <v>0</v>
      </c>
      <c r="W70" s="9" t="str">
        <f t="shared" ca="1" si="5"/>
        <v/>
      </c>
      <c r="X70" s="40">
        <v>44845</v>
      </c>
      <c r="Y70" s="168">
        <f t="shared" si="6"/>
        <v>10</v>
      </c>
      <c r="Z70" s="44" t="s">
        <v>1138</v>
      </c>
      <c r="AA70" s="21">
        <v>0</v>
      </c>
      <c r="AB70" s="21"/>
      <c r="AC70" s="21"/>
      <c r="AF70" s="26"/>
      <c r="AH70" s="9">
        <f t="shared" si="23"/>
        <v>0</v>
      </c>
      <c r="AI70" s="9">
        <f t="shared" si="7"/>
        <v>3030.3</v>
      </c>
      <c r="AJ70" s="14"/>
      <c r="AK70" s="14"/>
      <c r="AL70" s="14"/>
      <c r="AM70" s="14"/>
      <c r="AN70" s="166"/>
      <c r="AO70" s="166"/>
      <c r="AP70" s="14"/>
      <c r="AQ70" s="14"/>
    </row>
    <row r="71" spans="2:48">
      <c r="B71" s="49" t="s">
        <v>1171</v>
      </c>
      <c r="C71" s="93">
        <f>C70*12</f>
        <v>27095.630769230767</v>
      </c>
      <c r="D71" s="9" t="s">
        <v>1172</v>
      </c>
      <c r="E71" s="186">
        <f>(E70*D26)-(C33-D28-D33)</f>
        <v>8.8287842838679822</v>
      </c>
      <c r="J71" s="9">
        <f t="shared" si="1"/>
        <v>45658</v>
      </c>
      <c r="K71" s="85">
        <v>45658</v>
      </c>
      <c r="L71" s="21">
        <f>BILANCIO!CE60+BILANCIO!CE61</f>
        <v>0</v>
      </c>
      <c r="M71" s="21">
        <v>0</v>
      </c>
      <c r="N71" s="21">
        <f t="shared" si="28"/>
        <v>83</v>
      </c>
      <c r="O71" s="21">
        <f t="shared" si="29"/>
        <v>188.25</v>
      </c>
      <c r="P71" s="37">
        <f>IFERROR(N71+O71,"")</f>
        <v>271.25</v>
      </c>
      <c r="T71" s="37">
        <f t="shared" si="18"/>
        <v>271.25</v>
      </c>
      <c r="U71" s="21">
        <f t="shared" si="19"/>
        <v>0</v>
      </c>
      <c r="W71" s="9" t="str">
        <f t="shared" ca="1" si="5"/>
        <v/>
      </c>
      <c r="X71" s="40">
        <v>44846</v>
      </c>
      <c r="Y71" s="168">
        <f t="shared" si="6"/>
        <v>10</v>
      </c>
      <c r="Z71" s="44" t="s">
        <v>1140</v>
      </c>
      <c r="AA71" s="21">
        <v>0</v>
      </c>
      <c r="AB71" s="21"/>
      <c r="AC71" s="21"/>
      <c r="AF71" s="26"/>
      <c r="AH71" s="9">
        <f t="shared" si="23"/>
        <v>0</v>
      </c>
      <c r="AI71" s="9">
        <f t="shared" si="7"/>
        <v>3030.3</v>
      </c>
      <c r="AJ71" s="14"/>
      <c r="AK71" s="14"/>
      <c r="AL71" s="14"/>
      <c r="AM71" s="14"/>
      <c r="AN71" s="166"/>
      <c r="AO71" s="166"/>
      <c r="AP71" s="14"/>
      <c r="AQ71" s="14"/>
    </row>
    <row r="72" spans="2:48">
      <c r="B72" s="49" t="s">
        <v>1173</v>
      </c>
      <c r="C72" s="70">
        <f>MEDIAN(L47:L58)</f>
        <v>207.77499999999998</v>
      </c>
      <c r="D72" s="9" t="s">
        <v>1174</v>
      </c>
      <c r="E72" s="95">
        <f>E70*AX4</f>
        <v>122.00477408767949</v>
      </c>
      <c r="J72" s="9">
        <f t="shared" si="1"/>
        <v>45689</v>
      </c>
      <c r="K72" s="85">
        <v>45689</v>
      </c>
      <c r="L72" s="21">
        <f>BILANCIO!CF60+BILANCIO!CF61</f>
        <v>0</v>
      </c>
      <c r="M72" s="21">
        <v>0</v>
      </c>
      <c r="N72" s="21">
        <f t="shared" si="28"/>
        <v>83</v>
      </c>
      <c r="O72" s="21">
        <f t="shared" si="29"/>
        <v>188.25</v>
      </c>
      <c r="P72" s="37">
        <f t="shared" si="20"/>
        <v>271.25</v>
      </c>
      <c r="T72" s="37">
        <f t="shared" si="18"/>
        <v>271.25</v>
      </c>
      <c r="U72" s="21">
        <f t="shared" si="19"/>
        <v>0</v>
      </c>
      <c r="W72" s="9" t="str">
        <f t="shared" ca="1" si="5"/>
        <v/>
      </c>
      <c r="X72" s="40">
        <v>44847</v>
      </c>
      <c r="Y72" s="168">
        <f t="shared" si="6"/>
        <v>10</v>
      </c>
      <c r="Z72" s="44" t="s">
        <v>1143</v>
      </c>
      <c r="AA72" s="21">
        <v>0</v>
      </c>
      <c r="AB72" s="21"/>
      <c r="AC72" s="21"/>
      <c r="AF72" s="26"/>
      <c r="AH72" s="9">
        <f t="shared" si="23"/>
        <v>0</v>
      </c>
      <c r="AI72" s="9">
        <f t="shared" si="7"/>
        <v>3030.3</v>
      </c>
      <c r="AJ72" s="14"/>
      <c r="AK72" s="14"/>
      <c r="AL72" s="14"/>
      <c r="AM72" s="14"/>
      <c r="AN72" s="166"/>
      <c r="AO72" s="166"/>
      <c r="AP72" s="14"/>
      <c r="AQ72" s="14"/>
    </row>
    <row r="73" spans="2:48">
      <c r="J73" s="9">
        <f t="shared" si="1"/>
        <v>45717</v>
      </c>
      <c r="K73" s="85">
        <v>45717</v>
      </c>
      <c r="L73" s="21">
        <f>BILANCIO!CG60+BILANCIO!CG61</f>
        <v>0</v>
      </c>
      <c r="M73" s="21">
        <v>0</v>
      </c>
      <c r="N73" s="21">
        <f t="shared" si="28"/>
        <v>83</v>
      </c>
      <c r="O73" s="21">
        <f t="shared" si="29"/>
        <v>188.25</v>
      </c>
      <c r="P73" s="37">
        <f t="shared" si="20"/>
        <v>271.25</v>
      </c>
      <c r="Q73" s="21">
        <v>327.71</v>
      </c>
      <c r="T73" s="37">
        <f t="shared" si="18"/>
        <v>598.96</v>
      </c>
      <c r="U73" s="21">
        <f t="shared" si="19"/>
        <v>327.71</v>
      </c>
      <c r="W73" s="9" t="str">
        <f t="shared" ca="1" si="5"/>
        <v/>
      </c>
      <c r="X73" s="40">
        <v>44848</v>
      </c>
      <c r="Y73" s="168">
        <f t="shared" si="6"/>
        <v>10</v>
      </c>
      <c r="Z73" s="44" t="s">
        <v>1145</v>
      </c>
      <c r="AA73" s="21">
        <v>0</v>
      </c>
      <c r="AB73" s="21"/>
      <c r="AC73" s="21"/>
      <c r="AF73" s="26">
        <f t="shared" si="25"/>
        <v>54.4</v>
      </c>
      <c r="AG73" s="9">
        <f>37.8*2</f>
        <v>75.599999999999994</v>
      </c>
      <c r="AH73" s="9">
        <f t="shared" si="23"/>
        <v>130</v>
      </c>
      <c r="AI73" s="9">
        <f t="shared" si="7"/>
        <v>3160.3</v>
      </c>
      <c r="AJ73" s="14">
        <f>SUM(AH66:AH73)</f>
        <v>228.2</v>
      </c>
      <c r="AK73" s="14"/>
      <c r="AL73" s="14"/>
      <c r="AM73" s="14"/>
      <c r="AN73" s="166"/>
      <c r="AO73" s="166"/>
      <c r="AP73" s="14"/>
      <c r="AQ73" s="14"/>
      <c r="AS73" s="119"/>
    </row>
    <row r="74" spans="2:48">
      <c r="J74" s="9">
        <f t="shared" si="1"/>
        <v>45748</v>
      </c>
      <c r="K74" s="85">
        <v>45748</v>
      </c>
      <c r="L74" s="21">
        <f>BILANCIO!CH60+BILANCIO!CH61</f>
        <v>0</v>
      </c>
      <c r="M74" s="21">
        <v>0</v>
      </c>
      <c r="N74" s="21">
        <f>IF($B$7&gt;=J74,85,"")</f>
        <v>85</v>
      </c>
      <c r="O74" s="21">
        <f>IF($B$7&gt;=J74,187.75+2.5,"")</f>
        <v>190.25</v>
      </c>
      <c r="P74" s="37">
        <f t="shared" si="20"/>
        <v>275.25</v>
      </c>
      <c r="T74" s="37">
        <f t="shared" si="18"/>
        <v>275.25</v>
      </c>
      <c r="U74" s="21">
        <f t="shared" si="19"/>
        <v>0</v>
      </c>
      <c r="W74" s="9" t="str">
        <f t="shared" ca="1" si="5"/>
        <v/>
      </c>
      <c r="X74" s="40">
        <v>44849</v>
      </c>
      <c r="Y74" s="168">
        <f t="shared" si="6"/>
        <v>10</v>
      </c>
      <c r="Z74" s="44" t="s">
        <v>1132</v>
      </c>
      <c r="AA74" s="21">
        <v>0</v>
      </c>
      <c r="AB74" s="21"/>
      <c r="AC74" s="21"/>
      <c r="AF74" s="26"/>
      <c r="AG74" s="9">
        <v>4.8</v>
      </c>
      <c r="AH74" s="9">
        <f t="shared" si="23"/>
        <v>4.8</v>
      </c>
      <c r="AI74" s="9">
        <f t="shared" si="7"/>
        <v>3165.1000000000004</v>
      </c>
      <c r="AJ74" s="14"/>
      <c r="AK74" s="14"/>
      <c r="AL74" s="14"/>
      <c r="AM74" s="14"/>
      <c r="AN74" s="166"/>
      <c r="AO74" s="166"/>
      <c r="AP74" s="14"/>
      <c r="AQ74" s="14"/>
    </row>
    <row r="75" spans="2:48">
      <c r="J75" s="9">
        <f t="shared" si="1"/>
        <v>45778</v>
      </c>
      <c r="K75" s="85">
        <v>45778</v>
      </c>
      <c r="L75" s="21">
        <f>BILANCIO!CI60+BILANCIO!CI61</f>
        <v>0</v>
      </c>
      <c r="M75" s="21">
        <v>0</v>
      </c>
      <c r="N75" s="21">
        <f t="shared" si="28"/>
        <v>83</v>
      </c>
      <c r="O75" s="21">
        <f t="shared" si="29"/>
        <v>188.25</v>
      </c>
      <c r="P75" s="37">
        <f t="shared" si="20"/>
        <v>271.25</v>
      </c>
      <c r="T75" s="37">
        <f t="shared" si="18"/>
        <v>271.25</v>
      </c>
      <c r="U75" s="21">
        <f t="shared" si="19"/>
        <v>0</v>
      </c>
      <c r="W75" s="9" t="str">
        <f t="shared" ca="1" si="5"/>
        <v/>
      </c>
      <c r="X75" s="40">
        <v>44850</v>
      </c>
      <c r="Y75" s="168">
        <f t="shared" si="6"/>
        <v>10</v>
      </c>
      <c r="Z75" s="44" t="s">
        <v>1134</v>
      </c>
      <c r="AA75" s="21">
        <v>0</v>
      </c>
      <c r="AB75" s="21"/>
      <c r="AC75" s="21"/>
      <c r="AF75" s="26"/>
      <c r="AH75" s="9">
        <f t="shared" si="23"/>
        <v>0</v>
      </c>
      <c r="AI75" s="9">
        <f t="shared" si="7"/>
        <v>3165.1000000000004</v>
      </c>
      <c r="AJ75" s="14"/>
      <c r="AK75" s="14"/>
      <c r="AL75" s="14"/>
      <c r="AM75" s="14"/>
      <c r="AN75" s="166"/>
      <c r="AO75" s="166"/>
      <c r="AP75" s="14"/>
      <c r="AQ75" s="14"/>
      <c r="AS75" s="119"/>
    </row>
    <row r="76" spans="2:48">
      <c r="J76" s="9">
        <f t="shared" si="1"/>
        <v>45809</v>
      </c>
      <c r="K76" s="85">
        <v>45809</v>
      </c>
      <c r="L76" s="21">
        <f>BILANCIO!CJ60+BILANCIO!CJ61</f>
        <v>0</v>
      </c>
      <c r="M76" s="21">
        <v>0</v>
      </c>
      <c r="N76" s="21">
        <f t="shared" si="28"/>
        <v>83</v>
      </c>
      <c r="O76" s="21">
        <f t="shared" si="29"/>
        <v>188.25</v>
      </c>
      <c r="P76" s="37">
        <f t="shared" si="20"/>
        <v>271.25</v>
      </c>
      <c r="T76" s="37">
        <f t="shared" si="18"/>
        <v>271.25</v>
      </c>
      <c r="U76" s="21">
        <f t="shared" si="19"/>
        <v>0</v>
      </c>
      <c r="W76" s="9" t="str">
        <f t="shared" ca="1" si="5"/>
        <v/>
      </c>
      <c r="X76" s="40">
        <v>44851</v>
      </c>
      <c r="Y76" s="168">
        <f t="shared" si="6"/>
        <v>10</v>
      </c>
      <c r="Z76" s="44" t="s">
        <v>1136</v>
      </c>
      <c r="AA76" s="21">
        <v>0</v>
      </c>
      <c r="AB76" s="21"/>
      <c r="AC76" s="21"/>
      <c r="AF76" s="26">
        <f t="shared" si="25"/>
        <v>54.4</v>
      </c>
      <c r="AG76" s="9">
        <f>9.8*2</f>
        <v>19.600000000000001</v>
      </c>
      <c r="AH76" s="9">
        <f t="shared" si="23"/>
        <v>74</v>
      </c>
      <c r="AI76" s="9">
        <f t="shared" si="7"/>
        <v>3239.1000000000004</v>
      </c>
      <c r="AJ76" s="14">
        <f>SUM(AH74,AJ73,AH75,AH76)+AR77</f>
        <v>492</v>
      </c>
      <c r="AN76" s="44"/>
      <c r="AO76" s="44"/>
    </row>
    <row r="77" spans="2:48">
      <c r="C77" s="79" t="s">
        <v>1175</v>
      </c>
      <c r="D77" s="79" t="s">
        <v>1176</v>
      </c>
      <c r="E77" s="79" t="s">
        <v>1177</v>
      </c>
      <c r="F77" s="79" t="s">
        <v>1176</v>
      </c>
      <c r="G77" s="79" t="s">
        <v>1178</v>
      </c>
      <c r="J77" s="9">
        <f t="shared" si="1"/>
        <v>45839</v>
      </c>
      <c r="K77" s="85">
        <v>45839</v>
      </c>
      <c r="L77" s="21">
        <f>BILANCIO!CK60+BILANCIO!CK61</f>
        <v>0</v>
      </c>
      <c r="M77" s="21">
        <v>0</v>
      </c>
      <c r="N77" s="21">
        <f t="shared" si="28"/>
        <v>83</v>
      </c>
      <c r="O77" s="21">
        <f t="shared" si="29"/>
        <v>188.25</v>
      </c>
      <c r="P77" s="37">
        <f t="shared" si="20"/>
        <v>271.25</v>
      </c>
      <c r="T77" s="37">
        <f t="shared" si="18"/>
        <v>271.25</v>
      </c>
      <c r="U77" s="21">
        <f t="shared" si="19"/>
        <v>0</v>
      </c>
      <c r="W77" s="9" t="str">
        <f t="shared" ca="1" si="5"/>
        <v/>
      </c>
      <c r="X77" s="40">
        <v>44852</v>
      </c>
      <c r="Y77" s="168">
        <f t="shared" si="6"/>
        <v>10</v>
      </c>
      <c r="Z77" s="44" t="s">
        <v>1138</v>
      </c>
      <c r="AA77" s="21">
        <v>0</v>
      </c>
      <c r="AB77" s="21"/>
      <c r="AC77" s="21"/>
      <c r="AD77" s="89"/>
      <c r="AF77" s="26">
        <f t="shared" si="25"/>
        <v>54.4</v>
      </c>
      <c r="AG77" s="9">
        <v>4.8</v>
      </c>
      <c r="AH77" s="9">
        <f t="shared" si="23"/>
        <v>59.199999999999996</v>
      </c>
      <c r="AI77" s="9">
        <f t="shared" si="7"/>
        <v>3298.3</v>
      </c>
      <c r="AJ77" s="14">
        <f>SUM(AH67:AH77)+AR78</f>
        <v>295</v>
      </c>
      <c r="AK77" s="130">
        <f>SUM(AD67:AD76)</f>
        <v>23.001725129384702</v>
      </c>
      <c r="AL77" s="14">
        <f>AJ77/AK77</f>
        <v>12.825125</v>
      </c>
      <c r="AM77" s="14">
        <f>100/AL77</f>
        <v>7.7971949591134591</v>
      </c>
      <c r="AN77" s="166"/>
      <c r="AO77" s="166"/>
      <c r="AP77" s="14"/>
      <c r="AQ77" s="14"/>
      <c r="AR77" s="9">
        <v>185</v>
      </c>
      <c r="AS77" s="119">
        <v>176000</v>
      </c>
      <c r="AT77" s="119">
        <f>AS77-AS44</f>
        <v>1451.7999999999884</v>
      </c>
      <c r="AU77" s="89">
        <f>AT77/(SUM(AD45:AD76))</f>
        <v>14.635945153629143</v>
      </c>
      <c r="AV77" s="9">
        <f>100/AU77</f>
        <v>6.8324934912183588</v>
      </c>
    </row>
    <row r="78" spans="2:48">
      <c r="B78" s="49" t="s">
        <v>1179</v>
      </c>
      <c r="C78" s="151">
        <v>8.6</v>
      </c>
      <c r="D78" s="151">
        <f>C78/$E$63</f>
        <v>0.53255063262103519</v>
      </c>
      <c r="E78" s="151">
        <v>17.7</v>
      </c>
      <c r="F78" s="151">
        <f>E78/$E$63</f>
        <v>1.0960635113246888</v>
      </c>
      <c r="G78" s="145">
        <f>$E$67/$C$80</f>
        <v>42.158516020236092</v>
      </c>
      <c r="H78" s="15"/>
      <c r="I78" s="15"/>
      <c r="J78" s="9">
        <f t="shared" si="1"/>
        <v>45870</v>
      </c>
      <c r="K78" s="85">
        <v>45870</v>
      </c>
      <c r="L78" s="21">
        <f>BILANCIO!CL60+BILANCIO!CL61</f>
        <v>26.86</v>
      </c>
      <c r="M78" s="21">
        <v>0</v>
      </c>
      <c r="N78" s="21">
        <f t="shared" si="28"/>
        <v>83</v>
      </c>
      <c r="O78" s="21">
        <f t="shared" si="29"/>
        <v>188.25</v>
      </c>
      <c r="P78" s="37">
        <f t="shared" si="20"/>
        <v>271.25</v>
      </c>
      <c r="T78" s="37">
        <f t="shared" si="18"/>
        <v>298.11</v>
      </c>
      <c r="U78" s="21">
        <f t="shared" si="19"/>
        <v>26.86</v>
      </c>
      <c r="W78" s="9" t="str">
        <f t="shared" ca="1" si="5"/>
        <v/>
      </c>
      <c r="X78" s="40">
        <v>44853</v>
      </c>
      <c r="Y78" s="168">
        <f t="shared" si="6"/>
        <v>10</v>
      </c>
      <c r="Z78" s="44" t="s">
        <v>1140</v>
      </c>
      <c r="AA78" s="97">
        <v>40</v>
      </c>
      <c r="AB78" s="97"/>
      <c r="AC78" s="97">
        <v>1.879</v>
      </c>
      <c r="AD78" s="165">
        <f>AA78/AC78</f>
        <v>21.287919105907399</v>
      </c>
      <c r="AF78" s="26">
        <f t="shared" si="25"/>
        <v>54.4</v>
      </c>
      <c r="AH78" s="9">
        <f t="shared" si="23"/>
        <v>54.4</v>
      </c>
      <c r="AI78" s="9">
        <f t="shared" si="7"/>
        <v>3352.7000000000003</v>
      </c>
      <c r="AJ78" s="14"/>
      <c r="AK78" s="14"/>
      <c r="AL78" s="14"/>
      <c r="AM78" s="14"/>
      <c r="AN78" s="166"/>
      <c r="AO78" s="166"/>
      <c r="AP78" s="14"/>
      <c r="AQ78" s="14"/>
      <c r="AS78" s="119"/>
      <c r="AT78" s="119"/>
      <c r="AU78" s="89"/>
    </row>
    <row r="79" spans="2:48" ht="15.75" thickBot="1">
      <c r="B79" s="49" t="s">
        <v>1180</v>
      </c>
      <c r="C79" s="187">
        <v>5</v>
      </c>
      <c r="D79" s="151">
        <f>C79/$E$63</f>
        <v>0.30962246082618328</v>
      </c>
      <c r="E79" s="187">
        <v>5</v>
      </c>
      <c r="F79" s="151">
        <f>E79/$E$63</f>
        <v>0.30962246082618328</v>
      </c>
      <c r="G79" s="145">
        <f>$E$67/$D$26</f>
        <v>41.689827682045582</v>
      </c>
      <c r="H79" s="15"/>
      <c r="I79" s="15"/>
      <c r="J79" s="9">
        <f t="shared" si="1"/>
        <v>45901</v>
      </c>
      <c r="K79" s="85">
        <v>45901</v>
      </c>
      <c r="L79" s="21">
        <f>BILANCIO!CM60+BILANCIO!CM61</f>
        <v>0</v>
      </c>
      <c r="M79" s="21">
        <v>0</v>
      </c>
      <c r="N79" s="21">
        <f t="shared" si="28"/>
        <v>83</v>
      </c>
      <c r="O79" s="21">
        <f t="shared" si="29"/>
        <v>188.25</v>
      </c>
      <c r="P79" s="37">
        <f t="shared" si="20"/>
        <v>271.25</v>
      </c>
      <c r="T79" s="37">
        <f t="shared" si="18"/>
        <v>271.25</v>
      </c>
      <c r="U79" s="21">
        <f t="shared" si="19"/>
        <v>0</v>
      </c>
      <c r="W79" s="9" t="str">
        <f t="shared" ca="1" si="5"/>
        <v/>
      </c>
      <c r="X79" s="40">
        <v>44854</v>
      </c>
      <c r="Y79" s="168">
        <f t="shared" si="6"/>
        <v>10</v>
      </c>
      <c r="Z79" s="44" t="s">
        <v>1143</v>
      </c>
      <c r="AA79" s="21">
        <v>0</v>
      </c>
      <c r="AB79" s="21"/>
      <c r="AC79" s="21"/>
      <c r="AF79" s="26">
        <f t="shared" si="25"/>
        <v>54.4</v>
      </c>
      <c r="AG79" s="9">
        <f>9.8*2</f>
        <v>19.600000000000001</v>
      </c>
      <c r="AH79" s="9">
        <f t="shared" si="23"/>
        <v>74</v>
      </c>
      <c r="AI79" s="9">
        <f t="shared" si="7"/>
        <v>3426.7000000000003</v>
      </c>
      <c r="AJ79" s="14"/>
      <c r="AK79" s="14"/>
      <c r="AL79" s="14"/>
      <c r="AM79" s="14"/>
      <c r="AN79" s="166"/>
      <c r="AO79" s="166"/>
      <c r="AP79" s="14"/>
      <c r="AQ79" s="14"/>
    </row>
    <row r="80" spans="2:48">
      <c r="B80" s="49" t="s">
        <v>1181</v>
      </c>
      <c r="C80" s="188">
        <v>1.7789999999999999</v>
      </c>
      <c r="D80" s="189">
        <f>D78*$C$80</f>
        <v>0.94740757543282161</v>
      </c>
      <c r="E80" s="190" t="s">
        <v>1182</v>
      </c>
      <c r="F80" s="191">
        <f>F78*$C$80</f>
        <v>1.9498969866466214</v>
      </c>
      <c r="G80" s="174">
        <f>G78*$C$80</f>
        <v>75</v>
      </c>
      <c r="H80" s="15"/>
      <c r="I80" s="15"/>
      <c r="J80" s="9">
        <f t="shared" si="1"/>
        <v>45931</v>
      </c>
      <c r="K80" s="85">
        <v>45931</v>
      </c>
      <c r="L80" s="21">
        <f>BILANCIO!CN60+BILANCIO!CN61</f>
        <v>0</v>
      </c>
      <c r="M80" s="21">
        <v>0</v>
      </c>
      <c r="N80" s="21">
        <f t="shared" si="28"/>
        <v>83</v>
      </c>
      <c r="O80" s="21">
        <f t="shared" si="29"/>
        <v>188.25</v>
      </c>
      <c r="P80" s="37">
        <f t="shared" si="20"/>
        <v>271.25</v>
      </c>
      <c r="T80" s="37">
        <f t="shared" si="18"/>
        <v>271.25</v>
      </c>
      <c r="U80" s="21">
        <f t="shared" si="19"/>
        <v>0</v>
      </c>
      <c r="W80" s="9" t="str">
        <f t="shared" ca="1" si="5"/>
        <v/>
      </c>
      <c r="X80" s="40">
        <v>44855</v>
      </c>
      <c r="Y80" s="168">
        <f t="shared" si="6"/>
        <v>10</v>
      </c>
      <c r="Z80" s="44" t="s">
        <v>1145</v>
      </c>
      <c r="AA80" s="21">
        <v>0</v>
      </c>
      <c r="AB80" s="21"/>
      <c r="AC80" s="21"/>
      <c r="AF80" s="26">
        <f t="shared" si="25"/>
        <v>54.4</v>
      </c>
      <c r="AG80" s="9">
        <f>3.1*2+9</f>
        <v>15.2</v>
      </c>
      <c r="AH80" s="9">
        <f t="shared" si="23"/>
        <v>69.599999999999994</v>
      </c>
      <c r="AI80" s="9">
        <f t="shared" si="7"/>
        <v>3496.3</v>
      </c>
      <c r="AJ80" s="14"/>
      <c r="AK80" s="14"/>
      <c r="AL80" s="14"/>
      <c r="AM80" s="14"/>
      <c r="AN80" s="166"/>
      <c r="AO80" s="166"/>
      <c r="AP80" s="14"/>
      <c r="AQ80" s="14"/>
    </row>
    <row r="81" spans="2:49" ht="15.75" thickBot="1">
      <c r="B81" s="49" t="s">
        <v>1183</v>
      </c>
      <c r="C81" s="192">
        <f>1.739</f>
        <v>1.7390000000000001</v>
      </c>
      <c r="D81" s="189">
        <f>D79*$C$81</f>
        <v>0.5384334593767327</v>
      </c>
      <c r="E81" s="192">
        <v>1.7390000000000001</v>
      </c>
      <c r="F81" s="191">
        <f>E81*$F$79</f>
        <v>0.5384334593767327</v>
      </c>
      <c r="G81" s="174">
        <f>G79*$E$81</f>
        <v>72.498610339077274</v>
      </c>
      <c r="H81" s="15"/>
      <c r="I81" s="15"/>
      <c r="J81" s="9">
        <f t="shared" si="1"/>
        <v>45962</v>
      </c>
      <c r="K81" s="85">
        <v>45962</v>
      </c>
      <c r="L81" s="21">
        <f>BILANCIO!CO60+BILANCIO!CO61</f>
        <v>0</v>
      </c>
      <c r="M81" s="21">
        <v>0</v>
      </c>
      <c r="N81" s="21">
        <f t="shared" si="28"/>
        <v>83</v>
      </c>
      <c r="O81" s="21">
        <f t="shared" si="29"/>
        <v>188.25</v>
      </c>
      <c r="P81" s="37">
        <f t="shared" si="20"/>
        <v>271.25</v>
      </c>
      <c r="T81" s="37">
        <f t="shared" si="18"/>
        <v>271.25</v>
      </c>
      <c r="U81" s="21">
        <f t="shared" si="19"/>
        <v>0</v>
      </c>
      <c r="W81" s="9" t="str">
        <f t="shared" ca="1" si="5"/>
        <v/>
      </c>
      <c r="X81" s="40">
        <v>44856</v>
      </c>
      <c r="Y81" s="168">
        <f t="shared" si="6"/>
        <v>10</v>
      </c>
      <c r="Z81" s="44" t="s">
        <v>1132</v>
      </c>
      <c r="AA81" s="21">
        <v>0</v>
      </c>
      <c r="AB81" s="21"/>
      <c r="AC81" s="21"/>
      <c r="AF81" s="26"/>
      <c r="AG81" s="9">
        <f>35.8*2</f>
        <v>71.599999999999994</v>
      </c>
      <c r="AH81" s="9">
        <f t="shared" si="23"/>
        <v>71.599999999999994</v>
      </c>
      <c r="AI81" s="9">
        <f t="shared" si="7"/>
        <v>3567.9</v>
      </c>
      <c r="AJ81" s="14"/>
      <c r="AK81" s="14"/>
      <c r="AL81" s="14"/>
      <c r="AM81" s="14"/>
      <c r="AN81" s="166"/>
      <c r="AO81" s="166"/>
      <c r="AP81" s="14"/>
      <c r="AQ81" s="14"/>
    </row>
    <row r="82" spans="2:49">
      <c r="B82" s="49" t="s">
        <v>1184</v>
      </c>
      <c r="C82" s="193">
        <v>46.3</v>
      </c>
      <c r="D82" s="151">
        <f>C82/$E$63</f>
        <v>2.8671039872504571</v>
      </c>
      <c r="E82" s="193">
        <v>30.9</v>
      </c>
      <c r="F82" s="151">
        <f>E82/$E$63</f>
        <v>1.9134668079058126</v>
      </c>
      <c r="G82" s="145">
        <f>$E$67/$C$29</f>
        <v>49.244911359159559</v>
      </c>
      <c r="H82" s="15"/>
      <c r="I82" s="15"/>
      <c r="J82" s="9">
        <f t="shared" si="1"/>
        <v>45992</v>
      </c>
      <c r="K82" s="86">
        <v>45992</v>
      </c>
      <c r="L82" s="68">
        <f>BILANCIO!CP60+BILANCIO!CP61</f>
        <v>0</v>
      </c>
      <c r="M82" s="68">
        <v>0</v>
      </c>
      <c r="N82" s="68">
        <f t="shared" si="28"/>
        <v>83</v>
      </c>
      <c r="O82" s="68">
        <f t="shared" si="29"/>
        <v>188.25</v>
      </c>
      <c r="P82" s="50">
        <f t="shared" si="20"/>
        <v>271.25</v>
      </c>
      <c r="Q82" s="22"/>
      <c r="R82" s="22"/>
      <c r="S82" s="22"/>
      <c r="T82" s="50">
        <f t="shared" si="18"/>
        <v>271.25</v>
      </c>
      <c r="U82" s="68">
        <f t="shared" si="19"/>
        <v>0</v>
      </c>
      <c r="W82" s="9" t="str">
        <f t="shared" ca="1" si="5"/>
        <v/>
      </c>
      <c r="X82" s="40">
        <v>44857</v>
      </c>
      <c r="Y82" s="168">
        <f t="shared" si="6"/>
        <v>10</v>
      </c>
      <c r="Z82" s="44" t="s">
        <v>1134</v>
      </c>
      <c r="AA82" s="97">
        <v>40</v>
      </c>
      <c r="AB82" s="21"/>
      <c r="AC82" s="97">
        <v>1.859</v>
      </c>
      <c r="AD82" s="165">
        <f>AA82/AC82</f>
        <v>21.51694459386767</v>
      </c>
      <c r="AF82" s="26"/>
      <c r="AG82" s="9">
        <v>4.8</v>
      </c>
      <c r="AH82" s="9">
        <f t="shared" si="23"/>
        <v>4.8</v>
      </c>
      <c r="AI82" s="9">
        <f t="shared" si="7"/>
        <v>3572.7000000000003</v>
      </c>
      <c r="AJ82" s="14">
        <f>SUM(AH78:AH81)+AR82</f>
        <v>367.6</v>
      </c>
      <c r="AK82" s="130">
        <f>AD78</f>
        <v>21.287919105907399</v>
      </c>
      <c r="AL82" s="14">
        <f>AJ82/AK82</f>
        <v>17.26801</v>
      </c>
      <c r="AM82" s="14">
        <f>100/AL82</f>
        <v>5.7910552518790528</v>
      </c>
      <c r="AN82" s="166"/>
      <c r="AO82" s="166"/>
      <c r="AP82" s="14"/>
      <c r="AQ82" s="14"/>
      <c r="AR82" s="9">
        <v>98</v>
      </c>
    </row>
    <row r="83" spans="2:49">
      <c r="B83" s="49" t="s">
        <v>1185</v>
      </c>
      <c r="C83" s="187">
        <v>37</v>
      </c>
      <c r="D83" s="151">
        <f>C83/$E$63</f>
        <v>2.2912062101137565</v>
      </c>
      <c r="E83" s="187">
        <v>35.4</v>
      </c>
      <c r="F83" s="151">
        <f>E83/$E$63</f>
        <v>2.1921270226493776</v>
      </c>
      <c r="G83" s="145">
        <f>$E$67/$C$26</f>
        <v>49.244911359159559</v>
      </c>
      <c r="H83" s="1373" t="s">
        <v>1186</v>
      </c>
      <c r="I83" s="15"/>
      <c r="J83" s="9">
        <f t="shared" si="1"/>
        <v>46023</v>
      </c>
      <c r="K83" s="85">
        <v>46023</v>
      </c>
      <c r="L83" s="21"/>
      <c r="M83" s="21">
        <v>0</v>
      </c>
      <c r="N83" s="21">
        <f t="shared" si="28"/>
        <v>83</v>
      </c>
      <c r="O83" s="21">
        <f t="shared" si="29"/>
        <v>188.25</v>
      </c>
      <c r="P83" s="37">
        <f t="shared" si="20"/>
        <v>271.25</v>
      </c>
      <c r="T83" s="37" t="str">
        <f t="shared" si="18"/>
        <v/>
      </c>
      <c r="U83" s="21" t="str">
        <f t="shared" si="19"/>
        <v/>
      </c>
      <c r="W83" s="9" t="str">
        <f t="shared" ca="1" si="5"/>
        <v/>
      </c>
      <c r="X83" s="40">
        <v>44858</v>
      </c>
      <c r="Y83" s="168">
        <f t="shared" si="6"/>
        <v>10</v>
      </c>
      <c r="Z83" s="44" t="s">
        <v>1136</v>
      </c>
      <c r="AA83" s="21">
        <v>0</v>
      </c>
      <c r="AB83" s="21"/>
      <c r="AC83" s="21"/>
      <c r="AF83" s="26">
        <f t="shared" si="25"/>
        <v>54.4</v>
      </c>
      <c r="AG83" s="9">
        <f>9.8*2</f>
        <v>19.600000000000001</v>
      </c>
      <c r="AH83" s="9">
        <f t="shared" si="23"/>
        <v>74</v>
      </c>
      <c r="AI83" s="9">
        <f t="shared" si="7"/>
        <v>3646.7000000000003</v>
      </c>
      <c r="AJ83" s="14"/>
      <c r="AK83" s="14"/>
      <c r="AL83" s="14"/>
      <c r="AM83" s="14"/>
      <c r="AN83" s="166"/>
      <c r="AO83" s="166"/>
      <c r="AP83" s="14"/>
      <c r="AQ83" s="14"/>
    </row>
    <row r="84" spans="2:49">
      <c r="B84" s="49" t="s">
        <v>1187</v>
      </c>
      <c r="C84" s="187">
        <v>30.9</v>
      </c>
      <c r="D84" s="151">
        <f>C84/$E$63</f>
        <v>1.9134668079058126</v>
      </c>
      <c r="E84" s="187">
        <v>30.9</v>
      </c>
      <c r="F84" s="151">
        <f>E84/$E$63</f>
        <v>1.9134668079058126</v>
      </c>
      <c r="G84" s="145">
        <f>$E$67/$C$26</f>
        <v>49.244911359159559</v>
      </c>
      <c r="H84" s="1373" t="s">
        <v>1186</v>
      </c>
      <c r="J84" s="9">
        <f t="shared" si="1"/>
        <v>46054</v>
      </c>
      <c r="K84" s="85">
        <v>46054</v>
      </c>
      <c r="L84" s="21"/>
      <c r="M84" s="21">
        <v>0</v>
      </c>
      <c r="N84" s="21">
        <f t="shared" si="28"/>
        <v>83</v>
      </c>
      <c r="O84" s="21">
        <f t="shared" si="29"/>
        <v>188.25</v>
      </c>
      <c r="P84" s="37">
        <f t="shared" si="20"/>
        <v>271.25</v>
      </c>
      <c r="T84" s="37" t="str">
        <f t="shared" si="18"/>
        <v/>
      </c>
      <c r="U84" s="21" t="str">
        <f t="shared" si="19"/>
        <v/>
      </c>
      <c r="W84" s="9" t="str">
        <f t="shared" ca="1" si="5"/>
        <v/>
      </c>
      <c r="X84" s="40">
        <v>44859</v>
      </c>
      <c r="Y84" s="168">
        <f t="shared" si="6"/>
        <v>10</v>
      </c>
      <c r="Z84" s="44" t="s">
        <v>1138</v>
      </c>
      <c r="AA84" s="21">
        <v>0</v>
      </c>
      <c r="AB84" s="21"/>
      <c r="AC84" s="21"/>
      <c r="AF84" s="26">
        <f t="shared" si="25"/>
        <v>54.4</v>
      </c>
      <c r="AH84" s="9">
        <f t="shared" si="23"/>
        <v>54.4</v>
      </c>
      <c r="AI84" s="9">
        <f t="shared" si="7"/>
        <v>3701.1000000000004</v>
      </c>
      <c r="AJ84" s="14"/>
      <c r="AK84" s="14"/>
      <c r="AL84" s="14"/>
      <c r="AM84" s="14"/>
      <c r="AN84" s="166"/>
      <c r="AO84" s="166"/>
      <c r="AP84" s="14"/>
      <c r="AQ84" s="14"/>
    </row>
    <row r="85" spans="2:49">
      <c r="B85" s="49" t="s">
        <v>1188</v>
      </c>
      <c r="C85" s="194"/>
      <c r="D85" s="189">
        <f>D82*$C$29</f>
        <v>4.3665993725824457</v>
      </c>
      <c r="E85" s="195"/>
      <c r="F85" s="191">
        <f>F82*$C$29</f>
        <v>2.9142099484405524</v>
      </c>
      <c r="G85" s="196">
        <f>G82*$D$26</f>
        <v>88.59159553512805</v>
      </c>
      <c r="H85" s="197"/>
      <c r="J85" s="9">
        <f t="shared" si="1"/>
        <v>46082</v>
      </c>
      <c r="K85" s="85">
        <v>46082</v>
      </c>
      <c r="L85" s="21"/>
      <c r="M85" s="21">
        <v>0</v>
      </c>
      <c r="N85" s="21">
        <f t="shared" ref="N85:N94" si="30">IF($B$7&gt;=J85,83,"")</f>
        <v>83</v>
      </c>
      <c r="O85" s="21">
        <f t="shared" ref="O85:O94" si="31">IF($B$7&gt;=J85,188.25,"")</f>
        <v>188.25</v>
      </c>
      <c r="P85" s="37">
        <f t="shared" ref="P85:P94" si="32">IFERROR(N85+O85,"")</f>
        <v>271.25</v>
      </c>
      <c r="T85" s="37" t="str">
        <f t="shared" si="18"/>
        <v/>
      </c>
      <c r="U85" s="21" t="str">
        <f t="shared" si="19"/>
        <v/>
      </c>
      <c r="W85" s="9" t="str">
        <f t="shared" ca="1" si="5"/>
        <v/>
      </c>
      <c r="X85" s="40">
        <v>44860</v>
      </c>
      <c r="Y85" s="168">
        <f t="shared" si="6"/>
        <v>10</v>
      </c>
      <c r="Z85" s="44" t="s">
        <v>1140</v>
      </c>
      <c r="AA85" s="21">
        <v>0</v>
      </c>
      <c r="AB85" s="21"/>
      <c r="AC85" s="21"/>
      <c r="AF85" s="26">
        <f t="shared" si="25"/>
        <v>54.4</v>
      </c>
      <c r="AG85" s="9">
        <v>4.8</v>
      </c>
      <c r="AH85" s="9">
        <f t="shared" si="23"/>
        <v>59.199999999999996</v>
      </c>
      <c r="AI85" s="9">
        <f t="shared" si="7"/>
        <v>3760.3</v>
      </c>
      <c r="AJ85" s="14"/>
      <c r="AK85" s="14"/>
      <c r="AL85" s="14"/>
      <c r="AM85" s="14"/>
      <c r="AN85" s="166"/>
      <c r="AO85" s="166"/>
      <c r="AP85" s="14"/>
      <c r="AQ85" s="14"/>
      <c r="AR85" s="9">
        <v>243</v>
      </c>
      <c r="AS85" s="9">
        <f>176562+27.7</f>
        <v>176589.7</v>
      </c>
      <c r="AT85" s="119">
        <f>AS85-AS77</f>
        <v>589.70000000001164</v>
      </c>
      <c r="AU85" s="89">
        <f>AT85/(AD82+AD78)</f>
        <v>13.776471854601663</v>
      </c>
      <c r="AV85" s="9">
        <f>100/AU85</f>
        <v>7.2587525351490969</v>
      </c>
      <c r="AW85" s="119">
        <f>AS85-AS44</f>
        <v>2041.5</v>
      </c>
    </row>
    <row r="86" spans="2:49" ht="15.75" thickBot="1">
      <c r="B86" s="49" t="s">
        <v>1189</v>
      </c>
      <c r="C86" s="198"/>
      <c r="D86" s="189">
        <f>D83*$C$29</f>
        <v>3.4895070580032508</v>
      </c>
      <c r="E86" s="199"/>
      <c r="F86" s="191">
        <f>F83*$C$29</f>
        <v>3.3386094554950021</v>
      </c>
      <c r="G86" s="196">
        <f>G83*$D$26</f>
        <v>88.59159553512805</v>
      </c>
      <c r="H86" s="200"/>
      <c r="I86" s="15"/>
      <c r="J86" s="9">
        <f t="shared" si="1"/>
        <v>46113</v>
      </c>
      <c r="K86" s="85">
        <v>46113</v>
      </c>
      <c r="L86" s="21"/>
      <c r="M86" s="21">
        <v>0</v>
      </c>
      <c r="N86" s="21">
        <f t="shared" si="30"/>
        <v>83</v>
      </c>
      <c r="O86" s="21">
        <f t="shared" si="31"/>
        <v>188.25</v>
      </c>
      <c r="P86" s="37">
        <f t="shared" si="32"/>
        <v>271.25</v>
      </c>
      <c r="T86" s="37" t="str">
        <f t="shared" si="18"/>
        <v/>
      </c>
      <c r="U86" s="21" t="str">
        <f t="shared" si="19"/>
        <v/>
      </c>
      <c r="W86" s="9" t="str">
        <f t="shared" ca="1" si="5"/>
        <v/>
      </c>
      <c r="X86" s="39">
        <v>44861</v>
      </c>
      <c r="Y86" s="179">
        <f t="shared" si="6"/>
        <v>10</v>
      </c>
      <c r="Z86" s="107" t="s">
        <v>1143</v>
      </c>
      <c r="AA86" s="68">
        <v>0</v>
      </c>
      <c r="AB86" s="68"/>
      <c r="AC86" s="68"/>
      <c r="AD86" s="22"/>
      <c r="AE86" s="22"/>
      <c r="AF86" s="115">
        <f t="shared" si="25"/>
        <v>54.4</v>
      </c>
      <c r="AG86" s="22">
        <v>4.8</v>
      </c>
      <c r="AH86" s="22">
        <f t="shared" si="23"/>
        <v>59.199999999999996</v>
      </c>
      <c r="AI86" s="22">
        <f t="shared" si="7"/>
        <v>3819.5</v>
      </c>
      <c r="AJ86" s="1372">
        <f>SUM(AH77:AH86)</f>
        <v>580.4</v>
      </c>
      <c r="AK86" s="1372">
        <f>SUM(AH56:AH86)</f>
        <v>1358</v>
      </c>
      <c r="AL86" s="1372">
        <f>SUM(AF56:AF86)</f>
        <v>863.79999999999973</v>
      </c>
      <c r="AM86" s="1372">
        <f>SUM(AG56:AG86)</f>
        <v>494.2000000000001</v>
      </c>
      <c r="AN86" s="181">
        <f>SUM(AD56:AD86)</f>
        <v>100.30917652323683</v>
      </c>
      <c r="AO86" s="182">
        <f>AK86/AN86</f>
        <v>13.538143239421535</v>
      </c>
      <c r="AP86" s="183">
        <f>SUM(AA55:AB86)/SUM(AD55:AD86)</f>
        <v>1.7944519757701591</v>
      </c>
      <c r="AQ86" s="184">
        <f>(AP86/AO86)*(SUM(AH57:AH86))</f>
        <v>176.39469808541975</v>
      </c>
      <c r="AR86" s="50"/>
      <c r="AS86" s="22"/>
      <c r="AT86" s="22"/>
      <c r="AU86" s="22"/>
      <c r="AV86" s="22"/>
    </row>
    <row r="87" spans="2:49">
      <c r="B87" s="49" t="s">
        <v>1190</v>
      </c>
      <c r="C87" s="198"/>
      <c r="D87" s="189">
        <f>D84*$C$29</f>
        <v>2.9142099484405524</v>
      </c>
      <c r="E87" s="199"/>
      <c r="F87" s="191">
        <f>F84*$C$29</f>
        <v>2.9142099484405524</v>
      </c>
      <c r="G87" s="196">
        <f>G84*$D$26</f>
        <v>88.59159553512805</v>
      </c>
      <c r="H87" s="200"/>
      <c r="I87" s="201" t="s">
        <v>1191</v>
      </c>
      <c r="J87" s="9">
        <f t="shared" si="1"/>
        <v>46143</v>
      </c>
      <c r="K87" s="85">
        <v>46143</v>
      </c>
      <c r="L87" s="21"/>
      <c r="M87" s="21">
        <v>0</v>
      </c>
      <c r="N87" s="21">
        <f t="shared" si="30"/>
        <v>83</v>
      </c>
      <c r="O87" s="21">
        <f t="shared" si="31"/>
        <v>188.25</v>
      </c>
      <c r="P87" s="37">
        <f t="shared" si="32"/>
        <v>271.25</v>
      </c>
      <c r="T87" s="37" t="str">
        <f t="shared" si="18"/>
        <v/>
      </c>
      <c r="U87" s="21" t="str">
        <f t="shared" si="19"/>
        <v/>
      </c>
      <c r="W87" s="9" t="str">
        <f t="shared" ca="1" si="5"/>
        <v/>
      </c>
      <c r="X87" s="40">
        <v>44862</v>
      </c>
      <c r="Y87" s="168">
        <f t="shared" si="6"/>
        <v>10</v>
      </c>
      <c r="Z87" s="44" t="s">
        <v>1145</v>
      </c>
      <c r="AA87" s="21">
        <v>0</v>
      </c>
      <c r="AB87" s="21"/>
      <c r="AC87" s="21"/>
      <c r="AF87" s="26"/>
      <c r="AG87" s="9">
        <f>3.2+(7.9*2)+19.6</f>
        <v>38.6</v>
      </c>
      <c r="AH87" s="9">
        <f t="shared" si="23"/>
        <v>38.6</v>
      </c>
      <c r="AI87" s="9">
        <f t="shared" si="7"/>
        <v>3858.1</v>
      </c>
      <c r="AJ87" s="14"/>
      <c r="AK87" s="14"/>
      <c r="AL87" s="14"/>
      <c r="AM87" s="14"/>
      <c r="AN87" s="166"/>
      <c r="AO87" s="166"/>
      <c r="AP87" s="14"/>
      <c r="AQ87" s="14"/>
    </row>
    <row r="88" spans="2:49">
      <c r="B88" s="49" t="s">
        <v>1192</v>
      </c>
      <c r="C88" s="198"/>
      <c r="D88" s="189">
        <f>D80-D85</f>
        <v>-3.4191917971496242</v>
      </c>
      <c r="E88" s="202"/>
      <c r="F88" s="191">
        <f>F80-F85</f>
        <v>-0.964312961793931</v>
      </c>
      <c r="G88" s="196">
        <f>G85-G80</f>
        <v>13.59159553512805</v>
      </c>
      <c r="H88" s="203">
        <v>-1.7</v>
      </c>
      <c r="I88" s="204">
        <f>G88+F88+D88+H88</f>
        <v>7.5080907761844946</v>
      </c>
      <c r="J88" s="9">
        <f t="shared" ref="J88:J151" si="33">K88</f>
        <v>46174</v>
      </c>
      <c r="K88" s="85">
        <v>46174</v>
      </c>
      <c r="L88" s="21"/>
      <c r="M88" s="21">
        <v>0</v>
      </c>
      <c r="N88" s="21">
        <f t="shared" si="30"/>
        <v>83</v>
      </c>
      <c r="O88" s="21">
        <f t="shared" si="31"/>
        <v>188.25</v>
      </c>
      <c r="P88" s="37">
        <f t="shared" si="32"/>
        <v>271.25</v>
      </c>
      <c r="T88" s="37" t="str">
        <f t="shared" si="18"/>
        <v/>
      </c>
      <c r="U88" s="21" t="str">
        <f t="shared" si="19"/>
        <v/>
      </c>
      <c r="W88" s="9" t="str">
        <f t="shared" ca="1" si="5"/>
        <v/>
      </c>
      <c r="X88" s="40">
        <v>44863</v>
      </c>
      <c r="Y88" s="168">
        <f t="shared" si="6"/>
        <v>10</v>
      </c>
      <c r="Z88" s="44" t="s">
        <v>1132</v>
      </c>
      <c r="AA88" s="97">
        <v>50</v>
      </c>
      <c r="AB88" s="97"/>
      <c r="AC88" s="97">
        <v>1.859</v>
      </c>
      <c r="AD88" s="76">
        <f>AA88/AC88</f>
        <v>26.89618074233459</v>
      </c>
      <c r="AF88" s="26"/>
      <c r="AG88" s="9">
        <v>4.8</v>
      </c>
      <c r="AH88" s="9">
        <f t="shared" si="23"/>
        <v>4.8</v>
      </c>
      <c r="AI88" s="9">
        <f t="shared" si="7"/>
        <v>3862.9</v>
      </c>
      <c r="AJ88" s="14"/>
      <c r="AK88" s="14"/>
      <c r="AL88" s="14"/>
      <c r="AM88" s="14"/>
      <c r="AN88" s="166"/>
      <c r="AO88" s="166"/>
      <c r="AP88" s="14"/>
      <c r="AQ88" s="14"/>
      <c r="AS88" s="9">
        <f>AS85+(SUM(AH85:AH87))</f>
        <v>176746.7</v>
      </c>
      <c r="AT88" s="119">
        <f>AS88-AS77</f>
        <v>746.70000000001164</v>
      </c>
      <c r="AU88" s="89">
        <f>AT88/(SUM(AD78:AD87))</f>
        <v>17.444279351926436</v>
      </c>
      <c r="AV88" s="9">
        <f>100/AU88</f>
        <v>5.7325383286158296</v>
      </c>
    </row>
    <row r="89" spans="2:49" ht="15" customHeight="1">
      <c r="B89" s="49" t="s">
        <v>1193</v>
      </c>
      <c r="C89" s="198"/>
      <c r="D89" s="189">
        <f>D80-D86</f>
        <v>-2.5420994825704293</v>
      </c>
      <c r="E89" s="202"/>
      <c r="F89" s="191">
        <f>F80-F86</f>
        <v>-1.3887124688483807</v>
      </c>
      <c r="G89" s="196">
        <f>G86-G80</f>
        <v>13.59159553512805</v>
      </c>
      <c r="H89" s="205"/>
      <c r="I89" s="204">
        <f>G89+F89+D89</f>
        <v>9.6607835837092395</v>
      </c>
      <c r="J89" s="9">
        <f t="shared" si="33"/>
        <v>46204</v>
      </c>
      <c r="K89" s="85">
        <v>46204</v>
      </c>
      <c r="L89" s="21"/>
      <c r="M89" s="21">
        <v>0</v>
      </c>
      <c r="N89" s="21">
        <f t="shared" si="30"/>
        <v>83</v>
      </c>
      <c r="O89" s="21">
        <f t="shared" si="31"/>
        <v>188.25</v>
      </c>
      <c r="P89" s="37">
        <f t="shared" si="32"/>
        <v>271.25</v>
      </c>
      <c r="T89" s="37" t="str">
        <f t="shared" si="18"/>
        <v/>
      </c>
      <c r="U89" s="21" t="str">
        <f t="shared" si="19"/>
        <v/>
      </c>
      <c r="W89" s="9" t="str">
        <f t="shared" ca="1" si="5"/>
        <v/>
      </c>
      <c r="X89" s="40">
        <v>44864</v>
      </c>
      <c r="Y89" s="168">
        <f t="shared" si="6"/>
        <v>10</v>
      </c>
      <c r="Z89" s="44" t="s">
        <v>1134</v>
      </c>
      <c r="AA89" s="21">
        <v>0</v>
      </c>
      <c r="AB89" s="21"/>
      <c r="AC89" s="21"/>
      <c r="AF89" s="26"/>
      <c r="AG89" s="9">
        <f>(143*2)+(16.5*2)</f>
        <v>319</v>
      </c>
      <c r="AH89" s="9">
        <f t="shared" si="23"/>
        <v>319</v>
      </c>
      <c r="AI89" s="9">
        <f t="shared" si="7"/>
        <v>4181.8999999999996</v>
      </c>
      <c r="AJ89" s="14"/>
      <c r="AK89" s="14"/>
      <c r="AL89" s="14"/>
      <c r="AM89" s="14"/>
      <c r="AN89" s="166"/>
      <c r="AO89" s="166"/>
      <c r="AP89" s="14"/>
      <c r="AQ89" s="14"/>
    </row>
    <row r="90" spans="2:49" ht="15" customHeight="1" thickBot="1">
      <c r="B90" s="49" t="s">
        <v>1194</v>
      </c>
      <c r="C90" s="206"/>
      <c r="D90" s="189">
        <f>D81-D87</f>
        <v>-2.3757764890638198</v>
      </c>
      <c r="E90" s="207"/>
      <c r="F90" s="191">
        <f>F81-F85</f>
        <v>-2.3757764890638198</v>
      </c>
      <c r="G90" s="196">
        <f>G85-G81</f>
        <v>16.092985196050776</v>
      </c>
      <c r="H90" s="203">
        <v>-0.62</v>
      </c>
      <c r="I90" s="208">
        <f>G90+F90+D90+H90</f>
        <v>10.721432217923136</v>
      </c>
      <c r="J90" s="9">
        <f t="shared" si="33"/>
        <v>46235</v>
      </c>
      <c r="K90" s="85">
        <v>46235</v>
      </c>
      <c r="L90" s="21"/>
      <c r="M90" s="21">
        <v>0</v>
      </c>
      <c r="N90" s="21">
        <f t="shared" si="30"/>
        <v>83</v>
      </c>
      <c r="O90" s="21">
        <f t="shared" si="31"/>
        <v>188.25</v>
      </c>
      <c r="P90" s="37">
        <f t="shared" si="32"/>
        <v>271.25</v>
      </c>
      <c r="T90" s="37" t="str">
        <f t="shared" si="18"/>
        <v/>
      </c>
      <c r="U90" s="21" t="str">
        <f t="shared" si="19"/>
        <v/>
      </c>
      <c r="W90" s="9" t="str">
        <f t="shared" ref="W90:W153" ca="1" si="34">IF(X90=TODAY(),1,"")</f>
        <v/>
      </c>
      <c r="X90" s="40">
        <v>44865</v>
      </c>
      <c r="Y90" s="168">
        <f t="shared" ref="Y90:Y153" si="35">MONTH(X90)</f>
        <v>10</v>
      </c>
      <c r="Z90" s="44" t="s">
        <v>1136</v>
      </c>
      <c r="AA90" s="21">
        <v>0</v>
      </c>
      <c r="AB90" s="21"/>
      <c r="AC90" s="21"/>
      <c r="AF90" s="26">
        <f t="shared" si="25"/>
        <v>54.4</v>
      </c>
      <c r="AG90" s="9">
        <v>19.600000000000001</v>
      </c>
      <c r="AH90" s="9">
        <f t="shared" si="23"/>
        <v>74</v>
      </c>
      <c r="AI90" s="9">
        <f t="shared" si="7"/>
        <v>4255.8999999999996</v>
      </c>
      <c r="AJ90" s="14"/>
      <c r="AK90" s="14"/>
      <c r="AL90" s="14"/>
      <c r="AM90" s="14"/>
      <c r="AN90" s="166"/>
      <c r="AO90" s="166"/>
      <c r="AP90" s="14"/>
      <c r="AQ90" s="14"/>
    </row>
    <row r="91" spans="2:49">
      <c r="C91" s="15"/>
      <c r="H91" s="15"/>
      <c r="I91" s="1494" t="s">
        <v>1195</v>
      </c>
      <c r="J91" s="9">
        <f t="shared" si="33"/>
        <v>46266</v>
      </c>
      <c r="K91" s="85">
        <v>46266</v>
      </c>
      <c r="L91" s="21"/>
      <c r="M91" s="21">
        <v>0</v>
      </c>
      <c r="N91" s="21">
        <f t="shared" si="30"/>
        <v>83</v>
      </c>
      <c r="O91" s="21">
        <f t="shared" si="31"/>
        <v>188.25</v>
      </c>
      <c r="P91" s="37">
        <f t="shared" si="32"/>
        <v>271.25</v>
      </c>
      <c r="T91" s="37" t="str">
        <f t="shared" si="18"/>
        <v/>
      </c>
      <c r="U91" s="21" t="str">
        <f t="shared" si="19"/>
        <v/>
      </c>
      <c r="W91" s="9" t="str">
        <f t="shared" ca="1" si="34"/>
        <v/>
      </c>
      <c r="X91" s="40">
        <v>44866</v>
      </c>
      <c r="Y91" s="168">
        <f t="shared" si="35"/>
        <v>11</v>
      </c>
      <c r="Z91" s="44" t="s">
        <v>1138</v>
      </c>
      <c r="AA91" s="97">
        <v>40</v>
      </c>
      <c r="AB91" s="97">
        <v>0.62</v>
      </c>
      <c r="AC91" s="97">
        <v>1.59</v>
      </c>
      <c r="AD91" s="76">
        <f>AA91/AC91</f>
        <v>25.157232704402514</v>
      </c>
      <c r="AF91" s="26"/>
      <c r="AG91" s="9">
        <f>4.8+(13.1*2)+(3.6*2)</f>
        <v>38.200000000000003</v>
      </c>
      <c r="AH91" s="9">
        <f t="shared" si="23"/>
        <v>38.200000000000003</v>
      </c>
      <c r="AI91" s="9">
        <f t="shared" ref="AI91:AI154" si="36">AI90+AH91</f>
        <v>4294.0999999999995</v>
      </c>
      <c r="AJ91" s="14"/>
      <c r="AK91" s="14"/>
      <c r="AL91" s="14"/>
      <c r="AM91" s="14"/>
      <c r="AN91" s="166"/>
      <c r="AO91" s="166"/>
      <c r="AP91" s="14"/>
      <c r="AQ91" s="14"/>
    </row>
    <row r="92" spans="2:49" ht="15.75" customHeight="1">
      <c r="E92" s="1505" t="str">
        <f>CONCATENATE("QUANTO COSTANO ",$K$4," € DI GASOLIO A")</f>
        <v>QUANTO COSTANO 75 € DI GASOLIO A</v>
      </c>
      <c r="F92" s="1505" t="str">
        <f>CONCATENATE("QUANTI LITRI SONO ",$K$4," € DI GASOLIO A")</f>
        <v>QUANTI LITRI SONO 75 € DI GASOLIO A</v>
      </c>
      <c r="G92" s="1505" t="str">
        <f>CONCATENATE("CON"," ",K4,"€ E' EQUIVALENTE A FARE")</f>
        <v>CON 75€ E' EQUIVALENTE A FARE</v>
      </c>
      <c r="H92" s="1505" t="str">
        <f>CONCATENATE("QUANTI KM POSSO FARE CON ",$K$4," € DI GASOLIO A")</f>
        <v>QUANTI KM POSSO FARE CON 75 € DI GASOLIO A</v>
      </c>
      <c r="I92" s="1495"/>
      <c r="J92" s="9">
        <f t="shared" si="33"/>
        <v>46296</v>
      </c>
      <c r="K92" s="85">
        <v>46296</v>
      </c>
      <c r="L92" s="21"/>
      <c r="M92" s="21">
        <v>0</v>
      </c>
      <c r="N92" s="21">
        <f t="shared" si="30"/>
        <v>83</v>
      </c>
      <c r="O92" s="21">
        <f t="shared" si="31"/>
        <v>188.25</v>
      </c>
      <c r="P92" s="37">
        <f t="shared" si="32"/>
        <v>271.25</v>
      </c>
      <c r="T92" s="37" t="str">
        <f t="shared" si="18"/>
        <v/>
      </c>
      <c r="U92" s="21" t="str">
        <f t="shared" si="19"/>
        <v/>
      </c>
      <c r="W92" s="9" t="str">
        <f t="shared" ca="1" si="34"/>
        <v/>
      </c>
      <c r="X92" s="40">
        <v>44867</v>
      </c>
      <c r="Y92" s="168">
        <f t="shared" si="35"/>
        <v>11</v>
      </c>
      <c r="Z92" s="44" t="s">
        <v>1140</v>
      </c>
      <c r="AA92" s="21">
        <v>0</v>
      </c>
      <c r="AB92" s="21"/>
      <c r="AC92" s="21"/>
      <c r="AF92" s="26">
        <f t="shared" si="25"/>
        <v>54.4</v>
      </c>
      <c r="AG92" s="9">
        <v>4.8</v>
      </c>
      <c r="AH92" s="9">
        <f t="shared" si="23"/>
        <v>59.199999999999996</v>
      </c>
      <c r="AI92" s="9">
        <f t="shared" si="36"/>
        <v>4353.2999999999993</v>
      </c>
      <c r="AJ92" s="14"/>
      <c r="AK92" s="14"/>
      <c r="AL92" s="14"/>
      <c r="AM92" s="14"/>
      <c r="AN92" s="166"/>
      <c r="AO92" s="166"/>
      <c r="AP92" s="14"/>
      <c r="AQ92" s="14"/>
    </row>
    <row r="93" spans="2:49">
      <c r="E93" s="1506"/>
      <c r="F93" s="1506"/>
      <c r="G93" s="1506"/>
      <c r="H93" s="1506"/>
      <c r="I93" s="1495"/>
      <c r="J93" s="9">
        <f t="shared" si="33"/>
        <v>46327</v>
      </c>
      <c r="K93" s="85">
        <v>46327</v>
      </c>
      <c r="L93" s="21"/>
      <c r="M93" s="21">
        <v>0</v>
      </c>
      <c r="N93" s="21" t="str">
        <f t="shared" si="30"/>
        <v/>
      </c>
      <c r="O93" s="21" t="str">
        <f t="shared" si="31"/>
        <v/>
      </c>
      <c r="P93" s="37" t="str">
        <f t="shared" si="32"/>
        <v/>
      </c>
      <c r="T93" s="37" t="str">
        <f t="shared" si="18"/>
        <v/>
      </c>
      <c r="U93" s="21" t="str">
        <f t="shared" si="19"/>
        <v/>
      </c>
      <c r="W93" s="9" t="str">
        <f t="shared" ca="1" si="34"/>
        <v/>
      </c>
      <c r="X93" s="40">
        <v>44868</v>
      </c>
      <c r="Y93" s="168">
        <f t="shared" si="35"/>
        <v>11</v>
      </c>
      <c r="Z93" s="44" t="s">
        <v>1143</v>
      </c>
      <c r="AA93" s="21">
        <v>0</v>
      </c>
      <c r="AB93" s="21"/>
      <c r="AC93" s="21"/>
      <c r="AF93" s="26">
        <f t="shared" si="25"/>
        <v>54.4</v>
      </c>
      <c r="AG93" s="9">
        <v>4.8</v>
      </c>
      <c r="AH93" s="9">
        <f t="shared" si="23"/>
        <v>59.199999999999996</v>
      </c>
      <c r="AI93" s="9">
        <f t="shared" si="36"/>
        <v>4412.4999999999991</v>
      </c>
      <c r="AJ93" s="14"/>
      <c r="AK93" s="14"/>
      <c r="AL93" s="14"/>
      <c r="AM93" s="14"/>
      <c r="AN93" s="166"/>
      <c r="AO93" s="166"/>
      <c r="AP93" s="14"/>
      <c r="AQ93" s="14"/>
    </row>
    <row r="94" spans="2:49" ht="15" customHeight="1">
      <c r="E94" s="1506"/>
      <c r="F94" s="1506"/>
      <c r="G94" s="1506"/>
      <c r="H94" s="1506"/>
      <c r="I94" s="1495"/>
      <c r="J94" s="9">
        <f t="shared" si="33"/>
        <v>46357</v>
      </c>
      <c r="K94" s="86">
        <v>46357</v>
      </c>
      <c r="L94" s="68"/>
      <c r="M94" s="68">
        <v>0</v>
      </c>
      <c r="N94" s="68" t="str">
        <f t="shared" si="30"/>
        <v/>
      </c>
      <c r="O94" s="68" t="str">
        <f t="shared" si="31"/>
        <v/>
      </c>
      <c r="P94" s="50" t="str">
        <f t="shared" si="32"/>
        <v/>
      </c>
      <c r="Q94" s="22"/>
      <c r="R94" s="22"/>
      <c r="S94" s="22"/>
      <c r="T94" s="50" t="str">
        <f t="shared" si="18"/>
        <v/>
      </c>
      <c r="U94" s="68" t="str">
        <f t="shared" si="19"/>
        <v/>
      </c>
      <c r="W94" s="9" t="str">
        <f t="shared" ca="1" si="34"/>
        <v/>
      </c>
      <c r="X94" s="40">
        <v>44869</v>
      </c>
      <c r="Y94" s="168">
        <f t="shared" si="35"/>
        <v>11</v>
      </c>
      <c r="Z94" s="44" t="s">
        <v>1145</v>
      </c>
      <c r="AA94" s="21">
        <v>0</v>
      </c>
      <c r="AB94" s="21"/>
      <c r="AC94" s="21"/>
      <c r="AF94" s="26">
        <f t="shared" si="25"/>
        <v>54.4</v>
      </c>
      <c r="AG94" s="9">
        <f>19.6*2</f>
        <v>39.200000000000003</v>
      </c>
      <c r="AH94" s="9">
        <f t="shared" si="23"/>
        <v>93.6</v>
      </c>
      <c r="AI94" s="9">
        <f t="shared" si="36"/>
        <v>4506.0999999999995</v>
      </c>
      <c r="AJ94" s="14"/>
      <c r="AK94" s="14"/>
      <c r="AL94" s="14"/>
      <c r="AM94" s="14"/>
      <c r="AN94" s="166"/>
      <c r="AO94" s="166"/>
      <c r="AP94" s="14"/>
      <c r="AQ94" s="14"/>
    </row>
    <row r="95" spans="2:49">
      <c r="E95" s="1507"/>
      <c r="F95" s="1507"/>
      <c r="G95" s="1507"/>
      <c r="H95" s="1507"/>
      <c r="I95" s="209" t="s">
        <v>1196</v>
      </c>
      <c r="J95" s="9">
        <f t="shared" si="33"/>
        <v>46388</v>
      </c>
      <c r="K95" s="85">
        <v>46388</v>
      </c>
      <c r="L95" s="21"/>
      <c r="M95" s="21">
        <v>0</v>
      </c>
      <c r="N95" s="21" t="str">
        <f t="shared" si="28"/>
        <v/>
      </c>
      <c r="O95" s="21" t="str">
        <f t="shared" si="29"/>
        <v/>
      </c>
      <c r="P95" s="37" t="str">
        <f t="shared" si="20"/>
        <v/>
      </c>
      <c r="T95" s="37" t="str">
        <f t="shared" si="18"/>
        <v/>
      </c>
      <c r="U95" s="21" t="str">
        <f t="shared" si="19"/>
        <v/>
      </c>
      <c r="W95" s="9" t="str">
        <f t="shared" ca="1" si="34"/>
        <v/>
      </c>
      <c r="X95" s="40">
        <v>44870</v>
      </c>
      <c r="Y95" s="168">
        <f t="shared" si="35"/>
        <v>11</v>
      </c>
      <c r="Z95" s="44" t="s">
        <v>1132</v>
      </c>
      <c r="AA95" s="21">
        <v>0</v>
      </c>
      <c r="AB95" s="21"/>
      <c r="AC95" s="21"/>
      <c r="AF95" s="26"/>
      <c r="AG95" s="9">
        <f>4.8+5.1+5.7</f>
        <v>15.599999999999998</v>
      </c>
      <c r="AH95" s="9">
        <f t="shared" si="23"/>
        <v>15.599999999999998</v>
      </c>
      <c r="AI95" s="9">
        <f t="shared" si="36"/>
        <v>4521.7</v>
      </c>
      <c r="AJ95" s="14"/>
      <c r="AK95" s="14"/>
      <c r="AL95" s="14"/>
      <c r="AM95" s="14"/>
      <c r="AN95" s="166"/>
      <c r="AO95" s="166"/>
      <c r="AP95" s="14"/>
      <c r="AQ95" s="14"/>
    </row>
    <row r="96" spans="2:49">
      <c r="C96" s="49" t="s">
        <v>1197</v>
      </c>
      <c r="D96" s="1373" t="s">
        <v>1198</v>
      </c>
      <c r="E96" s="210">
        <f>E67+D85</f>
        <v>79.366599372582442</v>
      </c>
      <c r="F96" s="145">
        <f>G84-F84-D84</f>
        <v>45.417977743347933</v>
      </c>
      <c r="G96" s="211">
        <f>(F96*$C$26)</f>
        <v>69.171580103118899</v>
      </c>
      <c r="H96" s="58">
        <f>F96*$E$63</f>
        <v>733.44126298454819</v>
      </c>
      <c r="I96" s="142">
        <f>$K$4/F96</f>
        <v>1.6513284766621901</v>
      </c>
      <c r="J96" s="9">
        <f t="shared" si="33"/>
        <v>46419</v>
      </c>
      <c r="K96" s="85">
        <v>46419</v>
      </c>
      <c r="L96" s="21"/>
      <c r="M96" s="21">
        <v>0</v>
      </c>
      <c r="N96" s="21" t="str">
        <f t="shared" si="28"/>
        <v/>
      </c>
      <c r="O96" s="21" t="str">
        <f t="shared" si="29"/>
        <v/>
      </c>
      <c r="P96" s="37" t="str">
        <f t="shared" si="20"/>
        <v/>
      </c>
      <c r="T96" s="37" t="str">
        <f t="shared" si="18"/>
        <v/>
      </c>
      <c r="U96" s="21" t="str">
        <f t="shared" si="19"/>
        <v/>
      </c>
      <c r="W96" s="9" t="str">
        <f t="shared" ca="1" si="34"/>
        <v/>
      </c>
      <c r="X96" s="40">
        <v>44871</v>
      </c>
      <c r="Y96" s="168">
        <f t="shared" si="35"/>
        <v>11</v>
      </c>
      <c r="Z96" s="44" t="s">
        <v>1134</v>
      </c>
      <c r="AA96" s="21">
        <v>0</v>
      </c>
      <c r="AB96" s="21"/>
      <c r="AC96" s="21"/>
      <c r="AF96" s="26"/>
      <c r="AG96" s="9">
        <f>4.8+(5.7*2)</f>
        <v>16.2</v>
      </c>
      <c r="AH96" s="9">
        <f t="shared" si="23"/>
        <v>16.2</v>
      </c>
      <c r="AI96" s="9">
        <f t="shared" si="36"/>
        <v>4537.8999999999996</v>
      </c>
      <c r="AJ96" s="14"/>
      <c r="AK96" s="14"/>
      <c r="AL96" s="14"/>
      <c r="AM96" s="14"/>
      <c r="AN96" s="166"/>
      <c r="AO96" s="166"/>
      <c r="AP96" s="14"/>
      <c r="AQ96" s="14"/>
    </row>
    <row r="97" spans="3:48">
      <c r="C97" s="49" t="s">
        <v>1199</v>
      </c>
      <c r="D97" s="1373" t="s">
        <v>1200</v>
      </c>
      <c r="E97" s="210">
        <f>E67+D86</f>
        <v>78.489507058003255</v>
      </c>
      <c r="F97" s="212">
        <f>G83-F83-D83</f>
        <v>44.761578126396422</v>
      </c>
      <c r="G97" s="211">
        <f>(F97*$C$26)</f>
        <v>68.171883486501741</v>
      </c>
      <c r="H97" s="213">
        <f>F97*$E$63</f>
        <v>722.84126298454817</v>
      </c>
      <c r="I97" s="142">
        <f t="shared" ref="I97:I99" si="37">$K$4/F97</f>
        <v>1.6755441416345334</v>
      </c>
      <c r="J97" s="9">
        <f t="shared" si="33"/>
        <v>46447</v>
      </c>
      <c r="K97" s="85">
        <v>46447</v>
      </c>
      <c r="L97" s="21"/>
      <c r="M97" s="21">
        <v>0</v>
      </c>
      <c r="N97" s="21" t="str">
        <f t="shared" si="28"/>
        <v/>
      </c>
      <c r="O97" s="21" t="str">
        <f t="shared" si="29"/>
        <v/>
      </c>
      <c r="P97" s="37" t="str">
        <f t="shared" si="20"/>
        <v/>
      </c>
      <c r="T97" s="37" t="str">
        <f t="shared" si="18"/>
        <v/>
      </c>
      <c r="U97" s="21" t="str">
        <f t="shared" si="19"/>
        <v/>
      </c>
      <c r="W97" s="9" t="str">
        <f t="shared" ca="1" si="34"/>
        <v/>
      </c>
      <c r="X97" s="40">
        <v>44872</v>
      </c>
      <c r="Y97" s="168">
        <f t="shared" si="35"/>
        <v>11</v>
      </c>
      <c r="Z97" s="44" t="s">
        <v>1136</v>
      </c>
      <c r="AA97" s="21">
        <v>0</v>
      </c>
      <c r="AB97" s="21"/>
      <c r="AC97" s="21"/>
      <c r="AF97" s="26">
        <v>112</v>
      </c>
      <c r="AH97" s="9">
        <f t="shared" si="23"/>
        <v>112</v>
      </c>
      <c r="AI97" s="9">
        <f t="shared" si="36"/>
        <v>4649.8999999999996</v>
      </c>
      <c r="AJ97" s="14"/>
      <c r="AK97" s="14"/>
      <c r="AL97" s="14"/>
      <c r="AM97" s="14"/>
      <c r="AN97" s="166"/>
      <c r="AO97" s="166"/>
      <c r="AP97" s="14"/>
      <c r="AQ97" s="14"/>
    </row>
    <row r="98" spans="3:48">
      <c r="C98" s="49" t="s">
        <v>1199</v>
      </c>
      <c r="D98" s="1373" t="s">
        <v>1201</v>
      </c>
      <c r="E98" s="210">
        <f>G80+D80+F80</f>
        <v>77.897304562079441</v>
      </c>
      <c r="F98" s="212">
        <f>G78-D78-F78</f>
        <v>40.529901876290367</v>
      </c>
      <c r="G98" s="211">
        <f>F98*$C$80</f>
        <v>72.102695437920559</v>
      </c>
      <c r="H98" s="213">
        <f>F98*$E$63</f>
        <v>654.50519591088641</v>
      </c>
      <c r="I98" s="142">
        <f t="shared" si="37"/>
        <v>1.8504856051446386</v>
      </c>
      <c r="J98" s="9">
        <f t="shared" si="33"/>
        <v>46478</v>
      </c>
      <c r="K98" s="85">
        <v>46478</v>
      </c>
      <c r="L98" s="21"/>
      <c r="M98" s="21">
        <v>0</v>
      </c>
      <c r="N98" s="21" t="str">
        <f t="shared" si="28"/>
        <v/>
      </c>
      <c r="O98" s="21" t="str">
        <f t="shared" si="29"/>
        <v/>
      </c>
      <c r="P98" s="37" t="str">
        <f t="shared" si="20"/>
        <v/>
      </c>
      <c r="T98" s="37" t="str">
        <f t="shared" si="18"/>
        <v/>
      </c>
      <c r="U98" s="21" t="str">
        <f t="shared" si="19"/>
        <v/>
      </c>
      <c r="W98" s="9" t="str">
        <f t="shared" ca="1" si="34"/>
        <v/>
      </c>
      <c r="X98" s="40">
        <v>44873</v>
      </c>
      <c r="Y98" s="168">
        <f t="shared" si="35"/>
        <v>11</v>
      </c>
      <c r="Z98" s="44" t="s">
        <v>1138</v>
      </c>
      <c r="AA98" s="21">
        <v>0</v>
      </c>
      <c r="AB98" s="21"/>
      <c r="AC98" s="21"/>
      <c r="AF98" s="26"/>
      <c r="AH98" s="9">
        <f t="shared" si="23"/>
        <v>0</v>
      </c>
      <c r="AI98" s="9">
        <f t="shared" si="36"/>
        <v>4649.8999999999996</v>
      </c>
      <c r="AJ98" s="14"/>
      <c r="AK98" s="14"/>
      <c r="AL98" s="14"/>
      <c r="AM98" s="14"/>
      <c r="AN98" s="166"/>
      <c r="AO98" s="166"/>
      <c r="AP98" s="14"/>
      <c r="AQ98" s="14"/>
    </row>
    <row r="99" spans="3:48">
      <c r="C99" s="49" t="s">
        <v>1202</v>
      </c>
      <c r="D99" s="1373" t="s">
        <v>1203</v>
      </c>
      <c r="E99" s="210">
        <f>G81+D81+F81</f>
        <v>73.575477257830741</v>
      </c>
      <c r="F99" s="212">
        <f>G79-D79-F79</f>
        <v>41.070582760393215</v>
      </c>
      <c r="G99" s="211">
        <f>F99*$E$81</f>
        <v>71.421743420323807</v>
      </c>
      <c r="H99" s="213">
        <f>F99*$E$63</f>
        <v>663.23648889686876</v>
      </c>
      <c r="I99" s="142">
        <f t="shared" si="37"/>
        <v>1.8261245631100935</v>
      </c>
      <c r="J99" s="9">
        <f t="shared" si="33"/>
        <v>46508</v>
      </c>
      <c r="K99" s="85">
        <v>46508</v>
      </c>
      <c r="L99" s="21"/>
      <c r="M99" s="21">
        <v>0</v>
      </c>
      <c r="N99" s="21" t="str">
        <f t="shared" si="28"/>
        <v/>
      </c>
      <c r="O99" s="21" t="str">
        <f t="shared" si="29"/>
        <v/>
      </c>
      <c r="P99" s="37" t="str">
        <f t="shared" si="20"/>
        <v/>
      </c>
      <c r="T99" s="37" t="str">
        <f t="shared" si="18"/>
        <v/>
      </c>
      <c r="U99" s="21" t="str">
        <f t="shared" si="19"/>
        <v/>
      </c>
      <c r="W99" s="9" t="str">
        <f t="shared" ca="1" si="34"/>
        <v/>
      </c>
      <c r="X99" s="40">
        <v>44874</v>
      </c>
      <c r="Y99" s="168">
        <f t="shared" si="35"/>
        <v>11</v>
      </c>
      <c r="Z99" s="44" t="s">
        <v>1140</v>
      </c>
      <c r="AA99" s="21">
        <v>0</v>
      </c>
      <c r="AB99" s="21"/>
      <c r="AC99" s="21"/>
      <c r="AF99" s="26"/>
      <c r="AH99" s="9">
        <f t="shared" si="23"/>
        <v>0</v>
      </c>
      <c r="AI99" s="9">
        <f t="shared" si="36"/>
        <v>4649.8999999999996</v>
      </c>
      <c r="AJ99" s="14"/>
      <c r="AK99" s="14"/>
      <c r="AL99" s="14"/>
      <c r="AM99" s="14"/>
      <c r="AN99" s="166"/>
      <c r="AO99" s="166"/>
      <c r="AP99" s="14"/>
      <c r="AQ99" s="14"/>
    </row>
    <row r="100" spans="3:48">
      <c r="J100" s="9">
        <f t="shared" si="33"/>
        <v>46539</v>
      </c>
      <c r="K100" s="85">
        <v>46539</v>
      </c>
      <c r="L100" s="21"/>
      <c r="M100" s="21">
        <v>0</v>
      </c>
      <c r="N100" s="21" t="str">
        <f t="shared" si="28"/>
        <v/>
      </c>
      <c r="O100" s="21" t="str">
        <f t="shared" si="29"/>
        <v/>
      </c>
      <c r="P100" s="37" t="str">
        <f t="shared" si="20"/>
        <v/>
      </c>
      <c r="T100" s="37" t="str">
        <f t="shared" si="18"/>
        <v/>
      </c>
      <c r="U100" s="21" t="str">
        <f t="shared" si="19"/>
        <v/>
      </c>
      <c r="W100" s="9" t="str">
        <f t="shared" ca="1" si="34"/>
        <v/>
      </c>
      <c r="X100" s="40">
        <v>44875</v>
      </c>
      <c r="Y100" s="168">
        <f t="shared" si="35"/>
        <v>11</v>
      </c>
      <c r="Z100" s="44" t="s">
        <v>1143</v>
      </c>
      <c r="AA100" s="21">
        <v>0</v>
      </c>
      <c r="AB100" s="21"/>
      <c r="AC100" s="21"/>
      <c r="AF100" s="26"/>
      <c r="AH100" s="9">
        <f t="shared" si="23"/>
        <v>0</v>
      </c>
      <c r="AI100" s="9">
        <f t="shared" si="36"/>
        <v>4649.8999999999996</v>
      </c>
      <c r="AJ100" s="14"/>
      <c r="AK100" s="14"/>
      <c r="AL100" s="14"/>
      <c r="AM100" s="14"/>
      <c r="AN100" s="166"/>
      <c r="AO100" s="166"/>
      <c r="AP100" s="14"/>
      <c r="AQ100" s="14"/>
    </row>
    <row r="101" spans="3:48">
      <c r="J101" s="9">
        <f t="shared" si="33"/>
        <v>46569</v>
      </c>
      <c r="K101" s="85">
        <v>46569</v>
      </c>
      <c r="L101" s="21"/>
      <c r="M101" s="21">
        <v>0</v>
      </c>
      <c r="N101" s="21" t="str">
        <f t="shared" si="28"/>
        <v/>
      </c>
      <c r="O101" s="21" t="str">
        <f t="shared" si="29"/>
        <v/>
      </c>
      <c r="P101" s="37" t="str">
        <f t="shared" si="20"/>
        <v/>
      </c>
      <c r="T101" s="37" t="str">
        <f t="shared" si="18"/>
        <v/>
      </c>
      <c r="U101" s="21" t="str">
        <f t="shared" si="19"/>
        <v/>
      </c>
      <c r="W101" s="9" t="str">
        <f t="shared" ca="1" si="34"/>
        <v/>
      </c>
      <c r="X101" s="40">
        <v>44876</v>
      </c>
      <c r="Y101" s="168">
        <f t="shared" si="35"/>
        <v>11</v>
      </c>
      <c r="Z101" s="44" t="s">
        <v>1145</v>
      </c>
      <c r="AA101" s="97">
        <v>60</v>
      </c>
      <c r="AB101" s="97"/>
      <c r="AC101" s="97">
        <v>2.2999999999999998</v>
      </c>
      <c r="AD101" s="76">
        <f>AA101/AC101</f>
        <v>26.086956521739133</v>
      </c>
      <c r="AF101" s="26">
        <v>112</v>
      </c>
      <c r="AH101" s="9">
        <f t="shared" si="23"/>
        <v>112</v>
      </c>
      <c r="AI101" s="9">
        <f t="shared" si="36"/>
        <v>4761.8999999999996</v>
      </c>
      <c r="AJ101" s="14"/>
      <c r="AK101" s="14"/>
      <c r="AL101" s="14"/>
      <c r="AM101" s="14"/>
      <c r="AN101" s="166"/>
      <c r="AO101" s="166"/>
      <c r="AP101" s="14"/>
      <c r="AQ101" s="14"/>
    </row>
    <row r="102" spans="3:48">
      <c r="J102" s="9">
        <f t="shared" si="33"/>
        <v>46600</v>
      </c>
      <c r="K102" s="85">
        <v>46600</v>
      </c>
      <c r="L102" s="21"/>
      <c r="M102" s="21">
        <v>0</v>
      </c>
      <c r="N102" s="21" t="str">
        <f t="shared" ref="N102:N133" si="38">IF($B$7&gt;=J102,83,"")</f>
        <v/>
      </c>
      <c r="O102" s="21" t="str">
        <f t="shared" ref="O102:O133" si="39">IF($B$7&gt;=J102,188.25,"")</f>
        <v/>
      </c>
      <c r="P102" s="37" t="str">
        <f t="shared" si="20"/>
        <v/>
      </c>
      <c r="T102" s="37" t="str">
        <f t="shared" si="18"/>
        <v/>
      </c>
      <c r="U102" s="21" t="str">
        <f t="shared" si="19"/>
        <v/>
      </c>
      <c r="W102" s="9" t="str">
        <f t="shared" ca="1" si="34"/>
        <v/>
      </c>
      <c r="X102" s="40">
        <v>44877</v>
      </c>
      <c r="Y102" s="168">
        <f t="shared" si="35"/>
        <v>11</v>
      </c>
      <c r="Z102" s="44" t="s">
        <v>1132</v>
      </c>
      <c r="AA102" s="21">
        <v>0</v>
      </c>
      <c r="AB102" s="21"/>
      <c r="AC102" s="21"/>
      <c r="AF102" s="26"/>
      <c r="AG102" s="9">
        <v>4.8</v>
      </c>
      <c r="AH102" s="9">
        <f t="shared" si="23"/>
        <v>4.8</v>
      </c>
      <c r="AI102" s="9">
        <f t="shared" si="36"/>
        <v>4766.7</v>
      </c>
      <c r="AJ102" s="14"/>
      <c r="AK102" s="14"/>
      <c r="AL102" s="14"/>
      <c r="AM102" s="14"/>
      <c r="AN102" s="166"/>
      <c r="AO102" s="166"/>
      <c r="AP102" s="14"/>
      <c r="AQ102" s="14"/>
    </row>
    <row r="103" spans="3:48">
      <c r="J103" s="9">
        <f t="shared" si="33"/>
        <v>46631</v>
      </c>
      <c r="K103" s="85">
        <v>46631</v>
      </c>
      <c r="L103" s="21"/>
      <c r="M103" s="21">
        <v>0</v>
      </c>
      <c r="N103" s="21" t="str">
        <f t="shared" si="38"/>
        <v/>
      </c>
      <c r="O103" s="21" t="str">
        <f t="shared" si="39"/>
        <v/>
      </c>
      <c r="P103" s="37" t="str">
        <f t="shared" si="20"/>
        <v/>
      </c>
      <c r="T103" s="37" t="str">
        <f t="shared" si="18"/>
        <v/>
      </c>
      <c r="U103" s="21" t="str">
        <f t="shared" si="19"/>
        <v/>
      </c>
      <c r="W103" s="9" t="str">
        <f t="shared" ca="1" si="34"/>
        <v/>
      </c>
      <c r="X103" s="40">
        <v>44878</v>
      </c>
      <c r="Y103" s="168">
        <f t="shared" si="35"/>
        <v>11</v>
      </c>
      <c r="Z103" s="44" t="s">
        <v>1134</v>
      </c>
      <c r="AA103" s="21">
        <v>0</v>
      </c>
      <c r="AB103" s="21"/>
      <c r="AC103" s="21"/>
      <c r="AF103" s="26"/>
      <c r="AG103" s="9">
        <f>4.8+(4.8+2)</f>
        <v>11.6</v>
      </c>
      <c r="AH103" s="9">
        <f t="shared" si="23"/>
        <v>11.6</v>
      </c>
      <c r="AI103" s="9">
        <f t="shared" si="36"/>
        <v>4778.3</v>
      </c>
      <c r="AJ103" s="14"/>
      <c r="AK103" s="14"/>
      <c r="AL103" s="14"/>
      <c r="AM103" s="14"/>
      <c r="AN103" s="166"/>
      <c r="AO103" s="166"/>
      <c r="AP103" s="14"/>
      <c r="AQ103" s="14"/>
    </row>
    <row r="104" spans="3:48">
      <c r="J104" s="9">
        <f t="shared" si="33"/>
        <v>46661</v>
      </c>
      <c r="K104" s="85">
        <v>46661</v>
      </c>
      <c r="L104" s="21"/>
      <c r="M104" s="21">
        <v>0</v>
      </c>
      <c r="N104" s="21" t="str">
        <f t="shared" si="38"/>
        <v/>
      </c>
      <c r="O104" s="21" t="str">
        <f t="shared" si="39"/>
        <v/>
      </c>
      <c r="P104" s="37" t="str">
        <f t="shared" si="20"/>
        <v/>
      </c>
      <c r="T104" s="37" t="str">
        <f t="shared" si="18"/>
        <v/>
      </c>
      <c r="U104" s="21" t="str">
        <f t="shared" si="19"/>
        <v/>
      </c>
      <c r="W104" s="9" t="str">
        <f t="shared" ca="1" si="34"/>
        <v/>
      </c>
      <c r="X104" s="40">
        <v>44879</v>
      </c>
      <c r="Y104" s="168">
        <f t="shared" si="35"/>
        <v>11</v>
      </c>
      <c r="Z104" s="44" t="s">
        <v>1136</v>
      </c>
      <c r="AA104" s="21">
        <v>0</v>
      </c>
      <c r="AB104" s="21"/>
      <c r="AC104" s="21"/>
      <c r="AF104" s="26">
        <f>54.4/2</f>
        <v>27.2</v>
      </c>
      <c r="AH104" s="9">
        <f t="shared" si="23"/>
        <v>27.2</v>
      </c>
      <c r="AI104" s="9">
        <f t="shared" si="36"/>
        <v>4805.5</v>
      </c>
      <c r="AJ104" s="14"/>
      <c r="AK104" s="14"/>
      <c r="AL104" s="14"/>
      <c r="AM104" s="14"/>
      <c r="AN104" s="166"/>
      <c r="AO104" s="166"/>
      <c r="AP104" s="14"/>
      <c r="AQ104" s="14"/>
    </row>
    <row r="105" spans="3:48">
      <c r="J105" s="9">
        <f t="shared" si="33"/>
        <v>46692</v>
      </c>
      <c r="K105" s="85">
        <v>46692</v>
      </c>
      <c r="L105" s="21"/>
      <c r="M105" s="21">
        <v>0</v>
      </c>
      <c r="N105" s="21" t="str">
        <f t="shared" si="38"/>
        <v/>
      </c>
      <c r="O105" s="21" t="str">
        <f t="shared" si="39"/>
        <v/>
      </c>
      <c r="P105" s="37" t="str">
        <f t="shared" si="20"/>
        <v/>
      </c>
      <c r="T105" s="37" t="str">
        <f t="shared" si="18"/>
        <v/>
      </c>
      <c r="U105" s="21" t="str">
        <f t="shared" si="19"/>
        <v/>
      </c>
      <c r="W105" s="9" t="str">
        <f t="shared" ca="1" si="34"/>
        <v/>
      </c>
      <c r="X105" s="40">
        <v>44880</v>
      </c>
      <c r="Y105" s="168">
        <f t="shared" si="35"/>
        <v>11</v>
      </c>
      <c r="Z105" s="44" t="s">
        <v>1138</v>
      </c>
      <c r="AA105" s="21">
        <v>0</v>
      </c>
      <c r="AB105" s="21"/>
      <c r="AC105" s="21"/>
      <c r="AF105" s="26"/>
      <c r="AH105" s="9">
        <f t="shared" si="23"/>
        <v>0</v>
      </c>
      <c r="AI105" s="9">
        <f t="shared" si="36"/>
        <v>4805.5</v>
      </c>
      <c r="AJ105" s="14"/>
      <c r="AK105" s="14"/>
      <c r="AL105" s="14"/>
      <c r="AM105" s="14"/>
      <c r="AN105" s="166"/>
      <c r="AO105" s="166"/>
      <c r="AP105" s="14"/>
      <c r="AQ105" s="14"/>
    </row>
    <row r="106" spans="3:48">
      <c r="J106" s="9">
        <f t="shared" si="33"/>
        <v>46722</v>
      </c>
      <c r="K106" s="86">
        <v>46722</v>
      </c>
      <c r="L106" s="68"/>
      <c r="M106" s="68">
        <v>0</v>
      </c>
      <c r="N106" s="68" t="str">
        <f t="shared" si="38"/>
        <v/>
      </c>
      <c r="O106" s="68" t="str">
        <f t="shared" si="39"/>
        <v/>
      </c>
      <c r="P106" s="50" t="str">
        <f t="shared" si="20"/>
        <v/>
      </c>
      <c r="Q106" s="22"/>
      <c r="R106" s="22"/>
      <c r="S106" s="22"/>
      <c r="T106" s="50" t="str">
        <f t="shared" si="18"/>
        <v/>
      </c>
      <c r="U106" s="68" t="str">
        <f t="shared" si="19"/>
        <v/>
      </c>
      <c r="W106" s="9" t="str">
        <f t="shared" ca="1" si="34"/>
        <v/>
      </c>
      <c r="X106" s="40">
        <v>44881</v>
      </c>
      <c r="Y106" s="168">
        <f t="shared" si="35"/>
        <v>11</v>
      </c>
      <c r="Z106" s="44" t="s">
        <v>1140</v>
      </c>
      <c r="AA106" s="21">
        <v>0</v>
      </c>
      <c r="AB106" s="21"/>
      <c r="AC106" s="21"/>
      <c r="AF106" s="26"/>
      <c r="AH106" s="9">
        <f t="shared" si="23"/>
        <v>0</v>
      </c>
      <c r="AI106" s="9">
        <f t="shared" si="36"/>
        <v>4805.5</v>
      </c>
      <c r="AJ106" s="14"/>
      <c r="AK106" s="14"/>
      <c r="AL106" s="14"/>
      <c r="AM106" s="14"/>
      <c r="AN106" s="166"/>
      <c r="AO106" s="166"/>
      <c r="AP106" s="14"/>
      <c r="AQ106" s="14"/>
    </row>
    <row r="107" spans="3:48">
      <c r="J107" s="9">
        <f t="shared" si="33"/>
        <v>46753</v>
      </c>
      <c r="K107" s="85">
        <v>46753</v>
      </c>
      <c r="L107" s="21"/>
      <c r="M107" s="21">
        <v>0</v>
      </c>
      <c r="N107" s="21" t="str">
        <f t="shared" si="38"/>
        <v/>
      </c>
      <c r="O107" s="21" t="str">
        <f t="shared" si="39"/>
        <v/>
      </c>
      <c r="P107" s="37" t="str">
        <f t="shared" si="20"/>
        <v/>
      </c>
      <c r="T107" s="37" t="str">
        <f t="shared" si="18"/>
        <v/>
      </c>
      <c r="U107" s="21" t="str">
        <f t="shared" si="19"/>
        <v/>
      </c>
      <c r="W107" s="9" t="str">
        <f t="shared" ca="1" si="34"/>
        <v/>
      </c>
      <c r="X107" s="40">
        <v>44882</v>
      </c>
      <c r="Y107" s="168">
        <f t="shared" si="35"/>
        <v>11</v>
      </c>
      <c r="Z107" s="44" t="s">
        <v>1143</v>
      </c>
      <c r="AA107" s="21">
        <v>0</v>
      </c>
      <c r="AB107" s="21"/>
      <c r="AC107" s="21"/>
      <c r="AF107" s="26">
        <v>27.2</v>
      </c>
      <c r="AG107" s="9">
        <v>4.8</v>
      </c>
      <c r="AH107" s="9">
        <f t="shared" si="23"/>
        <v>32</v>
      </c>
      <c r="AI107" s="9">
        <f t="shared" si="36"/>
        <v>4837.5</v>
      </c>
      <c r="AJ107" s="14"/>
      <c r="AK107" s="14"/>
      <c r="AL107" s="14"/>
      <c r="AM107" s="14"/>
      <c r="AN107" s="166"/>
      <c r="AO107" s="166"/>
      <c r="AP107" s="14"/>
      <c r="AQ107" s="14"/>
    </row>
    <row r="108" spans="3:48">
      <c r="J108" s="9">
        <f t="shared" si="33"/>
        <v>46784</v>
      </c>
      <c r="K108" s="85">
        <v>46784</v>
      </c>
      <c r="L108" s="21"/>
      <c r="M108" s="21">
        <v>0</v>
      </c>
      <c r="N108" s="21" t="str">
        <f t="shared" si="38"/>
        <v/>
      </c>
      <c r="O108" s="21" t="str">
        <f t="shared" si="39"/>
        <v/>
      </c>
      <c r="P108" s="37" t="str">
        <f t="shared" si="20"/>
        <v/>
      </c>
      <c r="T108" s="37" t="str">
        <f t="shared" si="18"/>
        <v/>
      </c>
      <c r="U108" s="21" t="str">
        <f t="shared" si="19"/>
        <v/>
      </c>
      <c r="W108" s="9" t="str">
        <f t="shared" ca="1" si="34"/>
        <v/>
      </c>
      <c r="X108" s="40">
        <v>44883</v>
      </c>
      <c r="Y108" s="168">
        <f t="shared" si="35"/>
        <v>11</v>
      </c>
      <c r="Z108" s="44" t="s">
        <v>1145</v>
      </c>
      <c r="AA108" s="21">
        <v>0</v>
      </c>
      <c r="AB108" s="21"/>
      <c r="AC108" s="21"/>
      <c r="AF108" s="26">
        <f t="shared" si="25"/>
        <v>54.4</v>
      </c>
      <c r="AH108" s="9">
        <f t="shared" si="23"/>
        <v>54.4</v>
      </c>
      <c r="AI108" s="9">
        <f t="shared" si="36"/>
        <v>4891.8999999999996</v>
      </c>
      <c r="AJ108" s="14">
        <f>SUM(AH88:AH108)+AR108</f>
        <v>1333.8000000000002</v>
      </c>
      <c r="AK108" s="14">
        <f>SUM(AD88:AD101)</f>
        <v>78.140369968476236</v>
      </c>
      <c r="AL108" s="14">
        <f>AJ108/AK108</f>
        <v>17.069281864650605</v>
      </c>
      <c r="AM108" s="14">
        <f>100/AL108</f>
        <v>5.8584772805875112</v>
      </c>
      <c r="AN108" s="166"/>
      <c r="AO108" s="166"/>
      <c r="AP108" s="14"/>
      <c r="AQ108" s="14"/>
      <c r="AR108" s="9">
        <v>300</v>
      </c>
      <c r="AS108" s="9">
        <v>177776</v>
      </c>
      <c r="AT108" s="9">
        <f>AS108-AS88</f>
        <v>1029.2999999999884</v>
      </c>
      <c r="AU108" s="9">
        <f>(AT108+AR108)/(AD101+AD91+AD88)</f>
        <v>17.011693194391849</v>
      </c>
      <c r="AV108" s="9">
        <f>100/AU108</f>
        <v>5.8783096342794643</v>
      </c>
    </row>
    <row r="109" spans="3:48">
      <c r="J109" s="9">
        <f t="shared" si="33"/>
        <v>46813</v>
      </c>
      <c r="K109" s="85">
        <v>46813</v>
      </c>
      <c r="L109" s="21"/>
      <c r="M109" s="21">
        <v>0</v>
      </c>
      <c r="N109" s="21" t="str">
        <f t="shared" si="38"/>
        <v/>
      </c>
      <c r="O109" s="21" t="str">
        <f t="shared" si="39"/>
        <v/>
      </c>
      <c r="P109" s="37" t="str">
        <f t="shared" si="20"/>
        <v/>
      </c>
      <c r="T109" s="37" t="str">
        <f t="shared" si="18"/>
        <v/>
      </c>
      <c r="U109" s="21" t="str">
        <f t="shared" si="19"/>
        <v/>
      </c>
      <c r="W109" s="9" t="str">
        <f t="shared" ca="1" si="34"/>
        <v/>
      </c>
      <c r="X109" s="40">
        <v>44884</v>
      </c>
      <c r="Y109" s="168">
        <f t="shared" si="35"/>
        <v>11</v>
      </c>
      <c r="Z109" s="44" t="s">
        <v>1132</v>
      </c>
      <c r="AA109" s="21">
        <v>0</v>
      </c>
      <c r="AB109" s="21"/>
      <c r="AC109" s="21"/>
      <c r="AF109" s="26"/>
      <c r="AG109" s="9">
        <f>4.8+4.8</f>
        <v>9.6</v>
      </c>
      <c r="AH109" s="9">
        <f t="shared" si="23"/>
        <v>9.6</v>
      </c>
      <c r="AI109" s="9">
        <f t="shared" si="36"/>
        <v>4901.5</v>
      </c>
      <c r="AJ109" s="14"/>
      <c r="AK109" s="14"/>
      <c r="AL109" s="14"/>
      <c r="AM109" s="14"/>
      <c r="AN109" s="166"/>
      <c r="AO109" s="166"/>
      <c r="AP109" s="14"/>
      <c r="AQ109" s="14"/>
    </row>
    <row r="110" spans="3:48">
      <c r="J110" s="9">
        <f t="shared" si="33"/>
        <v>46844</v>
      </c>
      <c r="K110" s="85">
        <v>46844</v>
      </c>
      <c r="L110" s="21"/>
      <c r="M110" s="21">
        <v>0</v>
      </c>
      <c r="N110" s="21" t="str">
        <f t="shared" si="38"/>
        <v/>
      </c>
      <c r="O110" s="21" t="str">
        <f t="shared" si="39"/>
        <v/>
      </c>
      <c r="P110" s="37" t="str">
        <f t="shared" si="20"/>
        <v/>
      </c>
      <c r="T110" s="37" t="str">
        <f t="shared" si="18"/>
        <v/>
      </c>
      <c r="U110" s="21" t="str">
        <f t="shared" si="19"/>
        <v/>
      </c>
      <c r="W110" s="9" t="str">
        <f t="shared" ca="1" si="34"/>
        <v/>
      </c>
      <c r="X110" s="40">
        <v>44885</v>
      </c>
      <c r="Y110" s="168">
        <f t="shared" si="35"/>
        <v>11</v>
      </c>
      <c r="Z110" s="44" t="s">
        <v>1134</v>
      </c>
      <c r="AA110" s="97">
        <v>60.01</v>
      </c>
      <c r="AB110" s="97">
        <v>0.62</v>
      </c>
      <c r="AC110" s="97">
        <v>1.819</v>
      </c>
      <c r="AD110" s="76">
        <f>AA110/AC110</f>
        <v>32.990654205607477</v>
      </c>
      <c r="AF110" s="26"/>
      <c r="AG110" s="9">
        <f>4.8+(38.4*2)</f>
        <v>81.599999999999994</v>
      </c>
      <c r="AH110" s="9">
        <f t="shared" si="23"/>
        <v>81.599999999999994</v>
      </c>
      <c r="AI110" s="9">
        <f t="shared" si="36"/>
        <v>4983.1000000000004</v>
      </c>
      <c r="AJ110" s="14"/>
      <c r="AK110" s="14"/>
      <c r="AL110" s="14"/>
      <c r="AM110" s="14"/>
      <c r="AN110" s="166"/>
      <c r="AO110" s="166"/>
      <c r="AP110" s="14"/>
      <c r="AQ110" s="14"/>
    </row>
    <row r="111" spans="3:48">
      <c r="J111" s="9">
        <f t="shared" si="33"/>
        <v>46874</v>
      </c>
      <c r="K111" s="85">
        <v>46874</v>
      </c>
      <c r="L111" s="21"/>
      <c r="M111" s="21">
        <v>0</v>
      </c>
      <c r="N111" s="21" t="str">
        <f t="shared" si="38"/>
        <v/>
      </c>
      <c r="O111" s="21" t="str">
        <f t="shared" si="39"/>
        <v/>
      </c>
      <c r="P111" s="37" t="str">
        <f t="shared" si="20"/>
        <v/>
      </c>
      <c r="T111" s="37" t="str">
        <f t="shared" ref="T111:T166" si="40">IF(L111&lt;&gt;"",SUM(L111,M111,P111,Q111,R111,S111),"")</f>
        <v/>
      </c>
      <c r="U111" s="21" t="str">
        <f t="shared" ref="U111:U166" si="41">IF(L111&lt;&gt;"",SUM(L111,M111,Q111,R111,S111,S111),"")</f>
        <v/>
      </c>
      <c r="W111" s="9" t="str">
        <f t="shared" ca="1" si="34"/>
        <v/>
      </c>
      <c r="X111" s="40">
        <v>44886</v>
      </c>
      <c r="Y111" s="168">
        <f t="shared" si="35"/>
        <v>11</v>
      </c>
      <c r="Z111" s="44" t="s">
        <v>1136</v>
      </c>
      <c r="AA111" s="21">
        <v>0</v>
      </c>
      <c r="AB111" s="21"/>
      <c r="AC111" s="21"/>
      <c r="AF111" s="26">
        <f t="shared" si="25"/>
        <v>54.4</v>
      </c>
      <c r="AH111" s="9">
        <f t="shared" si="23"/>
        <v>54.4</v>
      </c>
      <c r="AI111" s="9">
        <f t="shared" si="36"/>
        <v>5037.5</v>
      </c>
      <c r="AJ111" s="14"/>
      <c r="AK111" s="14"/>
      <c r="AL111" s="14"/>
      <c r="AM111" s="14"/>
      <c r="AN111" s="166"/>
      <c r="AO111" s="166"/>
      <c r="AP111" s="14"/>
      <c r="AQ111" s="14"/>
    </row>
    <row r="112" spans="3:48">
      <c r="J112" s="9">
        <f t="shared" si="33"/>
        <v>46905</v>
      </c>
      <c r="K112" s="85">
        <v>46905</v>
      </c>
      <c r="L112" s="21"/>
      <c r="M112" s="21">
        <v>0</v>
      </c>
      <c r="N112" s="21" t="str">
        <f t="shared" si="38"/>
        <v/>
      </c>
      <c r="O112" s="21" t="str">
        <f t="shared" si="39"/>
        <v/>
      </c>
      <c r="P112" s="37" t="str">
        <f t="shared" ref="P112:P166" si="42">IFERROR(N112+O112,"")</f>
        <v/>
      </c>
      <c r="T112" s="37" t="str">
        <f t="shared" si="40"/>
        <v/>
      </c>
      <c r="U112" s="21" t="str">
        <f t="shared" si="41"/>
        <v/>
      </c>
      <c r="W112" s="9" t="str">
        <f t="shared" ca="1" si="34"/>
        <v/>
      </c>
      <c r="X112" s="40">
        <v>44887</v>
      </c>
      <c r="Y112" s="168">
        <f t="shared" si="35"/>
        <v>11</v>
      </c>
      <c r="Z112" s="44" t="s">
        <v>1138</v>
      </c>
      <c r="AA112" s="21">
        <v>0</v>
      </c>
      <c r="AB112" s="21"/>
      <c r="AC112" s="21"/>
      <c r="AF112" s="26">
        <f t="shared" si="25"/>
        <v>54.4</v>
      </c>
      <c r="AH112" s="9">
        <f t="shared" si="23"/>
        <v>54.4</v>
      </c>
      <c r="AI112" s="9">
        <f t="shared" si="36"/>
        <v>5091.8999999999996</v>
      </c>
      <c r="AJ112" s="14"/>
      <c r="AK112" s="14"/>
      <c r="AL112" s="14"/>
      <c r="AM112" s="14"/>
      <c r="AN112" s="166"/>
      <c r="AO112" s="166"/>
      <c r="AP112" s="14"/>
      <c r="AQ112" s="14"/>
    </row>
    <row r="113" spans="10:44">
      <c r="J113" s="9">
        <f t="shared" si="33"/>
        <v>46935</v>
      </c>
      <c r="K113" s="85">
        <v>46935</v>
      </c>
      <c r="L113" s="21"/>
      <c r="M113" s="21">
        <v>0</v>
      </c>
      <c r="N113" s="21" t="str">
        <f t="shared" si="38"/>
        <v/>
      </c>
      <c r="O113" s="21" t="str">
        <f t="shared" si="39"/>
        <v/>
      </c>
      <c r="P113" s="37" t="str">
        <f t="shared" si="42"/>
        <v/>
      </c>
      <c r="T113" s="37" t="str">
        <f t="shared" si="40"/>
        <v/>
      </c>
      <c r="U113" s="21" t="str">
        <f t="shared" si="41"/>
        <v/>
      </c>
      <c r="W113" s="9" t="str">
        <f t="shared" ca="1" si="34"/>
        <v/>
      </c>
      <c r="X113" s="40">
        <v>44888</v>
      </c>
      <c r="Y113" s="168">
        <f t="shared" si="35"/>
        <v>11</v>
      </c>
      <c r="Z113" s="44" t="s">
        <v>1140</v>
      </c>
      <c r="AA113" s="21">
        <v>0</v>
      </c>
      <c r="AB113" s="21"/>
      <c r="AC113" s="21"/>
      <c r="AF113" s="26">
        <f t="shared" si="25"/>
        <v>54.4</v>
      </c>
      <c r="AH113" s="9">
        <f t="shared" si="23"/>
        <v>54.4</v>
      </c>
      <c r="AI113" s="9">
        <f t="shared" si="36"/>
        <v>5146.2999999999993</v>
      </c>
      <c r="AJ113" s="14"/>
      <c r="AK113" s="14"/>
      <c r="AL113" s="14"/>
      <c r="AM113" s="14"/>
      <c r="AN113" s="166"/>
      <c r="AO113" s="166"/>
      <c r="AP113" s="14"/>
      <c r="AQ113" s="14"/>
    </row>
    <row r="114" spans="10:44">
      <c r="J114" s="9">
        <f t="shared" si="33"/>
        <v>46966</v>
      </c>
      <c r="K114" s="85">
        <v>46966</v>
      </c>
      <c r="L114" s="21"/>
      <c r="M114" s="21">
        <v>0</v>
      </c>
      <c r="N114" s="21" t="str">
        <f t="shared" si="38"/>
        <v/>
      </c>
      <c r="O114" s="21" t="str">
        <f t="shared" si="39"/>
        <v/>
      </c>
      <c r="P114" s="37" t="str">
        <f t="shared" si="42"/>
        <v/>
      </c>
      <c r="T114" s="37" t="str">
        <f t="shared" si="40"/>
        <v/>
      </c>
      <c r="U114" s="21" t="str">
        <f t="shared" si="41"/>
        <v/>
      </c>
      <c r="W114" s="9" t="str">
        <f t="shared" ca="1" si="34"/>
        <v/>
      </c>
      <c r="X114" s="40">
        <v>44889</v>
      </c>
      <c r="Y114" s="168">
        <f t="shared" si="35"/>
        <v>11</v>
      </c>
      <c r="Z114" s="44" t="s">
        <v>1143</v>
      </c>
      <c r="AA114" s="21">
        <v>0</v>
      </c>
      <c r="AB114" s="21"/>
      <c r="AC114" s="21"/>
      <c r="AF114" s="26">
        <f t="shared" si="25"/>
        <v>54.4</v>
      </c>
      <c r="AH114" s="9">
        <f t="shared" si="23"/>
        <v>54.4</v>
      </c>
      <c r="AI114" s="9">
        <f t="shared" si="36"/>
        <v>5200.6999999999989</v>
      </c>
      <c r="AJ114" s="14"/>
      <c r="AK114" s="14"/>
      <c r="AL114" s="14"/>
      <c r="AM114" s="14"/>
      <c r="AN114" s="166"/>
      <c r="AO114" s="166"/>
      <c r="AP114" s="14"/>
      <c r="AQ114" s="14"/>
    </row>
    <row r="115" spans="10:44">
      <c r="J115" s="9">
        <f t="shared" si="33"/>
        <v>46997</v>
      </c>
      <c r="K115" s="85">
        <v>46997</v>
      </c>
      <c r="L115" s="21"/>
      <c r="M115" s="21">
        <v>0</v>
      </c>
      <c r="N115" s="21" t="str">
        <f t="shared" si="38"/>
        <v/>
      </c>
      <c r="O115" s="21" t="str">
        <f t="shared" si="39"/>
        <v/>
      </c>
      <c r="P115" s="37" t="str">
        <f t="shared" si="42"/>
        <v/>
      </c>
      <c r="T115" s="37" t="str">
        <f t="shared" si="40"/>
        <v/>
      </c>
      <c r="U115" s="21" t="str">
        <f t="shared" si="41"/>
        <v/>
      </c>
      <c r="W115" s="9" t="str">
        <f t="shared" ca="1" si="34"/>
        <v/>
      </c>
      <c r="X115" s="40">
        <v>44890</v>
      </c>
      <c r="Y115" s="168">
        <f t="shared" si="35"/>
        <v>11</v>
      </c>
      <c r="Z115" s="44" t="s">
        <v>1145</v>
      </c>
      <c r="AA115" s="21">
        <v>0</v>
      </c>
      <c r="AB115" s="21"/>
      <c r="AC115" s="21"/>
      <c r="AF115" s="26">
        <f t="shared" si="25"/>
        <v>54.4</v>
      </c>
      <c r="AH115" s="9">
        <f t="shared" si="23"/>
        <v>54.4</v>
      </c>
      <c r="AI115" s="9">
        <f t="shared" si="36"/>
        <v>5255.0999999999985</v>
      </c>
      <c r="AJ115" s="14"/>
      <c r="AK115" s="14"/>
      <c r="AL115" s="14"/>
      <c r="AM115" s="14"/>
      <c r="AN115" s="166"/>
      <c r="AO115" s="166"/>
      <c r="AP115" s="14"/>
      <c r="AQ115" s="14"/>
    </row>
    <row r="116" spans="10:44">
      <c r="J116" s="9">
        <f t="shared" si="33"/>
        <v>47027</v>
      </c>
      <c r="K116" s="85">
        <v>47027</v>
      </c>
      <c r="L116" s="21"/>
      <c r="M116" s="21">
        <v>0</v>
      </c>
      <c r="N116" s="21" t="str">
        <f t="shared" si="38"/>
        <v/>
      </c>
      <c r="O116" s="21" t="str">
        <f t="shared" si="39"/>
        <v/>
      </c>
      <c r="P116" s="37" t="str">
        <f t="shared" si="42"/>
        <v/>
      </c>
      <c r="T116" s="37" t="str">
        <f t="shared" si="40"/>
        <v/>
      </c>
      <c r="U116" s="21" t="str">
        <f t="shared" si="41"/>
        <v/>
      </c>
      <c r="W116" s="9" t="str">
        <f t="shared" ca="1" si="34"/>
        <v/>
      </c>
      <c r="X116" s="40">
        <v>44891</v>
      </c>
      <c r="Y116" s="168">
        <f t="shared" si="35"/>
        <v>11</v>
      </c>
      <c r="Z116" s="44" t="s">
        <v>1132</v>
      </c>
      <c r="AA116" s="97">
        <v>30.01</v>
      </c>
      <c r="AB116" s="97">
        <v>0.62</v>
      </c>
      <c r="AC116" s="97">
        <v>1.7889999999999999</v>
      </c>
      <c r="AD116" s="76">
        <f>AA116/AC116</f>
        <v>16.774734488541085</v>
      </c>
      <c r="AF116" s="26"/>
      <c r="AG116" s="9">
        <f>4.8+4.8</f>
        <v>9.6</v>
      </c>
      <c r="AH116" s="9">
        <f t="shared" si="23"/>
        <v>9.6</v>
      </c>
      <c r="AI116" s="9">
        <f t="shared" si="36"/>
        <v>5264.6999999999989</v>
      </c>
      <c r="AJ116" s="63" t="s">
        <v>1072</v>
      </c>
      <c r="AK116" s="14" t="s">
        <v>1077</v>
      </c>
      <c r="AL116" s="14" t="s">
        <v>1204</v>
      </c>
      <c r="AM116" s="14" t="s">
        <v>1205</v>
      </c>
      <c r="AN116" s="166" t="s">
        <v>1069</v>
      </c>
      <c r="AO116" s="166" t="s">
        <v>1206</v>
      </c>
      <c r="AP116" s="14"/>
      <c r="AQ116" s="14"/>
    </row>
    <row r="117" spans="10:44">
      <c r="J117" s="9">
        <f t="shared" si="33"/>
        <v>47058</v>
      </c>
      <c r="K117" s="85">
        <v>47058</v>
      </c>
      <c r="L117" s="21"/>
      <c r="M117" s="21">
        <v>0</v>
      </c>
      <c r="N117" s="21" t="str">
        <f t="shared" si="38"/>
        <v/>
      </c>
      <c r="O117" s="21" t="str">
        <f t="shared" si="39"/>
        <v/>
      </c>
      <c r="P117" s="37" t="str">
        <f t="shared" si="42"/>
        <v/>
      </c>
      <c r="T117" s="37" t="str">
        <f t="shared" si="40"/>
        <v/>
      </c>
      <c r="U117" s="21" t="str">
        <f t="shared" si="41"/>
        <v/>
      </c>
      <c r="W117" s="9" t="str">
        <f t="shared" ca="1" si="34"/>
        <v/>
      </c>
      <c r="X117" s="39">
        <v>44892</v>
      </c>
      <c r="Y117" s="179">
        <f t="shared" si="35"/>
        <v>11</v>
      </c>
      <c r="Z117" s="107" t="s">
        <v>1134</v>
      </c>
      <c r="AA117" s="68">
        <v>0</v>
      </c>
      <c r="AB117" s="68"/>
      <c r="AC117" s="68"/>
      <c r="AD117" s="22"/>
      <c r="AE117" s="22"/>
      <c r="AF117" s="115"/>
      <c r="AG117" s="22">
        <v>4.8</v>
      </c>
      <c r="AH117" s="22">
        <f t="shared" si="23"/>
        <v>4.8</v>
      </c>
      <c r="AI117" s="22">
        <f t="shared" si="36"/>
        <v>5269.4999999999991</v>
      </c>
      <c r="AJ117" s="1372"/>
      <c r="AK117" s="1372">
        <f>SUM(AH87:AH117)</f>
        <v>1450.0000000000002</v>
      </c>
      <c r="AL117" s="1372">
        <f>SUM(AF87:AF117)</f>
        <v>822.39999999999986</v>
      </c>
      <c r="AM117" s="1372">
        <f>SUM(AG87:AG117)</f>
        <v>627.6</v>
      </c>
      <c r="AN117" s="181">
        <f>SUM(AD87:AD117)</f>
        <v>127.90575866262479</v>
      </c>
      <c r="AO117" s="182">
        <f>AK117/AN117</f>
        <v>11.336471595658525</v>
      </c>
      <c r="AP117" s="183">
        <f>SUM(AA86:AB117)/SUM(AD86:AD117)</f>
        <v>1.891079827281299</v>
      </c>
      <c r="AQ117" s="184">
        <f>(AP117/AO117)*(SUM(AH87:AH117))</f>
        <v>241.88</v>
      </c>
      <c r="AR117" s="50"/>
    </row>
    <row r="118" spans="10:44">
      <c r="J118" s="9">
        <f t="shared" si="33"/>
        <v>47088</v>
      </c>
      <c r="K118" s="86">
        <v>47088</v>
      </c>
      <c r="L118" s="68"/>
      <c r="M118" s="68">
        <v>0</v>
      </c>
      <c r="N118" s="68" t="str">
        <f t="shared" si="38"/>
        <v/>
      </c>
      <c r="O118" s="68" t="str">
        <f t="shared" si="39"/>
        <v/>
      </c>
      <c r="P118" s="50" t="str">
        <f t="shared" si="42"/>
        <v/>
      </c>
      <c r="Q118" s="22"/>
      <c r="R118" s="22"/>
      <c r="S118" s="22"/>
      <c r="T118" s="50" t="str">
        <f t="shared" si="40"/>
        <v/>
      </c>
      <c r="U118" s="68" t="str">
        <f t="shared" si="41"/>
        <v/>
      </c>
      <c r="W118" s="9" t="str">
        <f t="shared" ca="1" si="34"/>
        <v/>
      </c>
      <c r="X118" s="40">
        <v>44893</v>
      </c>
      <c r="Y118" s="168">
        <f t="shared" si="35"/>
        <v>11</v>
      </c>
      <c r="Z118" s="44" t="s">
        <v>1136</v>
      </c>
      <c r="AA118" s="21">
        <v>0</v>
      </c>
      <c r="AB118" s="21"/>
      <c r="AC118" s="21"/>
      <c r="AF118" s="26">
        <v>27.2</v>
      </c>
      <c r="AH118" s="9">
        <f t="shared" si="23"/>
        <v>27.2</v>
      </c>
      <c r="AI118" s="9">
        <f t="shared" si="36"/>
        <v>5296.6999999999989</v>
      </c>
      <c r="AJ118" s="14"/>
      <c r="AK118" s="14"/>
      <c r="AL118" s="14"/>
      <c r="AM118" s="14"/>
      <c r="AN118" s="166"/>
      <c r="AO118" s="166"/>
      <c r="AP118" s="14"/>
      <c r="AQ118" s="14"/>
    </row>
    <row r="119" spans="10:44">
      <c r="J119" s="9">
        <f t="shared" si="33"/>
        <v>47119</v>
      </c>
      <c r="K119" s="85">
        <v>47119</v>
      </c>
      <c r="L119" s="21"/>
      <c r="M119" s="21">
        <v>0</v>
      </c>
      <c r="N119" s="21" t="str">
        <f t="shared" si="38"/>
        <v/>
      </c>
      <c r="O119" s="21" t="str">
        <f t="shared" si="39"/>
        <v/>
      </c>
      <c r="P119" s="37" t="str">
        <f t="shared" si="42"/>
        <v/>
      </c>
      <c r="T119" s="37" t="str">
        <f t="shared" si="40"/>
        <v/>
      </c>
      <c r="U119" s="21" t="str">
        <f t="shared" si="41"/>
        <v/>
      </c>
      <c r="W119" s="9" t="str">
        <f t="shared" ca="1" si="34"/>
        <v/>
      </c>
      <c r="X119" s="40">
        <v>44894</v>
      </c>
      <c r="Y119" s="168">
        <f t="shared" si="35"/>
        <v>11</v>
      </c>
      <c r="Z119" s="44" t="s">
        <v>1138</v>
      </c>
      <c r="AA119" s="21">
        <v>0</v>
      </c>
      <c r="AB119" s="21"/>
      <c r="AC119" s="21"/>
      <c r="AF119" s="26"/>
      <c r="AH119" s="9">
        <f t="shared" si="23"/>
        <v>0</v>
      </c>
      <c r="AI119" s="9">
        <f t="shared" si="36"/>
        <v>5296.6999999999989</v>
      </c>
      <c r="AJ119" s="14"/>
      <c r="AK119" s="14"/>
      <c r="AL119" s="14"/>
      <c r="AM119" s="14"/>
      <c r="AN119" s="166"/>
      <c r="AO119" s="166"/>
      <c r="AP119" s="14"/>
      <c r="AQ119" s="14"/>
    </row>
    <row r="120" spans="10:44">
      <c r="J120" s="9">
        <f t="shared" si="33"/>
        <v>47150</v>
      </c>
      <c r="K120" s="85">
        <v>47150</v>
      </c>
      <c r="L120" s="21"/>
      <c r="M120" s="21">
        <v>0</v>
      </c>
      <c r="N120" s="21" t="str">
        <f t="shared" si="38"/>
        <v/>
      </c>
      <c r="O120" s="21" t="str">
        <f t="shared" si="39"/>
        <v/>
      </c>
      <c r="P120" s="37" t="str">
        <f t="shared" si="42"/>
        <v/>
      </c>
      <c r="T120" s="37" t="str">
        <f t="shared" si="40"/>
        <v/>
      </c>
      <c r="U120" s="21" t="str">
        <f t="shared" si="41"/>
        <v/>
      </c>
      <c r="W120" s="9" t="str">
        <f t="shared" ca="1" si="34"/>
        <v/>
      </c>
      <c r="X120" s="40">
        <v>44895</v>
      </c>
      <c r="Y120" s="168">
        <f t="shared" si="35"/>
        <v>11</v>
      </c>
      <c r="Z120" s="44" t="s">
        <v>1140</v>
      </c>
      <c r="AA120" s="21">
        <v>0</v>
      </c>
      <c r="AB120" s="21"/>
      <c r="AC120" s="21"/>
      <c r="AF120" s="26"/>
      <c r="AH120" s="9">
        <f t="shared" si="23"/>
        <v>0</v>
      </c>
      <c r="AI120" s="9">
        <f t="shared" si="36"/>
        <v>5296.6999999999989</v>
      </c>
      <c r="AJ120" s="14"/>
      <c r="AK120" s="14"/>
      <c r="AL120" s="14"/>
      <c r="AM120" s="14"/>
      <c r="AN120" s="166"/>
      <c r="AO120" s="166"/>
      <c r="AP120" s="14"/>
      <c r="AQ120" s="14"/>
    </row>
    <row r="121" spans="10:44">
      <c r="J121" s="9">
        <f t="shared" si="33"/>
        <v>47178</v>
      </c>
      <c r="K121" s="85">
        <v>47178</v>
      </c>
      <c r="L121" s="21"/>
      <c r="M121" s="21">
        <v>0</v>
      </c>
      <c r="N121" s="21" t="str">
        <f t="shared" si="38"/>
        <v/>
      </c>
      <c r="O121" s="21" t="str">
        <f t="shared" si="39"/>
        <v/>
      </c>
      <c r="P121" s="37" t="str">
        <f t="shared" si="42"/>
        <v/>
      </c>
      <c r="T121" s="37" t="str">
        <f t="shared" si="40"/>
        <v/>
      </c>
      <c r="U121" s="21" t="str">
        <f t="shared" si="41"/>
        <v/>
      </c>
      <c r="W121" s="9" t="str">
        <f t="shared" ca="1" si="34"/>
        <v/>
      </c>
      <c r="X121" s="40">
        <v>44896</v>
      </c>
      <c r="Y121" s="168">
        <f t="shared" si="35"/>
        <v>12</v>
      </c>
      <c r="Z121" s="44" t="s">
        <v>1143</v>
      </c>
      <c r="AA121" s="21">
        <v>0</v>
      </c>
      <c r="AB121" s="21"/>
      <c r="AC121" s="21"/>
      <c r="AF121" s="26"/>
      <c r="AH121" s="9">
        <f t="shared" si="23"/>
        <v>0</v>
      </c>
      <c r="AI121" s="9">
        <f t="shared" si="36"/>
        <v>5296.6999999999989</v>
      </c>
      <c r="AJ121" s="14"/>
      <c r="AK121" s="14"/>
      <c r="AL121" s="14"/>
      <c r="AM121" s="14"/>
      <c r="AN121" s="166"/>
      <c r="AO121" s="166"/>
      <c r="AP121" s="14"/>
      <c r="AQ121" s="14"/>
    </row>
    <row r="122" spans="10:44">
      <c r="J122" s="9">
        <f t="shared" si="33"/>
        <v>47209</v>
      </c>
      <c r="K122" s="85">
        <v>47209</v>
      </c>
      <c r="L122" s="21"/>
      <c r="M122" s="21">
        <v>0</v>
      </c>
      <c r="N122" s="21" t="str">
        <f t="shared" si="38"/>
        <v/>
      </c>
      <c r="O122" s="21" t="str">
        <f t="shared" si="39"/>
        <v/>
      </c>
      <c r="P122" s="37" t="str">
        <f t="shared" si="42"/>
        <v/>
      </c>
      <c r="T122" s="37" t="str">
        <f t="shared" si="40"/>
        <v/>
      </c>
      <c r="U122" s="21" t="str">
        <f t="shared" si="41"/>
        <v/>
      </c>
      <c r="W122" s="9" t="str">
        <f t="shared" ca="1" si="34"/>
        <v/>
      </c>
      <c r="X122" s="40">
        <v>44897</v>
      </c>
      <c r="Y122" s="168">
        <f t="shared" si="35"/>
        <v>12</v>
      </c>
      <c r="Z122" s="44" t="s">
        <v>1145</v>
      </c>
      <c r="AA122" s="21">
        <v>0</v>
      </c>
      <c r="AB122" s="21"/>
      <c r="AC122" s="21"/>
      <c r="AF122" s="26">
        <v>27.2</v>
      </c>
      <c r="AH122" s="9">
        <f t="shared" si="23"/>
        <v>27.2</v>
      </c>
      <c r="AI122" s="9">
        <f t="shared" si="36"/>
        <v>5323.8999999999987</v>
      </c>
      <c r="AJ122" s="14"/>
      <c r="AK122" s="14"/>
      <c r="AL122" s="14"/>
      <c r="AM122" s="14"/>
      <c r="AN122" s="166"/>
      <c r="AO122" s="166"/>
      <c r="AP122" s="14"/>
      <c r="AQ122" s="14"/>
    </row>
    <row r="123" spans="10:44">
      <c r="J123" s="9">
        <f t="shared" si="33"/>
        <v>47239</v>
      </c>
      <c r="K123" s="85">
        <v>47239</v>
      </c>
      <c r="L123" s="21"/>
      <c r="M123" s="21">
        <v>0</v>
      </c>
      <c r="N123" s="21" t="str">
        <f t="shared" si="38"/>
        <v/>
      </c>
      <c r="O123" s="21" t="str">
        <f t="shared" si="39"/>
        <v/>
      </c>
      <c r="P123" s="37" t="str">
        <f t="shared" si="42"/>
        <v/>
      </c>
      <c r="T123" s="37" t="str">
        <f t="shared" si="40"/>
        <v/>
      </c>
      <c r="U123" s="21" t="str">
        <f t="shared" si="41"/>
        <v/>
      </c>
      <c r="W123" s="9" t="str">
        <f t="shared" ca="1" si="34"/>
        <v/>
      </c>
      <c r="X123" s="40">
        <v>44898</v>
      </c>
      <c r="Y123" s="168">
        <f t="shared" si="35"/>
        <v>12</v>
      </c>
      <c r="Z123" s="44" t="s">
        <v>1132</v>
      </c>
      <c r="AA123" s="97">
        <v>40</v>
      </c>
      <c r="AB123" s="97">
        <v>0.62</v>
      </c>
      <c r="AC123" s="97">
        <v>1.8089999999999999</v>
      </c>
      <c r="AD123" s="76">
        <f>AA123/AC123</f>
        <v>22.111663902708681</v>
      </c>
      <c r="AF123" s="26">
        <f t="shared" si="25"/>
        <v>54.4</v>
      </c>
      <c r="AG123" s="9">
        <f>4.8+38*2</f>
        <v>80.8</v>
      </c>
      <c r="AH123" s="9">
        <f t="shared" si="23"/>
        <v>135.19999999999999</v>
      </c>
      <c r="AI123" s="9">
        <f t="shared" si="36"/>
        <v>5459.0999999999985</v>
      </c>
      <c r="AJ123" s="14">
        <f>SUM(AH117:AH123)</f>
        <v>194.39999999999998</v>
      </c>
      <c r="AK123" s="14"/>
      <c r="AL123" s="14"/>
      <c r="AM123" s="14"/>
      <c r="AN123" s="166"/>
      <c r="AO123" s="166"/>
      <c r="AP123" s="14"/>
      <c r="AQ123" s="14"/>
    </row>
    <row r="124" spans="10:44">
      <c r="J124" s="9">
        <f t="shared" si="33"/>
        <v>47270</v>
      </c>
      <c r="K124" s="85">
        <v>47270</v>
      </c>
      <c r="L124" s="21"/>
      <c r="M124" s="21">
        <v>0</v>
      </c>
      <c r="N124" s="21" t="str">
        <f t="shared" si="38"/>
        <v/>
      </c>
      <c r="O124" s="21" t="str">
        <f t="shared" si="39"/>
        <v/>
      </c>
      <c r="P124" s="37" t="str">
        <f t="shared" si="42"/>
        <v/>
      </c>
      <c r="T124" s="37" t="str">
        <f t="shared" si="40"/>
        <v/>
      </c>
      <c r="U124" s="21" t="str">
        <f t="shared" si="41"/>
        <v/>
      </c>
      <c r="W124" s="9" t="str">
        <f t="shared" ca="1" si="34"/>
        <v/>
      </c>
      <c r="X124" s="40">
        <v>44899</v>
      </c>
      <c r="Y124" s="168">
        <f t="shared" si="35"/>
        <v>12</v>
      </c>
      <c r="Z124" s="44" t="s">
        <v>1134</v>
      </c>
      <c r="AA124" s="21">
        <v>0</v>
      </c>
      <c r="AB124" s="21"/>
      <c r="AC124" s="21"/>
      <c r="AF124" s="26">
        <f t="shared" ref="AF124:AF143" si="43">(27.2*2)</f>
        <v>54.4</v>
      </c>
      <c r="AG124" s="9">
        <f>(38.4*2)+9.1</f>
        <v>85.899999999999991</v>
      </c>
      <c r="AH124" s="9">
        <f t="shared" ref="AH124:AH150" si="44">AF124+AG124</f>
        <v>140.29999999999998</v>
      </c>
      <c r="AI124" s="9">
        <f t="shared" si="36"/>
        <v>5599.3999999999987</v>
      </c>
      <c r="AJ124" s="14"/>
      <c r="AK124" s="14"/>
      <c r="AL124" s="14"/>
      <c r="AM124" s="14"/>
      <c r="AN124" s="166"/>
      <c r="AO124" s="166"/>
      <c r="AP124" s="14"/>
      <c r="AQ124" s="14"/>
    </row>
    <row r="125" spans="10:44">
      <c r="J125" s="9">
        <f t="shared" si="33"/>
        <v>47300</v>
      </c>
      <c r="K125" s="85">
        <v>47300</v>
      </c>
      <c r="L125" s="21"/>
      <c r="M125" s="21">
        <v>0</v>
      </c>
      <c r="N125" s="21" t="str">
        <f t="shared" si="38"/>
        <v/>
      </c>
      <c r="O125" s="21" t="str">
        <f t="shared" si="39"/>
        <v/>
      </c>
      <c r="P125" s="37" t="str">
        <f t="shared" si="42"/>
        <v/>
      </c>
      <c r="T125" s="37" t="str">
        <f t="shared" si="40"/>
        <v/>
      </c>
      <c r="U125" s="21" t="str">
        <f t="shared" si="41"/>
        <v/>
      </c>
      <c r="W125" s="9" t="str">
        <f t="shared" ca="1" si="34"/>
        <v/>
      </c>
      <c r="X125" s="40">
        <v>44900</v>
      </c>
      <c r="Y125" s="168">
        <f t="shared" si="35"/>
        <v>12</v>
      </c>
      <c r="Z125" s="44" t="s">
        <v>1136</v>
      </c>
      <c r="AA125" s="21">
        <v>0</v>
      </c>
      <c r="AB125" s="21"/>
      <c r="AC125" s="21"/>
      <c r="AF125" s="26">
        <f>(27.2*2)</f>
        <v>54.4</v>
      </c>
      <c r="AG125" s="9">
        <f>9.8*2</f>
        <v>19.600000000000001</v>
      </c>
      <c r="AH125" s="9">
        <f t="shared" si="44"/>
        <v>74</v>
      </c>
      <c r="AI125" s="9">
        <f t="shared" si="36"/>
        <v>5673.3999999999987</v>
      </c>
      <c r="AJ125" s="14"/>
      <c r="AK125" s="14"/>
      <c r="AL125" s="14"/>
      <c r="AM125" s="14"/>
      <c r="AN125" s="166"/>
      <c r="AO125" s="166"/>
      <c r="AP125" s="14"/>
      <c r="AQ125" s="14"/>
    </row>
    <row r="126" spans="10:44">
      <c r="J126" s="9">
        <f t="shared" si="33"/>
        <v>47331</v>
      </c>
      <c r="K126" s="85">
        <v>47331</v>
      </c>
      <c r="L126" s="21"/>
      <c r="M126" s="21">
        <v>0</v>
      </c>
      <c r="N126" s="21" t="str">
        <f t="shared" si="38"/>
        <v/>
      </c>
      <c r="O126" s="21" t="str">
        <f t="shared" si="39"/>
        <v/>
      </c>
      <c r="P126" s="37" t="str">
        <f t="shared" si="42"/>
        <v/>
      </c>
      <c r="T126" s="37" t="str">
        <f t="shared" si="40"/>
        <v/>
      </c>
      <c r="U126" s="21" t="str">
        <f t="shared" si="41"/>
        <v/>
      </c>
      <c r="W126" s="9" t="str">
        <f t="shared" ca="1" si="34"/>
        <v/>
      </c>
      <c r="X126" s="40">
        <v>44901</v>
      </c>
      <c r="Y126" s="168">
        <f t="shared" si="35"/>
        <v>12</v>
      </c>
      <c r="Z126" s="44" t="s">
        <v>1138</v>
      </c>
      <c r="AA126" s="21">
        <v>0</v>
      </c>
      <c r="AB126" s="21"/>
      <c r="AC126" s="21"/>
      <c r="AF126" s="26">
        <f>(27.2)</f>
        <v>27.2</v>
      </c>
      <c r="AG126" s="9">
        <f>20.2+12.4+3</f>
        <v>35.6</v>
      </c>
      <c r="AH126" s="9">
        <f t="shared" si="44"/>
        <v>62.8</v>
      </c>
      <c r="AI126" s="9">
        <f t="shared" si="36"/>
        <v>5736.1999999999989</v>
      </c>
      <c r="AJ126" s="14"/>
      <c r="AK126" s="14"/>
      <c r="AL126" s="14"/>
      <c r="AM126" s="14"/>
      <c r="AN126" s="166"/>
      <c r="AO126" s="166"/>
      <c r="AP126" s="14"/>
      <c r="AQ126" s="14"/>
    </row>
    <row r="127" spans="10:44">
      <c r="J127" s="9">
        <f t="shared" si="33"/>
        <v>47362</v>
      </c>
      <c r="K127" s="85">
        <v>47362</v>
      </c>
      <c r="L127" s="21"/>
      <c r="M127" s="21">
        <v>0</v>
      </c>
      <c r="N127" s="21" t="str">
        <f t="shared" si="38"/>
        <v/>
      </c>
      <c r="O127" s="21" t="str">
        <f t="shared" si="39"/>
        <v/>
      </c>
      <c r="P127" s="37" t="str">
        <f t="shared" si="42"/>
        <v/>
      </c>
      <c r="T127" s="37" t="str">
        <f t="shared" si="40"/>
        <v/>
      </c>
      <c r="U127" s="21" t="str">
        <f t="shared" si="41"/>
        <v/>
      </c>
      <c r="W127" s="9" t="str">
        <f t="shared" ca="1" si="34"/>
        <v/>
      </c>
      <c r="X127" s="40">
        <v>44902</v>
      </c>
      <c r="Y127" s="168">
        <f t="shared" si="35"/>
        <v>12</v>
      </c>
      <c r="Z127" s="44" t="s">
        <v>1140</v>
      </c>
      <c r="AA127" s="21">
        <v>0</v>
      </c>
      <c r="AB127" s="21"/>
      <c r="AC127" s="21"/>
      <c r="AF127" s="26">
        <f t="shared" si="43"/>
        <v>54.4</v>
      </c>
      <c r="AG127" s="9">
        <f>2.5+(2.7)+5.2</f>
        <v>10.4</v>
      </c>
      <c r="AH127" s="9">
        <f t="shared" si="44"/>
        <v>64.8</v>
      </c>
      <c r="AI127" s="9">
        <f t="shared" si="36"/>
        <v>5800.9999999999991</v>
      </c>
      <c r="AJ127" s="14"/>
      <c r="AK127" s="14"/>
      <c r="AL127" s="14"/>
      <c r="AM127" s="14"/>
      <c r="AN127" s="166"/>
      <c r="AO127" s="166"/>
      <c r="AP127" s="14"/>
      <c r="AQ127" s="14"/>
    </row>
    <row r="128" spans="10:44">
      <c r="J128" s="9">
        <f t="shared" si="33"/>
        <v>47392</v>
      </c>
      <c r="K128" s="85">
        <v>47392</v>
      </c>
      <c r="L128" s="21"/>
      <c r="M128" s="21">
        <v>0</v>
      </c>
      <c r="N128" s="21" t="str">
        <f t="shared" si="38"/>
        <v/>
      </c>
      <c r="O128" s="21" t="str">
        <f t="shared" si="39"/>
        <v/>
      </c>
      <c r="P128" s="37" t="str">
        <f t="shared" si="42"/>
        <v/>
      </c>
      <c r="T128" s="37" t="str">
        <f t="shared" si="40"/>
        <v/>
      </c>
      <c r="U128" s="21" t="str">
        <f t="shared" si="41"/>
        <v/>
      </c>
      <c r="W128" s="9" t="str">
        <f t="shared" ca="1" si="34"/>
        <v/>
      </c>
      <c r="X128" s="40">
        <v>44903</v>
      </c>
      <c r="Y128" s="168">
        <f t="shared" si="35"/>
        <v>12</v>
      </c>
      <c r="Z128" s="44" t="s">
        <v>1143</v>
      </c>
      <c r="AA128" s="21">
        <v>0</v>
      </c>
      <c r="AB128" s="21"/>
      <c r="AC128" s="21"/>
      <c r="AF128" s="26"/>
      <c r="AG128" s="9">
        <f>2.1+2.4</f>
        <v>4.5</v>
      </c>
      <c r="AH128" s="9">
        <f t="shared" si="44"/>
        <v>4.5</v>
      </c>
      <c r="AI128" s="9">
        <f t="shared" si="36"/>
        <v>5805.4999999999991</v>
      </c>
      <c r="AJ128" s="14"/>
      <c r="AK128" s="14"/>
      <c r="AL128" s="14"/>
      <c r="AM128" s="14"/>
      <c r="AN128" s="166"/>
      <c r="AO128" s="166"/>
      <c r="AP128" s="14"/>
      <c r="AQ128" s="14"/>
    </row>
    <row r="129" spans="10:43">
      <c r="J129" s="9">
        <f t="shared" si="33"/>
        <v>47423</v>
      </c>
      <c r="K129" s="85">
        <v>47423</v>
      </c>
      <c r="L129" s="21"/>
      <c r="M129" s="21">
        <v>0</v>
      </c>
      <c r="N129" s="21" t="str">
        <f t="shared" si="38"/>
        <v/>
      </c>
      <c r="O129" s="21" t="str">
        <f t="shared" si="39"/>
        <v/>
      </c>
      <c r="P129" s="37" t="str">
        <f t="shared" si="42"/>
        <v/>
      </c>
      <c r="T129" s="37" t="str">
        <f t="shared" si="40"/>
        <v/>
      </c>
      <c r="U129" s="21" t="str">
        <f t="shared" si="41"/>
        <v/>
      </c>
      <c r="W129" s="9" t="str">
        <f t="shared" ca="1" si="34"/>
        <v/>
      </c>
      <c r="X129" s="40">
        <v>44904</v>
      </c>
      <c r="Y129" s="168">
        <f t="shared" si="35"/>
        <v>12</v>
      </c>
      <c r="Z129" s="44" t="s">
        <v>1145</v>
      </c>
      <c r="AA129" s="97">
        <v>40</v>
      </c>
      <c r="AB129" s="97">
        <v>0.62</v>
      </c>
      <c r="AC129" s="97">
        <v>1.7589999999999999</v>
      </c>
      <c r="AD129" s="76">
        <f>AA129/AC129</f>
        <v>22.740193291642981</v>
      </c>
      <c r="AF129" s="26"/>
      <c r="AG129" s="9">
        <f>4.8+26.9+31.3+36.4</f>
        <v>99.4</v>
      </c>
      <c r="AH129" s="9">
        <f t="shared" si="44"/>
        <v>99.4</v>
      </c>
      <c r="AI129" s="9">
        <f t="shared" si="36"/>
        <v>5904.8999999999987</v>
      </c>
      <c r="AJ129" s="14"/>
      <c r="AK129" s="14"/>
      <c r="AL129" s="14"/>
      <c r="AM129" s="14"/>
      <c r="AN129" s="166"/>
      <c r="AO129" s="166"/>
      <c r="AP129" s="14"/>
      <c r="AQ129" s="14"/>
    </row>
    <row r="130" spans="10:43">
      <c r="J130" s="9">
        <f t="shared" si="33"/>
        <v>47453</v>
      </c>
      <c r="K130" s="86">
        <v>47453</v>
      </c>
      <c r="L130" s="68"/>
      <c r="M130" s="68">
        <v>0</v>
      </c>
      <c r="N130" s="68" t="str">
        <f t="shared" si="38"/>
        <v/>
      </c>
      <c r="O130" s="68" t="str">
        <f t="shared" si="39"/>
        <v/>
      </c>
      <c r="P130" s="50" t="str">
        <f t="shared" si="42"/>
        <v/>
      </c>
      <c r="Q130" s="22"/>
      <c r="R130" s="22"/>
      <c r="S130" s="22"/>
      <c r="T130" s="50" t="str">
        <f t="shared" si="40"/>
        <v/>
      </c>
      <c r="U130" s="68" t="str">
        <f t="shared" si="41"/>
        <v/>
      </c>
      <c r="W130" s="9" t="str">
        <f t="shared" ca="1" si="34"/>
        <v/>
      </c>
      <c r="X130" s="40">
        <v>44905</v>
      </c>
      <c r="Y130" s="168">
        <f t="shared" si="35"/>
        <v>12</v>
      </c>
      <c r="Z130" s="44" t="s">
        <v>1132</v>
      </c>
      <c r="AA130" s="21">
        <v>0</v>
      </c>
      <c r="AB130" s="21"/>
      <c r="AC130" s="21"/>
      <c r="AF130" s="26"/>
      <c r="AG130" s="9">
        <f>4.8+(7.6*2)+(14.2*2)</f>
        <v>48.4</v>
      </c>
      <c r="AH130" s="9">
        <f t="shared" si="44"/>
        <v>48.4</v>
      </c>
      <c r="AI130" s="9">
        <f t="shared" si="36"/>
        <v>5953.2999999999984</v>
      </c>
      <c r="AJ130" s="14">
        <f>SUM(AH124:AH130)</f>
        <v>494.19999999999993</v>
      </c>
      <c r="AK130" s="14"/>
      <c r="AL130" s="14"/>
      <c r="AM130" s="14"/>
      <c r="AN130" s="166"/>
      <c r="AO130" s="166"/>
      <c r="AP130" s="14"/>
      <c r="AQ130" s="14"/>
    </row>
    <row r="131" spans="10:43">
      <c r="J131" s="9">
        <f t="shared" si="33"/>
        <v>47484</v>
      </c>
      <c r="K131" s="85">
        <v>47484</v>
      </c>
      <c r="L131" s="21"/>
      <c r="M131" s="21">
        <v>0</v>
      </c>
      <c r="N131" s="21" t="str">
        <f t="shared" si="38"/>
        <v/>
      </c>
      <c r="O131" s="21" t="str">
        <f t="shared" si="39"/>
        <v/>
      </c>
      <c r="P131" s="37" t="str">
        <f t="shared" si="42"/>
        <v/>
      </c>
      <c r="T131" s="37" t="str">
        <f t="shared" si="40"/>
        <v/>
      </c>
      <c r="U131" s="21" t="str">
        <f t="shared" si="41"/>
        <v/>
      </c>
      <c r="W131" s="9" t="str">
        <f t="shared" ca="1" si="34"/>
        <v/>
      </c>
      <c r="X131" s="40">
        <v>44906</v>
      </c>
      <c r="Y131" s="168">
        <f t="shared" si="35"/>
        <v>12</v>
      </c>
      <c r="Z131" s="44" t="s">
        <v>1134</v>
      </c>
      <c r="AA131" s="21">
        <v>0</v>
      </c>
      <c r="AB131" s="21"/>
      <c r="AC131" s="21"/>
      <c r="AF131" s="26"/>
      <c r="AG131" s="9">
        <v>4.8</v>
      </c>
      <c r="AH131" s="9">
        <f t="shared" si="44"/>
        <v>4.8</v>
      </c>
      <c r="AI131" s="9">
        <f t="shared" si="36"/>
        <v>5958.0999999999985</v>
      </c>
      <c r="AJ131" s="14"/>
      <c r="AK131" s="14"/>
      <c r="AL131" s="14"/>
      <c r="AM131" s="14"/>
      <c r="AN131" s="166"/>
      <c r="AO131" s="166"/>
      <c r="AP131" s="14"/>
      <c r="AQ131" s="14"/>
    </row>
    <row r="132" spans="10:43">
      <c r="J132" s="9">
        <f t="shared" si="33"/>
        <v>47515</v>
      </c>
      <c r="K132" s="85">
        <v>47515</v>
      </c>
      <c r="L132" s="21"/>
      <c r="M132" s="21">
        <v>0</v>
      </c>
      <c r="N132" s="21" t="str">
        <f t="shared" si="38"/>
        <v/>
      </c>
      <c r="O132" s="21" t="str">
        <f t="shared" si="39"/>
        <v/>
      </c>
      <c r="P132" s="37" t="str">
        <f t="shared" si="42"/>
        <v/>
      </c>
      <c r="T132" s="37" t="str">
        <f t="shared" si="40"/>
        <v/>
      </c>
      <c r="U132" s="21" t="str">
        <f t="shared" si="41"/>
        <v/>
      </c>
      <c r="W132" s="9" t="str">
        <f t="shared" ca="1" si="34"/>
        <v/>
      </c>
      <c r="X132" s="40">
        <v>44907</v>
      </c>
      <c r="Y132" s="168">
        <f t="shared" si="35"/>
        <v>12</v>
      </c>
      <c r="Z132" s="44" t="s">
        <v>1136</v>
      </c>
      <c r="AA132" s="21">
        <v>0</v>
      </c>
      <c r="AB132" s="21"/>
      <c r="AC132" s="21"/>
      <c r="AF132" s="26">
        <f t="shared" si="43"/>
        <v>54.4</v>
      </c>
      <c r="AH132" s="9">
        <f t="shared" si="44"/>
        <v>54.4</v>
      </c>
      <c r="AI132" s="9">
        <f t="shared" si="36"/>
        <v>6012.4999999999982</v>
      </c>
      <c r="AJ132" s="14"/>
      <c r="AK132" s="14"/>
      <c r="AL132" s="14"/>
      <c r="AM132" s="14"/>
      <c r="AN132" s="166"/>
      <c r="AO132" s="166"/>
      <c r="AP132" s="14"/>
      <c r="AQ132" s="14"/>
    </row>
    <row r="133" spans="10:43">
      <c r="J133" s="9">
        <f t="shared" si="33"/>
        <v>47543</v>
      </c>
      <c r="K133" s="85">
        <v>47543</v>
      </c>
      <c r="L133" s="21"/>
      <c r="M133" s="21">
        <v>0</v>
      </c>
      <c r="N133" s="21" t="str">
        <f t="shared" si="38"/>
        <v/>
      </c>
      <c r="O133" s="21" t="str">
        <f t="shared" si="39"/>
        <v/>
      </c>
      <c r="P133" s="37" t="str">
        <f t="shared" si="42"/>
        <v/>
      </c>
      <c r="T133" s="37" t="str">
        <f t="shared" si="40"/>
        <v/>
      </c>
      <c r="U133" s="21" t="str">
        <f t="shared" si="41"/>
        <v/>
      </c>
      <c r="W133" s="9" t="str">
        <f t="shared" ca="1" si="34"/>
        <v/>
      </c>
      <c r="X133" s="40">
        <v>44908</v>
      </c>
      <c r="Y133" s="168">
        <f t="shared" si="35"/>
        <v>12</v>
      </c>
      <c r="Z133" s="44" t="s">
        <v>1138</v>
      </c>
      <c r="AA133" s="21">
        <v>0</v>
      </c>
      <c r="AB133" s="21"/>
      <c r="AC133" s="21"/>
      <c r="AF133" s="26">
        <f t="shared" si="43"/>
        <v>54.4</v>
      </c>
      <c r="AH133" s="9">
        <f t="shared" si="44"/>
        <v>54.4</v>
      </c>
      <c r="AI133" s="9">
        <f t="shared" si="36"/>
        <v>6066.8999999999978</v>
      </c>
      <c r="AJ133" s="14"/>
      <c r="AK133" s="14"/>
      <c r="AL133" s="14"/>
      <c r="AM133" s="14"/>
      <c r="AN133" s="166"/>
      <c r="AO133" s="166"/>
      <c r="AP133" s="14"/>
      <c r="AQ133" s="14"/>
    </row>
    <row r="134" spans="10:43">
      <c r="J134" s="9">
        <f t="shared" si="33"/>
        <v>47574</v>
      </c>
      <c r="K134" s="85">
        <v>47574</v>
      </c>
      <c r="L134" s="21"/>
      <c r="M134" s="21">
        <v>0</v>
      </c>
      <c r="N134" s="21" t="str">
        <f t="shared" ref="N134:N166" si="45">IF($B$7&gt;=J134,83,"")</f>
        <v/>
      </c>
      <c r="O134" s="21" t="str">
        <f t="shared" ref="O134:O166" si="46">IF($B$7&gt;=J134,188.25,"")</f>
        <v/>
      </c>
      <c r="P134" s="37" t="str">
        <f t="shared" si="42"/>
        <v/>
      </c>
      <c r="T134" s="37" t="str">
        <f t="shared" si="40"/>
        <v/>
      </c>
      <c r="U134" s="21" t="str">
        <f t="shared" si="41"/>
        <v/>
      </c>
      <c r="W134" s="9" t="str">
        <f t="shared" ca="1" si="34"/>
        <v/>
      </c>
      <c r="X134" s="40">
        <v>44909</v>
      </c>
      <c r="Y134" s="168">
        <f t="shared" si="35"/>
        <v>12</v>
      </c>
      <c r="Z134" s="44" t="s">
        <v>1140</v>
      </c>
      <c r="AA134" s="21">
        <v>0</v>
      </c>
      <c r="AB134" s="21"/>
      <c r="AC134" s="21"/>
      <c r="AF134" s="26">
        <f t="shared" si="43"/>
        <v>54.4</v>
      </c>
      <c r="AH134" s="9">
        <f t="shared" si="44"/>
        <v>54.4</v>
      </c>
      <c r="AI134" s="9">
        <f t="shared" si="36"/>
        <v>6121.2999999999975</v>
      </c>
      <c r="AJ134" s="14"/>
      <c r="AK134" s="14"/>
      <c r="AL134" s="14"/>
      <c r="AM134" s="14"/>
      <c r="AN134" s="166"/>
      <c r="AO134" s="166"/>
      <c r="AP134" s="14"/>
      <c r="AQ134" s="14"/>
    </row>
    <row r="135" spans="10:43">
      <c r="J135" s="9">
        <f t="shared" si="33"/>
        <v>47604</v>
      </c>
      <c r="K135" s="85">
        <v>47604</v>
      </c>
      <c r="L135" s="21"/>
      <c r="M135" s="21">
        <v>0</v>
      </c>
      <c r="N135" s="21" t="str">
        <f t="shared" si="45"/>
        <v/>
      </c>
      <c r="O135" s="21" t="str">
        <f t="shared" si="46"/>
        <v/>
      </c>
      <c r="P135" s="37" t="str">
        <f t="shared" si="42"/>
        <v/>
      </c>
      <c r="T135" s="37" t="str">
        <f t="shared" si="40"/>
        <v/>
      </c>
      <c r="U135" s="21" t="str">
        <f t="shared" si="41"/>
        <v/>
      </c>
      <c r="W135" s="9" t="str">
        <f t="shared" ca="1" si="34"/>
        <v/>
      </c>
      <c r="X135" s="40">
        <v>44910</v>
      </c>
      <c r="Y135" s="168">
        <f t="shared" si="35"/>
        <v>12</v>
      </c>
      <c r="Z135" s="44" t="s">
        <v>1143</v>
      </c>
      <c r="AA135" s="97">
        <v>60</v>
      </c>
      <c r="AB135" s="97">
        <v>0.62</v>
      </c>
      <c r="AC135" s="97">
        <v>1.659</v>
      </c>
      <c r="AD135" s="76">
        <f>AA135/AC135</f>
        <v>36.166365280289327</v>
      </c>
      <c r="AF135" s="26">
        <f t="shared" si="43"/>
        <v>54.4</v>
      </c>
      <c r="AH135" s="9">
        <f t="shared" si="44"/>
        <v>54.4</v>
      </c>
      <c r="AI135" s="9">
        <f t="shared" si="36"/>
        <v>6175.6999999999971</v>
      </c>
      <c r="AJ135" s="14"/>
      <c r="AK135" s="14"/>
      <c r="AL135" s="14"/>
      <c r="AM135" s="14"/>
      <c r="AN135" s="166"/>
      <c r="AO135" s="166"/>
      <c r="AP135" s="14"/>
      <c r="AQ135" s="14"/>
    </row>
    <row r="136" spans="10:43">
      <c r="J136" s="9">
        <f t="shared" si="33"/>
        <v>47635</v>
      </c>
      <c r="K136" s="85">
        <v>47635</v>
      </c>
      <c r="L136" s="21"/>
      <c r="M136" s="21">
        <v>0</v>
      </c>
      <c r="N136" s="21" t="str">
        <f t="shared" si="45"/>
        <v/>
      </c>
      <c r="O136" s="21" t="str">
        <f t="shared" si="46"/>
        <v/>
      </c>
      <c r="P136" s="37" t="str">
        <f t="shared" si="42"/>
        <v/>
      </c>
      <c r="T136" s="37" t="str">
        <f t="shared" si="40"/>
        <v/>
      </c>
      <c r="U136" s="21" t="str">
        <f t="shared" si="41"/>
        <v/>
      </c>
      <c r="W136" s="9" t="str">
        <f t="shared" ca="1" si="34"/>
        <v/>
      </c>
      <c r="X136" s="40">
        <v>44911</v>
      </c>
      <c r="Y136" s="168">
        <f t="shared" si="35"/>
        <v>12</v>
      </c>
      <c r="Z136" s="44" t="s">
        <v>1145</v>
      </c>
      <c r="AA136" s="21">
        <v>0</v>
      </c>
      <c r="AB136" s="21"/>
      <c r="AC136" s="21"/>
      <c r="AF136" s="26">
        <f t="shared" si="43"/>
        <v>54.4</v>
      </c>
      <c r="AH136" s="9">
        <f t="shared" si="44"/>
        <v>54.4</v>
      </c>
      <c r="AI136" s="9">
        <f t="shared" si="36"/>
        <v>6230.0999999999967</v>
      </c>
      <c r="AJ136" s="14"/>
      <c r="AK136" s="14"/>
      <c r="AL136" s="14"/>
      <c r="AM136" s="14"/>
      <c r="AN136" s="166"/>
      <c r="AO136" s="166"/>
      <c r="AP136" s="14"/>
      <c r="AQ136" s="14"/>
    </row>
    <row r="137" spans="10:43">
      <c r="J137" s="9">
        <f t="shared" si="33"/>
        <v>47665</v>
      </c>
      <c r="K137" s="85">
        <v>47665</v>
      </c>
      <c r="L137" s="21"/>
      <c r="M137" s="21">
        <v>0</v>
      </c>
      <c r="N137" s="21" t="str">
        <f t="shared" si="45"/>
        <v/>
      </c>
      <c r="O137" s="21" t="str">
        <f t="shared" si="46"/>
        <v/>
      </c>
      <c r="P137" s="37" t="str">
        <f t="shared" si="42"/>
        <v/>
      </c>
      <c r="T137" s="37" t="str">
        <f t="shared" si="40"/>
        <v/>
      </c>
      <c r="U137" s="21" t="str">
        <f t="shared" si="41"/>
        <v/>
      </c>
      <c r="W137" s="9" t="str">
        <f t="shared" ca="1" si="34"/>
        <v/>
      </c>
      <c r="X137" s="40">
        <v>44912</v>
      </c>
      <c r="Y137" s="168">
        <f t="shared" si="35"/>
        <v>12</v>
      </c>
      <c r="Z137" s="44" t="s">
        <v>1132</v>
      </c>
      <c r="AA137" s="21">
        <v>0</v>
      </c>
      <c r="AB137" s="21"/>
      <c r="AC137" s="21"/>
      <c r="AF137" s="26"/>
      <c r="AH137" s="9">
        <f t="shared" si="44"/>
        <v>0</v>
      </c>
      <c r="AI137" s="9">
        <f t="shared" si="36"/>
        <v>6230.0999999999967</v>
      </c>
      <c r="AJ137" s="14">
        <f>SUM(AH131:AH137)</f>
        <v>276.8</v>
      </c>
      <c r="AK137" s="14"/>
      <c r="AL137" s="14"/>
      <c r="AM137" s="14"/>
      <c r="AN137" s="166"/>
      <c r="AO137" s="166"/>
      <c r="AP137" s="14"/>
      <c r="AQ137" s="14"/>
    </row>
    <row r="138" spans="10:43">
      <c r="J138" s="9">
        <f t="shared" si="33"/>
        <v>47696</v>
      </c>
      <c r="K138" s="85">
        <v>47696</v>
      </c>
      <c r="L138" s="21"/>
      <c r="M138" s="21">
        <v>0</v>
      </c>
      <c r="N138" s="21" t="str">
        <f t="shared" si="45"/>
        <v/>
      </c>
      <c r="O138" s="21" t="str">
        <f t="shared" si="46"/>
        <v/>
      </c>
      <c r="P138" s="37" t="str">
        <f t="shared" si="42"/>
        <v/>
      </c>
      <c r="T138" s="37" t="str">
        <f t="shared" si="40"/>
        <v/>
      </c>
      <c r="U138" s="21" t="str">
        <f t="shared" si="41"/>
        <v/>
      </c>
      <c r="W138" s="9" t="str">
        <f t="shared" ca="1" si="34"/>
        <v/>
      </c>
      <c r="X138" s="40">
        <v>44913</v>
      </c>
      <c r="Y138" s="168">
        <f t="shared" si="35"/>
        <v>12</v>
      </c>
      <c r="Z138" s="44" t="s">
        <v>1134</v>
      </c>
      <c r="AA138" s="21">
        <v>0</v>
      </c>
      <c r="AB138" s="21"/>
      <c r="AC138" s="21"/>
      <c r="AF138" s="26"/>
      <c r="AH138" s="9">
        <f t="shared" si="44"/>
        <v>0</v>
      </c>
      <c r="AI138" s="9">
        <f t="shared" si="36"/>
        <v>6230.0999999999967</v>
      </c>
      <c r="AJ138" s="14"/>
      <c r="AK138" s="14"/>
      <c r="AL138" s="14"/>
      <c r="AM138" s="14"/>
      <c r="AN138" s="166"/>
      <c r="AO138" s="166"/>
      <c r="AP138" s="14"/>
      <c r="AQ138" s="14"/>
    </row>
    <row r="139" spans="10:43">
      <c r="J139" s="9">
        <f t="shared" si="33"/>
        <v>47727</v>
      </c>
      <c r="K139" s="85">
        <v>47727</v>
      </c>
      <c r="L139" s="21"/>
      <c r="M139" s="21">
        <v>0</v>
      </c>
      <c r="N139" s="21" t="str">
        <f t="shared" si="45"/>
        <v/>
      </c>
      <c r="O139" s="21" t="str">
        <f t="shared" si="46"/>
        <v/>
      </c>
      <c r="P139" s="37" t="str">
        <f t="shared" si="42"/>
        <v/>
      </c>
      <c r="T139" s="37" t="str">
        <f t="shared" si="40"/>
        <v/>
      </c>
      <c r="U139" s="21" t="str">
        <f t="shared" si="41"/>
        <v/>
      </c>
      <c r="W139" s="9" t="str">
        <f t="shared" ca="1" si="34"/>
        <v/>
      </c>
      <c r="X139" s="40">
        <v>44914</v>
      </c>
      <c r="Y139" s="168">
        <f t="shared" si="35"/>
        <v>12</v>
      </c>
      <c r="Z139" s="44" t="s">
        <v>1136</v>
      </c>
      <c r="AA139" s="21">
        <v>0</v>
      </c>
      <c r="AB139" s="21"/>
      <c r="AC139" s="21"/>
      <c r="AF139" s="26">
        <f t="shared" si="43"/>
        <v>54.4</v>
      </c>
      <c r="AH139" s="9">
        <f t="shared" si="44"/>
        <v>54.4</v>
      </c>
      <c r="AI139" s="9">
        <f t="shared" si="36"/>
        <v>6284.4999999999964</v>
      </c>
      <c r="AJ139" s="14"/>
      <c r="AK139" s="14"/>
      <c r="AL139" s="14"/>
      <c r="AM139" s="14"/>
      <c r="AN139" s="166"/>
      <c r="AO139" s="166"/>
      <c r="AP139" s="14"/>
      <c r="AQ139" s="14"/>
    </row>
    <row r="140" spans="10:43">
      <c r="J140" s="9">
        <f t="shared" si="33"/>
        <v>47757</v>
      </c>
      <c r="K140" s="85">
        <v>47757</v>
      </c>
      <c r="L140" s="21"/>
      <c r="M140" s="21">
        <v>0</v>
      </c>
      <c r="N140" s="21" t="str">
        <f t="shared" si="45"/>
        <v/>
      </c>
      <c r="O140" s="21" t="str">
        <f t="shared" si="46"/>
        <v/>
      </c>
      <c r="P140" s="37" t="str">
        <f t="shared" si="42"/>
        <v/>
      </c>
      <c r="T140" s="37" t="str">
        <f t="shared" si="40"/>
        <v/>
      </c>
      <c r="U140" s="21" t="str">
        <f t="shared" si="41"/>
        <v/>
      </c>
      <c r="W140" s="9" t="str">
        <f t="shared" ca="1" si="34"/>
        <v/>
      </c>
      <c r="X140" s="40">
        <v>44915</v>
      </c>
      <c r="Y140" s="168">
        <f t="shared" si="35"/>
        <v>12</v>
      </c>
      <c r="Z140" s="44" t="s">
        <v>1138</v>
      </c>
      <c r="AA140" s="21">
        <v>0</v>
      </c>
      <c r="AB140" s="21"/>
      <c r="AC140" s="21"/>
      <c r="AF140" s="26">
        <f t="shared" si="43"/>
        <v>54.4</v>
      </c>
      <c r="AH140" s="9">
        <f t="shared" si="44"/>
        <v>54.4</v>
      </c>
      <c r="AI140" s="9">
        <f t="shared" si="36"/>
        <v>6338.899999999996</v>
      </c>
      <c r="AJ140" s="14"/>
      <c r="AK140" s="14"/>
      <c r="AL140" s="14"/>
      <c r="AM140" s="14"/>
      <c r="AN140" s="166"/>
      <c r="AO140" s="166"/>
      <c r="AP140" s="14"/>
      <c r="AQ140" s="14"/>
    </row>
    <row r="141" spans="10:43">
      <c r="J141" s="9">
        <f t="shared" si="33"/>
        <v>47788</v>
      </c>
      <c r="K141" s="85">
        <v>47788</v>
      </c>
      <c r="L141" s="21"/>
      <c r="M141" s="21">
        <v>0</v>
      </c>
      <c r="N141" s="21" t="str">
        <f t="shared" si="45"/>
        <v/>
      </c>
      <c r="O141" s="21" t="str">
        <f t="shared" si="46"/>
        <v/>
      </c>
      <c r="P141" s="37" t="str">
        <f t="shared" si="42"/>
        <v/>
      </c>
      <c r="T141" s="37" t="str">
        <f t="shared" si="40"/>
        <v/>
      </c>
      <c r="U141" s="21" t="str">
        <f t="shared" si="41"/>
        <v/>
      </c>
      <c r="W141" s="9" t="str">
        <f t="shared" ca="1" si="34"/>
        <v/>
      </c>
      <c r="X141" s="40">
        <v>44916</v>
      </c>
      <c r="Y141" s="168">
        <f t="shared" si="35"/>
        <v>12</v>
      </c>
      <c r="Z141" s="44" t="s">
        <v>1140</v>
      </c>
      <c r="AA141" s="21">
        <v>0</v>
      </c>
      <c r="AB141" s="21"/>
      <c r="AC141" s="21"/>
      <c r="AF141" s="26">
        <f t="shared" si="43"/>
        <v>54.4</v>
      </c>
      <c r="AH141" s="9">
        <f t="shared" si="44"/>
        <v>54.4</v>
      </c>
      <c r="AI141" s="9">
        <f t="shared" si="36"/>
        <v>6393.2999999999956</v>
      </c>
      <c r="AJ141" s="14"/>
      <c r="AK141" s="14"/>
      <c r="AL141" s="14"/>
      <c r="AM141" s="14"/>
      <c r="AN141" s="166"/>
      <c r="AO141" s="166"/>
      <c r="AP141" s="14"/>
      <c r="AQ141" s="14"/>
    </row>
    <row r="142" spans="10:43">
      <c r="J142" s="9">
        <f t="shared" si="33"/>
        <v>47818</v>
      </c>
      <c r="K142" s="86">
        <v>47818</v>
      </c>
      <c r="L142" s="68"/>
      <c r="M142" s="68">
        <v>0</v>
      </c>
      <c r="N142" s="68" t="str">
        <f t="shared" si="45"/>
        <v/>
      </c>
      <c r="O142" s="68" t="str">
        <f t="shared" si="46"/>
        <v/>
      </c>
      <c r="P142" s="50" t="str">
        <f t="shared" si="42"/>
        <v/>
      </c>
      <c r="Q142" s="22"/>
      <c r="R142" s="22"/>
      <c r="S142" s="22"/>
      <c r="T142" s="50" t="str">
        <f t="shared" si="40"/>
        <v/>
      </c>
      <c r="U142" s="68" t="str">
        <f t="shared" si="41"/>
        <v/>
      </c>
      <c r="W142" s="9" t="str">
        <f t="shared" ca="1" si="34"/>
        <v/>
      </c>
      <c r="X142" s="40">
        <v>44917</v>
      </c>
      <c r="Y142" s="168">
        <f t="shared" si="35"/>
        <v>12</v>
      </c>
      <c r="Z142" s="44" t="s">
        <v>1143</v>
      </c>
      <c r="AA142" s="21">
        <v>0</v>
      </c>
      <c r="AB142" s="21"/>
      <c r="AC142" s="21"/>
      <c r="AF142" s="26">
        <f t="shared" si="43"/>
        <v>54.4</v>
      </c>
      <c r="AH142" s="9">
        <f t="shared" si="44"/>
        <v>54.4</v>
      </c>
      <c r="AI142" s="9">
        <f t="shared" si="36"/>
        <v>6447.6999999999953</v>
      </c>
      <c r="AJ142" s="14"/>
      <c r="AK142" s="14"/>
      <c r="AL142" s="14"/>
      <c r="AM142" s="14"/>
      <c r="AN142" s="166"/>
      <c r="AO142" s="166"/>
      <c r="AP142" s="14"/>
      <c r="AQ142" s="14"/>
    </row>
    <row r="143" spans="10:43">
      <c r="J143" s="9">
        <f t="shared" si="33"/>
        <v>47849</v>
      </c>
      <c r="K143" s="85">
        <v>47849</v>
      </c>
      <c r="L143" s="21"/>
      <c r="M143" s="21">
        <v>0</v>
      </c>
      <c r="N143" s="21" t="str">
        <f t="shared" si="45"/>
        <v/>
      </c>
      <c r="O143" s="21" t="str">
        <f t="shared" si="46"/>
        <v/>
      </c>
      <c r="P143" s="37" t="str">
        <f t="shared" si="42"/>
        <v/>
      </c>
      <c r="T143" s="37" t="str">
        <f t="shared" si="40"/>
        <v/>
      </c>
      <c r="U143" s="21" t="str">
        <f t="shared" si="41"/>
        <v/>
      </c>
      <c r="W143" s="9" t="str">
        <f t="shared" ca="1" si="34"/>
        <v/>
      </c>
      <c r="X143" s="40">
        <v>44918</v>
      </c>
      <c r="Y143" s="168">
        <f t="shared" si="35"/>
        <v>12</v>
      </c>
      <c r="Z143" s="44" t="s">
        <v>1145</v>
      </c>
      <c r="AA143" s="21">
        <v>0</v>
      </c>
      <c r="AB143" s="21"/>
      <c r="AC143" s="21"/>
      <c r="AF143" s="26">
        <f t="shared" si="43"/>
        <v>54.4</v>
      </c>
      <c r="AH143" s="9">
        <f t="shared" si="44"/>
        <v>54.4</v>
      </c>
      <c r="AI143" s="9">
        <f t="shared" si="36"/>
        <v>6502.0999999999949</v>
      </c>
      <c r="AJ143" s="14"/>
      <c r="AK143" s="14"/>
      <c r="AL143" s="14"/>
      <c r="AM143" s="14"/>
      <c r="AN143" s="166"/>
      <c r="AO143" s="166"/>
      <c r="AP143" s="14"/>
      <c r="AQ143" s="14"/>
    </row>
    <row r="144" spans="10:43">
      <c r="J144" s="9">
        <f t="shared" si="33"/>
        <v>47880</v>
      </c>
      <c r="K144" s="85">
        <v>47880</v>
      </c>
      <c r="L144" s="21"/>
      <c r="M144" s="21">
        <v>0</v>
      </c>
      <c r="N144" s="21" t="str">
        <f t="shared" si="45"/>
        <v/>
      </c>
      <c r="O144" s="21" t="str">
        <f t="shared" si="46"/>
        <v/>
      </c>
      <c r="P144" s="37" t="str">
        <f t="shared" si="42"/>
        <v/>
      </c>
      <c r="T144" s="37" t="str">
        <f t="shared" si="40"/>
        <v/>
      </c>
      <c r="U144" s="21" t="str">
        <f t="shared" si="41"/>
        <v/>
      </c>
      <c r="W144" s="9" t="str">
        <f t="shared" ca="1" si="34"/>
        <v/>
      </c>
      <c r="X144" s="40">
        <v>44919</v>
      </c>
      <c r="Y144" s="168">
        <f t="shared" si="35"/>
        <v>12</v>
      </c>
      <c r="Z144" s="44" t="s">
        <v>1132</v>
      </c>
      <c r="AA144" s="21">
        <v>0</v>
      </c>
      <c r="AB144" s="21"/>
      <c r="AC144" s="21"/>
      <c r="AF144" s="26"/>
      <c r="AH144" s="9">
        <f t="shared" si="44"/>
        <v>0</v>
      </c>
      <c r="AI144" s="9">
        <f t="shared" si="36"/>
        <v>6502.0999999999949</v>
      </c>
      <c r="AJ144" s="14">
        <f>SUM(AH138:AH144)</f>
        <v>272</v>
      </c>
      <c r="AK144" s="14"/>
      <c r="AL144" s="14"/>
      <c r="AM144" s="14"/>
      <c r="AN144" s="166"/>
      <c r="AO144" s="166"/>
      <c r="AP144" s="14"/>
      <c r="AQ144" s="14"/>
    </row>
    <row r="145" spans="10:43">
      <c r="J145" s="9">
        <f t="shared" si="33"/>
        <v>47908</v>
      </c>
      <c r="K145" s="85">
        <v>47908</v>
      </c>
      <c r="L145" s="21"/>
      <c r="M145" s="21">
        <v>0</v>
      </c>
      <c r="N145" s="21" t="str">
        <f t="shared" si="45"/>
        <v/>
      </c>
      <c r="O145" s="21" t="str">
        <f t="shared" si="46"/>
        <v/>
      </c>
      <c r="P145" s="37" t="str">
        <f t="shared" si="42"/>
        <v/>
      </c>
      <c r="T145" s="37" t="str">
        <f t="shared" si="40"/>
        <v/>
      </c>
      <c r="U145" s="21" t="str">
        <f t="shared" si="41"/>
        <v/>
      </c>
      <c r="W145" s="9" t="str">
        <f t="shared" ca="1" si="34"/>
        <v/>
      </c>
      <c r="X145" s="40">
        <v>44920</v>
      </c>
      <c r="Y145" s="168">
        <f t="shared" si="35"/>
        <v>12</v>
      </c>
      <c r="Z145" s="44" t="s">
        <v>1134</v>
      </c>
      <c r="AA145" s="21">
        <v>0</v>
      </c>
      <c r="AB145" s="21"/>
      <c r="AC145" s="21"/>
      <c r="AF145" s="26"/>
      <c r="AH145" s="9">
        <f t="shared" si="44"/>
        <v>0</v>
      </c>
      <c r="AI145" s="9">
        <f t="shared" si="36"/>
        <v>6502.0999999999949</v>
      </c>
      <c r="AJ145" s="14"/>
      <c r="AK145" s="14"/>
      <c r="AL145" s="14"/>
      <c r="AM145" s="14"/>
      <c r="AN145" s="166"/>
      <c r="AO145" s="166"/>
      <c r="AP145" s="14"/>
      <c r="AQ145" s="14"/>
    </row>
    <row r="146" spans="10:43">
      <c r="J146" s="9">
        <f t="shared" si="33"/>
        <v>47939</v>
      </c>
      <c r="K146" s="85">
        <v>47939</v>
      </c>
      <c r="L146" s="21"/>
      <c r="M146" s="21">
        <v>0</v>
      </c>
      <c r="N146" s="21" t="str">
        <f t="shared" si="45"/>
        <v/>
      </c>
      <c r="O146" s="21" t="str">
        <f t="shared" si="46"/>
        <v/>
      </c>
      <c r="P146" s="37" t="str">
        <f t="shared" si="42"/>
        <v/>
      </c>
      <c r="T146" s="37" t="str">
        <f t="shared" si="40"/>
        <v/>
      </c>
      <c r="U146" s="21" t="str">
        <f t="shared" si="41"/>
        <v/>
      </c>
      <c r="W146" s="9" t="str">
        <f t="shared" ca="1" si="34"/>
        <v/>
      </c>
      <c r="X146" s="40">
        <v>44921</v>
      </c>
      <c r="Y146" s="168">
        <f t="shared" si="35"/>
        <v>12</v>
      </c>
      <c r="Z146" s="44" t="s">
        <v>1136</v>
      </c>
      <c r="AA146" s="21">
        <v>0</v>
      </c>
      <c r="AB146" s="21"/>
      <c r="AC146" s="21"/>
      <c r="AF146" s="26"/>
      <c r="AH146" s="9">
        <f t="shared" si="44"/>
        <v>0</v>
      </c>
      <c r="AI146" s="9">
        <f t="shared" si="36"/>
        <v>6502.0999999999949</v>
      </c>
      <c r="AJ146" s="63" t="s">
        <v>1072</v>
      </c>
      <c r="AK146" s="14" t="s">
        <v>1077</v>
      </c>
      <c r="AL146" s="14" t="s">
        <v>1204</v>
      </c>
      <c r="AM146" s="14" t="s">
        <v>1205</v>
      </c>
      <c r="AN146" s="166" t="s">
        <v>1069</v>
      </c>
      <c r="AO146" s="166" t="s">
        <v>1206</v>
      </c>
      <c r="AP146" s="14"/>
      <c r="AQ146" s="14"/>
    </row>
    <row r="147" spans="10:43">
      <c r="J147" s="9">
        <f t="shared" si="33"/>
        <v>47969</v>
      </c>
      <c r="K147" s="85">
        <v>47969</v>
      </c>
      <c r="L147" s="21"/>
      <c r="M147" s="21">
        <v>0</v>
      </c>
      <c r="N147" s="21" t="str">
        <f t="shared" si="45"/>
        <v/>
      </c>
      <c r="O147" s="21" t="str">
        <f t="shared" si="46"/>
        <v/>
      </c>
      <c r="P147" s="37" t="str">
        <f t="shared" si="42"/>
        <v/>
      </c>
      <c r="T147" s="37" t="str">
        <f t="shared" si="40"/>
        <v/>
      </c>
      <c r="U147" s="21" t="str">
        <f t="shared" si="41"/>
        <v/>
      </c>
      <c r="W147" s="9" t="str">
        <f t="shared" ca="1" si="34"/>
        <v/>
      </c>
      <c r="X147" s="39">
        <v>44922</v>
      </c>
      <c r="Y147" s="179">
        <f t="shared" si="35"/>
        <v>12</v>
      </c>
      <c r="Z147" s="107" t="s">
        <v>1138</v>
      </c>
      <c r="AA147" s="68">
        <v>0</v>
      </c>
      <c r="AB147" s="68"/>
      <c r="AC147" s="68"/>
      <c r="AD147" s="22"/>
      <c r="AE147" s="22"/>
      <c r="AF147" s="115"/>
      <c r="AG147" s="22"/>
      <c r="AH147" s="22">
        <f t="shared" si="44"/>
        <v>0</v>
      </c>
      <c r="AI147" s="22">
        <f t="shared" si="36"/>
        <v>6502.0999999999949</v>
      </c>
      <c r="AJ147" s="1372"/>
      <c r="AK147" s="1372">
        <f>SUM(AH118:AH147)</f>
        <v>1232.6000000000001</v>
      </c>
      <c r="AL147" s="1372">
        <f>SUM(AF118:AF147)</f>
        <v>843.19999999999982</v>
      </c>
      <c r="AM147" s="1372">
        <f>SUM(AG118:AG147)</f>
        <v>389.4</v>
      </c>
      <c r="AN147" s="181">
        <f>SUM(AD118:AD147)</f>
        <v>81.018222474640993</v>
      </c>
      <c r="AO147" s="182">
        <f>AK147/AN147</f>
        <v>15.21386130615009</v>
      </c>
      <c r="AP147" s="183">
        <f>SUM(AA118:AB147)/SUM(AD118:AD147)</f>
        <v>1.750964112356362</v>
      </c>
      <c r="AQ147" s="184">
        <f>(AP147/AO147)*(SUM(AH118:AH147))</f>
        <v>141.86000000000001</v>
      </c>
    </row>
    <row r="148" spans="10:43">
      <c r="J148" s="9">
        <f t="shared" si="33"/>
        <v>48000</v>
      </c>
      <c r="K148" s="85">
        <v>48000</v>
      </c>
      <c r="L148" s="21"/>
      <c r="M148" s="21">
        <v>0</v>
      </c>
      <c r="N148" s="21" t="str">
        <f t="shared" si="45"/>
        <v/>
      </c>
      <c r="O148" s="21" t="str">
        <f t="shared" si="46"/>
        <v/>
      </c>
      <c r="P148" s="37" t="str">
        <f t="shared" si="42"/>
        <v/>
      </c>
      <c r="T148" s="37" t="str">
        <f t="shared" si="40"/>
        <v/>
      </c>
      <c r="U148" s="21" t="str">
        <f t="shared" si="41"/>
        <v/>
      </c>
      <c r="W148" s="9" t="str">
        <f t="shared" ca="1" si="34"/>
        <v/>
      </c>
      <c r="X148" s="40">
        <v>44923</v>
      </c>
      <c r="Y148" s="168">
        <f t="shared" si="35"/>
        <v>12</v>
      </c>
      <c r="Z148" s="44" t="s">
        <v>1140</v>
      </c>
      <c r="AA148" s="97">
        <v>60.04</v>
      </c>
      <c r="AB148" s="97"/>
      <c r="AC148" s="97">
        <v>1.4670000000000001</v>
      </c>
      <c r="AD148" s="76">
        <f>AA148/AC148</f>
        <v>40.927062031356506</v>
      </c>
      <c r="AF148" s="26"/>
      <c r="AH148" s="9">
        <f t="shared" si="44"/>
        <v>0</v>
      </c>
      <c r="AI148" s="9">
        <f t="shared" si="36"/>
        <v>6502.0999999999949</v>
      </c>
      <c r="AJ148" s="14"/>
      <c r="AK148" s="14"/>
      <c r="AL148" s="14"/>
      <c r="AM148" s="14"/>
      <c r="AN148" s="166"/>
      <c r="AO148" s="166"/>
      <c r="AP148" s="14"/>
      <c r="AQ148" s="14"/>
    </row>
    <row r="149" spans="10:43">
      <c r="J149" s="9">
        <f t="shared" si="33"/>
        <v>48030</v>
      </c>
      <c r="K149" s="85">
        <v>48030</v>
      </c>
      <c r="L149" s="21"/>
      <c r="M149" s="21">
        <v>0</v>
      </c>
      <c r="N149" s="21" t="str">
        <f t="shared" si="45"/>
        <v/>
      </c>
      <c r="O149" s="21" t="str">
        <f t="shared" si="46"/>
        <v/>
      </c>
      <c r="P149" s="37" t="str">
        <f t="shared" si="42"/>
        <v/>
      </c>
      <c r="T149" s="37" t="str">
        <f t="shared" si="40"/>
        <v/>
      </c>
      <c r="U149" s="21" t="str">
        <f t="shared" si="41"/>
        <v/>
      </c>
      <c r="W149" s="9" t="str">
        <f t="shared" ca="1" si="34"/>
        <v/>
      </c>
      <c r="X149" s="40">
        <v>44924</v>
      </c>
      <c r="Y149" s="168">
        <f t="shared" si="35"/>
        <v>12</v>
      </c>
      <c r="Z149" s="44" t="s">
        <v>1143</v>
      </c>
      <c r="AA149" s="21">
        <v>0</v>
      </c>
      <c r="AB149" s="21"/>
      <c r="AC149" s="21"/>
      <c r="AF149" s="26"/>
      <c r="AH149" s="9">
        <f t="shared" si="44"/>
        <v>0</v>
      </c>
      <c r="AI149" s="9">
        <f t="shared" si="36"/>
        <v>6502.0999999999949</v>
      </c>
      <c r="AJ149" s="14"/>
      <c r="AK149" s="14"/>
      <c r="AL149" s="14"/>
      <c r="AM149" s="14"/>
      <c r="AN149" s="166"/>
      <c r="AO149" s="166"/>
      <c r="AP149" s="14"/>
      <c r="AQ149" s="14"/>
    </row>
    <row r="150" spans="10:43">
      <c r="J150" s="9">
        <f t="shared" si="33"/>
        <v>48061</v>
      </c>
      <c r="K150" s="85">
        <v>48061</v>
      </c>
      <c r="L150" s="21"/>
      <c r="M150" s="21">
        <v>0</v>
      </c>
      <c r="N150" s="21" t="str">
        <f t="shared" si="45"/>
        <v/>
      </c>
      <c r="O150" s="21" t="str">
        <f t="shared" si="46"/>
        <v/>
      </c>
      <c r="P150" s="37" t="str">
        <f t="shared" si="42"/>
        <v/>
      </c>
      <c r="T150" s="37" t="str">
        <f t="shared" si="40"/>
        <v/>
      </c>
      <c r="U150" s="21" t="str">
        <f t="shared" si="41"/>
        <v/>
      </c>
      <c r="W150" s="9" t="str">
        <f t="shared" ca="1" si="34"/>
        <v/>
      </c>
      <c r="X150" s="40">
        <v>44925</v>
      </c>
      <c r="Y150" s="168">
        <f t="shared" si="35"/>
        <v>12</v>
      </c>
      <c r="Z150" s="44" t="s">
        <v>1145</v>
      </c>
      <c r="AA150" s="21">
        <v>0</v>
      </c>
      <c r="AB150" s="21"/>
      <c r="AC150" s="21"/>
      <c r="AF150" s="26"/>
      <c r="AH150" s="9">
        <f t="shared" si="44"/>
        <v>0</v>
      </c>
      <c r="AI150" s="9">
        <f t="shared" si="36"/>
        <v>6502.0999999999949</v>
      </c>
      <c r="AJ150" s="14"/>
      <c r="AK150" s="14"/>
      <c r="AL150" s="14"/>
      <c r="AM150" s="14"/>
      <c r="AN150" s="166"/>
      <c r="AO150" s="166"/>
      <c r="AP150" s="14"/>
      <c r="AQ150" s="14"/>
    </row>
    <row r="151" spans="10:43">
      <c r="J151" s="9">
        <f t="shared" si="33"/>
        <v>48092</v>
      </c>
      <c r="K151" s="85">
        <v>48092</v>
      </c>
      <c r="L151" s="21"/>
      <c r="M151" s="21">
        <v>0</v>
      </c>
      <c r="N151" s="21" t="str">
        <f t="shared" si="45"/>
        <v/>
      </c>
      <c r="O151" s="21" t="str">
        <f t="shared" si="46"/>
        <v/>
      </c>
      <c r="P151" s="37" t="str">
        <f t="shared" si="42"/>
        <v/>
      </c>
      <c r="T151" s="37" t="str">
        <f t="shared" si="40"/>
        <v/>
      </c>
      <c r="U151" s="21" t="str">
        <f t="shared" si="41"/>
        <v/>
      </c>
      <c r="W151" s="9" t="str">
        <f t="shared" ca="1" si="34"/>
        <v/>
      </c>
      <c r="X151" s="40">
        <v>44926</v>
      </c>
      <c r="Y151" s="168">
        <f t="shared" si="35"/>
        <v>12</v>
      </c>
      <c r="Z151" s="9" t="s">
        <v>1132</v>
      </c>
      <c r="AA151" s="20">
        <v>0</v>
      </c>
      <c r="AB151" s="28"/>
      <c r="AC151" s="28"/>
      <c r="AF151" s="26"/>
      <c r="AH151" s="9">
        <f t="shared" ref="AH151" si="47">AF151+AG151</f>
        <v>0</v>
      </c>
      <c r="AI151" s="9">
        <f t="shared" si="36"/>
        <v>6502.0999999999949</v>
      </c>
      <c r="AJ151" s="14">
        <f>SUM(AH145:AH151)</f>
        <v>0</v>
      </c>
      <c r="AK151" s="14"/>
      <c r="AL151" s="14"/>
      <c r="AM151" s="14"/>
      <c r="AN151" s="166"/>
      <c r="AO151" s="166"/>
      <c r="AP151" s="14"/>
      <c r="AQ151" s="14"/>
    </row>
    <row r="152" spans="10:43">
      <c r="J152" s="9">
        <f t="shared" ref="J152:J166" si="48">K152</f>
        <v>48122</v>
      </c>
      <c r="K152" s="85">
        <v>48122</v>
      </c>
      <c r="L152" s="21"/>
      <c r="M152" s="21">
        <v>0</v>
      </c>
      <c r="N152" s="21" t="str">
        <f t="shared" si="45"/>
        <v/>
      </c>
      <c r="O152" s="21" t="str">
        <f t="shared" si="46"/>
        <v/>
      </c>
      <c r="P152" s="37" t="str">
        <f t="shared" si="42"/>
        <v/>
      </c>
      <c r="T152" s="37" t="str">
        <f t="shared" si="40"/>
        <v/>
      </c>
      <c r="U152" s="21" t="str">
        <f t="shared" si="41"/>
        <v/>
      </c>
      <c r="W152" s="9" t="str">
        <f t="shared" ca="1" si="34"/>
        <v/>
      </c>
      <c r="X152" s="40">
        <v>44927</v>
      </c>
      <c r="Y152" s="168">
        <f t="shared" si="35"/>
        <v>1</v>
      </c>
      <c r="Z152" s="44" t="s">
        <v>1134</v>
      </c>
      <c r="AA152" s="21">
        <v>0</v>
      </c>
      <c r="AB152" s="21"/>
      <c r="AC152" s="21"/>
      <c r="AF152" s="26"/>
      <c r="AH152" s="9">
        <f t="shared" ref="AH152" si="49">AF152+AG152</f>
        <v>0</v>
      </c>
      <c r="AI152" s="9">
        <f t="shared" si="36"/>
        <v>6502.0999999999949</v>
      </c>
      <c r="AJ152" s="14"/>
      <c r="AK152" s="14"/>
      <c r="AL152" s="14"/>
      <c r="AM152" s="14"/>
      <c r="AN152" s="166"/>
      <c r="AO152" s="166"/>
      <c r="AP152" s="14"/>
      <c r="AQ152" s="14"/>
    </row>
    <row r="153" spans="10:43">
      <c r="J153" s="9">
        <f t="shared" si="48"/>
        <v>48153</v>
      </c>
      <c r="K153" s="85">
        <v>48153</v>
      </c>
      <c r="L153" s="21"/>
      <c r="M153" s="21">
        <v>0</v>
      </c>
      <c r="N153" s="21" t="str">
        <f t="shared" si="45"/>
        <v/>
      </c>
      <c r="O153" s="21" t="str">
        <f t="shared" si="46"/>
        <v/>
      </c>
      <c r="P153" s="37" t="str">
        <f t="shared" si="42"/>
        <v/>
      </c>
      <c r="T153" s="37" t="str">
        <f t="shared" si="40"/>
        <v/>
      </c>
      <c r="U153" s="21" t="str">
        <f t="shared" si="41"/>
        <v/>
      </c>
      <c r="W153" s="9" t="str">
        <f t="shared" ca="1" si="34"/>
        <v/>
      </c>
      <c r="X153" s="40">
        <v>44928</v>
      </c>
      <c r="Y153" s="168">
        <f t="shared" si="35"/>
        <v>1</v>
      </c>
      <c r="Z153" s="44" t="s">
        <v>1136</v>
      </c>
      <c r="AA153" s="21">
        <v>0</v>
      </c>
      <c r="AB153" s="21"/>
      <c r="AC153" s="21"/>
      <c r="AF153" s="26"/>
      <c r="AH153" s="9">
        <f t="shared" ref="AH153:AH176" si="50">AF153+AG153</f>
        <v>0</v>
      </c>
      <c r="AI153" s="9">
        <f t="shared" si="36"/>
        <v>6502.0999999999949</v>
      </c>
      <c r="AJ153" s="14"/>
      <c r="AK153" s="14"/>
      <c r="AL153" s="14"/>
      <c r="AM153" s="14"/>
      <c r="AN153" s="166"/>
      <c r="AO153" s="166"/>
      <c r="AP153" s="14"/>
      <c r="AQ153" s="14"/>
    </row>
    <row r="154" spans="10:43">
      <c r="J154" s="9">
        <f t="shared" si="48"/>
        <v>48183</v>
      </c>
      <c r="K154" s="86">
        <v>48183</v>
      </c>
      <c r="L154" s="68"/>
      <c r="M154" s="68">
        <v>0</v>
      </c>
      <c r="N154" s="68" t="str">
        <f t="shared" si="45"/>
        <v/>
      </c>
      <c r="O154" s="68" t="str">
        <f t="shared" si="46"/>
        <v/>
      </c>
      <c r="P154" s="50" t="str">
        <f t="shared" si="42"/>
        <v/>
      </c>
      <c r="Q154" s="22"/>
      <c r="R154" s="22"/>
      <c r="S154" s="22"/>
      <c r="T154" s="50" t="str">
        <f t="shared" si="40"/>
        <v/>
      </c>
      <c r="U154" s="68" t="str">
        <f t="shared" si="41"/>
        <v/>
      </c>
      <c r="W154" s="9" t="str">
        <f t="shared" ref="W154:W217" ca="1" si="51">IF(X154=TODAY(),1,"")</f>
        <v/>
      </c>
      <c r="X154" s="40">
        <v>44929</v>
      </c>
      <c r="Y154" s="168">
        <f t="shared" ref="Y154:Y217" si="52">MONTH(X154)</f>
        <v>1</v>
      </c>
      <c r="Z154" s="44" t="s">
        <v>1138</v>
      </c>
      <c r="AA154" s="21">
        <v>0</v>
      </c>
      <c r="AB154" s="21"/>
      <c r="AC154" s="21"/>
      <c r="AF154" s="26"/>
      <c r="AH154" s="9">
        <f t="shared" si="50"/>
        <v>0</v>
      </c>
      <c r="AI154" s="9">
        <f t="shared" si="36"/>
        <v>6502.0999999999949</v>
      </c>
      <c r="AJ154" s="14"/>
      <c r="AK154" s="14"/>
      <c r="AL154" s="14"/>
      <c r="AM154" s="14"/>
      <c r="AN154" s="166"/>
      <c r="AO154" s="166"/>
      <c r="AP154" s="14"/>
      <c r="AQ154" s="14"/>
    </row>
    <row r="155" spans="10:43">
      <c r="J155" s="9">
        <f t="shared" si="48"/>
        <v>48214</v>
      </c>
      <c r="K155" s="85">
        <v>48214</v>
      </c>
      <c r="L155" s="21"/>
      <c r="M155" s="21">
        <v>0</v>
      </c>
      <c r="N155" s="21" t="str">
        <f t="shared" si="45"/>
        <v/>
      </c>
      <c r="O155" s="21" t="str">
        <f t="shared" si="46"/>
        <v/>
      </c>
      <c r="P155" s="37" t="str">
        <f t="shared" si="42"/>
        <v/>
      </c>
      <c r="T155" s="37" t="str">
        <f t="shared" si="40"/>
        <v/>
      </c>
      <c r="U155" s="21" t="str">
        <f t="shared" si="41"/>
        <v/>
      </c>
      <c r="W155" s="9" t="str">
        <f t="shared" ca="1" si="51"/>
        <v/>
      </c>
      <c r="X155" s="40">
        <v>44930</v>
      </c>
      <c r="Y155" s="168">
        <f t="shared" si="52"/>
        <v>1</v>
      </c>
      <c r="Z155" s="44" t="s">
        <v>1140</v>
      </c>
      <c r="AA155" s="21">
        <v>0</v>
      </c>
      <c r="AB155" s="21"/>
      <c r="AC155" s="21"/>
      <c r="AF155" s="26"/>
      <c r="AH155" s="9">
        <f t="shared" si="50"/>
        <v>0</v>
      </c>
      <c r="AI155" s="9">
        <f t="shared" ref="AI155:AI218" si="53">AI154+AH155</f>
        <v>6502.0999999999949</v>
      </c>
      <c r="AJ155" s="14"/>
      <c r="AK155" s="14"/>
      <c r="AL155" s="14"/>
      <c r="AM155" s="14"/>
      <c r="AN155" s="166"/>
      <c r="AO155" s="166"/>
      <c r="AP155" s="14"/>
      <c r="AQ155" s="14"/>
    </row>
    <row r="156" spans="10:43">
      <c r="J156" s="9">
        <f t="shared" si="48"/>
        <v>48245</v>
      </c>
      <c r="K156" s="85">
        <v>48245</v>
      </c>
      <c r="L156" s="21"/>
      <c r="M156" s="21">
        <v>0</v>
      </c>
      <c r="N156" s="21" t="str">
        <f t="shared" si="45"/>
        <v/>
      </c>
      <c r="O156" s="21" t="str">
        <f t="shared" si="46"/>
        <v/>
      </c>
      <c r="P156" s="37" t="str">
        <f t="shared" si="42"/>
        <v/>
      </c>
      <c r="T156" s="37" t="str">
        <f t="shared" si="40"/>
        <v/>
      </c>
      <c r="U156" s="21" t="str">
        <f t="shared" si="41"/>
        <v/>
      </c>
      <c r="W156" s="9" t="str">
        <f t="shared" ca="1" si="51"/>
        <v/>
      </c>
      <c r="X156" s="40">
        <v>44931</v>
      </c>
      <c r="Y156" s="168">
        <f t="shared" si="52"/>
        <v>1</v>
      </c>
      <c r="Z156" s="44" t="s">
        <v>1143</v>
      </c>
      <c r="AA156" s="21">
        <v>0</v>
      </c>
      <c r="AB156" s="21"/>
      <c r="AC156" s="21"/>
      <c r="AF156" s="26"/>
      <c r="AH156" s="9">
        <f t="shared" si="50"/>
        <v>0</v>
      </c>
      <c r="AI156" s="9">
        <f t="shared" si="53"/>
        <v>6502.0999999999949</v>
      </c>
      <c r="AJ156" s="14"/>
      <c r="AK156" s="14"/>
      <c r="AL156" s="14"/>
      <c r="AM156" s="14"/>
      <c r="AN156" s="166"/>
      <c r="AO156" s="166"/>
      <c r="AP156" s="14"/>
      <c r="AQ156" s="14"/>
    </row>
    <row r="157" spans="10:43">
      <c r="J157" s="9">
        <f t="shared" si="48"/>
        <v>48274</v>
      </c>
      <c r="K157" s="85">
        <v>48274</v>
      </c>
      <c r="L157" s="21"/>
      <c r="M157" s="21">
        <v>0</v>
      </c>
      <c r="N157" s="21" t="str">
        <f t="shared" si="45"/>
        <v/>
      </c>
      <c r="O157" s="21" t="str">
        <f t="shared" si="46"/>
        <v/>
      </c>
      <c r="P157" s="37" t="str">
        <f t="shared" si="42"/>
        <v/>
      </c>
      <c r="T157" s="37" t="str">
        <f t="shared" si="40"/>
        <v/>
      </c>
      <c r="U157" s="21" t="str">
        <f t="shared" si="41"/>
        <v/>
      </c>
      <c r="W157" s="9" t="str">
        <f t="shared" ca="1" si="51"/>
        <v/>
      </c>
      <c r="X157" s="40">
        <v>44932</v>
      </c>
      <c r="Y157" s="168">
        <f t="shared" si="52"/>
        <v>1</v>
      </c>
      <c r="Z157" s="44" t="s">
        <v>1145</v>
      </c>
      <c r="AA157" s="21">
        <v>0</v>
      </c>
      <c r="AB157" s="21"/>
      <c r="AC157" s="21"/>
      <c r="AF157" s="26"/>
      <c r="AH157" s="9">
        <f t="shared" si="50"/>
        <v>0</v>
      </c>
      <c r="AI157" s="9">
        <f t="shared" si="53"/>
        <v>6502.0999999999949</v>
      </c>
      <c r="AJ157" s="14"/>
      <c r="AK157" s="14"/>
      <c r="AL157" s="14"/>
      <c r="AM157" s="14"/>
      <c r="AN157" s="166"/>
      <c r="AO157" s="166"/>
      <c r="AP157" s="14"/>
      <c r="AQ157" s="14"/>
    </row>
    <row r="158" spans="10:43">
      <c r="J158" s="9">
        <f t="shared" si="48"/>
        <v>48305</v>
      </c>
      <c r="K158" s="85">
        <v>48305</v>
      </c>
      <c r="L158" s="21"/>
      <c r="M158" s="21">
        <v>0</v>
      </c>
      <c r="N158" s="21" t="str">
        <f t="shared" si="45"/>
        <v/>
      </c>
      <c r="O158" s="21" t="str">
        <f t="shared" si="46"/>
        <v/>
      </c>
      <c r="P158" s="37" t="str">
        <f t="shared" si="42"/>
        <v/>
      </c>
      <c r="T158" s="37" t="str">
        <f t="shared" si="40"/>
        <v/>
      </c>
      <c r="U158" s="21" t="str">
        <f t="shared" si="41"/>
        <v/>
      </c>
      <c r="W158" s="9" t="str">
        <f t="shared" ca="1" si="51"/>
        <v/>
      </c>
      <c r="X158" s="40">
        <v>44933</v>
      </c>
      <c r="Y158" s="168">
        <f t="shared" si="52"/>
        <v>1</v>
      </c>
      <c r="Z158" s="44" t="s">
        <v>1132</v>
      </c>
      <c r="AA158" s="21">
        <v>0</v>
      </c>
      <c r="AB158" s="21"/>
      <c r="AC158" s="21"/>
      <c r="AF158" s="26"/>
      <c r="AH158" s="9">
        <f t="shared" si="50"/>
        <v>0</v>
      </c>
      <c r="AI158" s="9">
        <f t="shared" si="53"/>
        <v>6502.0999999999949</v>
      </c>
      <c r="AJ158" s="14">
        <f>SUM(AH152:AH158)</f>
        <v>0</v>
      </c>
      <c r="AK158" s="14"/>
      <c r="AL158" s="14"/>
      <c r="AM158" s="14"/>
      <c r="AN158" s="166"/>
      <c r="AO158" s="166"/>
      <c r="AP158" s="14"/>
      <c r="AQ158" s="14"/>
    </row>
    <row r="159" spans="10:43">
      <c r="J159" s="9">
        <f t="shared" si="48"/>
        <v>48335</v>
      </c>
      <c r="K159" s="85">
        <v>48335</v>
      </c>
      <c r="L159" s="21"/>
      <c r="M159" s="21">
        <v>0</v>
      </c>
      <c r="N159" s="21" t="str">
        <f t="shared" si="45"/>
        <v/>
      </c>
      <c r="O159" s="21" t="str">
        <f t="shared" si="46"/>
        <v/>
      </c>
      <c r="P159" s="37" t="str">
        <f t="shared" si="42"/>
        <v/>
      </c>
      <c r="T159" s="37" t="str">
        <f t="shared" si="40"/>
        <v/>
      </c>
      <c r="U159" s="21" t="str">
        <f t="shared" si="41"/>
        <v/>
      </c>
      <c r="W159" s="9" t="str">
        <f t="shared" ca="1" si="51"/>
        <v/>
      </c>
      <c r="X159" s="40">
        <v>44934</v>
      </c>
      <c r="Y159" s="168">
        <f t="shared" si="52"/>
        <v>1</v>
      </c>
      <c r="Z159" s="44" t="s">
        <v>1134</v>
      </c>
      <c r="AA159" s="21">
        <v>0</v>
      </c>
      <c r="AB159" s="21"/>
      <c r="AC159" s="21"/>
      <c r="AF159" s="26"/>
      <c r="AH159" s="9">
        <f t="shared" si="50"/>
        <v>0</v>
      </c>
      <c r="AI159" s="9">
        <f t="shared" si="53"/>
        <v>6502.0999999999949</v>
      </c>
      <c r="AJ159" s="14"/>
      <c r="AK159" s="14"/>
      <c r="AL159" s="14"/>
      <c r="AM159" s="14"/>
      <c r="AN159" s="166"/>
      <c r="AO159" s="166"/>
      <c r="AP159" s="14"/>
      <c r="AQ159" s="14"/>
    </row>
    <row r="160" spans="10:43">
      <c r="J160" s="9">
        <f t="shared" si="48"/>
        <v>48366</v>
      </c>
      <c r="K160" s="85">
        <v>48366</v>
      </c>
      <c r="L160" s="21"/>
      <c r="M160" s="21">
        <v>0</v>
      </c>
      <c r="N160" s="21" t="str">
        <f t="shared" si="45"/>
        <v/>
      </c>
      <c r="O160" s="21" t="str">
        <f t="shared" si="46"/>
        <v/>
      </c>
      <c r="P160" s="37" t="str">
        <f t="shared" si="42"/>
        <v/>
      </c>
      <c r="T160" s="37" t="str">
        <f t="shared" si="40"/>
        <v/>
      </c>
      <c r="U160" s="21" t="str">
        <f t="shared" si="41"/>
        <v/>
      </c>
      <c r="W160" s="9" t="str">
        <f t="shared" ca="1" si="51"/>
        <v/>
      </c>
      <c r="X160" s="40">
        <v>44935</v>
      </c>
      <c r="Y160" s="168">
        <f t="shared" si="52"/>
        <v>1</v>
      </c>
      <c r="Z160" s="44" t="s">
        <v>1136</v>
      </c>
      <c r="AA160" s="97">
        <v>40</v>
      </c>
      <c r="AB160" s="97">
        <v>0.62</v>
      </c>
      <c r="AC160" s="97">
        <v>1.819</v>
      </c>
      <c r="AD160" s="214">
        <f>AA160/AC160</f>
        <v>21.990104452996153</v>
      </c>
      <c r="AF160" s="26">
        <f t="shared" ref="AF160:AF164" si="54">(27.2*2)</f>
        <v>54.4</v>
      </c>
      <c r="AH160" s="9">
        <f t="shared" si="50"/>
        <v>54.4</v>
      </c>
      <c r="AI160" s="9">
        <f t="shared" si="53"/>
        <v>6556.4999999999945</v>
      </c>
      <c r="AJ160" s="14"/>
      <c r="AK160" s="14"/>
      <c r="AL160" s="14"/>
      <c r="AM160" s="14"/>
      <c r="AN160" s="166"/>
      <c r="AO160" s="166"/>
      <c r="AP160" s="14"/>
      <c r="AQ160" s="14"/>
    </row>
    <row r="161" spans="10:50">
      <c r="J161" s="9">
        <f t="shared" si="48"/>
        <v>48396</v>
      </c>
      <c r="K161" s="85">
        <v>48396</v>
      </c>
      <c r="L161" s="21"/>
      <c r="M161" s="21">
        <v>0</v>
      </c>
      <c r="N161" s="21" t="str">
        <f t="shared" si="45"/>
        <v/>
      </c>
      <c r="O161" s="21" t="str">
        <f t="shared" si="46"/>
        <v/>
      </c>
      <c r="P161" s="37" t="str">
        <f t="shared" si="42"/>
        <v/>
      </c>
      <c r="T161" s="37" t="str">
        <f t="shared" si="40"/>
        <v/>
      </c>
      <c r="U161" s="21" t="str">
        <f t="shared" si="41"/>
        <v/>
      </c>
      <c r="W161" s="9" t="str">
        <f t="shared" ca="1" si="51"/>
        <v/>
      </c>
      <c r="X161" s="40">
        <v>44936</v>
      </c>
      <c r="Y161" s="168">
        <f t="shared" si="52"/>
        <v>1</v>
      </c>
      <c r="Z161" s="44" t="s">
        <v>1138</v>
      </c>
      <c r="AA161" s="21">
        <v>0</v>
      </c>
      <c r="AB161" s="21"/>
      <c r="AC161" s="21"/>
      <c r="AF161" s="26">
        <f t="shared" si="54"/>
        <v>54.4</v>
      </c>
      <c r="AH161" s="9">
        <f t="shared" si="50"/>
        <v>54.4</v>
      </c>
      <c r="AI161" s="9">
        <f t="shared" si="53"/>
        <v>6610.8999999999942</v>
      </c>
      <c r="AJ161" s="14"/>
      <c r="AK161" s="14"/>
      <c r="AL161" s="14"/>
      <c r="AM161" s="14"/>
      <c r="AN161" s="166"/>
      <c r="AO161" s="166"/>
      <c r="AP161" s="14"/>
      <c r="AQ161" s="14"/>
    </row>
    <row r="162" spans="10:50">
      <c r="J162" s="9">
        <f t="shared" si="48"/>
        <v>48427</v>
      </c>
      <c r="K162" s="85">
        <v>48427</v>
      </c>
      <c r="L162" s="21"/>
      <c r="M162" s="21">
        <v>0</v>
      </c>
      <c r="N162" s="21" t="str">
        <f t="shared" si="45"/>
        <v/>
      </c>
      <c r="O162" s="21" t="str">
        <f t="shared" si="46"/>
        <v/>
      </c>
      <c r="P162" s="37" t="str">
        <f t="shared" si="42"/>
        <v/>
      </c>
      <c r="T162" s="37" t="str">
        <f t="shared" si="40"/>
        <v/>
      </c>
      <c r="U162" s="21" t="str">
        <f t="shared" si="41"/>
        <v/>
      </c>
      <c r="W162" s="9" t="str">
        <f t="shared" ca="1" si="51"/>
        <v/>
      </c>
      <c r="X162" s="40">
        <v>44937</v>
      </c>
      <c r="Y162" s="168">
        <f t="shared" si="52"/>
        <v>1</v>
      </c>
      <c r="Z162" s="44" t="s">
        <v>1140</v>
      </c>
      <c r="AA162" s="21">
        <v>0</v>
      </c>
      <c r="AB162" s="21"/>
      <c r="AC162" s="21"/>
      <c r="AF162" s="26">
        <f t="shared" si="54"/>
        <v>54.4</v>
      </c>
      <c r="AH162" s="9">
        <f t="shared" si="50"/>
        <v>54.4</v>
      </c>
      <c r="AI162" s="9">
        <f t="shared" si="53"/>
        <v>6665.2999999999938</v>
      </c>
      <c r="AJ162" s="14"/>
      <c r="AK162" s="14"/>
      <c r="AL162" s="14"/>
      <c r="AM162" s="14"/>
      <c r="AN162" s="166"/>
      <c r="AO162" s="166"/>
      <c r="AP162" s="14"/>
      <c r="AQ162" s="14"/>
    </row>
    <row r="163" spans="10:50">
      <c r="J163" s="9">
        <f t="shared" si="48"/>
        <v>48458</v>
      </c>
      <c r="K163" s="85">
        <v>48458</v>
      </c>
      <c r="L163" s="21"/>
      <c r="M163" s="21">
        <v>0</v>
      </c>
      <c r="N163" s="21" t="str">
        <f t="shared" si="45"/>
        <v/>
      </c>
      <c r="O163" s="21" t="str">
        <f t="shared" si="46"/>
        <v/>
      </c>
      <c r="P163" s="37" t="str">
        <f t="shared" si="42"/>
        <v/>
      </c>
      <c r="T163" s="37" t="str">
        <f t="shared" si="40"/>
        <v/>
      </c>
      <c r="U163" s="21" t="str">
        <f t="shared" si="41"/>
        <v/>
      </c>
      <c r="W163" s="9" t="str">
        <f t="shared" ca="1" si="51"/>
        <v/>
      </c>
      <c r="X163" s="40">
        <v>44938</v>
      </c>
      <c r="Y163" s="168">
        <f t="shared" si="52"/>
        <v>1</v>
      </c>
      <c r="Z163" s="44" t="s">
        <v>1143</v>
      </c>
      <c r="AA163" s="21">
        <v>0</v>
      </c>
      <c r="AB163" s="21"/>
      <c r="AC163" s="21"/>
      <c r="AF163" s="26">
        <f t="shared" si="54"/>
        <v>54.4</v>
      </c>
      <c r="AH163" s="9">
        <f t="shared" si="50"/>
        <v>54.4</v>
      </c>
      <c r="AI163" s="9">
        <f t="shared" si="53"/>
        <v>6719.6999999999935</v>
      </c>
      <c r="AJ163" s="14"/>
      <c r="AK163" s="14"/>
      <c r="AL163" s="14"/>
      <c r="AM163" s="14"/>
      <c r="AN163" s="166"/>
      <c r="AO163" s="166"/>
      <c r="AP163" s="14"/>
      <c r="AQ163" s="14"/>
    </row>
    <row r="164" spans="10:50">
      <c r="J164" s="9">
        <f t="shared" si="48"/>
        <v>48488</v>
      </c>
      <c r="K164" s="85">
        <v>48488</v>
      </c>
      <c r="L164" s="21"/>
      <c r="M164" s="21">
        <v>0</v>
      </c>
      <c r="N164" s="21" t="str">
        <f t="shared" si="45"/>
        <v/>
      </c>
      <c r="O164" s="21" t="str">
        <f t="shared" si="46"/>
        <v/>
      </c>
      <c r="P164" s="37" t="str">
        <f t="shared" si="42"/>
        <v/>
      </c>
      <c r="T164" s="37" t="str">
        <f t="shared" si="40"/>
        <v/>
      </c>
      <c r="U164" s="21" t="str">
        <f t="shared" si="41"/>
        <v/>
      </c>
      <c r="W164" s="9" t="str">
        <f t="shared" ca="1" si="51"/>
        <v/>
      </c>
      <c r="X164" s="40">
        <v>44939</v>
      </c>
      <c r="Y164" s="168">
        <f t="shared" si="52"/>
        <v>1</v>
      </c>
      <c r="Z164" s="44" t="s">
        <v>1145</v>
      </c>
      <c r="AA164" s="21">
        <v>0</v>
      </c>
      <c r="AB164" s="21"/>
      <c r="AC164" s="21"/>
      <c r="AF164" s="26">
        <f t="shared" si="54"/>
        <v>54.4</v>
      </c>
      <c r="AH164" s="9">
        <f t="shared" si="50"/>
        <v>54.4</v>
      </c>
      <c r="AI164" s="9">
        <f t="shared" si="53"/>
        <v>6774.0999999999931</v>
      </c>
      <c r="AJ164" s="14"/>
      <c r="AK164" s="14"/>
      <c r="AL164" s="14"/>
      <c r="AM164" s="14"/>
      <c r="AN164" s="166"/>
      <c r="AO164" s="166"/>
      <c r="AP164" s="14"/>
      <c r="AQ164" s="14"/>
    </row>
    <row r="165" spans="10:50">
      <c r="J165" s="9">
        <f t="shared" si="48"/>
        <v>48519</v>
      </c>
      <c r="K165" s="85">
        <v>48519</v>
      </c>
      <c r="L165" s="21"/>
      <c r="M165" s="21">
        <v>0</v>
      </c>
      <c r="N165" s="21" t="str">
        <f t="shared" si="45"/>
        <v/>
      </c>
      <c r="O165" s="21" t="str">
        <f t="shared" si="46"/>
        <v/>
      </c>
      <c r="P165" s="37" t="str">
        <f t="shared" si="42"/>
        <v/>
      </c>
      <c r="T165" s="37" t="str">
        <f t="shared" si="40"/>
        <v/>
      </c>
      <c r="U165" s="21" t="str">
        <f t="shared" si="41"/>
        <v/>
      </c>
      <c r="W165" s="9" t="str">
        <f t="shared" ca="1" si="51"/>
        <v/>
      </c>
      <c r="X165" s="40">
        <v>44940</v>
      </c>
      <c r="Y165" s="168">
        <f t="shared" si="52"/>
        <v>1</v>
      </c>
      <c r="Z165" s="44" t="s">
        <v>1132</v>
      </c>
      <c r="AA165" s="97">
        <v>60</v>
      </c>
      <c r="AB165" s="97"/>
      <c r="AC165" s="97">
        <f>1.487</f>
        <v>1.4870000000000001</v>
      </c>
      <c r="AD165" s="76">
        <f>AA165/AC165</f>
        <v>40.349697377269671</v>
      </c>
      <c r="AF165" s="26"/>
      <c r="AH165" s="9">
        <f t="shared" si="50"/>
        <v>0</v>
      </c>
      <c r="AI165" s="9">
        <f t="shared" si="53"/>
        <v>6774.0999999999931</v>
      </c>
      <c r="AJ165" s="14">
        <f>SUM(AH159:AH165)</f>
        <v>272</v>
      </c>
      <c r="AK165" s="14"/>
      <c r="AL165" s="14"/>
      <c r="AM165" s="14"/>
      <c r="AN165" s="166"/>
      <c r="AO165" s="166"/>
      <c r="AP165" s="14"/>
      <c r="AQ165" s="14"/>
    </row>
    <row r="166" spans="10:50">
      <c r="J166" s="9">
        <f t="shared" si="48"/>
        <v>48549</v>
      </c>
      <c r="K166" s="86">
        <v>48549</v>
      </c>
      <c r="L166" s="68"/>
      <c r="M166" s="68">
        <v>0</v>
      </c>
      <c r="N166" s="68" t="str">
        <f t="shared" si="45"/>
        <v/>
      </c>
      <c r="O166" s="68" t="str">
        <f t="shared" si="46"/>
        <v/>
      </c>
      <c r="P166" s="50" t="str">
        <f t="shared" si="42"/>
        <v/>
      </c>
      <c r="Q166" s="22"/>
      <c r="R166" s="22"/>
      <c r="S166" s="22"/>
      <c r="T166" s="50" t="str">
        <f t="shared" si="40"/>
        <v/>
      </c>
      <c r="U166" s="68" t="str">
        <f t="shared" si="41"/>
        <v/>
      </c>
      <c r="W166" s="9" t="str">
        <f t="shared" ca="1" si="51"/>
        <v/>
      </c>
      <c r="X166" s="40">
        <v>44941</v>
      </c>
      <c r="Y166" s="168">
        <f t="shared" si="52"/>
        <v>1</v>
      </c>
      <c r="Z166" s="44" t="s">
        <v>1134</v>
      </c>
      <c r="AA166" s="21">
        <v>0</v>
      </c>
      <c r="AB166" s="21"/>
      <c r="AF166" s="26"/>
      <c r="AH166" s="9">
        <f t="shared" si="50"/>
        <v>0</v>
      </c>
      <c r="AI166" s="9">
        <f t="shared" si="53"/>
        <v>6774.0999999999931</v>
      </c>
      <c r="AJ166" s="14"/>
      <c r="AK166" s="14"/>
      <c r="AL166" s="14"/>
      <c r="AM166" s="14"/>
      <c r="AN166" s="166"/>
      <c r="AO166" s="166"/>
      <c r="AP166" s="14"/>
      <c r="AQ166" s="14"/>
    </row>
    <row r="167" spans="10:50">
      <c r="W167" s="9" t="str">
        <f t="shared" ca="1" si="51"/>
        <v/>
      </c>
      <c r="X167" s="40">
        <v>44942</v>
      </c>
      <c r="Y167" s="168">
        <f t="shared" si="52"/>
        <v>1</v>
      </c>
      <c r="Z167" s="44" t="s">
        <v>1136</v>
      </c>
      <c r="AA167" s="21">
        <v>0</v>
      </c>
      <c r="AB167" s="21"/>
      <c r="AC167" s="21"/>
      <c r="AF167" s="26">
        <f t="shared" ref="AF167:AF171" si="55">(27.2*2)</f>
        <v>54.4</v>
      </c>
      <c r="AH167" s="9">
        <f t="shared" si="50"/>
        <v>54.4</v>
      </c>
      <c r="AI167" s="9">
        <f t="shared" si="53"/>
        <v>6828.4999999999927</v>
      </c>
      <c r="AJ167" s="14"/>
      <c r="AK167" s="14"/>
      <c r="AL167" s="14"/>
      <c r="AM167" s="14"/>
      <c r="AN167" s="166"/>
      <c r="AO167" s="166"/>
      <c r="AP167" s="14"/>
      <c r="AQ167" s="14"/>
    </row>
    <row r="168" spans="10:50">
      <c r="W168" s="9" t="str">
        <f t="shared" ca="1" si="51"/>
        <v/>
      </c>
      <c r="X168" s="40">
        <v>44943</v>
      </c>
      <c r="Y168" s="168">
        <f t="shared" si="52"/>
        <v>1</v>
      </c>
      <c r="Z168" s="44" t="s">
        <v>1138</v>
      </c>
      <c r="AA168" s="21">
        <v>0</v>
      </c>
      <c r="AB168" s="21"/>
      <c r="AC168" s="21"/>
      <c r="AF168" s="26">
        <f t="shared" si="55"/>
        <v>54.4</v>
      </c>
      <c r="AH168" s="9">
        <f t="shared" si="50"/>
        <v>54.4</v>
      </c>
      <c r="AI168" s="9">
        <f t="shared" si="53"/>
        <v>6882.8999999999924</v>
      </c>
      <c r="AJ168" s="14"/>
      <c r="AK168" s="14"/>
      <c r="AL168" s="14"/>
      <c r="AM168" s="14"/>
      <c r="AN168" s="166"/>
      <c r="AO168" s="166"/>
      <c r="AP168" s="14"/>
      <c r="AQ168" s="14"/>
    </row>
    <row r="169" spans="10:50">
      <c r="W169" s="9" t="str">
        <f t="shared" ca="1" si="51"/>
        <v/>
      </c>
      <c r="X169" s="40">
        <v>44944</v>
      </c>
      <c r="Y169" s="168">
        <f t="shared" si="52"/>
        <v>1</v>
      </c>
      <c r="Z169" s="44" t="s">
        <v>1140</v>
      </c>
      <c r="AA169" s="21">
        <v>0</v>
      </c>
      <c r="AB169" s="21"/>
      <c r="AC169" s="21"/>
      <c r="AF169" s="26">
        <f t="shared" si="55"/>
        <v>54.4</v>
      </c>
      <c r="AH169" s="9">
        <f t="shared" si="50"/>
        <v>54.4</v>
      </c>
      <c r="AI169" s="9">
        <f t="shared" si="53"/>
        <v>6937.299999999992</v>
      </c>
      <c r="AJ169" s="14"/>
      <c r="AK169" s="14"/>
      <c r="AL169" s="14"/>
      <c r="AM169" s="14"/>
      <c r="AN169" s="166"/>
      <c r="AO169" s="166"/>
      <c r="AP169" s="14"/>
      <c r="AQ169" s="14"/>
    </row>
    <row r="170" spans="10:50">
      <c r="W170" s="9" t="str">
        <f t="shared" ca="1" si="51"/>
        <v/>
      </c>
      <c r="X170" s="40">
        <v>44945</v>
      </c>
      <c r="Y170" s="168">
        <f t="shared" si="52"/>
        <v>1</v>
      </c>
      <c r="Z170" s="44" t="s">
        <v>1143</v>
      </c>
      <c r="AA170" s="21">
        <v>0</v>
      </c>
      <c r="AB170" s="21"/>
      <c r="AC170" s="21"/>
      <c r="AF170" s="26">
        <f t="shared" si="55"/>
        <v>54.4</v>
      </c>
      <c r="AH170" s="9">
        <f t="shared" si="50"/>
        <v>54.4</v>
      </c>
      <c r="AI170" s="9">
        <f t="shared" si="53"/>
        <v>6991.6999999999916</v>
      </c>
      <c r="AJ170" s="14"/>
      <c r="AK170" s="14"/>
      <c r="AL170" s="14"/>
      <c r="AM170" s="14"/>
      <c r="AN170" s="166"/>
      <c r="AO170" s="166"/>
      <c r="AP170" s="14"/>
      <c r="AQ170" s="14"/>
    </row>
    <row r="171" spans="10:50">
      <c r="W171" s="9" t="str">
        <f t="shared" ca="1" si="51"/>
        <v/>
      </c>
      <c r="X171" s="40">
        <v>44946</v>
      </c>
      <c r="Y171" s="168">
        <f t="shared" si="52"/>
        <v>1</v>
      </c>
      <c r="Z171" s="44" t="s">
        <v>1145</v>
      </c>
      <c r="AA171" s="21">
        <v>0</v>
      </c>
      <c r="AB171" s="21"/>
      <c r="AC171" s="21"/>
      <c r="AF171" s="26">
        <f t="shared" si="55"/>
        <v>54.4</v>
      </c>
      <c r="AH171" s="9">
        <f t="shared" si="50"/>
        <v>54.4</v>
      </c>
      <c r="AI171" s="9">
        <f t="shared" si="53"/>
        <v>7046.0999999999913</v>
      </c>
      <c r="AJ171" s="14"/>
      <c r="AK171" s="14"/>
      <c r="AL171" s="14"/>
      <c r="AM171" s="14"/>
      <c r="AN171" s="166"/>
      <c r="AO171" s="166"/>
      <c r="AP171" s="14"/>
      <c r="AQ171" s="14"/>
    </row>
    <row r="172" spans="10:50">
      <c r="W172" s="9" t="str">
        <f t="shared" ca="1" si="51"/>
        <v/>
      </c>
      <c r="X172" s="40">
        <v>44947</v>
      </c>
      <c r="Y172" s="168">
        <f t="shared" si="52"/>
        <v>1</v>
      </c>
      <c r="Z172" s="44" t="s">
        <v>1132</v>
      </c>
      <c r="AA172" s="21">
        <v>0</v>
      </c>
      <c r="AB172" s="21"/>
      <c r="AC172" s="21"/>
      <c r="AF172" s="26"/>
      <c r="AH172" s="9">
        <f t="shared" si="50"/>
        <v>0</v>
      </c>
      <c r="AI172" s="9">
        <f t="shared" si="53"/>
        <v>7046.0999999999913</v>
      </c>
      <c r="AJ172" s="14">
        <f>SUM(AH166:AH172)</f>
        <v>272</v>
      </c>
      <c r="AK172" s="14"/>
      <c r="AL172" s="14"/>
      <c r="AM172" s="14"/>
      <c r="AN172" s="166"/>
      <c r="AO172" s="166"/>
      <c r="AP172" s="14"/>
      <c r="AQ172" s="14"/>
      <c r="AS172" s="1471" t="s">
        <v>1207</v>
      </c>
      <c r="AT172" s="1471"/>
      <c r="AU172" s="1471"/>
      <c r="AV172" s="1471"/>
      <c r="AW172" s="1471"/>
      <c r="AX172" s="1471"/>
    </row>
    <row r="173" spans="10:50">
      <c r="W173" s="9" t="str">
        <f t="shared" ca="1" si="51"/>
        <v/>
      </c>
      <c r="X173" s="40">
        <v>44948</v>
      </c>
      <c r="Y173" s="168">
        <f t="shared" si="52"/>
        <v>1</v>
      </c>
      <c r="Z173" s="44" t="s">
        <v>1134</v>
      </c>
      <c r="AA173" s="21">
        <v>0</v>
      </c>
      <c r="AB173" s="21"/>
      <c r="AC173" s="21"/>
      <c r="AF173" s="26"/>
      <c r="AH173" s="9">
        <f t="shared" si="50"/>
        <v>0</v>
      </c>
      <c r="AI173" s="9">
        <f t="shared" si="53"/>
        <v>7046.0999999999913</v>
      </c>
      <c r="AJ173" s="14"/>
      <c r="AK173" s="14"/>
      <c r="AL173" s="14"/>
      <c r="AM173" s="14"/>
      <c r="AN173" s="166"/>
      <c r="AO173" s="166"/>
      <c r="AP173" s="14"/>
      <c r="AQ173" s="14"/>
      <c r="AS173" s="9" t="s">
        <v>1208</v>
      </c>
      <c r="AT173" s="9" t="s">
        <v>1209</v>
      </c>
    </row>
    <row r="174" spans="10:50">
      <c r="W174" s="9" t="str">
        <f t="shared" ca="1" si="51"/>
        <v/>
      </c>
      <c r="X174" s="40">
        <v>44949</v>
      </c>
      <c r="Y174" s="168">
        <f t="shared" si="52"/>
        <v>1</v>
      </c>
      <c r="Z174" s="44" t="s">
        <v>1136</v>
      </c>
      <c r="AA174" s="97">
        <v>50</v>
      </c>
      <c r="AB174" s="97"/>
      <c r="AC174" s="97">
        <v>1.4870000000000001</v>
      </c>
      <c r="AD174" s="76">
        <f>AA174/AC174</f>
        <v>33.624747814391391</v>
      </c>
      <c r="AF174" s="26">
        <f>27.2+46.2</f>
        <v>73.400000000000006</v>
      </c>
      <c r="AG174" s="9">
        <f>19.6+30.9</f>
        <v>50.5</v>
      </c>
      <c r="AH174" s="9">
        <f t="shared" si="50"/>
        <v>123.9</v>
      </c>
      <c r="AI174" s="88">
        <f t="shared" si="53"/>
        <v>7169.9999999999909</v>
      </c>
      <c r="AJ174" s="14"/>
      <c r="AK174" s="14"/>
      <c r="AL174" s="14"/>
      <c r="AM174" s="14"/>
      <c r="AN174" s="166"/>
      <c r="AO174" s="166"/>
      <c r="AP174" s="14"/>
      <c r="AQ174" s="14"/>
      <c r="AS174" s="119">
        <f>AS176-AH176-AH175-AF174</f>
        <v>182008.19999999998</v>
      </c>
    </row>
    <row r="175" spans="10:50">
      <c r="W175" s="9" t="str">
        <f t="shared" ca="1" si="51"/>
        <v/>
      </c>
      <c r="X175" s="40">
        <v>44950</v>
      </c>
      <c r="Y175" s="168">
        <f t="shared" si="52"/>
        <v>1</v>
      </c>
      <c r="Z175" s="44" t="s">
        <v>1138</v>
      </c>
      <c r="AA175" s="21">
        <v>0</v>
      </c>
      <c r="AB175" s="21"/>
      <c r="AC175" s="21"/>
      <c r="AF175" s="26">
        <f t="shared" ref="AF175:AF178" si="56">(27.2*2)</f>
        <v>54.4</v>
      </c>
      <c r="AG175" s="9">
        <v>4.8</v>
      </c>
      <c r="AH175" s="9">
        <f t="shared" si="50"/>
        <v>59.199999999999996</v>
      </c>
      <c r="AI175" s="9">
        <f t="shared" si="53"/>
        <v>7229.1999999999907</v>
      </c>
      <c r="AJ175" s="14"/>
      <c r="AK175" s="14"/>
      <c r="AL175" s="14"/>
      <c r="AM175" s="14"/>
      <c r="AN175" s="166"/>
      <c r="AO175" s="166"/>
      <c r="AP175" s="14"/>
      <c r="AQ175" s="14"/>
    </row>
    <row r="176" spans="10:50">
      <c r="W176" s="9" t="str">
        <f t="shared" ca="1" si="51"/>
        <v/>
      </c>
      <c r="X176" s="40">
        <v>44951</v>
      </c>
      <c r="Y176" s="168">
        <f t="shared" si="52"/>
        <v>1</v>
      </c>
      <c r="Z176" s="44" t="s">
        <v>1140</v>
      </c>
      <c r="AA176" s="21">
        <v>0</v>
      </c>
      <c r="AB176" s="21"/>
      <c r="AC176" s="21"/>
      <c r="AF176" s="26">
        <f t="shared" si="56"/>
        <v>54.4</v>
      </c>
      <c r="AG176" s="9">
        <v>4.8</v>
      </c>
      <c r="AH176" s="9">
        <f t="shared" si="50"/>
        <v>59.199999999999996</v>
      </c>
      <c r="AI176" s="88">
        <f t="shared" si="53"/>
        <v>7288.3999999999905</v>
      </c>
      <c r="AJ176" s="14"/>
      <c r="AK176" s="14"/>
      <c r="AL176" s="14"/>
      <c r="AM176" s="14"/>
      <c r="AN176" s="166"/>
      <c r="AO176" s="166"/>
      <c r="AP176" s="14"/>
      <c r="AQ176" s="14"/>
      <c r="AS176" s="9">
        <v>182200</v>
      </c>
      <c r="AT176" s="9">
        <f>AS176-AS108</f>
        <v>4424</v>
      </c>
      <c r="AU176" s="88">
        <f>AT176/(SUM(AD110:AD174))</f>
        <v>16.527491610850408</v>
      </c>
      <c r="AV176" s="88">
        <f>100/AU176</f>
        <v>6.0505249286800025</v>
      </c>
    </row>
    <row r="177" spans="23:50">
      <c r="W177" s="9" t="str">
        <f t="shared" ca="1" si="51"/>
        <v/>
      </c>
      <c r="X177" s="40">
        <v>44952</v>
      </c>
      <c r="Y177" s="168">
        <f t="shared" si="52"/>
        <v>1</v>
      </c>
      <c r="Z177" s="44" t="s">
        <v>1143</v>
      </c>
      <c r="AA177" s="21">
        <v>0</v>
      </c>
      <c r="AB177" s="21"/>
      <c r="AC177" s="21"/>
      <c r="AF177" s="26">
        <f t="shared" si="56"/>
        <v>54.4</v>
      </c>
      <c r="AG177" s="9">
        <f>33.8*2</f>
        <v>67.599999999999994</v>
      </c>
      <c r="AH177" s="9">
        <f t="shared" ref="AH177:AH208" si="57">AF177+AG177</f>
        <v>122</v>
      </c>
      <c r="AI177" s="88">
        <f t="shared" si="53"/>
        <v>7410.3999999999905</v>
      </c>
      <c r="AJ177" s="63" t="s">
        <v>1072</v>
      </c>
      <c r="AK177" s="14" t="s">
        <v>1077</v>
      </c>
      <c r="AL177" s="14" t="s">
        <v>1204</v>
      </c>
      <c r="AM177" s="14" t="s">
        <v>1205</v>
      </c>
      <c r="AN177" s="166" t="s">
        <v>1069</v>
      </c>
      <c r="AO177" s="166" t="s">
        <v>1206</v>
      </c>
      <c r="AP177" s="14"/>
      <c r="AQ177" s="14"/>
      <c r="AU177" s="88"/>
      <c r="AV177" s="88"/>
    </row>
    <row r="178" spans="23:50">
      <c r="W178" s="9" t="str">
        <f t="shared" ca="1" si="51"/>
        <v/>
      </c>
      <c r="X178" s="39">
        <v>44953</v>
      </c>
      <c r="Y178" s="179">
        <f t="shared" si="52"/>
        <v>1</v>
      </c>
      <c r="Z178" s="107" t="s">
        <v>1145</v>
      </c>
      <c r="AA178" s="87">
        <v>0</v>
      </c>
      <c r="AB178" s="68"/>
      <c r="AC178" s="68"/>
      <c r="AD178" s="22"/>
      <c r="AE178" s="22"/>
      <c r="AF178" s="115">
        <f t="shared" si="56"/>
        <v>54.4</v>
      </c>
      <c r="AG178" s="22">
        <f>38.8+1.1+37</f>
        <v>76.900000000000006</v>
      </c>
      <c r="AH178" s="22">
        <f t="shared" si="57"/>
        <v>131.30000000000001</v>
      </c>
      <c r="AI178" s="215">
        <f t="shared" si="53"/>
        <v>7541.6999999999907</v>
      </c>
      <c r="AJ178" s="1372"/>
      <c r="AK178" s="1372">
        <f>SUM(AH148:AH178)</f>
        <v>1039.5999999999999</v>
      </c>
      <c r="AL178" s="1372">
        <f>SUM(AF148:AF178)</f>
        <v>834.99999999999977</v>
      </c>
      <c r="AM178" s="1372">
        <f>SUM(AG148:AG178)</f>
        <v>204.6</v>
      </c>
      <c r="AN178" s="181">
        <f>SUM(AD148:AD178)</f>
        <v>136.89161167601372</v>
      </c>
      <c r="AO178" s="182">
        <f>AK178/AN178</f>
        <v>7.594329464543514</v>
      </c>
      <c r="AP178" s="183">
        <f>SUM(AA148:AB178)/SUM(AD148:AD178)</f>
        <v>1.5388817285501508</v>
      </c>
      <c r="AQ178" s="184">
        <f>(AP178/AO178)*(SUM(AH148:AH178))</f>
        <v>210.66</v>
      </c>
      <c r="AS178" s="1471" t="s">
        <v>1207</v>
      </c>
      <c r="AT178" s="1471"/>
      <c r="AU178" s="1471"/>
      <c r="AV178" s="1471"/>
      <c r="AW178" s="1471"/>
      <c r="AX178" s="1471"/>
    </row>
    <row r="179" spans="23:50">
      <c r="W179" s="9" t="str">
        <f t="shared" ca="1" si="51"/>
        <v/>
      </c>
      <c r="X179" s="40">
        <v>44954</v>
      </c>
      <c r="Y179" s="168">
        <f t="shared" si="52"/>
        <v>1</v>
      </c>
      <c r="Z179" s="44" t="s">
        <v>1132</v>
      </c>
      <c r="AA179" s="21">
        <v>0</v>
      </c>
      <c r="AB179" s="21"/>
      <c r="AC179" s="21"/>
      <c r="AF179" s="26"/>
      <c r="AG179" s="9">
        <f>4.8+23.8</f>
        <v>28.6</v>
      </c>
      <c r="AH179" s="9">
        <f t="shared" si="57"/>
        <v>28.6</v>
      </c>
      <c r="AI179" s="88">
        <f t="shared" si="53"/>
        <v>7570.2999999999911</v>
      </c>
      <c r="AJ179" s="14">
        <f>SUM(AH173:AH179)</f>
        <v>524.19999999999993</v>
      </c>
      <c r="AK179" s="14"/>
      <c r="AL179" s="14"/>
      <c r="AM179" s="14"/>
      <c r="AN179" s="166"/>
      <c r="AO179" s="166"/>
      <c r="AP179" s="14"/>
      <c r="AQ179" s="14"/>
      <c r="AS179" s="9" t="s">
        <v>1208</v>
      </c>
      <c r="AT179" s="9" t="s">
        <v>1209</v>
      </c>
      <c r="AU179" s="88"/>
      <c r="AV179" s="88"/>
    </row>
    <row r="180" spans="23:50">
      <c r="W180" s="9" t="str">
        <f t="shared" ca="1" si="51"/>
        <v/>
      </c>
      <c r="X180" s="40">
        <v>44955</v>
      </c>
      <c r="Y180" s="168">
        <f t="shared" si="52"/>
        <v>1</v>
      </c>
      <c r="Z180" s="44" t="s">
        <v>1134</v>
      </c>
      <c r="AA180" s="97">
        <v>55</v>
      </c>
      <c r="AB180" s="97"/>
      <c r="AC180" s="97">
        <v>1.4830000000000001</v>
      </c>
      <c r="AD180" s="76">
        <f>AA180/AC180</f>
        <v>37.086985839514497</v>
      </c>
      <c r="AF180" s="26"/>
      <c r="AG180" s="9">
        <f>4.8+38.8+81</f>
        <v>124.6</v>
      </c>
      <c r="AH180" s="9">
        <f t="shared" si="57"/>
        <v>124.6</v>
      </c>
      <c r="AI180" s="88">
        <f t="shared" si="53"/>
        <v>7694.8999999999915</v>
      </c>
      <c r="AJ180" s="14"/>
      <c r="AK180" s="14"/>
      <c r="AL180" s="14"/>
      <c r="AM180" s="14"/>
      <c r="AN180" s="166"/>
      <c r="AO180" s="166"/>
      <c r="AP180" s="14"/>
      <c r="AQ180" s="14"/>
      <c r="AS180" s="119">
        <f>AS181-AH180+4.8+38.8</f>
        <v>182588.79999999996</v>
      </c>
      <c r="AT180" s="119">
        <f>AS180-AS174</f>
        <v>580.59999999997672</v>
      </c>
      <c r="AU180" s="88">
        <f>AT180/AD174</f>
        <v>17.267043999999309</v>
      </c>
      <c r="AV180" s="88">
        <f>100/AU180</f>
        <v>5.791379230863372</v>
      </c>
    </row>
    <row r="181" spans="23:50">
      <c r="W181" s="9" t="str">
        <f t="shared" ca="1" si="51"/>
        <v/>
      </c>
      <c r="X181" s="40">
        <v>44956</v>
      </c>
      <c r="Y181" s="168">
        <f t="shared" si="52"/>
        <v>1</v>
      </c>
      <c r="Z181" s="44" t="s">
        <v>1136</v>
      </c>
      <c r="AA181" s="21">
        <v>0</v>
      </c>
      <c r="AB181" s="21"/>
      <c r="AC181" s="21"/>
      <c r="AF181" s="26">
        <v>54.4</v>
      </c>
      <c r="AG181" s="9">
        <v>19.600000000000001</v>
      </c>
      <c r="AH181" s="9">
        <f t="shared" si="57"/>
        <v>74</v>
      </c>
      <c r="AI181" s="88">
        <f t="shared" si="53"/>
        <v>7768.8999999999915</v>
      </c>
      <c r="AJ181" s="14"/>
      <c r="AK181" s="14"/>
      <c r="AL181" s="14"/>
      <c r="AM181" s="14"/>
      <c r="AN181" s="166"/>
      <c r="AO181" s="166"/>
      <c r="AP181" s="14"/>
      <c r="AQ181" s="14"/>
      <c r="AS181" s="119">
        <f>182697-27.2</f>
        <v>182669.8</v>
      </c>
      <c r="AT181" s="119"/>
      <c r="AU181" s="88"/>
      <c r="AV181" s="88"/>
    </row>
    <row r="182" spans="23:50">
      <c r="W182" s="9" t="str">
        <f t="shared" ca="1" si="51"/>
        <v/>
      </c>
      <c r="X182" s="40">
        <v>44957</v>
      </c>
      <c r="Y182" s="168">
        <f t="shared" si="52"/>
        <v>1</v>
      </c>
      <c r="Z182" s="44" t="s">
        <v>1138</v>
      </c>
      <c r="AA182" s="21">
        <v>0</v>
      </c>
      <c r="AB182" s="21"/>
      <c r="AC182" s="21"/>
      <c r="AF182" s="26">
        <v>54.4</v>
      </c>
      <c r="AG182" s="9">
        <v>4.8</v>
      </c>
      <c r="AH182" s="9">
        <f t="shared" si="57"/>
        <v>59.199999999999996</v>
      </c>
      <c r="AI182" s="88">
        <f t="shared" si="53"/>
        <v>7828.0999999999913</v>
      </c>
      <c r="AJ182" s="14"/>
      <c r="AK182" s="14"/>
      <c r="AL182" s="14"/>
      <c r="AM182" s="14"/>
      <c r="AN182" s="166"/>
      <c r="AO182" s="166"/>
      <c r="AP182" s="14"/>
      <c r="AQ182" s="14"/>
    </row>
    <row r="183" spans="23:50">
      <c r="W183" s="9" t="str">
        <f t="shared" ca="1" si="51"/>
        <v/>
      </c>
      <c r="X183" s="40">
        <v>44958</v>
      </c>
      <c r="Y183" s="168">
        <f t="shared" si="52"/>
        <v>2</v>
      </c>
      <c r="Z183" s="44" t="s">
        <v>1140</v>
      </c>
      <c r="AA183" s="21">
        <v>0</v>
      </c>
      <c r="AB183" s="21"/>
      <c r="AC183" s="21"/>
      <c r="AF183" s="26">
        <v>54.4</v>
      </c>
      <c r="AG183" s="9">
        <v>4.8</v>
      </c>
      <c r="AH183" s="9">
        <f t="shared" si="57"/>
        <v>59.199999999999996</v>
      </c>
      <c r="AI183" s="88">
        <f t="shared" si="53"/>
        <v>7887.2999999999911</v>
      </c>
      <c r="AJ183" s="14"/>
      <c r="AK183" s="14"/>
      <c r="AL183" s="14"/>
      <c r="AM183" s="14"/>
      <c r="AN183" s="166"/>
      <c r="AO183" s="166"/>
      <c r="AP183" s="14"/>
      <c r="AQ183" s="14"/>
    </row>
    <row r="184" spans="23:50">
      <c r="W184" s="9" t="str">
        <f t="shared" ca="1" si="51"/>
        <v/>
      </c>
      <c r="X184" s="40">
        <v>44959</v>
      </c>
      <c r="Y184" s="168">
        <f t="shared" si="52"/>
        <v>2</v>
      </c>
      <c r="Z184" s="44" t="s">
        <v>1143</v>
      </c>
      <c r="AA184" s="21">
        <v>0</v>
      </c>
      <c r="AB184" s="21"/>
      <c r="AC184" s="21"/>
      <c r="AF184" s="26">
        <v>54.4</v>
      </c>
      <c r="AG184" s="9">
        <v>19.600000000000001</v>
      </c>
      <c r="AH184" s="9">
        <f t="shared" si="57"/>
        <v>74</v>
      </c>
      <c r="AI184" s="88">
        <f t="shared" si="53"/>
        <v>7961.2999999999911</v>
      </c>
      <c r="AJ184" s="14"/>
      <c r="AK184" s="14"/>
      <c r="AL184" s="14"/>
      <c r="AM184" s="14"/>
      <c r="AN184" s="166"/>
      <c r="AO184" s="166"/>
      <c r="AP184" s="14"/>
      <c r="AQ184" s="14"/>
    </row>
    <row r="185" spans="23:50">
      <c r="W185" s="9" t="str">
        <f t="shared" ca="1" si="51"/>
        <v/>
      </c>
      <c r="X185" s="40">
        <v>44960</v>
      </c>
      <c r="Y185" s="168">
        <f t="shared" si="52"/>
        <v>2</v>
      </c>
      <c r="Z185" s="44" t="s">
        <v>1145</v>
      </c>
      <c r="AA185" s="21">
        <v>0</v>
      </c>
      <c r="AB185" s="21"/>
      <c r="AC185" s="21"/>
      <c r="AF185" s="26">
        <v>54.4</v>
      </c>
      <c r="AH185" s="9">
        <f t="shared" si="57"/>
        <v>54.4</v>
      </c>
      <c r="AI185" s="88">
        <f t="shared" si="53"/>
        <v>8015.6999999999907</v>
      </c>
      <c r="AJ185" s="14"/>
      <c r="AK185" s="14"/>
      <c r="AL185" s="14"/>
      <c r="AM185" s="14"/>
      <c r="AN185" s="166"/>
      <c r="AO185" s="166"/>
      <c r="AP185" s="14"/>
      <c r="AQ185" s="14"/>
      <c r="AS185" s="1471" t="s">
        <v>1207</v>
      </c>
      <c r="AT185" s="1471"/>
      <c r="AU185" s="1471"/>
      <c r="AV185" s="1471"/>
      <c r="AW185" s="1471"/>
      <c r="AX185" s="1471"/>
    </row>
    <row r="186" spans="23:50">
      <c r="W186" s="9" t="str">
        <f t="shared" ca="1" si="51"/>
        <v/>
      </c>
      <c r="X186" s="40">
        <v>44961</v>
      </c>
      <c r="Y186" s="168">
        <f t="shared" si="52"/>
        <v>2</v>
      </c>
      <c r="Z186" s="44" t="s">
        <v>1132</v>
      </c>
      <c r="AA186" s="97">
        <v>50</v>
      </c>
      <c r="AB186" s="97"/>
      <c r="AC186" s="97">
        <v>1.5289999999999999</v>
      </c>
      <c r="AD186" s="76">
        <f>AA186/AC186</f>
        <v>32.701111837802486</v>
      </c>
      <c r="AF186" s="26"/>
      <c r="AG186" s="9">
        <f>4.8+49.8+36.3</f>
        <v>90.899999999999991</v>
      </c>
      <c r="AH186" s="9">
        <f t="shared" si="57"/>
        <v>90.899999999999991</v>
      </c>
      <c r="AI186" s="88">
        <f t="shared" si="53"/>
        <v>8106.5999999999904</v>
      </c>
      <c r="AJ186" s="14">
        <f>SUM(AH180:AH186)</f>
        <v>536.29999999999995</v>
      </c>
      <c r="AK186" s="14"/>
      <c r="AL186" s="14"/>
      <c r="AM186" s="14"/>
      <c r="AN186" s="166"/>
      <c r="AO186" s="166"/>
      <c r="AP186" s="14"/>
      <c r="AQ186" s="14"/>
      <c r="AS186" s="9" t="s">
        <v>1208</v>
      </c>
      <c r="AT186" s="9" t="s">
        <v>1209</v>
      </c>
      <c r="AW186" s="9" t="s">
        <v>1210</v>
      </c>
      <c r="AX186" s="9" t="s">
        <v>1211</v>
      </c>
    </row>
    <row r="187" spans="23:50">
      <c r="W187" s="9" t="str">
        <f t="shared" ca="1" si="51"/>
        <v/>
      </c>
      <c r="X187" s="40">
        <v>44962</v>
      </c>
      <c r="Y187" s="168">
        <f t="shared" si="52"/>
        <v>2</v>
      </c>
      <c r="Z187" s="44" t="s">
        <v>1134</v>
      </c>
      <c r="AA187" s="21">
        <v>0</v>
      </c>
      <c r="AB187" s="21"/>
      <c r="AC187" s="21"/>
      <c r="AF187" s="26"/>
      <c r="AG187" s="9">
        <f>4.8+164</f>
        <v>168.8</v>
      </c>
      <c r="AH187" s="9">
        <f t="shared" si="57"/>
        <v>168.8</v>
      </c>
      <c r="AI187" s="88">
        <f t="shared" si="53"/>
        <v>8275.3999999999905</v>
      </c>
      <c r="AJ187" s="14"/>
      <c r="AK187" s="14"/>
      <c r="AL187" s="14"/>
      <c r="AM187" s="14"/>
      <c r="AN187" s="166"/>
      <c r="AO187" s="166"/>
      <c r="AP187" s="14"/>
      <c r="AQ187" s="14"/>
      <c r="AS187" s="119">
        <f>AS181+AT187</f>
        <v>183289.69999999998</v>
      </c>
      <c r="AT187" s="119">
        <f>SUM(AH180:AH186)+4.8+(39.4*2)</f>
        <v>619.89999999999986</v>
      </c>
      <c r="AW187" s="88">
        <f>AD180*C62</f>
        <v>598.90658030029829</v>
      </c>
      <c r="AX187" s="88">
        <v>186</v>
      </c>
    </row>
    <row r="188" spans="23:50">
      <c r="W188" s="9" t="str">
        <f t="shared" ca="1" si="51"/>
        <v/>
      </c>
      <c r="X188" s="40">
        <v>44963</v>
      </c>
      <c r="Y188" s="168">
        <f t="shared" si="52"/>
        <v>2</v>
      </c>
      <c r="Z188" s="44" t="s">
        <v>1136</v>
      </c>
      <c r="AA188" s="21">
        <v>0</v>
      </c>
      <c r="AB188" s="21"/>
      <c r="AC188" s="21"/>
      <c r="AF188" s="26">
        <v>54.4</v>
      </c>
      <c r="AG188" s="9">
        <v>19.600000000000001</v>
      </c>
      <c r="AH188" s="9">
        <f t="shared" si="57"/>
        <v>74</v>
      </c>
      <c r="AI188" s="88">
        <f t="shared" si="53"/>
        <v>8349.3999999999905</v>
      </c>
      <c r="AJ188" s="14"/>
      <c r="AK188" s="14"/>
      <c r="AL188" s="14"/>
      <c r="AM188" s="14"/>
      <c r="AN188" s="166"/>
      <c r="AO188" s="166"/>
      <c r="AP188" s="14"/>
      <c r="AQ188" s="14"/>
      <c r="AW188" s="88"/>
      <c r="AX188" s="88"/>
    </row>
    <row r="189" spans="23:50">
      <c r="W189" s="9" t="str">
        <f t="shared" ca="1" si="51"/>
        <v/>
      </c>
      <c r="X189" s="40">
        <v>44964</v>
      </c>
      <c r="Y189" s="168">
        <f t="shared" si="52"/>
        <v>2</v>
      </c>
      <c r="Z189" s="44" t="s">
        <v>1138</v>
      </c>
      <c r="AA189" s="21">
        <v>0</v>
      </c>
      <c r="AB189" s="21"/>
      <c r="AC189" s="21"/>
      <c r="AF189" s="26">
        <v>54.4</v>
      </c>
      <c r="AG189" s="9">
        <v>46.9</v>
      </c>
      <c r="AH189" s="9">
        <f t="shared" si="57"/>
        <v>101.3</v>
      </c>
      <c r="AI189" s="88">
        <f t="shared" si="53"/>
        <v>8450.6999999999898</v>
      </c>
      <c r="AJ189" s="14"/>
      <c r="AK189" s="14"/>
      <c r="AL189" s="14"/>
      <c r="AM189" s="14"/>
      <c r="AN189" s="166"/>
      <c r="AO189" s="166"/>
      <c r="AP189" s="14"/>
      <c r="AQ189" s="14"/>
      <c r="AW189" s="88"/>
      <c r="AX189" s="88"/>
    </row>
    <row r="190" spans="23:50">
      <c r="W190" s="9" t="str">
        <f t="shared" ca="1" si="51"/>
        <v/>
      </c>
      <c r="X190" s="40">
        <v>44965</v>
      </c>
      <c r="Y190" s="168">
        <f t="shared" si="52"/>
        <v>2</v>
      </c>
      <c r="Z190" s="44" t="s">
        <v>1140</v>
      </c>
      <c r="AA190" s="21">
        <v>0</v>
      </c>
      <c r="AB190" s="21"/>
      <c r="AC190" s="21"/>
      <c r="AF190" s="26">
        <v>54.4</v>
      </c>
      <c r="AG190" s="9">
        <v>41.4</v>
      </c>
      <c r="AH190" s="9">
        <f t="shared" si="57"/>
        <v>95.8</v>
      </c>
      <c r="AI190" s="88">
        <f t="shared" si="53"/>
        <v>8546.4999999999891</v>
      </c>
      <c r="AJ190" s="14"/>
      <c r="AK190" s="14"/>
      <c r="AL190" s="14"/>
      <c r="AM190" s="14"/>
      <c r="AN190" s="166"/>
      <c r="AO190" s="166"/>
      <c r="AP190" s="14"/>
      <c r="AQ190" s="14"/>
      <c r="AW190" s="88"/>
      <c r="AX190" s="88"/>
    </row>
    <row r="191" spans="23:50">
      <c r="W191" s="9" t="str">
        <f t="shared" ca="1" si="51"/>
        <v/>
      </c>
      <c r="X191" s="40">
        <v>44966</v>
      </c>
      <c r="Y191" s="168">
        <f t="shared" si="52"/>
        <v>2</v>
      </c>
      <c r="Z191" s="44" t="s">
        <v>1143</v>
      </c>
      <c r="AA191" s="21">
        <v>0</v>
      </c>
      <c r="AB191" s="21"/>
      <c r="AC191" s="21"/>
      <c r="AF191" s="26">
        <v>54.4</v>
      </c>
      <c r="AG191" s="9">
        <v>4.8</v>
      </c>
      <c r="AH191" s="9">
        <f t="shared" si="57"/>
        <v>59.199999999999996</v>
      </c>
      <c r="AI191" s="88">
        <f t="shared" si="53"/>
        <v>8605.6999999999898</v>
      </c>
      <c r="AJ191" s="14"/>
      <c r="AK191" s="14"/>
      <c r="AL191" s="14"/>
      <c r="AM191" s="14"/>
      <c r="AN191" s="166"/>
      <c r="AO191" s="166"/>
      <c r="AP191" s="14"/>
      <c r="AQ191" s="14"/>
      <c r="AS191" s="1471" t="s">
        <v>1207</v>
      </c>
      <c r="AT191" s="1471"/>
      <c r="AU191" s="1471"/>
      <c r="AV191" s="1471"/>
      <c r="AW191" s="1471"/>
      <c r="AX191" s="1471"/>
    </row>
    <row r="192" spans="23:50">
      <c r="W192" s="9" t="str">
        <f t="shared" ca="1" si="51"/>
        <v/>
      </c>
      <c r="X192" s="40">
        <v>44967</v>
      </c>
      <c r="Y192" s="168">
        <f t="shared" si="52"/>
        <v>2</v>
      </c>
      <c r="Z192" s="44" t="s">
        <v>1145</v>
      </c>
      <c r="AA192" s="21">
        <v>0</v>
      </c>
      <c r="AB192" s="21"/>
      <c r="AC192" s="21"/>
      <c r="AF192" s="26">
        <v>54.4</v>
      </c>
      <c r="AG192" s="9">
        <v>28.9</v>
      </c>
      <c r="AH192" s="9">
        <f t="shared" si="57"/>
        <v>83.3</v>
      </c>
      <c r="AI192" s="88">
        <f t="shared" si="53"/>
        <v>8688.9999999999891</v>
      </c>
      <c r="AJ192" s="14"/>
      <c r="AK192" s="14"/>
      <c r="AL192" s="14"/>
      <c r="AM192" s="14"/>
      <c r="AN192" s="166"/>
      <c r="AO192" s="166"/>
      <c r="AP192" s="14"/>
      <c r="AQ192" s="14"/>
      <c r="AS192" s="9" t="s">
        <v>1208</v>
      </c>
      <c r="AT192" s="9" t="s">
        <v>1212</v>
      </c>
      <c r="AW192" s="49" t="s">
        <v>1210</v>
      </c>
      <c r="AX192" s="63" t="s">
        <v>1211</v>
      </c>
    </row>
    <row r="193" spans="23:53">
      <c r="W193" s="9" t="str">
        <f t="shared" ca="1" si="51"/>
        <v/>
      </c>
      <c r="X193" s="40">
        <v>44968</v>
      </c>
      <c r="Y193" s="168">
        <f t="shared" si="52"/>
        <v>2</v>
      </c>
      <c r="Z193" s="44" t="s">
        <v>1132</v>
      </c>
      <c r="AA193" s="97">
        <v>5</v>
      </c>
      <c r="AB193" s="97"/>
      <c r="AC193" s="97">
        <v>1.839</v>
      </c>
      <c r="AD193" s="216">
        <f>AA193/AC193</f>
        <v>2.7188689505165851</v>
      </c>
      <c r="AF193" s="26"/>
      <c r="AG193" s="9">
        <f>1.9+2.9+8.4+6.6+6.7</f>
        <v>26.499999999999996</v>
      </c>
      <c r="AH193" s="9">
        <f t="shared" si="57"/>
        <v>26.499999999999996</v>
      </c>
      <c r="AI193" s="88">
        <f t="shared" si="53"/>
        <v>8715.4999999999891</v>
      </c>
      <c r="AJ193" s="14">
        <f>SUM(AH187:AH193)</f>
        <v>608.9</v>
      </c>
      <c r="AK193" s="14"/>
      <c r="AL193" s="14"/>
      <c r="AM193" s="14"/>
      <c r="AN193" s="166"/>
      <c r="AO193" s="166"/>
      <c r="AP193" s="14"/>
      <c r="AQ193" s="14"/>
    </row>
    <row r="194" spans="23:53">
      <c r="W194" s="9" t="str">
        <f t="shared" ca="1" si="51"/>
        <v/>
      </c>
      <c r="X194" s="40">
        <v>44969</v>
      </c>
      <c r="Y194" s="168">
        <f t="shared" si="52"/>
        <v>2</v>
      </c>
      <c r="Z194" s="44" t="s">
        <v>1134</v>
      </c>
      <c r="AA194" s="97">
        <v>55</v>
      </c>
      <c r="AB194" s="97"/>
      <c r="AC194" s="97">
        <v>1.5289999999999999</v>
      </c>
      <c r="AD194" s="97">
        <f>AA194/AC194</f>
        <v>35.971223021582738</v>
      </c>
      <c r="AF194" s="26"/>
      <c r="AG194" s="9">
        <f>2.6+2.4+1.8+31.6+30+19.6+20.1+10.2+10.3</f>
        <v>128.6</v>
      </c>
      <c r="AH194" s="9">
        <f t="shared" si="57"/>
        <v>128.6</v>
      </c>
      <c r="AI194" s="88">
        <f t="shared" si="53"/>
        <v>8844.0999999999894</v>
      </c>
      <c r="AJ194" s="14"/>
      <c r="AK194" s="14"/>
      <c r="AL194" s="14"/>
      <c r="AM194" s="14"/>
      <c r="AN194" s="166"/>
      <c r="AO194" s="166"/>
      <c r="AP194" s="14"/>
      <c r="AQ194" s="14"/>
      <c r="AS194" s="119">
        <f>183940-105</f>
        <v>183835</v>
      </c>
      <c r="AT194" s="119">
        <f>AS194-AS187</f>
        <v>545.30000000001746</v>
      </c>
      <c r="AU194" s="88">
        <f>AT194/AD186</f>
        <v>16.675274000000535</v>
      </c>
      <c r="AV194" s="88">
        <f>100/AU194</f>
        <v>5.9969029594354364</v>
      </c>
      <c r="AW194" s="88">
        <f>(AD186*C62)+AX187</f>
        <v>714.0804201113873</v>
      </c>
      <c r="AX194" s="88">
        <v>44</v>
      </c>
    </row>
    <row r="195" spans="23:53">
      <c r="W195" s="9" t="str">
        <f t="shared" ca="1" si="51"/>
        <v/>
      </c>
      <c r="X195" s="40">
        <v>44970</v>
      </c>
      <c r="Y195" s="168">
        <f t="shared" si="52"/>
        <v>2</v>
      </c>
      <c r="Z195" s="44" t="s">
        <v>1136</v>
      </c>
      <c r="AA195" s="21">
        <v>0</v>
      </c>
      <c r="AB195" s="21"/>
      <c r="AC195" s="21"/>
      <c r="AF195" s="26">
        <f>22.6+23.6</f>
        <v>46.2</v>
      </c>
      <c r="AG195" s="9">
        <f>6.6+6.7</f>
        <v>13.3</v>
      </c>
      <c r="AH195" s="9">
        <f t="shared" si="57"/>
        <v>59.5</v>
      </c>
      <c r="AI195" s="88">
        <f t="shared" si="53"/>
        <v>8903.5999999999894</v>
      </c>
      <c r="AJ195" s="14"/>
      <c r="AK195" s="14"/>
      <c r="AL195" s="14"/>
      <c r="AM195" s="14"/>
      <c r="AN195" s="166"/>
      <c r="AO195" s="166"/>
      <c r="AP195" s="14"/>
      <c r="AQ195" s="14"/>
    </row>
    <row r="196" spans="23:53">
      <c r="W196" s="9" t="str">
        <f t="shared" ca="1" si="51"/>
        <v/>
      </c>
      <c r="X196" s="40">
        <v>44971</v>
      </c>
      <c r="Y196" s="168">
        <f t="shared" si="52"/>
        <v>2</v>
      </c>
      <c r="Z196" s="44" t="s">
        <v>1138</v>
      </c>
      <c r="AA196" s="21">
        <v>0</v>
      </c>
      <c r="AB196" s="21"/>
      <c r="AC196" s="21"/>
      <c r="AD196" s="21"/>
      <c r="AF196" s="26">
        <f>23.3+25.1</f>
        <v>48.400000000000006</v>
      </c>
      <c r="AG196" s="9">
        <f>1.8+1.2+2.5</f>
        <v>5.5</v>
      </c>
      <c r="AH196" s="9">
        <f t="shared" si="57"/>
        <v>53.900000000000006</v>
      </c>
      <c r="AI196" s="88">
        <f t="shared" si="53"/>
        <v>8957.4999999999891</v>
      </c>
      <c r="AJ196" s="14"/>
      <c r="AK196" s="14"/>
      <c r="AL196" s="14"/>
      <c r="AM196" s="14"/>
      <c r="AN196" s="166"/>
      <c r="AO196" s="166"/>
      <c r="AP196" s="14"/>
      <c r="AQ196" s="14"/>
    </row>
    <row r="197" spans="23:53">
      <c r="W197" s="9" t="str">
        <f t="shared" ca="1" si="51"/>
        <v/>
      </c>
      <c r="X197" s="40">
        <v>44972</v>
      </c>
      <c r="Y197" s="168">
        <f t="shared" si="52"/>
        <v>2</v>
      </c>
      <c r="Z197" s="44" t="s">
        <v>1140</v>
      </c>
      <c r="AA197" s="21">
        <v>0</v>
      </c>
      <c r="AB197" s="21"/>
      <c r="AC197" s="21"/>
      <c r="AF197" s="26">
        <f>22.7+24.6</f>
        <v>47.3</v>
      </c>
      <c r="AG197" s="9">
        <f>1.8+2.6</f>
        <v>4.4000000000000004</v>
      </c>
      <c r="AH197" s="9">
        <f t="shared" si="57"/>
        <v>51.699999999999996</v>
      </c>
      <c r="AI197" s="88">
        <f t="shared" si="53"/>
        <v>9009.1999999999898</v>
      </c>
      <c r="AJ197" s="14"/>
      <c r="AK197" s="14"/>
      <c r="AL197" s="14"/>
      <c r="AM197" s="14"/>
      <c r="AN197" s="166"/>
      <c r="AO197" s="166"/>
      <c r="AP197" s="14"/>
      <c r="AQ197" s="14"/>
    </row>
    <row r="198" spans="23:53">
      <c r="W198" s="9" t="str">
        <f t="shared" ca="1" si="51"/>
        <v/>
      </c>
      <c r="X198" s="40">
        <v>44973</v>
      </c>
      <c r="Y198" s="168">
        <f t="shared" si="52"/>
        <v>2</v>
      </c>
      <c r="Z198" s="44" t="s">
        <v>1143</v>
      </c>
      <c r="AA198" s="21">
        <v>0</v>
      </c>
      <c r="AB198" s="21"/>
      <c r="AC198" s="21"/>
      <c r="AF198" s="26">
        <f>23+18.8</f>
        <v>41.8</v>
      </c>
      <c r="AG198" s="9">
        <f>7.3+4.4+2.2</f>
        <v>13.899999999999999</v>
      </c>
      <c r="AH198" s="9">
        <f t="shared" si="57"/>
        <v>55.699999999999996</v>
      </c>
      <c r="AI198" s="88">
        <f t="shared" si="53"/>
        <v>9064.8999999999905</v>
      </c>
      <c r="AJ198" s="14"/>
      <c r="AK198" s="14"/>
      <c r="AL198" s="14"/>
      <c r="AM198" s="14"/>
      <c r="AN198" s="166"/>
      <c r="AO198" s="166"/>
      <c r="AP198" s="14"/>
      <c r="AQ198" s="14"/>
    </row>
    <row r="199" spans="23:53">
      <c r="W199" s="9" t="str">
        <f t="shared" ca="1" si="51"/>
        <v/>
      </c>
      <c r="X199" s="40">
        <v>44974</v>
      </c>
      <c r="Y199" s="168">
        <f t="shared" si="52"/>
        <v>2</v>
      </c>
      <c r="Z199" s="44" t="s">
        <v>1145</v>
      </c>
      <c r="AA199" s="21">
        <v>0</v>
      </c>
      <c r="AB199" s="21"/>
      <c r="AC199" s="21"/>
      <c r="AF199" s="26">
        <f>23+22.2</f>
        <v>45.2</v>
      </c>
      <c r="AG199" s="9">
        <f>2.8+0.4+5.8+5.3</f>
        <v>14.3</v>
      </c>
      <c r="AH199" s="9">
        <f t="shared" si="57"/>
        <v>59.5</v>
      </c>
      <c r="AI199" s="88">
        <f t="shared" si="53"/>
        <v>9124.3999999999905</v>
      </c>
      <c r="AJ199" s="14"/>
      <c r="AK199" s="14"/>
      <c r="AL199" s="14"/>
      <c r="AM199" s="14"/>
      <c r="AN199" s="166"/>
      <c r="AO199" s="166"/>
      <c r="AP199" s="14"/>
      <c r="AQ199" s="14"/>
      <c r="AS199" s="1471" t="s">
        <v>1207</v>
      </c>
      <c r="AT199" s="1471"/>
      <c r="AU199" s="1471"/>
      <c r="AV199" s="1471"/>
      <c r="AW199" s="1471"/>
      <c r="AX199" s="1471"/>
    </row>
    <row r="200" spans="23:53">
      <c r="W200" s="9" t="str">
        <f t="shared" ca="1" si="51"/>
        <v/>
      </c>
      <c r="X200" s="40">
        <v>44975</v>
      </c>
      <c r="Y200" s="168">
        <f t="shared" si="52"/>
        <v>2</v>
      </c>
      <c r="Z200" s="44" t="s">
        <v>1132</v>
      </c>
      <c r="AA200" s="21">
        <v>0</v>
      </c>
      <c r="AB200" s="21"/>
      <c r="AC200" s="21"/>
      <c r="AF200" s="26"/>
      <c r="AG200" s="9">
        <f>3.5+1.9+2.3+2.8+15.5+13.9</f>
        <v>39.9</v>
      </c>
      <c r="AH200" s="9">
        <f t="shared" si="57"/>
        <v>39.9</v>
      </c>
      <c r="AI200" s="88">
        <f t="shared" si="53"/>
        <v>9164.2999999999902</v>
      </c>
      <c r="AJ200" s="14">
        <f>SUM(AH194:AH200)</f>
        <v>448.79999999999995</v>
      </c>
      <c r="AK200" s="14"/>
      <c r="AL200" s="14"/>
      <c r="AM200" s="14"/>
      <c r="AN200" s="166"/>
      <c r="AO200" s="166"/>
      <c r="AP200" s="14"/>
      <c r="AQ200" s="14"/>
      <c r="AS200" s="9" t="s">
        <v>1208</v>
      </c>
      <c r="AT200" s="9" t="s">
        <v>1209</v>
      </c>
      <c r="AW200" s="9" t="s">
        <v>1210</v>
      </c>
      <c r="AX200" s="9" t="s">
        <v>1211</v>
      </c>
    </row>
    <row r="201" spans="23:53">
      <c r="W201" s="9" t="str">
        <f t="shared" ca="1" si="51"/>
        <v/>
      </c>
      <c r="X201" s="40">
        <v>44976</v>
      </c>
      <c r="Y201" s="168">
        <f t="shared" si="52"/>
        <v>2</v>
      </c>
      <c r="Z201" s="44" t="s">
        <v>1134</v>
      </c>
      <c r="AA201" s="97">
        <v>55</v>
      </c>
      <c r="AB201" s="97"/>
      <c r="AC201" s="97">
        <v>1.4890000000000001</v>
      </c>
      <c r="AD201" s="217">
        <f>AA201/AC201</f>
        <v>36.937541974479515</v>
      </c>
      <c r="AF201" s="26"/>
      <c r="AG201" s="9">
        <f>2.5+2+2.7+12.9+20.2+28.5</f>
        <v>68.8</v>
      </c>
      <c r="AH201" s="9">
        <f t="shared" si="57"/>
        <v>68.8</v>
      </c>
      <c r="AI201" s="88">
        <f t="shared" si="53"/>
        <v>9233.0999999999894</v>
      </c>
      <c r="AJ201" s="14"/>
      <c r="AK201" s="14"/>
      <c r="AL201" s="14"/>
      <c r="AM201" s="14"/>
      <c r="AN201" s="166"/>
      <c r="AO201" s="166"/>
      <c r="AP201" s="14"/>
      <c r="AQ201" s="14"/>
      <c r="AS201" s="119">
        <f>AS194+AT201</f>
        <v>184372.5</v>
      </c>
      <c r="AT201" s="9">
        <f>SUM(AH194:AH201)-(2.5+2+2.7+12.9+20.2)+(19.6+20.1+10.2+10.3)</f>
        <v>537.49999999999989</v>
      </c>
      <c r="AU201" s="88">
        <f>AT201/(AD194)</f>
        <v>14.942499999999995</v>
      </c>
      <c r="AV201" s="88">
        <f>100/AU201</f>
        <v>6.6923205621549293</v>
      </c>
      <c r="AW201" s="88">
        <f>((AD194)*C62)</f>
        <v>580.88846212252611</v>
      </c>
      <c r="AX201" s="88">
        <v>82</v>
      </c>
      <c r="BA201" s="88">
        <f>AW201-28.5</f>
        <v>552.38846212252611</v>
      </c>
    </row>
    <row r="202" spans="23:53">
      <c r="W202" s="9" t="str">
        <f t="shared" ca="1" si="51"/>
        <v/>
      </c>
      <c r="X202" s="40">
        <v>44977</v>
      </c>
      <c r="Y202" s="168">
        <f t="shared" si="52"/>
        <v>2</v>
      </c>
      <c r="Z202" s="44" t="s">
        <v>1136</v>
      </c>
      <c r="AA202" s="21">
        <v>0</v>
      </c>
      <c r="AB202" s="21"/>
      <c r="AF202" s="26">
        <f>25.4+22.9</f>
        <v>48.3</v>
      </c>
      <c r="AG202" s="9">
        <f>32.5+31.8</f>
        <v>64.3</v>
      </c>
      <c r="AH202" s="9">
        <f t="shared" si="57"/>
        <v>112.6</v>
      </c>
      <c r="AI202" s="88">
        <f t="shared" si="53"/>
        <v>9345.6999999999898</v>
      </c>
      <c r="AJ202" s="14"/>
      <c r="AK202" s="14"/>
      <c r="AL202" s="14"/>
      <c r="AM202" s="14"/>
      <c r="AN202" s="166"/>
      <c r="AO202" s="166"/>
      <c r="AP202" s="14"/>
      <c r="AQ202" s="14"/>
      <c r="BA202" s="88">
        <f t="shared" ref="BA202:BA208" si="58">BA201-AH202</f>
        <v>439.78846212252608</v>
      </c>
    </row>
    <row r="203" spans="23:53">
      <c r="W203" s="9" t="str">
        <f t="shared" ca="1" si="51"/>
        <v/>
      </c>
      <c r="X203" s="40">
        <v>44978</v>
      </c>
      <c r="Y203" s="168">
        <f t="shared" si="52"/>
        <v>2</v>
      </c>
      <c r="Z203" s="44" t="s">
        <v>1138</v>
      </c>
      <c r="AA203" s="21">
        <v>0</v>
      </c>
      <c r="AB203" s="21"/>
      <c r="AC203" s="21"/>
      <c r="AF203" s="26">
        <f>20.8+23.1</f>
        <v>43.900000000000006</v>
      </c>
      <c r="AG203" s="9">
        <f>3.1+1.9</f>
        <v>5</v>
      </c>
      <c r="AH203" s="9">
        <f t="shared" si="57"/>
        <v>48.900000000000006</v>
      </c>
      <c r="AI203" s="88">
        <f t="shared" si="53"/>
        <v>9394.5999999999894</v>
      </c>
      <c r="AJ203" s="14"/>
      <c r="AK203" s="14"/>
      <c r="AL203" s="14"/>
      <c r="AM203" s="14"/>
      <c r="AN203" s="166"/>
      <c r="AO203" s="166"/>
      <c r="AP203" s="14"/>
      <c r="AQ203" s="14"/>
      <c r="BA203" s="88">
        <f t="shared" si="58"/>
        <v>390.88846212252611</v>
      </c>
    </row>
    <row r="204" spans="23:53">
      <c r="W204" s="9" t="str">
        <f t="shared" ca="1" si="51"/>
        <v/>
      </c>
      <c r="X204" s="40">
        <v>44979</v>
      </c>
      <c r="Y204" s="168">
        <f t="shared" si="52"/>
        <v>2</v>
      </c>
      <c r="Z204" s="44" t="s">
        <v>1140</v>
      </c>
      <c r="AA204" s="21">
        <v>0</v>
      </c>
      <c r="AB204" s="21"/>
      <c r="AF204" s="26">
        <f>23.7+22.7</f>
        <v>46.4</v>
      </c>
      <c r="AG204" s="9">
        <f>1.9+2.2</f>
        <v>4.0999999999999996</v>
      </c>
      <c r="AH204" s="9">
        <f t="shared" si="57"/>
        <v>50.5</v>
      </c>
      <c r="AI204" s="88">
        <f t="shared" si="53"/>
        <v>9445.0999999999894</v>
      </c>
      <c r="AJ204" s="14"/>
      <c r="AK204" s="14"/>
      <c r="AL204" s="14"/>
      <c r="AM204" s="14"/>
      <c r="AN204" s="166"/>
      <c r="AO204" s="166"/>
      <c r="AP204" s="14"/>
      <c r="AQ204" s="14"/>
      <c r="BA204" s="88">
        <f t="shared" si="58"/>
        <v>340.38846212252611</v>
      </c>
    </row>
    <row r="205" spans="23:53">
      <c r="W205" s="9" t="str">
        <f t="shared" ca="1" si="51"/>
        <v/>
      </c>
      <c r="X205" s="40">
        <v>44980</v>
      </c>
      <c r="Y205" s="168">
        <f t="shared" si="52"/>
        <v>2</v>
      </c>
      <c r="Z205" s="44" t="s">
        <v>1143</v>
      </c>
      <c r="AA205" s="21">
        <v>0</v>
      </c>
      <c r="AB205" s="21"/>
      <c r="AC205" s="21"/>
      <c r="AD205" s="88"/>
      <c r="AF205" s="26">
        <f>23.5+23.2</f>
        <v>46.7</v>
      </c>
      <c r="AG205" s="9">
        <f>7.6+6.7</f>
        <v>14.3</v>
      </c>
      <c r="AH205" s="9">
        <f t="shared" si="57"/>
        <v>61</v>
      </c>
      <c r="AI205" s="88">
        <f t="shared" si="53"/>
        <v>9506.0999999999894</v>
      </c>
      <c r="AJ205" s="14"/>
      <c r="AK205" s="14"/>
      <c r="AL205" s="14"/>
      <c r="AM205" s="14"/>
      <c r="AN205" s="166"/>
      <c r="AO205" s="166"/>
      <c r="AP205" s="14"/>
      <c r="AQ205" s="14"/>
      <c r="BA205" s="88">
        <f t="shared" si="58"/>
        <v>279.38846212252611</v>
      </c>
    </row>
    <row r="206" spans="23:53">
      <c r="W206" s="9" t="str">
        <f t="shared" ca="1" si="51"/>
        <v/>
      </c>
      <c r="X206" s="40">
        <v>44981</v>
      </c>
      <c r="Y206" s="168">
        <f t="shared" si="52"/>
        <v>2</v>
      </c>
      <c r="Z206" s="44" t="s">
        <v>1145</v>
      </c>
      <c r="AA206" s="21">
        <v>0</v>
      </c>
      <c r="AB206" s="21"/>
      <c r="AC206" s="21"/>
      <c r="AF206" s="26">
        <f>24.2</f>
        <v>24.2</v>
      </c>
      <c r="AG206" s="9">
        <f>0.4+13.5+1.5+11.6</f>
        <v>27</v>
      </c>
      <c r="AH206" s="9">
        <f t="shared" si="57"/>
        <v>51.2</v>
      </c>
      <c r="AI206" s="88">
        <f t="shared" si="53"/>
        <v>9557.2999999999902</v>
      </c>
      <c r="AJ206" s="63"/>
      <c r="AN206" s="166"/>
      <c r="AO206" s="166"/>
      <c r="AP206" s="14"/>
      <c r="AQ206" s="14"/>
      <c r="AS206" s="1471" t="s">
        <v>1207</v>
      </c>
      <c r="AT206" s="1471"/>
      <c r="AU206" s="1471"/>
      <c r="AV206" s="1471"/>
      <c r="AW206" s="1471"/>
      <c r="AX206" s="1471"/>
      <c r="BA206" s="88">
        <f t="shared" si="58"/>
        <v>228.18846212252612</v>
      </c>
    </row>
    <row r="207" spans="23:53">
      <c r="W207" s="9" t="str">
        <f t="shared" ca="1" si="51"/>
        <v/>
      </c>
      <c r="X207" s="40">
        <v>44982</v>
      </c>
      <c r="Y207" s="168">
        <f t="shared" si="52"/>
        <v>2</v>
      </c>
      <c r="Z207" s="44" t="s">
        <v>1132</v>
      </c>
      <c r="AA207" s="21">
        <v>0</v>
      </c>
      <c r="AB207" s="21"/>
      <c r="AC207" s="21"/>
      <c r="AF207" s="26"/>
      <c r="AG207" s="9">
        <f>1.9+2.1+1.8+2.3+31.3+25.2+8.1</f>
        <v>72.699999999999989</v>
      </c>
      <c r="AH207" s="9">
        <f t="shared" si="57"/>
        <v>72.699999999999989</v>
      </c>
      <c r="AI207" s="88">
        <f t="shared" si="53"/>
        <v>9629.9999999999909</v>
      </c>
      <c r="AJ207" s="14">
        <f>SUM(AH201:AH207)</f>
        <v>465.69999999999993</v>
      </c>
      <c r="AK207" s="14" t="s">
        <v>1077</v>
      </c>
      <c r="AL207" s="14" t="s">
        <v>1204</v>
      </c>
      <c r="AM207" s="14" t="s">
        <v>1205</v>
      </c>
      <c r="AN207" s="166" t="s">
        <v>1069</v>
      </c>
      <c r="AO207" s="166" t="s">
        <v>1206</v>
      </c>
      <c r="AP207" s="14"/>
      <c r="AQ207" s="14"/>
      <c r="AS207" s="9" t="s">
        <v>1208</v>
      </c>
      <c r="AT207" s="9" t="s">
        <v>1209</v>
      </c>
      <c r="AW207" s="9" t="s">
        <v>1210</v>
      </c>
      <c r="AX207" s="9" t="s">
        <v>1211</v>
      </c>
      <c r="BA207" s="88">
        <f t="shared" si="58"/>
        <v>155.48846212252613</v>
      </c>
    </row>
    <row r="208" spans="23:53">
      <c r="W208" s="9" t="str">
        <f t="shared" ca="1" si="51"/>
        <v/>
      </c>
      <c r="X208" s="39">
        <v>44983</v>
      </c>
      <c r="Y208" s="179">
        <f t="shared" si="52"/>
        <v>2</v>
      </c>
      <c r="Z208" s="107" t="s">
        <v>1134</v>
      </c>
      <c r="AA208" s="68">
        <v>0</v>
      </c>
      <c r="AB208" s="68"/>
      <c r="AC208" s="68"/>
      <c r="AD208" s="22"/>
      <c r="AE208" s="22"/>
      <c r="AF208" s="115"/>
      <c r="AG208" s="22">
        <f>3.7+1.5+5.9+1.3</f>
        <v>12.400000000000002</v>
      </c>
      <c r="AH208" s="22">
        <f t="shared" si="57"/>
        <v>12.400000000000002</v>
      </c>
      <c r="AI208" s="215">
        <f t="shared" si="53"/>
        <v>9642.3999999999905</v>
      </c>
      <c r="AJ208" s="1372"/>
      <c r="AK208" s="1372">
        <f>SUM(AH179:AH208)</f>
        <v>2100.7000000000003</v>
      </c>
      <c r="AL208" s="1372">
        <f>SUM(AF179:AF208)</f>
        <v>982.39999999999986</v>
      </c>
      <c r="AM208" s="1372">
        <f>SUM(AG179:AG208)</f>
        <v>1118.3</v>
      </c>
      <c r="AN208" s="218">
        <f>SUM(AD179:AD208)</f>
        <v>145.41573162389579</v>
      </c>
      <c r="AO208" s="182">
        <f>AK208/AN208</f>
        <v>14.446167388775134</v>
      </c>
      <c r="AP208" s="183">
        <f>SUM(AA179:AB208)/SUM(AD179:AD208)</f>
        <v>1.5129037109204213</v>
      </c>
      <c r="AQ208" s="184">
        <f>(AP208/AO208)*(SUM(AH179:AH208))</f>
        <v>220</v>
      </c>
      <c r="AS208" s="119">
        <f>AS201+AT208</f>
        <v>184892.3</v>
      </c>
      <c r="AT208" s="88">
        <f>SUM(AH201:AH208)-(2.5+2+2.7+12.9+20.2)+AX201</f>
        <v>519.79999999999995</v>
      </c>
      <c r="AU208" s="88">
        <f>(AT208+AX208)/(AD201)</f>
        <v>17.943803636363636</v>
      </c>
      <c r="AV208" s="88">
        <f>100/AU208</f>
        <v>5.5729544318768127</v>
      </c>
      <c r="AW208" s="88">
        <f>((AD201+AD200)*C62)+AX208</f>
        <v>739.49325626953816</v>
      </c>
      <c r="AX208" s="88">
        <v>143</v>
      </c>
      <c r="AZ208" s="88">
        <f>AW208-AH208-(25.2+8.1)</f>
        <v>693.79325626953823</v>
      </c>
      <c r="BA208" s="88">
        <f t="shared" si="58"/>
        <v>143.08846212252612</v>
      </c>
    </row>
    <row r="209" spans="23:53">
      <c r="W209" s="9" t="str">
        <f t="shared" ca="1" si="51"/>
        <v/>
      </c>
      <c r="X209" s="40">
        <v>44984</v>
      </c>
      <c r="Y209" s="168">
        <f t="shared" si="52"/>
        <v>2</v>
      </c>
      <c r="Z209" s="44" t="s">
        <v>1136</v>
      </c>
      <c r="AA209" s="97">
        <v>60.01</v>
      </c>
      <c r="AB209" s="98"/>
      <c r="AC209" s="98">
        <v>1.4890000000000001</v>
      </c>
      <c r="AD209" s="217">
        <f>AA209/AC209</f>
        <v>40.302216252518463</v>
      </c>
      <c r="AF209" s="26">
        <f>23.6</f>
        <v>23.6</v>
      </c>
      <c r="AG209" s="9">
        <f>40.8+27.7+2.4+6.5+6.5</f>
        <v>83.9</v>
      </c>
      <c r="AH209" s="9">
        <f t="shared" ref="AH209:AH272" si="59">AF209+AG209</f>
        <v>107.5</v>
      </c>
      <c r="AI209" s="88">
        <f t="shared" si="53"/>
        <v>9749.8999999999905</v>
      </c>
      <c r="AJ209" s="14"/>
      <c r="AK209" s="14"/>
      <c r="AL209" s="14"/>
      <c r="AM209" s="14"/>
      <c r="AN209" s="166"/>
      <c r="AO209" s="166"/>
      <c r="AP209" s="14"/>
      <c r="AQ209" s="14"/>
      <c r="AZ209" s="88">
        <f t="shared" ref="AZ209:AZ217" si="60">AZ208-AH209</f>
        <v>586.29325626953823</v>
      </c>
    </row>
    <row r="210" spans="23:53">
      <c r="W210" s="9" t="str">
        <f t="shared" ca="1" si="51"/>
        <v/>
      </c>
      <c r="X210" s="40">
        <v>44985</v>
      </c>
      <c r="Y210" s="168">
        <f t="shared" si="52"/>
        <v>2</v>
      </c>
      <c r="Z210" s="44" t="s">
        <v>1138</v>
      </c>
      <c r="AA210" s="21"/>
      <c r="AB210" s="21"/>
      <c r="AC210" s="21"/>
      <c r="AF210" s="26">
        <f>22.4+22.4</f>
        <v>44.8</v>
      </c>
      <c r="AG210" s="9">
        <f>1.8+1.8</f>
        <v>3.6</v>
      </c>
      <c r="AH210" s="9">
        <f>AF210+AG210</f>
        <v>48.4</v>
      </c>
      <c r="AI210" s="88">
        <f t="shared" si="53"/>
        <v>9798.2999999999902</v>
      </c>
      <c r="AJ210" s="14"/>
      <c r="AK210" s="14"/>
      <c r="AL210" s="14"/>
      <c r="AM210" s="14"/>
      <c r="AN210" s="166"/>
      <c r="AO210" s="166"/>
      <c r="AP210" s="14"/>
      <c r="AQ210" s="14"/>
      <c r="AZ210" s="88">
        <f t="shared" si="60"/>
        <v>537.89325626953826</v>
      </c>
    </row>
    <row r="211" spans="23:53">
      <c r="W211" s="9" t="str">
        <f t="shared" ca="1" si="51"/>
        <v/>
      </c>
      <c r="X211" s="40">
        <v>44986</v>
      </c>
      <c r="Y211" s="168">
        <f t="shared" si="52"/>
        <v>3</v>
      </c>
      <c r="Z211" s="44" t="s">
        <v>1140</v>
      </c>
      <c r="AA211" s="21"/>
      <c r="AB211" s="21"/>
      <c r="AC211" s="21"/>
      <c r="AF211" s="26">
        <f>22.8</f>
        <v>22.8</v>
      </c>
      <c r="AG211" s="9">
        <f>46.3+2.3+79.2</f>
        <v>127.8</v>
      </c>
      <c r="AH211" s="9">
        <f>AF211+AG211</f>
        <v>150.6</v>
      </c>
      <c r="AI211" s="88">
        <f t="shared" si="53"/>
        <v>9948.8999999999905</v>
      </c>
      <c r="AJ211" s="14"/>
      <c r="AK211" s="14"/>
      <c r="AL211" s="14"/>
      <c r="AM211" s="14"/>
      <c r="AN211" s="166"/>
      <c r="AO211" s="166"/>
      <c r="AP211" s="14"/>
      <c r="AQ211" s="14"/>
      <c r="AS211" s="119"/>
      <c r="AT211" s="88"/>
      <c r="AU211" s="88"/>
      <c r="AV211" s="88"/>
      <c r="AW211" s="88"/>
      <c r="AX211" s="88"/>
      <c r="AZ211" s="88">
        <f t="shared" si="60"/>
        <v>387.29325626953823</v>
      </c>
    </row>
    <row r="212" spans="23:53">
      <c r="W212" s="9" t="str">
        <f t="shared" ca="1" si="51"/>
        <v/>
      </c>
      <c r="X212" s="40">
        <v>44987</v>
      </c>
      <c r="Y212" s="168">
        <f t="shared" si="52"/>
        <v>3</v>
      </c>
      <c r="Z212" s="44" t="s">
        <v>1143</v>
      </c>
      <c r="AA212" s="21"/>
      <c r="AB212" s="21"/>
      <c r="AC212" s="21"/>
      <c r="AF212" s="26">
        <f>23.5+23.6</f>
        <v>47.1</v>
      </c>
      <c r="AG212" s="9">
        <f>2+2.4</f>
        <v>4.4000000000000004</v>
      </c>
      <c r="AH212" s="9">
        <f t="shared" si="59"/>
        <v>51.5</v>
      </c>
      <c r="AI212" s="88">
        <f t="shared" si="53"/>
        <v>10000.399999999991</v>
      </c>
      <c r="AJ212" s="14"/>
      <c r="AK212" s="14"/>
      <c r="AL212" s="14"/>
      <c r="AM212" s="14"/>
      <c r="AN212" s="166"/>
      <c r="AO212" s="166"/>
      <c r="AP212" s="14"/>
      <c r="AQ212" s="14"/>
      <c r="AZ212" s="88">
        <f t="shared" si="60"/>
        <v>335.79325626953823</v>
      </c>
    </row>
    <row r="213" spans="23:53">
      <c r="W213" s="9" t="str">
        <f t="shared" ca="1" si="51"/>
        <v/>
      </c>
      <c r="X213" s="40">
        <v>44988</v>
      </c>
      <c r="Y213" s="168">
        <f t="shared" si="52"/>
        <v>3</v>
      </c>
      <c r="Z213" s="44" t="s">
        <v>1145</v>
      </c>
      <c r="AA213" s="21"/>
      <c r="AB213" s="21"/>
      <c r="AC213" s="21"/>
      <c r="AF213" s="26">
        <f>23.2+22.9</f>
        <v>46.099999999999994</v>
      </c>
      <c r="AG213" s="9">
        <f>6.5+16.3+12.2</f>
        <v>35</v>
      </c>
      <c r="AH213" s="9">
        <f t="shared" si="59"/>
        <v>81.099999999999994</v>
      </c>
      <c r="AI213" s="88">
        <f t="shared" si="53"/>
        <v>10081.499999999991</v>
      </c>
      <c r="AJ213" s="14"/>
      <c r="AK213" s="14"/>
      <c r="AL213" s="14"/>
      <c r="AM213" s="14"/>
      <c r="AN213" s="166"/>
      <c r="AO213" s="166"/>
      <c r="AP213" s="14"/>
      <c r="AQ213" s="14"/>
      <c r="AZ213" s="88">
        <f t="shared" si="60"/>
        <v>254.69325626953824</v>
      </c>
    </row>
    <row r="214" spans="23:53">
      <c r="W214" s="9" t="str">
        <f t="shared" ca="1" si="51"/>
        <v/>
      </c>
      <c r="X214" s="40">
        <v>44989</v>
      </c>
      <c r="Y214" s="168">
        <f t="shared" si="52"/>
        <v>3</v>
      </c>
      <c r="Z214" s="44" t="s">
        <v>1132</v>
      </c>
      <c r="AA214" s="21"/>
      <c r="AB214" s="21"/>
      <c r="AC214" s="21"/>
      <c r="AF214" s="26"/>
      <c r="AG214" s="9">
        <f>1.9+1.8+2.7+2.8</f>
        <v>9.1999999999999993</v>
      </c>
      <c r="AH214" s="9">
        <f t="shared" si="59"/>
        <v>9.1999999999999993</v>
      </c>
      <c r="AI214" s="88">
        <f t="shared" si="53"/>
        <v>10090.699999999992</v>
      </c>
      <c r="AJ214" s="14">
        <f>SUM(AH208:AH214)</f>
        <v>460.7</v>
      </c>
      <c r="AK214" s="14"/>
      <c r="AL214" s="14"/>
      <c r="AM214" s="14"/>
      <c r="AN214" s="166"/>
      <c r="AO214" s="166"/>
      <c r="AP214" s="14"/>
      <c r="AQ214" s="14"/>
      <c r="AZ214" s="88">
        <f t="shared" si="60"/>
        <v>245.49325626953825</v>
      </c>
    </row>
    <row r="215" spans="23:53">
      <c r="W215" s="9" t="str">
        <f t="shared" ca="1" si="51"/>
        <v/>
      </c>
      <c r="X215" s="40">
        <v>44990</v>
      </c>
      <c r="Y215" s="168">
        <f t="shared" si="52"/>
        <v>3</v>
      </c>
      <c r="Z215" s="44" t="s">
        <v>1134</v>
      </c>
      <c r="AA215" s="21"/>
      <c r="AB215" s="21"/>
      <c r="AC215" s="21"/>
      <c r="AF215" s="26"/>
      <c r="AG215" s="9">
        <f>2.4+3+1.7+2.2+2.8+2.2</f>
        <v>14.3</v>
      </c>
      <c r="AH215" s="9">
        <f t="shared" si="59"/>
        <v>14.3</v>
      </c>
      <c r="AI215" s="88">
        <f t="shared" si="53"/>
        <v>10104.999999999991</v>
      </c>
      <c r="AJ215" s="14"/>
      <c r="AK215" s="14"/>
      <c r="AL215" s="14"/>
      <c r="AM215" s="14"/>
      <c r="AN215" s="166"/>
      <c r="AO215" s="166"/>
      <c r="AP215" s="14"/>
      <c r="AQ215" s="14"/>
      <c r="AZ215" s="88">
        <f t="shared" si="60"/>
        <v>231.19325626953824</v>
      </c>
    </row>
    <row r="216" spans="23:53">
      <c r="W216" s="9" t="str">
        <f t="shared" ca="1" si="51"/>
        <v/>
      </c>
      <c r="X216" s="40">
        <v>44991</v>
      </c>
      <c r="Y216" s="168">
        <f t="shared" si="52"/>
        <v>3</v>
      </c>
      <c r="Z216" s="44" t="s">
        <v>1136</v>
      </c>
      <c r="AA216" s="21"/>
      <c r="AB216" s="21"/>
      <c r="AC216" s="21"/>
      <c r="AD216" s="89"/>
      <c r="AF216" s="26">
        <f>23.5+22.8</f>
        <v>46.3</v>
      </c>
      <c r="AG216" s="9">
        <f>2.7+7.1+7.5</f>
        <v>17.3</v>
      </c>
      <c r="AH216" s="9">
        <f t="shared" si="59"/>
        <v>63.599999999999994</v>
      </c>
      <c r="AI216" s="88">
        <f t="shared" si="53"/>
        <v>10168.599999999991</v>
      </c>
      <c r="AJ216" s="14"/>
      <c r="AK216" s="14"/>
      <c r="AL216" s="14"/>
      <c r="AM216" s="14"/>
      <c r="AN216" s="166"/>
      <c r="AO216" s="166"/>
      <c r="AP216" s="14"/>
      <c r="AQ216" s="14"/>
      <c r="AS216" s="1471" t="s">
        <v>1207</v>
      </c>
      <c r="AT216" s="1471"/>
      <c r="AU216" s="1471"/>
      <c r="AV216" s="1471"/>
      <c r="AW216" s="1471"/>
      <c r="AX216" s="1471"/>
      <c r="AZ216" s="88">
        <f t="shared" si="60"/>
        <v>167.59325626953824</v>
      </c>
    </row>
    <row r="217" spans="23:53">
      <c r="W217" s="9" t="str">
        <f t="shared" ca="1" si="51"/>
        <v/>
      </c>
      <c r="X217" s="40">
        <v>44992</v>
      </c>
      <c r="Y217" s="168">
        <f t="shared" si="52"/>
        <v>3</v>
      </c>
      <c r="Z217" s="44" t="s">
        <v>1138</v>
      </c>
      <c r="AA217" s="21"/>
      <c r="AB217" s="21"/>
      <c r="AC217" s="21"/>
      <c r="AD217" s="89"/>
      <c r="AF217" s="26">
        <v>54.4</v>
      </c>
      <c r="AG217" s="9">
        <v>4.8</v>
      </c>
      <c r="AH217" s="9">
        <f t="shared" si="59"/>
        <v>59.199999999999996</v>
      </c>
      <c r="AI217" s="88">
        <f t="shared" si="53"/>
        <v>10227.799999999992</v>
      </c>
      <c r="AJ217" s="14"/>
      <c r="AK217" s="14"/>
      <c r="AL217" s="14"/>
      <c r="AM217" s="14"/>
      <c r="AN217" s="166"/>
      <c r="AO217" s="166"/>
      <c r="AP217" s="14"/>
      <c r="AQ217" s="14"/>
      <c r="AS217" s="9" t="s">
        <v>1208</v>
      </c>
      <c r="AT217" s="9" t="s">
        <v>1209</v>
      </c>
      <c r="AW217" s="9" t="s">
        <v>1210</v>
      </c>
      <c r="AX217" s="9" t="s">
        <v>1211</v>
      </c>
      <c r="AZ217" s="88">
        <f t="shared" si="60"/>
        <v>108.39325626953826</v>
      </c>
    </row>
    <row r="218" spans="23:53">
      <c r="W218" s="9" t="str">
        <f t="shared" ref="W218:W281" ca="1" si="61">IF(X218=TODAY(),1,"")</f>
        <v/>
      </c>
      <c r="X218" s="40">
        <v>44993</v>
      </c>
      <c r="Y218" s="168">
        <f t="shared" ref="Y218:Y281" si="62">MONTH(X218)</f>
        <v>3</v>
      </c>
      <c r="Z218" s="44" t="s">
        <v>1140</v>
      </c>
      <c r="AA218" s="97">
        <v>55</v>
      </c>
      <c r="AB218" s="97"/>
      <c r="AC218" s="97">
        <v>1.49</v>
      </c>
      <c r="AD218" s="217">
        <f>AA218/AC218</f>
        <v>36.912751677852349</v>
      </c>
      <c r="AF218" s="26">
        <f>23.2+25.9</f>
        <v>49.099999999999994</v>
      </c>
      <c r="AG218" s="9">
        <f>18.8+26.9+3.6</f>
        <v>49.300000000000004</v>
      </c>
      <c r="AH218" s="9">
        <f>AF218+AG218</f>
        <v>98.4</v>
      </c>
      <c r="AI218" s="88">
        <f t="shared" si="53"/>
        <v>10326.199999999992</v>
      </c>
      <c r="AJ218" s="14"/>
      <c r="AK218" s="14"/>
      <c r="AL218" s="14"/>
      <c r="AM218" s="14"/>
      <c r="AN218" s="166"/>
      <c r="AO218" s="166"/>
      <c r="AP218" s="14"/>
      <c r="AQ218" s="14"/>
      <c r="AS218" s="119">
        <v>185657</v>
      </c>
      <c r="AT218" s="88">
        <f>AS218-AS194</f>
        <v>1822</v>
      </c>
      <c r="AU218" s="88">
        <f>AT218/(AD209+AD201+AD194)</f>
        <v>16.09384513680153</v>
      </c>
      <c r="AV218" s="88">
        <f>100/AU218</f>
        <v>6.2135555021174929</v>
      </c>
      <c r="AW218" s="88">
        <f>((AD209)*C62)+AX218</f>
        <v>696.82836924972685</v>
      </c>
      <c r="AX218" s="88">
        <v>46</v>
      </c>
      <c r="AZ218" s="88">
        <f>AZ217-AF218-18.8</f>
        <v>40.493256269538264</v>
      </c>
      <c r="BA218" s="88">
        <f>AW218-(26.9+3.6)</f>
        <v>666.32836924972685</v>
      </c>
    </row>
    <row r="219" spans="23:53">
      <c r="W219" s="9" t="str">
        <f t="shared" ca="1" si="61"/>
        <v/>
      </c>
      <c r="X219" s="40">
        <v>44994</v>
      </c>
      <c r="Y219" s="168">
        <f t="shared" si="62"/>
        <v>3</v>
      </c>
      <c r="Z219" s="44" t="s">
        <v>1143</v>
      </c>
      <c r="AA219" s="21"/>
      <c r="AB219" s="21"/>
      <c r="AC219" s="21"/>
      <c r="AF219" s="26">
        <f>22.1+18.5</f>
        <v>40.6</v>
      </c>
      <c r="AG219" s="9">
        <f>6.2+7.8+2.6</f>
        <v>16.600000000000001</v>
      </c>
      <c r="AH219" s="9">
        <f t="shared" si="59"/>
        <v>57.2</v>
      </c>
      <c r="AI219" s="88">
        <f t="shared" ref="AI219:AI282" si="63">AI218+AH219</f>
        <v>10383.399999999992</v>
      </c>
      <c r="AJ219" s="14"/>
      <c r="AK219" s="14"/>
      <c r="AL219" s="14"/>
      <c r="AM219" s="14"/>
      <c r="AN219" s="166"/>
      <c r="AO219" s="166"/>
      <c r="AP219" s="14"/>
      <c r="AQ219" s="14"/>
      <c r="BA219" s="88">
        <f t="shared" ref="BA219:BA228" si="64">BA218-AH219</f>
        <v>609.1283692497268</v>
      </c>
    </row>
    <row r="220" spans="23:53">
      <c r="W220" s="9" t="str">
        <f t="shared" ca="1" si="61"/>
        <v/>
      </c>
      <c r="X220" s="40">
        <v>44995</v>
      </c>
      <c r="Y220" s="168">
        <f t="shared" si="62"/>
        <v>3</v>
      </c>
      <c r="Z220" s="44" t="s">
        <v>1145</v>
      </c>
      <c r="AA220" s="21"/>
      <c r="AB220" s="21"/>
      <c r="AC220" s="21"/>
      <c r="AF220" s="26">
        <f>22.8+14.9</f>
        <v>37.700000000000003</v>
      </c>
      <c r="AG220" s="9">
        <f>9.9+0.85+28.6+33.6</f>
        <v>72.95</v>
      </c>
      <c r="AH220" s="9">
        <f t="shared" si="59"/>
        <v>110.65</v>
      </c>
      <c r="AI220" s="88">
        <f t="shared" si="63"/>
        <v>10494.049999999992</v>
      </c>
      <c r="AJ220" s="14"/>
      <c r="AK220" s="14"/>
      <c r="AL220" s="14"/>
      <c r="AM220" s="14"/>
      <c r="AN220" s="166"/>
      <c r="AO220" s="166"/>
      <c r="AP220" s="14"/>
      <c r="AQ220" s="14"/>
      <c r="BA220" s="88">
        <f t="shared" si="64"/>
        <v>498.47836924972682</v>
      </c>
    </row>
    <row r="221" spans="23:53">
      <c r="W221" s="9" t="str">
        <f t="shared" ca="1" si="61"/>
        <v/>
      </c>
      <c r="X221" s="40">
        <v>44996</v>
      </c>
      <c r="Y221" s="168">
        <f t="shared" si="62"/>
        <v>3</v>
      </c>
      <c r="Z221" s="44" t="s">
        <v>1132</v>
      </c>
      <c r="AA221" s="21"/>
      <c r="AB221" s="21"/>
      <c r="AC221" s="21"/>
      <c r="AF221" s="26"/>
      <c r="AG221" s="9">
        <f>2.5+1.1+2.5+4.3+2.6+2.8</f>
        <v>15.799999999999997</v>
      </c>
      <c r="AH221" s="9">
        <f t="shared" si="59"/>
        <v>15.799999999999997</v>
      </c>
      <c r="AI221" s="88">
        <f t="shared" si="63"/>
        <v>10509.849999999991</v>
      </c>
      <c r="AJ221" s="14">
        <f>SUM(AH215:AH221)</f>
        <v>419.15000000000003</v>
      </c>
      <c r="AK221" s="14"/>
      <c r="AL221" s="14"/>
      <c r="AM221" s="14"/>
      <c r="AN221" s="166"/>
      <c r="AO221" s="166"/>
      <c r="AP221" s="14"/>
      <c r="AQ221" s="14"/>
      <c r="BA221" s="88">
        <f t="shared" si="64"/>
        <v>482.67836924972681</v>
      </c>
    </row>
    <row r="222" spans="23:53">
      <c r="W222" s="9" t="str">
        <f t="shared" ca="1" si="61"/>
        <v/>
      </c>
      <c r="X222" s="40">
        <v>44997</v>
      </c>
      <c r="Y222" s="168">
        <f t="shared" si="62"/>
        <v>3</v>
      </c>
      <c r="Z222" s="44" t="s">
        <v>1134</v>
      </c>
      <c r="AA222" s="21"/>
      <c r="AB222" s="21"/>
      <c r="AC222" s="21"/>
      <c r="AD222" s="89"/>
      <c r="AF222" s="26"/>
      <c r="AG222" s="9">
        <f>3.2+2.4+2.4+3.1+20.8+8.6+10</f>
        <v>50.5</v>
      </c>
      <c r="AH222" s="9">
        <f t="shared" si="59"/>
        <v>50.5</v>
      </c>
      <c r="AI222" s="88">
        <f t="shared" si="63"/>
        <v>10560.349999999991</v>
      </c>
      <c r="AK222" s="14"/>
      <c r="AL222" s="14"/>
      <c r="AM222" s="14"/>
      <c r="AN222" s="166"/>
      <c r="AO222" s="166"/>
      <c r="AP222" s="14"/>
      <c r="AQ222" s="14"/>
      <c r="BA222" s="88">
        <f t="shared" si="64"/>
        <v>432.17836924972681</v>
      </c>
    </row>
    <row r="223" spans="23:53">
      <c r="W223" s="9" t="str">
        <f t="shared" ca="1" si="61"/>
        <v/>
      </c>
      <c r="X223" s="40">
        <v>44998</v>
      </c>
      <c r="Y223" s="168">
        <f t="shared" si="62"/>
        <v>3</v>
      </c>
      <c r="Z223" s="44" t="s">
        <v>1136</v>
      </c>
      <c r="AA223" s="21"/>
      <c r="AB223" s="21"/>
      <c r="AC223" s="21"/>
      <c r="AD223" s="89"/>
      <c r="AF223" s="26">
        <f>24.1+24.7</f>
        <v>48.8</v>
      </c>
      <c r="AG223" s="9">
        <f>8.1+7.3</f>
        <v>15.399999999999999</v>
      </c>
      <c r="AH223" s="9">
        <f t="shared" si="59"/>
        <v>64.199999999999989</v>
      </c>
      <c r="AI223" s="88">
        <f t="shared" si="63"/>
        <v>10624.549999999992</v>
      </c>
      <c r="AJ223" s="14"/>
      <c r="AK223" s="14"/>
      <c r="AL223" s="14"/>
      <c r="AM223" s="14"/>
      <c r="AN223" s="166"/>
      <c r="AO223" s="166"/>
      <c r="AP223" s="14"/>
      <c r="AQ223" s="14"/>
      <c r="BA223" s="88">
        <f t="shared" si="64"/>
        <v>367.97836924972682</v>
      </c>
    </row>
    <row r="224" spans="23:53">
      <c r="W224" s="9" t="str">
        <f t="shared" ca="1" si="61"/>
        <v/>
      </c>
      <c r="X224" s="40">
        <v>44999</v>
      </c>
      <c r="Y224" s="168">
        <f t="shared" si="62"/>
        <v>3</v>
      </c>
      <c r="Z224" s="44" t="s">
        <v>1138</v>
      </c>
      <c r="AA224" s="21"/>
      <c r="AB224" s="21"/>
      <c r="AC224" s="21"/>
      <c r="AD224" s="89"/>
      <c r="AF224" s="26">
        <f>25.6+24.7</f>
        <v>50.3</v>
      </c>
      <c r="AG224" s="9">
        <f>2.1+2</f>
        <v>4.0999999999999996</v>
      </c>
      <c r="AH224" s="9">
        <f t="shared" si="59"/>
        <v>54.4</v>
      </c>
      <c r="AI224" s="88">
        <f t="shared" si="63"/>
        <v>10678.949999999992</v>
      </c>
      <c r="AJ224" s="14"/>
      <c r="AK224" s="14"/>
      <c r="AL224" s="14"/>
      <c r="AM224" s="14"/>
      <c r="AN224" s="166"/>
      <c r="AO224" s="166"/>
      <c r="AP224" s="14"/>
      <c r="AQ224" s="14"/>
      <c r="BA224" s="88">
        <f t="shared" si="64"/>
        <v>313.57836924972685</v>
      </c>
    </row>
    <row r="225" spans="23:53">
      <c r="W225" s="9" t="str">
        <f t="shared" ca="1" si="61"/>
        <v/>
      </c>
      <c r="X225" s="40">
        <v>45000</v>
      </c>
      <c r="Y225" s="168">
        <f t="shared" si="62"/>
        <v>3</v>
      </c>
      <c r="Z225" s="44" t="s">
        <v>1140</v>
      </c>
      <c r="AA225" s="21"/>
      <c r="AB225" s="21"/>
      <c r="AC225" s="21"/>
      <c r="AD225" s="89"/>
      <c r="AF225" s="26">
        <f>26.7+23.9</f>
        <v>50.599999999999994</v>
      </c>
      <c r="AH225" s="9">
        <f t="shared" si="59"/>
        <v>50.599999999999994</v>
      </c>
      <c r="AI225" s="88">
        <f t="shared" si="63"/>
        <v>10729.549999999992</v>
      </c>
      <c r="AJ225" s="14"/>
      <c r="AK225" s="14"/>
      <c r="AL225" s="14"/>
      <c r="AM225" s="14"/>
      <c r="AN225" s="166"/>
      <c r="AO225" s="166"/>
      <c r="AP225" s="14"/>
      <c r="AQ225" s="14"/>
      <c r="AR225" s="9" t="s">
        <v>1213</v>
      </c>
      <c r="BA225" s="88">
        <f t="shared" si="64"/>
        <v>262.97836924972682</v>
      </c>
    </row>
    <row r="226" spans="23:53">
      <c r="W226" s="9" t="str">
        <f t="shared" ca="1" si="61"/>
        <v/>
      </c>
      <c r="X226" s="40">
        <v>45001</v>
      </c>
      <c r="Y226" s="168">
        <f t="shared" si="62"/>
        <v>3</v>
      </c>
      <c r="Z226" s="44" t="s">
        <v>1143</v>
      </c>
      <c r="AA226" s="21"/>
      <c r="AB226" s="21"/>
      <c r="AC226" s="21"/>
      <c r="AD226" s="89"/>
      <c r="AF226" s="26"/>
      <c r="AH226" s="9">
        <f t="shared" si="59"/>
        <v>0</v>
      </c>
      <c r="AI226" s="88">
        <f t="shared" si="63"/>
        <v>10729.549999999992</v>
      </c>
      <c r="AJ226" s="14"/>
      <c r="AK226" s="14"/>
      <c r="AL226" s="14"/>
      <c r="AM226" s="14"/>
      <c r="AN226" s="166"/>
      <c r="AO226" s="166"/>
      <c r="AP226" s="14"/>
      <c r="AQ226" s="14"/>
      <c r="AR226" s="9" t="s">
        <v>1213</v>
      </c>
      <c r="BA226" s="88">
        <f t="shared" si="64"/>
        <v>262.97836924972682</v>
      </c>
    </row>
    <row r="227" spans="23:53">
      <c r="W227" s="9" t="str">
        <f t="shared" ca="1" si="61"/>
        <v/>
      </c>
      <c r="X227" s="40">
        <v>45002</v>
      </c>
      <c r="Y227" s="168">
        <f t="shared" si="62"/>
        <v>3</v>
      </c>
      <c r="Z227" s="44" t="s">
        <v>1145</v>
      </c>
      <c r="AA227" s="21"/>
      <c r="AB227" s="21"/>
      <c r="AC227" s="21"/>
      <c r="AD227" s="89"/>
      <c r="AF227" s="26"/>
      <c r="AG227" s="9">
        <f>2.5+1.8+10.4+10.4</f>
        <v>25.1</v>
      </c>
      <c r="AH227" s="9">
        <f t="shared" si="59"/>
        <v>25.1</v>
      </c>
      <c r="AI227" s="88">
        <f t="shared" si="63"/>
        <v>10754.649999999992</v>
      </c>
      <c r="AJ227" s="14"/>
      <c r="AK227" s="14"/>
      <c r="AL227" s="14"/>
      <c r="AM227" s="14"/>
      <c r="AN227" s="166"/>
      <c r="AO227" s="166"/>
      <c r="AP227" s="14"/>
      <c r="AQ227" s="14"/>
      <c r="AR227" s="9" t="s">
        <v>1213</v>
      </c>
      <c r="AS227" s="1471" t="s">
        <v>1207</v>
      </c>
      <c r="AT227" s="1471"/>
      <c r="AU227" s="1471"/>
      <c r="AV227" s="1471"/>
      <c r="AW227" s="1471"/>
      <c r="AX227" s="1471"/>
      <c r="BA227" s="88">
        <f t="shared" si="64"/>
        <v>237.87836924972683</v>
      </c>
    </row>
    <row r="228" spans="23:53">
      <c r="W228" s="9" t="str">
        <f t="shared" ca="1" si="61"/>
        <v/>
      </c>
      <c r="X228" s="40">
        <v>45003</v>
      </c>
      <c r="Y228" s="168">
        <f t="shared" si="62"/>
        <v>3</v>
      </c>
      <c r="Z228" s="44" t="s">
        <v>1132</v>
      </c>
      <c r="AA228" s="21"/>
      <c r="AB228" s="21"/>
      <c r="AC228" s="21"/>
      <c r="AD228" s="89"/>
      <c r="AF228" s="26"/>
      <c r="AG228" s="9">
        <f>1.7+1.7+2.7+2.8</f>
        <v>8.8999999999999986</v>
      </c>
      <c r="AH228" s="9">
        <f t="shared" si="59"/>
        <v>8.8999999999999986</v>
      </c>
      <c r="AI228" s="88">
        <f t="shared" si="63"/>
        <v>10763.549999999992</v>
      </c>
      <c r="AJ228" s="14">
        <f>SUM(AH222:AH228)</f>
        <v>253.7</v>
      </c>
      <c r="AK228" s="14"/>
      <c r="AL228" s="14"/>
      <c r="AM228" s="14"/>
      <c r="AN228" s="166"/>
      <c r="AO228" s="166"/>
      <c r="AP228" s="14"/>
      <c r="AQ228" s="14"/>
      <c r="AS228" s="9" t="s">
        <v>1208</v>
      </c>
      <c r="AT228" s="9" t="s">
        <v>1209</v>
      </c>
      <c r="AW228" s="9" t="s">
        <v>1210</v>
      </c>
      <c r="AX228" s="9" t="s">
        <v>1211</v>
      </c>
      <c r="BA228" s="88">
        <f t="shared" si="64"/>
        <v>228.97836924972682</v>
      </c>
    </row>
    <row r="229" spans="23:53">
      <c r="W229" s="9" t="str">
        <f t="shared" ca="1" si="61"/>
        <v/>
      </c>
      <c r="X229" s="40">
        <v>45004</v>
      </c>
      <c r="Y229" s="168">
        <f t="shared" si="62"/>
        <v>3</v>
      </c>
      <c r="Z229" s="44" t="s">
        <v>1134</v>
      </c>
      <c r="AA229" s="97">
        <v>60.01</v>
      </c>
      <c r="AB229" s="97"/>
      <c r="AC229" s="97">
        <v>1.504</v>
      </c>
      <c r="AD229" s="165">
        <f>AA229/AC229</f>
        <v>39.900265957446805</v>
      </c>
      <c r="AF229" s="26"/>
      <c r="AG229" s="9">
        <f>3.2+4.6+29.7+14.8+4.8+16.6+4.1</f>
        <v>77.799999999999983</v>
      </c>
      <c r="AH229" s="9">
        <f t="shared" si="59"/>
        <v>77.799999999999983</v>
      </c>
      <c r="AI229" s="88">
        <f t="shared" si="63"/>
        <v>10841.349999999991</v>
      </c>
      <c r="AJ229" s="14"/>
      <c r="AK229" s="14"/>
      <c r="AL229" s="14"/>
      <c r="AM229" s="14"/>
      <c r="AN229" s="166"/>
      <c r="AO229" s="166"/>
      <c r="AP229" s="14"/>
      <c r="AQ229" s="14"/>
      <c r="AS229" s="119">
        <f>AS218+SUM(AH218:AH229)+(26.9+3.6)-(14.8+4.8+16.6+4.1)</f>
        <v>186260.75</v>
      </c>
      <c r="AT229" s="88">
        <f>AS229-AS218</f>
        <v>603.75</v>
      </c>
      <c r="AU229" s="88">
        <f>AT229/(AD218)</f>
        <v>16.356136363636363</v>
      </c>
      <c r="AV229" s="88">
        <f>100/AU229</f>
        <v>6.1139133213834125</v>
      </c>
      <c r="AW229" s="88">
        <f>((+AD218)*C62)+AX229</f>
        <v>669.092925225062</v>
      </c>
      <c r="AX229" s="88">
        <v>73</v>
      </c>
      <c r="AZ229" s="88">
        <f>AW229-(14.8+4.8+16.6+4.1)</f>
        <v>628.79292522506205</v>
      </c>
      <c r="BA229" s="88">
        <f>BA228-(3.2+4.6+29.7)</f>
        <v>191.47836924972682</v>
      </c>
    </row>
    <row r="230" spans="23:53">
      <c r="W230" s="9" t="str">
        <f t="shared" ca="1" si="61"/>
        <v/>
      </c>
      <c r="X230" s="40">
        <v>45005</v>
      </c>
      <c r="Y230" s="168">
        <f t="shared" si="62"/>
        <v>3</v>
      </c>
      <c r="Z230" s="44" t="s">
        <v>1136</v>
      </c>
      <c r="AA230" s="21"/>
      <c r="AB230" s="21"/>
      <c r="AC230" s="21"/>
      <c r="AD230" s="89"/>
      <c r="AF230" s="26">
        <f>24.4+20.3</f>
        <v>44.7</v>
      </c>
      <c r="AG230" s="9">
        <f>2.4+6.9+6.6</f>
        <v>15.9</v>
      </c>
      <c r="AH230" s="9">
        <f t="shared" si="59"/>
        <v>60.6</v>
      </c>
      <c r="AI230" s="88">
        <f t="shared" si="63"/>
        <v>10901.949999999992</v>
      </c>
      <c r="AJ230" s="14"/>
      <c r="AK230" s="14"/>
      <c r="AL230" s="14"/>
      <c r="AM230" s="14"/>
      <c r="AN230" s="166"/>
      <c r="AO230" s="166"/>
      <c r="AP230" s="14"/>
      <c r="AQ230" s="14"/>
      <c r="AZ230" s="88">
        <f t="shared" ref="AZ230:AZ239" si="65">AZ229-AH230</f>
        <v>568.19292522506203</v>
      </c>
    </row>
    <row r="231" spans="23:53">
      <c r="W231" s="9" t="str">
        <f t="shared" ca="1" si="61"/>
        <v/>
      </c>
      <c r="X231" s="40">
        <v>45006</v>
      </c>
      <c r="Y231" s="168">
        <f t="shared" si="62"/>
        <v>3</v>
      </c>
      <c r="Z231" s="44" t="s">
        <v>1138</v>
      </c>
      <c r="AA231" s="21"/>
      <c r="AB231" s="21"/>
      <c r="AC231" s="21"/>
      <c r="AD231" s="89"/>
      <c r="AF231" s="26">
        <v>37.4</v>
      </c>
      <c r="AG231" s="9">
        <v>2.4</v>
      </c>
      <c r="AH231" s="9">
        <f t="shared" si="59"/>
        <v>39.799999999999997</v>
      </c>
      <c r="AI231" s="88">
        <f t="shared" si="63"/>
        <v>10941.749999999991</v>
      </c>
      <c r="AJ231" s="14"/>
      <c r="AK231" s="14"/>
      <c r="AL231" s="14"/>
      <c r="AM231" s="14"/>
      <c r="AN231" s="166"/>
      <c r="AO231" s="166"/>
      <c r="AP231" s="14"/>
      <c r="AQ231" s="14"/>
      <c r="AZ231" s="88">
        <f t="shared" si="65"/>
        <v>528.39292522506207</v>
      </c>
    </row>
    <row r="232" spans="23:53">
      <c r="W232" s="9" t="str">
        <f t="shared" ca="1" si="61"/>
        <v/>
      </c>
      <c r="X232" s="40">
        <v>45007</v>
      </c>
      <c r="Y232" s="168">
        <f t="shared" si="62"/>
        <v>3</v>
      </c>
      <c r="Z232" s="44" t="s">
        <v>1140</v>
      </c>
      <c r="AA232" s="21"/>
      <c r="AB232" s="21"/>
      <c r="AC232" s="21"/>
      <c r="AF232" s="26">
        <f>22.4+25</f>
        <v>47.4</v>
      </c>
      <c r="AG232" s="9">
        <f>1.7+3.6</f>
        <v>5.3</v>
      </c>
      <c r="AH232" s="9">
        <f t="shared" si="59"/>
        <v>52.699999999999996</v>
      </c>
      <c r="AI232" s="88">
        <f t="shared" si="63"/>
        <v>10994.449999999992</v>
      </c>
      <c r="AJ232" s="14"/>
      <c r="AK232" s="14"/>
      <c r="AL232" s="14"/>
      <c r="AM232" s="14"/>
      <c r="AN232" s="166"/>
      <c r="AO232" s="166"/>
      <c r="AP232" s="14"/>
      <c r="AQ232" s="14"/>
      <c r="AZ232" s="88">
        <f t="shared" si="65"/>
        <v>475.69292522506208</v>
      </c>
    </row>
    <row r="233" spans="23:53">
      <c r="W233" s="9" t="str">
        <f t="shared" ca="1" si="61"/>
        <v/>
      </c>
      <c r="X233" s="40">
        <v>45008</v>
      </c>
      <c r="Y233" s="168">
        <f t="shared" si="62"/>
        <v>3</v>
      </c>
      <c r="Z233" s="44" t="s">
        <v>1143</v>
      </c>
      <c r="AA233" s="21"/>
      <c r="AB233" s="21"/>
      <c r="AC233" s="21"/>
      <c r="AF233" s="26">
        <f>24.3+24.1</f>
        <v>48.400000000000006</v>
      </c>
      <c r="AG233" s="9">
        <f>4.5+7.7+7.6</f>
        <v>19.799999999999997</v>
      </c>
      <c r="AH233" s="9">
        <f t="shared" si="59"/>
        <v>68.2</v>
      </c>
      <c r="AI233" s="88">
        <f t="shared" si="63"/>
        <v>11062.649999999992</v>
      </c>
      <c r="AJ233" s="14"/>
      <c r="AK233" s="14"/>
      <c r="AL233" s="14"/>
      <c r="AM233" s="14"/>
      <c r="AN233" s="166"/>
      <c r="AO233" s="166"/>
      <c r="AP233" s="14"/>
      <c r="AQ233" s="14"/>
      <c r="AZ233" s="88">
        <f t="shared" si="65"/>
        <v>407.49292522506209</v>
      </c>
    </row>
    <row r="234" spans="23:53">
      <c r="W234" s="9" t="str">
        <f t="shared" ca="1" si="61"/>
        <v/>
      </c>
      <c r="X234" s="40">
        <v>45009</v>
      </c>
      <c r="Y234" s="168">
        <f t="shared" si="62"/>
        <v>3</v>
      </c>
      <c r="Z234" s="44" t="s">
        <v>1145</v>
      </c>
      <c r="AA234" s="21"/>
      <c r="AB234" s="21"/>
      <c r="AC234" s="21"/>
      <c r="AF234" s="26">
        <f>25.4+25.3</f>
        <v>50.7</v>
      </c>
      <c r="AG234" s="9">
        <f>3.2+6.9+33.9+32.6</f>
        <v>76.599999999999994</v>
      </c>
      <c r="AH234" s="9">
        <f t="shared" si="59"/>
        <v>127.3</v>
      </c>
      <c r="AI234" s="88">
        <f t="shared" si="63"/>
        <v>11189.949999999992</v>
      </c>
      <c r="AJ234" s="14"/>
      <c r="AK234" s="14"/>
      <c r="AL234" s="14"/>
      <c r="AM234" s="14"/>
      <c r="AN234" s="166"/>
      <c r="AO234" s="166"/>
      <c r="AP234" s="14"/>
      <c r="AQ234" s="14"/>
      <c r="AZ234" s="88">
        <f t="shared" si="65"/>
        <v>280.19292522506208</v>
      </c>
    </row>
    <row r="235" spans="23:53">
      <c r="W235" s="9" t="str">
        <f t="shared" ca="1" si="61"/>
        <v/>
      </c>
      <c r="X235" s="40">
        <v>45010</v>
      </c>
      <c r="Y235" s="168">
        <f t="shared" si="62"/>
        <v>3</v>
      </c>
      <c r="Z235" s="44" t="s">
        <v>1132</v>
      </c>
      <c r="AB235" s="21"/>
      <c r="AC235" s="21"/>
      <c r="AF235" s="26"/>
      <c r="AG235" s="9">
        <f>2+2.9</f>
        <v>4.9000000000000004</v>
      </c>
      <c r="AH235" s="9">
        <f t="shared" si="59"/>
        <v>4.9000000000000004</v>
      </c>
      <c r="AI235" s="88">
        <f t="shared" si="63"/>
        <v>11194.849999999991</v>
      </c>
      <c r="AJ235" s="14">
        <f>SUM(AH229:AH235)</f>
        <v>431.29999999999995</v>
      </c>
      <c r="AK235" s="14"/>
      <c r="AL235" s="14"/>
      <c r="AM235" s="14"/>
      <c r="AN235" s="166"/>
      <c r="AO235" s="166"/>
      <c r="AP235" s="14"/>
      <c r="AQ235" s="14"/>
      <c r="AZ235" s="88">
        <f t="shared" si="65"/>
        <v>275.29292522506211</v>
      </c>
    </row>
    <row r="236" spans="23:53">
      <c r="W236" s="9" t="str">
        <f t="shared" ca="1" si="61"/>
        <v/>
      </c>
      <c r="X236" s="40">
        <v>45011</v>
      </c>
      <c r="Y236" s="168">
        <f t="shared" si="62"/>
        <v>3</v>
      </c>
      <c r="Z236" s="44" t="s">
        <v>1134</v>
      </c>
      <c r="AA236" s="21"/>
      <c r="AB236" s="21"/>
      <c r="AC236" s="21"/>
      <c r="AF236" s="26"/>
      <c r="AG236" s="9">
        <f>1.7+4.2+5.5+1.3</f>
        <v>12.700000000000001</v>
      </c>
      <c r="AH236" s="9">
        <f t="shared" si="59"/>
        <v>12.700000000000001</v>
      </c>
      <c r="AI236" s="88">
        <f t="shared" si="63"/>
        <v>11207.549999999992</v>
      </c>
      <c r="AJ236" s="14"/>
      <c r="AK236" s="14" t="s">
        <v>1077</v>
      </c>
      <c r="AL236" s="14" t="s">
        <v>1204</v>
      </c>
      <c r="AM236" s="14" t="s">
        <v>1205</v>
      </c>
      <c r="AN236" s="166" t="s">
        <v>1069</v>
      </c>
      <c r="AO236" s="166" t="s">
        <v>1206</v>
      </c>
      <c r="AP236" s="14"/>
      <c r="AQ236" s="14"/>
      <c r="AS236" s="1471"/>
      <c r="AT236" s="1471"/>
      <c r="AU236" s="1471"/>
      <c r="AV236" s="1471"/>
      <c r="AW236" s="1471"/>
      <c r="AX236" s="1471"/>
      <c r="AZ236" s="88">
        <f t="shared" si="65"/>
        <v>262.59292522506212</v>
      </c>
    </row>
    <row r="237" spans="23:53">
      <c r="W237" s="9" t="str">
        <f t="shared" ca="1" si="61"/>
        <v/>
      </c>
      <c r="X237" s="39">
        <v>45012</v>
      </c>
      <c r="Y237" s="179">
        <f t="shared" si="62"/>
        <v>3</v>
      </c>
      <c r="Z237" s="107" t="s">
        <v>1136</v>
      </c>
      <c r="AA237" s="68"/>
      <c r="AB237" s="68"/>
      <c r="AC237" s="68"/>
      <c r="AD237" s="22"/>
      <c r="AE237" s="22"/>
      <c r="AF237" s="115">
        <f>22.8+24.4</f>
        <v>47.2</v>
      </c>
      <c r="AG237" s="22">
        <f>7.2+12.8+10.4</f>
        <v>30.4</v>
      </c>
      <c r="AH237" s="22">
        <f t="shared" si="59"/>
        <v>77.599999999999994</v>
      </c>
      <c r="AI237" s="215">
        <f t="shared" si="63"/>
        <v>11285.149999999992</v>
      </c>
      <c r="AJ237" s="1372"/>
      <c r="AK237" s="1372">
        <f>SUM(AH209:AH237)</f>
        <v>1642.75</v>
      </c>
      <c r="AL237" s="1372">
        <f>SUM(AF209:AF237)</f>
        <v>838</v>
      </c>
      <c r="AM237" s="1372">
        <f>SUM(AG209:AG237)</f>
        <v>804.75</v>
      </c>
      <c r="AN237" s="219">
        <f>SUM(AD209:AD237)</f>
        <v>117.11523388781762</v>
      </c>
      <c r="AO237" s="182">
        <f>AK237/AN237</f>
        <v>14.026783241312209</v>
      </c>
      <c r="AP237" s="183">
        <f>SUM(AA209:AB237)/SUM(AD209:AD237)</f>
        <v>1.4944255686467585</v>
      </c>
      <c r="AQ237" s="184">
        <f>(AP237/AO237)*(SUM(AH209:AH237))</f>
        <v>175.01999999999998</v>
      </c>
      <c r="AS237" s="14" t="s">
        <v>1207</v>
      </c>
      <c r="AT237" s="14"/>
      <c r="AU237" s="14"/>
      <c r="AV237" s="14"/>
      <c r="AW237" s="14"/>
      <c r="AX237" s="14"/>
      <c r="AZ237" s="88">
        <f t="shared" si="65"/>
        <v>184.99292522506212</v>
      </c>
    </row>
    <row r="238" spans="23:53">
      <c r="W238" s="9" t="str">
        <f t="shared" ca="1" si="61"/>
        <v/>
      </c>
      <c r="X238" s="40">
        <v>45013</v>
      </c>
      <c r="Y238" s="168">
        <f t="shared" si="62"/>
        <v>3</v>
      </c>
      <c r="Z238" s="44" t="s">
        <v>1138</v>
      </c>
      <c r="AA238" s="21"/>
      <c r="AB238" s="21"/>
      <c r="AC238" s="21"/>
      <c r="AD238" s="89"/>
      <c r="AF238" s="26">
        <f>24.6+23.8</f>
        <v>48.400000000000006</v>
      </c>
      <c r="AG238" s="9">
        <f>15.9+13.7</f>
        <v>29.6</v>
      </c>
      <c r="AH238" s="9">
        <f t="shared" si="59"/>
        <v>78</v>
      </c>
      <c r="AI238" s="88">
        <f t="shared" si="63"/>
        <v>11363.149999999992</v>
      </c>
      <c r="AJ238" s="14"/>
      <c r="AK238" s="14"/>
      <c r="AL238" s="14"/>
      <c r="AM238" s="14"/>
      <c r="AN238" s="166"/>
      <c r="AO238" s="166"/>
      <c r="AP238" s="14"/>
      <c r="AQ238" s="14"/>
      <c r="AS238" s="9" t="s">
        <v>1208</v>
      </c>
      <c r="AT238" s="9" t="s">
        <v>1209</v>
      </c>
      <c r="AW238" s="9" t="s">
        <v>1210</v>
      </c>
      <c r="AX238" s="9" t="s">
        <v>1211</v>
      </c>
      <c r="AZ238" s="88">
        <f t="shared" si="65"/>
        <v>106.99292522506212</v>
      </c>
    </row>
    <row r="239" spans="23:53">
      <c r="W239" s="9" t="str">
        <f t="shared" ca="1" si="61"/>
        <v/>
      </c>
      <c r="X239" s="40">
        <v>45014</v>
      </c>
      <c r="Y239" s="168">
        <f t="shared" si="62"/>
        <v>3</v>
      </c>
      <c r="Z239" s="44" t="s">
        <v>1140</v>
      </c>
      <c r="AA239" s="97">
        <v>65.02</v>
      </c>
      <c r="AB239" s="97"/>
      <c r="AC239" s="97">
        <v>1.4490000000000001</v>
      </c>
      <c r="AD239" s="220">
        <f>AA239/AC239</f>
        <v>44.872325741890954</v>
      </c>
      <c r="AF239" s="26">
        <f>23.6+35.6</f>
        <v>59.2</v>
      </c>
      <c r="AG239" s="9">
        <f>34.4+2.5+2+2.5</f>
        <v>41.4</v>
      </c>
      <c r="AH239" s="9">
        <f t="shared" si="59"/>
        <v>100.6</v>
      </c>
      <c r="AI239" s="88">
        <f t="shared" si="63"/>
        <v>11463.749999999993</v>
      </c>
      <c r="AJ239" s="14"/>
      <c r="AK239" s="14"/>
      <c r="AL239" s="14"/>
      <c r="AM239" s="14"/>
      <c r="AN239" s="166"/>
      <c r="AO239" s="166"/>
      <c r="AP239" s="14"/>
      <c r="AQ239" s="14"/>
      <c r="AS239" s="119">
        <f>187066-24.5-35.6-AG239</f>
        <v>186964.5</v>
      </c>
      <c r="AT239" s="119">
        <f>AS239-AS229</f>
        <v>703.75</v>
      </c>
      <c r="AU239" s="88">
        <f>AT239/(AD229)</f>
        <v>17.637727045492419</v>
      </c>
      <c r="AV239" s="88">
        <f>100/AU239</f>
        <v>5.6696647896904873</v>
      </c>
      <c r="AW239" s="88">
        <f>((+AD239)*C62)+AX239</f>
        <v>736.62969291949241</v>
      </c>
      <c r="AX239" s="9">
        <v>12</v>
      </c>
      <c r="AZ239" s="88">
        <f t="shared" si="65"/>
        <v>6.3929252250621289</v>
      </c>
      <c r="BA239" s="88">
        <f>AW239+AX239-AG239</f>
        <v>707.22969291949244</v>
      </c>
    </row>
    <row r="240" spans="23:53">
      <c r="W240" s="9" t="str">
        <f t="shared" ca="1" si="61"/>
        <v/>
      </c>
      <c r="X240" s="40">
        <v>45015</v>
      </c>
      <c r="Y240" s="168">
        <f t="shared" si="62"/>
        <v>3</v>
      </c>
      <c r="Z240" s="44" t="s">
        <v>1143</v>
      </c>
      <c r="AA240" s="21"/>
      <c r="AB240" s="21"/>
      <c r="AC240" s="21"/>
      <c r="AD240" s="221"/>
      <c r="AF240" s="26">
        <f>24.5+24.3</f>
        <v>48.8</v>
      </c>
      <c r="AG240" s="9">
        <f>1.8+1.9</f>
        <v>3.7</v>
      </c>
      <c r="AH240" s="9">
        <f t="shared" si="59"/>
        <v>52.5</v>
      </c>
      <c r="AI240" s="88">
        <f t="shared" si="63"/>
        <v>11516.249999999993</v>
      </c>
      <c r="AJ240" s="14"/>
      <c r="AK240" s="14"/>
      <c r="AL240" s="14"/>
      <c r="AM240" s="14"/>
      <c r="AN240" s="166"/>
      <c r="AO240" s="166"/>
      <c r="AP240" s="14"/>
      <c r="AQ240" s="14"/>
      <c r="BA240" s="88">
        <f t="shared" ref="BA240:BA248" si="66">BA239-AH240</f>
        <v>654.72969291949244</v>
      </c>
    </row>
    <row r="241" spans="23:53">
      <c r="W241" s="9" t="str">
        <f t="shared" ca="1" si="61"/>
        <v/>
      </c>
      <c r="X241" s="40">
        <v>45016</v>
      </c>
      <c r="Y241" s="168">
        <f t="shared" si="62"/>
        <v>3</v>
      </c>
      <c r="Z241" s="44" t="s">
        <v>1145</v>
      </c>
      <c r="AA241" s="21"/>
      <c r="AB241" s="21"/>
      <c r="AC241" s="21"/>
      <c r="AD241" s="221"/>
      <c r="AF241" s="26">
        <f>24.5+22.4</f>
        <v>46.9</v>
      </c>
      <c r="AG241" s="9">
        <f>1.4+2.4+35.2+1.7+34.5</f>
        <v>75.2</v>
      </c>
      <c r="AH241" s="9">
        <f t="shared" si="59"/>
        <v>122.1</v>
      </c>
      <c r="AI241" s="88">
        <f t="shared" si="63"/>
        <v>11638.349999999993</v>
      </c>
      <c r="AJ241" s="14"/>
      <c r="AK241" s="14"/>
      <c r="AL241" s="14"/>
      <c r="AM241" s="14"/>
      <c r="AN241" s="166"/>
      <c r="AO241" s="166"/>
      <c r="AP241" s="14"/>
      <c r="AQ241" s="14"/>
      <c r="BA241" s="88">
        <f t="shared" si="66"/>
        <v>532.62969291949241</v>
      </c>
    </row>
    <row r="242" spans="23:53">
      <c r="W242" s="9" t="str">
        <f t="shared" ca="1" si="61"/>
        <v/>
      </c>
      <c r="X242" s="40">
        <v>45017</v>
      </c>
      <c r="Y242" s="168">
        <f t="shared" si="62"/>
        <v>4</v>
      </c>
      <c r="Z242" s="44" t="s">
        <v>1132</v>
      </c>
      <c r="AA242" s="21"/>
      <c r="AB242" s="21"/>
      <c r="AC242" s="21"/>
      <c r="AD242" s="221"/>
      <c r="AF242" s="26"/>
      <c r="AG242" s="9">
        <f>1.8+4.1+2.5+2.5+6.9+2.5+5</f>
        <v>25.299999999999997</v>
      </c>
      <c r="AH242" s="9">
        <f t="shared" si="59"/>
        <v>25.299999999999997</v>
      </c>
      <c r="AI242" s="88">
        <f t="shared" si="63"/>
        <v>11663.649999999992</v>
      </c>
      <c r="AJ242" s="14">
        <f>SUM(AH236:AH242)</f>
        <v>468.8</v>
      </c>
      <c r="AK242" s="14"/>
      <c r="AL242" s="14"/>
      <c r="AM242" s="14"/>
      <c r="AN242" s="166"/>
      <c r="AO242" s="166"/>
      <c r="AP242" s="14"/>
      <c r="AQ242" s="14"/>
      <c r="BA242" s="88">
        <f t="shared" si="66"/>
        <v>507.3296929194924</v>
      </c>
    </row>
    <row r="243" spans="23:53">
      <c r="W243" s="9" t="str">
        <f t="shared" ca="1" si="61"/>
        <v/>
      </c>
      <c r="X243" s="40">
        <v>45018</v>
      </c>
      <c r="Y243" s="168">
        <f t="shared" si="62"/>
        <v>4</v>
      </c>
      <c r="Z243" s="44" t="s">
        <v>1134</v>
      </c>
      <c r="AA243" s="21"/>
      <c r="AB243" s="21"/>
      <c r="AC243" s="21"/>
      <c r="AD243" s="221"/>
      <c r="AF243" s="26"/>
      <c r="AG243" s="9">
        <f>2.3+0.95+2+32.9+37</f>
        <v>75.150000000000006</v>
      </c>
      <c r="AH243" s="9">
        <f t="shared" si="59"/>
        <v>75.150000000000006</v>
      </c>
      <c r="AI243" s="88">
        <f t="shared" si="63"/>
        <v>11738.799999999992</v>
      </c>
      <c r="AJ243" s="14"/>
      <c r="AK243" s="14"/>
      <c r="AL243" s="14"/>
      <c r="AM243" s="14"/>
      <c r="AN243" s="166"/>
      <c r="AO243" s="166"/>
      <c r="AP243" s="14"/>
      <c r="AQ243" s="14"/>
      <c r="BA243" s="88">
        <f t="shared" si="66"/>
        <v>432.17969291949237</v>
      </c>
    </row>
    <row r="244" spans="23:53">
      <c r="W244" s="9" t="str">
        <f t="shared" ca="1" si="61"/>
        <v/>
      </c>
      <c r="X244" s="40">
        <v>45019</v>
      </c>
      <c r="Y244" s="168">
        <f t="shared" si="62"/>
        <v>4</v>
      </c>
      <c r="Z244" s="44" t="s">
        <v>1136</v>
      </c>
      <c r="AA244" s="21"/>
      <c r="AB244" s="21"/>
      <c r="AC244" s="21"/>
      <c r="AD244" s="221"/>
      <c r="AF244" s="26">
        <f>18.8+18.8</f>
        <v>37.6</v>
      </c>
      <c r="AG244" s="9">
        <v>1.9</v>
      </c>
      <c r="AH244" s="9">
        <f t="shared" si="59"/>
        <v>39.5</v>
      </c>
      <c r="AI244" s="88">
        <f t="shared" si="63"/>
        <v>11778.299999999992</v>
      </c>
      <c r="AJ244" s="14"/>
      <c r="AK244" s="14"/>
      <c r="AL244" s="14"/>
      <c r="AM244" s="14"/>
      <c r="AN244" s="166"/>
      <c r="AO244" s="166"/>
      <c r="AP244" s="14"/>
      <c r="AQ244" s="14"/>
      <c r="AR244" s="9" t="s">
        <v>1213</v>
      </c>
      <c r="BA244" s="88">
        <f t="shared" si="66"/>
        <v>392.67969291949237</v>
      </c>
    </row>
    <row r="245" spans="23:53">
      <c r="W245" s="9" t="str">
        <f t="shared" ca="1" si="61"/>
        <v/>
      </c>
      <c r="X245" s="40">
        <v>45020</v>
      </c>
      <c r="Y245" s="168">
        <f t="shared" si="62"/>
        <v>4</v>
      </c>
      <c r="Z245" s="44" t="s">
        <v>1138</v>
      </c>
      <c r="AA245" s="21"/>
      <c r="AB245" s="21"/>
      <c r="AC245" s="21"/>
      <c r="AD245" s="221"/>
      <c r="AF245" s="26">
        <f>23.3</f>
        <v>23.3</v>
      </c>
      <c r="AH245" s="9">
        <f t="shared" si="59"/>
        <v>23.3</v>
      </c>
      <c r="AI245" s="88">
        <f t="shared" si="63"/>
        <v>11801.599999999991</v>
      </c>
      <c r="AJ245" s="14"/>
      <c r="AK245" s="14"/>
      <c r="AL245" s="14"/>
      <c r="AM245" s="14"/>
      <c r="AN245" s="166"/>
      <c r="AO245" s="166"/>
      <c r="AP245" s="14"/>
      <c r="AQ245" s="14"/>
      <c r="AR245" s="9" t="s">
        <v>1213</v>
      </c>
      <c r="BA245" s="88">
        <f t="shared" si="66"/>
        <v>369.37969291949236</v>
      </c>
    </row>
    <row r="246" spans="23:53">
      <c r="W246" s="9" t="str">
        <f t="shared" ca="1" si="61"/>
        <v/>
      </c>
      <c r="X246" s="40">
        <v>45021</v>
      </c>
      <c r="Y246" s="168">
        <f t="shared" si="62"/>
        <v>4</v>
      </c>
      <c r="Z246" s="44" t="s">
        <v>1140</v>
      </c>
      <c r="AA246" s="21"/>
      <c r="AB246" s="21"/>
      <c r="AC246" s="21"/>
      <c r="AD246" s="221"/>
      <c r="AF246" s="26"/>
      <c r="AH246" s="9">
        <f t="shared" si="59"/>
        <v>0</v>
      </c>
      <c r="AI246" s="88">
        <f t="shared" si="63"/>
        <v>11801.599999999991</v>
      </c>
      <c r="AJ246" s="14"/>
      <c r="AK246" s="14"/>
      <c r="AL246" s="14"/>
      <c r="AM246" s="14"/>
      <c r="AN246" s="166"/>
      <c r="AO246" s="166"/>
      <c r="AP246" s="14"/>
      <c r="AQ246" s="14"/>
      <c r="AR246" s="9" t="s">
        <v>1213</v>
      </c>
      <c r="BA246" s="88">
        <f t="shared" si="66"/>
        <v>369.37969291949236</v>
      </c>
    </row>
    <row r="247" spans="23:53">
      <c r="W247" s="9" t="str">
        <f t="shared" ca="1" si="61"/>
        <v/>
      </c>
      <c r="X247" s="40">
        <v>45022</v>
      </c>
      <c r="Y247" s="168">
        <f t="shared" si="62"/>
        <v>4</v>
      </c>
      <c r="Z247" s="44" t="s">
        <v>1143</v>
      </c>
      <c r="AA247" s="21"/>
      <c r="AB247" s="21"/>
      <c r="AC247" s="21"/>
      <c r="AD247" s="221"/>
      <c r="AF247" s="26">
        <f>25.9</f>
        <v>25.9</v>
      </c>
      <c r="AG247" s="9">
        <f>12.9+4.6+2.8+2.7</f>
        <v>23</v>
      </c>
      <c r="AH247" s="9">
        <f>AF247+AG247</f>
        <v>48.9</v>
      </c>
      <c r="AI247" s="88">
        <f t="shared" si="63"/>
        <v>11850.499999999991</v>
      </c>
      <c r="AJ247" s="14"/>
      <c r="AK247" s="14"/>
      <c r="AL247" s="14"/>
      <c r="AM247" s="14"/>
      <c r="AN247" s="166"/>
      <c r="AO247" s="166"/>
      <c r="AP247" s="14"/>
      <c r="AQ247" s="14"/>
      <c r="AR247" s="9" t="s">
        <v>1213</v>
      </c>
      <c r="AS247" s="14" t="s">
        <v>1207</v>
      </c>
      <c r="AT247" s="14"/>
      <c r="AU247" s="14"/>
      <c r="AV247" s="14"/>
      <c r="AW247" s="14"/>
      <c r="AX247" s="14"/>
      <c r="BA247" s="88">
        <f t="shared" si="66"/>
        <v>320.47969291949238</v>
      </c>
    </row>
    <row r="248" spans="23:53">
      <c r="W248" s="9" t="str">
        <f t="shared" ca="1" si="61"/>
        <v/>
      </c>
      <c r="X248" s="40">
        <v>45023</v>
      </c>
      <c r="Y248" s="168">
        <f t="shared" si="62"/>
        <v>4</v>
      </c>
      <c r="Z248" s="44" t="s">
        <v>1145</v>
      </c>
      <c r="AA248" s="21"/>
      <c r="AB248" s="21"/>
      <c r="AC248" s="21"/>
      <c r="AD248" s="221"/>
      <c r="AF248" s="26">
        <f>25.7+25.6</f>
        <v>51.3</v>
      </c>
      <c r="AG248" s="9">
        <f>12.5+20.7+6.1+9+12.9</f>
        <v>61.2</v>
      </c>
      <c r="AH248" s="9">
        <f>AF248+AG248</f>
        <v>112.5</v>
      </c>
      <c r="AI248" s="88">
        <f t="shared" si="63"/>
        <v>11962.999999999991</v>
      </c>
      <c r="AJ248" s="14"/>
      <c r="AK248" s="14"/>
      <c r="AL248" s="14"/>
      <c r="AM248" s="14"/>
      <c r="AN248" s="166"/>
      <c r="AO248" s="166"/>
      <c r="AP248" s="14"/>
      <c r="AQ248" s="14"/>
      <c r="AS248" s="9" t="s">
        <v>1208</v>
      </c>
      <c r="AT248" s="9" t="s">
        <v>1209</v>
      </c>
      <c r="AW248" s="9" t="s">
        <v>1210</v>
      </c>
      <c r="AX248" s="9" t="s">
        <v>1211</v>
      </c>
      <c r="BA248" s="88">
        <f t="shared" si="66"/>
        <v>207.97969291949238</v>
      </c>
    </row>
    <row r="249" spans="23:53">
      <c r="W249" s="9" t="str">
        <f t="shared" ca="1" si="61"/>
        <v/>
      </c>
      <c r="X249" s="40">
        <v>45024</v>
      </c>
      <c r="Y249" s="168">
        <f t="shared" si="62"/>
        <v>4</v>
      </c>
      <c r="Z249" s="44" t="s">
        <v>1132</v>
      </c>
      <c r="AA249" s="97">
        <v>60</v>
      </c>
      <c r="AB249" s="97"/>
      <c r="AC249" s="97">
        <v>1.45</v>
      </c>
      <c r="AD249" s="220">
        <f>AA249/AC249</f>
        <v>41.379310344827587</v>
      </c>
      <c r="AF249" s="26"/>
      <c r="AG249" s="9">
        <f>6.6+8.1+18.6+30.1+2.6+3.3</f>
        <v>69.3</v>
      </c>
      <c r="AH249" s="9">
        <f>AF249+AG249</f>
        <v>69.3</v>
      </c>
      <c r="AI249" s="88">
        <f t="shared" si="63"/>
        <v>12032.29999999999</v>
      </c>
      <c r="AJ249" s="14">
        <f>SUM(AH243:AH249)</f>
        <v>368.65000000000003</v>
      </c>
      <c r="AK249" s="14"/>
      <c r="AL249" s="14"/>
      <c r="AM249" s="14"/>
      <c r="AN249" s="166"/>
      <c r="AO249" s="166"/>
      <c r="AP249" s="14"/>
      <c r="AQ249" s="14"/>
      <c r="AS249" s="119">
        <f>AS239+(SUM(AH239:AH249)-AG239-(30.1+2.6+3.3))</f>
        <v>187556.25</v>
      </c>
      <c r="AT249" s="119">
        <f>AS249-AS239</f>
        <v>591.75</v>
      </c>
      <c r="AU249" s="88">
        <f>AT249/(AD239)</f>
        <v>13.187415410642881</v>
      </c>
      <c r="AV249" s="88">
        <f>100/AU249</f>
        <v>7.5829870286254248</v>
      </c>
      <c r="AW249" s="88">
        <f>((+AD249)*C62)+AX249</f>
        <v>813.10173072664657</v>
      </c>
      <c r="AX249" s="88">
        <f>AW239-AT249</f>
        <v>144.87969291949241</v>
      </c>
      <c r="AZ249" s="88">
        <f>AW249-AX249-(30.1+2.6+3.3)</f>
        <v>632.22203780715415</v>
      </c>
    </row>
    <row r="250" spans="23:53">
      <c r="W250" s="9" t="str">
        <f t="shared" ca="1" si="61"/>
        <v/>
      </c>
      <c r="X250" s="40">
        <v>45025</v>
      </c>
      <c r="Y250" s="168">
        <f t="shared" si="62"/>
        <v>4</v>
      </c>
      <c r="Z250" s="44" t="s">
        <v>1134</v>
      </c>
      <c r="AA250" s="21"/>
      <c r="AB250" s="21"/>
      <c r="AC250" s="21"/>
      <c r="AD250" s="221"/>
      <c r="AF250" s="26"/>
      <c r="AG250" s="9">
        <f>7.5+8.4</f>
        <v>15.9</v>
      </c>
      <c r="AH250" s="9">
        <f t="shared" si="59"/>
        <v>15.9</v>
      </c>
      <c r="AI250" s="88">
        <f t="shared" si="63"/>
        <v>12048.19999999999</v>
      </c>
      <c r="AJ250" s="14"/>
      <c r="AK250" s="14"/>
      <c r="AL250" s="14"/>
      <c r="AM250" s="14"/>
      <c r="AN250" s="166"/>
      <c r="AO250" s="166"/>
      <c r="AP250" s="14"/>
      <c r="AQ250" s="14"/>
      <c r="AZ250" s="88">
        <f t="shared" ref="AZ250:AZ256" si="67">AZ249-AH250</f>
        <v>616.32203780715417</v>
      </c>
      <c r="BA250" s="88"/>
    </row>
    <row r="251" spans="23:53">
      <c r="W251" s="9" t="str">
        <f t="shared" ca="1" si="61"/>
        <v/>
      </c>
      <c r="X251" s="40">
        <v>45026</v>
      </c>
      <c r="Y251" s="168">
        <f t="shared" si="62"/>
        <v>4</v>
      </c>
      <c r="Z251" s="44" t="s">
        <v>1136</v>
      </c>
      <c r="AA251" s="21"/>
      <c r="AB251" s="21"/>
      <c r="AC251" s="21"/>
      <c r="AD251" s="221"/>
      <c r="AF251" s="26"/>
      <c r="AG251" s="9">
        <f>4.9+21.1+4.2+4.7+28.5+2.8</f>
        <v>66.2</v>
      </c>
      <c r="AH251" s="9">
        <f t="shared" si="59"/>
        <v>66.2</v>
      </c>
      <c r="AI251" s="88">
        <f t="shared" si="63"/>
        <v>12114.399999999991</v>
      </c>
      <c r="AJ251" s="14"/>
      <c r="AK251" s="14"/>
      <c r="AL251" s="14"/>
      <c r="AM251" s="14"/>
      <c r="AN251" s="166"/>
      <c r="AO251" s="166"/>
      <c r="AP251" s="14"/>
      <c r="AQ251" s="14"/>
      <c r="AZ251" s="88">
        <f t="shared" si="67"/>
        <v>550.12203780715413</v>
      </c>
    </row>
    <row r="252" spans="23:53">
      <c r="W252" s="9" t="str">
        <f t="shared" ca="1" si="61"/>
        <v/>
      </c>
      <c r="X252" s="40">
        <v>45027</v>
      </c>
      <c r="Y252" s="168">
        <f t="shared" si="62"/>
        <v>4</v>
      </c>
      <c r="Z252" s="44" t="s">
        <v>1138</v>
      </c>
      <c r="AA252" s="21"/>
      <c r="AB252" s="21"/>
      <c r="AC252" s="21"/>
      <c r="AD252" s="221"/>
      <c r="AF252" s="26">
        <f>29+24.4</f>
        <v>53.4</v>
      </c>
      <c r="AG252" s="9">
        <f>2.8+2.3+8+7.4</f>
        <v>20.5</v>
      </c>
      <c r="AH252" s="9">
        <f t="shared" si="59"/>
        <v>73.900000000000006</v>
      </c>
      <c r="AI252" s="88">
        <f t="shared" si="63"/>
        <v>12188.29999999999</v>
      </c>
      <c r="AJ252" s="14"/>
      <c r="AK252" s="14"/>
      <c r="AL252" s="14"/>
      <c r="AM252" s="14"/>
      <c r="AN252" s="166"/>
      <c r="AO252" s="166"/>
      <c r="AP252" s="14"/>
      <c r="AQ252" s="14"/>
      <c r="AZ252" s="88">
        <f t="shared" si="67"/>
        <v>476.22203780715415</v>
      </c>
    </row>
    <row r="253" spans="23:53">
      <c r="W253" s="9" t="str">
        <f t="shared" ca="1" si="61"/>
        <v/>
      </c>
      <c r="X253" s="40">
        <v>45028</v>
      </c>
      <c r="Y253" s="168">
        <f t="shared" si="62"/>
        <v>4</v>
      </c>
      <c r="Z253" s="44" t="s">
        <v>1140</v>
      </c>
      <c r="AA253" s="21"/>
      <c r="AB253" s="21"/>
      <c r="AC253" s="21"/>
      <c r="AD253" s="221"/>
      <c r="AF253" s="26">
        <f>26.1+26.5</f>
        <v>52.6</v>
      </c>
      <c r="AG253" s="88">
        <f>2.2+4.5+11.8+3.5</f>
        <v>22</v>
      </c>
      <c r="AH253" s="9">
        <f t="shared" si="59"/>
        <v>74.599999999999994</v>
      </c>
      <c r="AI253" s="9">
        <f t="shared" si="63"/>
        <v>12262.899999999991</v>
      </c>
      <c r="AJ253" s="14"/>
      <c r="AK253" s="14"/>
      <c r="AL253" s="14"/>
      <c r="AM253" s="14"/>
      <c r="AN253" s="166"/>
      <c r="AO253" s="166"/>
      <c r="AP253" s="14"/>
      <c r="AQ253" s="14"/>
      <c r="AZ253" s="88">
        <f t="shared" si="67"/>
        <v>401.62203780715413</v>
      </c>
    </row>
    <row r="254" spans="23:53">
      <c r="W254" s="9" t="str">
        <f t="shared" ca="1" si="61"/>
        <v/>
      </c>
      <c r="X254" s="40">
        <v>45029</v>
      </c>
      <c r="Y254" s="168">
        <f t="shared" si="62"/>
        <v>4</v>
      </c>
      <c r="Z254" s="44" t="s">
        <v>1143</v>
      </c>
      <c r="AA254" s="21"/>
      <c r="AB254" s="21"/>
      <c r="AC254" s="21"/>
      <c r="AD254" s="221"/>
      <c r="AF254" s="26">
        <f>18.4+16.2</f>
        <v>34.599999999999994</v>
      </c>
      <c r="AG254" s="88">
        <f>3.2</f>
        <v>3.2</v>
      </c>
      <c r="AH254" s="9">
        <f t="shared" si="59"/>
        <v>37.799999999999997</v>
      </c>
      <c r="AI254" s="9">
        <f t="shared" si="63"/>
        <v>12300.69999999999</v>
      </c>
      <c r="AJ254" s="14"/>
      <c r="AK254" s="14"/>
      <c r="AL254" s="14"/>
      <c r="AM254" s="14"/>
      <c r="AN254" s="166"/>
      <c r="AO254" s="166"/>
      <c r="AP254" s="14"/>
      <c r="AQ254" s="14"/>
      <c r="AR254" s="9" t="s">
        <v>1213</v>
      </c>
      <c r="AZ254" s="88">
        <f t="shared" si="67"/>
        <v>363.82203780715412</v>
      </c>
    </row>
    <row r="255" spans="23:53">
      <c r="W255" s="9" t="str">
        <f t="shared" ca="1" si="61"/>
        <v/>
      </c>
      <c r="X255" s="40">
        <v>45030</v>
      </c>
      <c r="Y255" s="168">
        <f t="shared" si="62"/>
        <v>4</v>
      </c>
      <c r="Z255" s="44" t="s">
        <v>1145</v>
      </c>
      <c r="AA255" s="21"/>
      <c r="AB255" s="21"/>
      <c r="AC255" s="21"/>
      <c r="AD255" s="221"/>
      <c r="AF255" s="26">
        <f>24.1+25.3</f>
        <v>49.400000000000006</v>
      </c>
      <c r="AG255" s="9">
        <f>8+9.1+23.8+34.6</f>
        <v>75.5</v>
      </c>
      <c r="AH255" s="9">
        <f>AF255+AG255</f>
        <v>124.9</v>
      </c>
      <c r="AI255" s="9">
        <f t="shared" si="63"/>
        <v>12425.599999999989</v>
      </c>
      <c r="AJ255" s="14"/>
      <c r="AK255" s="14"/>
      <c r="AL255" s="14"/>
      <c r="AM255" s="14"/>
      <c r="AN255" s="166"/>
      <c r="AO255" s="166"/>
      <c r="AP255" s="14"/>
      <c r="AQ255" s="14"/>
      <c r="AS255" s="14" t="s">
        <v>1207</v>
      </c>
      <c r="AT255" s="14"/>
      <c r="AU255" s="14"/>
      <c r="AV255" s="14"/>
      <c r="AW255" s="14"/>
      <c r="AX255" s="14"/>
      <c r="AZ255" s="88">
        <f t="shared" si="67"/>
        <v>238.92203780715411</v>
      </c>
    </row>
    <row r="256" spans="23:53">
      <c r="W256" s="9" t="str">
        <f t="shared" ca="1" si="61"/>
        <v/>
      </c>
      <c r="X256" s="40">
        <v>45031</v>
      </c>
      <c r="Y256" s="168">
        <f t="shared" si="62"/>
        <v>4</v>
      </c>
      <c r="Z256" s="44" t="s">
        <v>1132</v>
      </c>
      <c r="AA256" s="21"/>
      <c r="AB256" s="21"/>
      <c r="AC256" s="21"/>
      <c r="AD256" s="221"/>
      <c r="AF256" s="26"/>
      <c r="AG256" s="9">
        <f>2+3.5+2.7+38.6+42.8</f>
        <v>89.6</v>
      </c>
      <c r="AH256" s="9">
        <f>AF256+AG256</f>
        <v>89.6</v>
      </c>
      <c r="AI256" s="9">
        <f t="shared" si="63"/>
        <v>12515.19999999999</v>
      </c>
      <c r="AJ256" s="14">
        <f>SUM(AH250:AH256)</f>
        <v>482.9</v>
      </c>
      <c r="AK256" s="14"/>
      <c r="AL256" s="14"/>
      <c r="AM256" s="14"/>
      <c r="AN256" s="166"/>
      <c r="AO256" s="166"/>
      <c r="AP256" s="14"/>
      <c r="AQ256" s="14"/>
      <c r="AS256" s="9" t="s">
        <v>1208</v>
      </c>
      <c r="AT256" s="9" t="s">
        <v>1209</v>
      </c>
      <c r="AW256" s="9" t="s">
        <v>1210</v>
      </c>
      <c r="AX256" s="9" t="s">
        <v>1211</v>
      </c>
      <c r="AZ256" s="88">
        <f t="shared" si="67"/>
        <v>149.32203780715412</v>
      </c>
    </row>
    <row r="257" spans="23:53">
      <c r="W257" s="9" t="str">
        <f t="shared" ca="1" si="61"/>
        <v/>
      </c>
      <c r="X257" s="40">
        <v>45032</v>
      </c>
      <c r="Y257" s="168">
        <f t="shared" si="62"/>
        <v>4</v>
      </c>
      <c r="Z257" s="44" t="s">
        <v>1134</v>
      </c>
      <c r="AA257" s="96">
        <v>60</v>
      </c>
      <c r="AB257" s="96"/>
      <c r="AC257" s="96">
        <v>1.44</v>
      </c>
      <c r="AD257" s="220">
        <f>AA257/AC257</f>
        <v>41.666666666666671</v>
      </c>
      <c r="AF257" s="26"/>
      <c r="AG257" s="9">
        <f>1.9+4.5+33.1+23.3+40.1+34.8</f>
        <v>137.69999999999999</v>
      </c>
      <c r="AH257" s="9">
        <f t="shared" si="59"/>
        <v>137.69999999999999</v>
      </c>
      <c r="AI257" s="9">
        <f t="shared" si="63"/>
        <v>12652.899999999991</v>
      </c>
      <c r="AJ257" s="14"/>
      <c r="AK257" s="14"/>
      <c r="AL257" s="14"/>
      <c r="AM257" s="14"/>
      <c r="AN257" s="166"/>
      <c r="AO257" s="166"/>
      <c r="AP257" s="14"/>
      <c r="AQ257" s="14"/>
      <c r="AS257" s="119">
        <f>AS249+SUM(AH249:AH257)-(6.6+8.1+18.6)-(23.3+40.1+34.8)</f>
        <v>188114.65</v>
      </c>
      <c r="AT257" s="119">
        <f>AS257-AS249</f>
        <v>558.39999999999418</v>
      </c>
      <c r="AU257" s="88">
        <f>AT257/AD249</f>
        <v>13.494666666666525</v>
      </c>
      <c r="AV257" s="88">
        <f>100/AU257</f>
        <v>7.4103349471396882</v>
      </c>
      <c r="AW257" s="88">
        <f>((+AD257)*C62)+AX257</f>
        <v>725.86246862525945</v>
      </c>
      <c r="AX257" s="88">
        <v>53</v>
      </c>
      <c r="AZ257" s="88">
        <f>AZ256-(1.9+4.5+33.1)</f>
        <v>109.82203780715412</v>
      </c>
      <c r="BA257" s="88">
        <f>AW257-(23.3+40.1+34.8)</f>
        <v>627.66246862525941</v>
      </c>
    </row>
    <row r="258" spans="23:53">
      <c r="W258" s="9" t="str">
        <f t="shared" ca="1" si="61"/>
        <v/>
      </c>
      <c r="X258" s="40">
        <v>45033</v>
      </c>
      <c r="Y258" s="168">
        <f t="shared" si="62"/>
        <v>4</v>
      </c>
      <c r="Z258" s="44" t="s">
        <v>1136</v>
      </c>
      <c r="AA258" s="21"/>
      <c r="AB258" s="21"/>
      <c r="AC258" s="21"/>
      <c r="AD258" s="221"/>
      <c r="AF258" s="26">
        <f>27.2</f>
        <v>27.2</v>
      </c>
      <c r="AH258" s="9">
        <f t="shared" si="59"/>
        <v>27.2</v>
      </c>
      <c r="AI258" s="9">
        <f t="shared" si="63"/>
        <v>12680.099999999991</v>
      </c>
      <c r="AJ258" s="14"/>
      <c r="AK258" s="14"/>
      <c r="AL258" s="14"/>
      <c r="AM258" s="14"/>
      <c r="AN258" s="166"/>
      <c r="AO258" s="166"/>
      <c r="AP258" s="14"/>
      <c r="AQ258" s="14"/>
      <c r="AR258" s="9" t="s">
        <v>1213</v>
      </c>
      <c r="AZ258" s="88"/>
      <c r="BA258" s="88">
        <f t="shared" ref="BA258:BA267" si="68">BA257-AH258</f>
        <v>600.46246862525936</v>
      </c>
    </row>
    <row r="259" spans="23:53">
      <c r="W259" s="9" t="str">
        <f t="shared" ca="1" si="61"/>
        <v/>
      </c>
      <c r="X259" s="40">
        <v>45034</v>
      </c>
      <c r="Y259" s="168">
        <f t="shared" si="62"/>
        <v>4</v>
      </c>
      <c r="Z259" s="44" t="s">
        <v>1138</v>
      </c>
      <c r="AA259" s="21"/>
      <c r="AB259" s="21"/>
      <c r="AC259" s="21"/>
      <c r="AD259" s="221"/>
      <c r="AF259" s="26"/>
      <c r="AG259" s="9">
        <f>27.2+4.7</f>
        <v>31.9</v>
      </c>
      <c r="AH259" s="9">
        <f t="shared" si="59"/>
        <v>31.9</v>
      </c>
      <c r="AI259" s="9">
        <f t="shared" si="63"/>
        <v>12711.999999999991</v>
      </c>
      <c r="AJ259" s="14"/>
      <c r="AK259" s="14"/>
      <c r="AL259" s="14"/>
      <c r="AM259" s="14"/>
      <c r="AN259" s="166"/>
      <c r="AO259" s="166"/>
      <c r="AP259" s="14"/>
      <c r="AQ259" s="14"/>
      <c r="AZ259" s="88"/>
      <c r="BA259" s="88">
        <f t="shared" si="68"/>
        <v>568.56246862525938</v>
      </c>
    </row>
    <row r="260" spans="23:53">
      <c r="W260" s="9" t="str">
        <f t="shared" ca="1" si="61"/>
        <v/>
      </c>
      <c r="X260" s="40">
        <v>45035</v>
      </c>
      <c r="Y260" s="168">
        <f t="shared" si="62"/>
        <v>4</v>
      </c>
      <c r="Z260" s="44" t="s">
        <v>1140</v>
      </c>
      <c r="AA260" s="21"/>
      <c r="AB260" s="21"/>
      <c r="AC260" s="21"/>
      <c r="AD260" s="221"/>
      <c r="AF260" s="26">
        <f>25.9+23.7</f>
        <v>49.599999999999994</v>
      </c>
      <c r="AG260" s="9">
        <f>4.2+42+6.7+41.3</f>
        <v>94.2</v>
      </c>
      <c r="AH260" s="9">
        <f t="shared" si="59"/>
        <v>143.80000000000001</v>
      </c>
      <c r="AI260" s="9">
        <f t="shared" si="63"/>
        <v>12855.79999999999</v>
      </c>
      <c r="AJ260" s="14"/>
      <c r="AK260" s="14"/>
      <c r="AL260" s="14"/>
      <c r="AM260" s="14"/>
      <c r="AN260" s="166"/>
      <c r="AO260" s="166"/>
      <c r="AP260" s="14"/>
      <c r="AQ260" s="14"/>
      <c r="BA260" s="88">
        <f t="shared" si="68"/>
        <v>424.76246862525937</v>
      </c>
    </row>
    <row r="261" spans="23:53">
      <c r="W261" s="9" t="str">
        <f t="shared" ca="1" si="61"/>
        <v/>
      </c>
      <c r="X261" s="40">
        <v>45036</v>
      </c>
      <c r="Y261" s="168">
        <f t="shared" si="62"/>
        <v>4</v>
      </c>
      <c r="Z261" s="44" t="s">
        <v>1143</v>
      </c>
      <c r="AA261" s="21"/>
      <c r="AB261" s="21"/>
      <c r="AC261" s="21"/>
      <c r="AF261" s="26">
        <f>26.3+29.2</f>
        <v>55.5</v>
      </c>
      <c r="AG261" s="9">
        <f>2.3+4.6+11.6+11.5</f>
        <v>30</v>
      </c>
      <c r="AH261" s="9">
        <f t="shared" si="59"/>
        <v>85.5</v>
      </c>
      <c r="AI261" s="9">
        <f t="shared" si="63"/>
        <v>12941.29999999999</v>
      </c>
      <c r="AJ261" s="14"/>
      <c r="AK261" s="14"/>
      <c r="AL261" s="14"/>
      <c r="AM261" s="14"/>
      <c r="AN261" s="166"/>
      <c r="AO261" s="166"/>
      <c r="AP261" s="14"/>
      <c r="AQ261" s="14"/>
      <c r="BA261" s="88">
        <f t="shared" si="68"/>
        <v>339.26246862525937</v>
      </c>
    </row>
    <row r="262" spans="23:53">
      <c r="W262" s="9" t="str">
        <f t="shared" ca="1" si="61"/>
        <v/>
      </c>
      <c r="X262" s="40">
        <v>45037</v>
      </c>
      <c r="Y262" s="168">
        <f t="shared" si="62"/>
        <v>4</v>
      </c>
      <c r="Z262" s="44" t="s">
        <v>1145</v>
      </c>
      <c r="AA262" s="21"/>
      <c r="AB262" s="21"/>
      <c r="AC262" s="21"/>
      <c r="AF262" s="26">
        <f>25.6+33.6</f>
        <v>59.2</v>
      </c>
      <c r="AG262" s="9">
        <f>4.6+32.4+2.9+34.4</f>
        <v>74.3</v>
      </c>
      <c r="AH262" s="9">
        <f t="shared" si="59"/>
        <v>133.5</v>
      </c>
      <c r="AI262" s="9">
        <f t="shared" si="63"/>
        <v>13074.79999999999</v>
      </c>
      <c r="AJ262" s="14"/>
      <c r="AK262" s="14"/>
      <c r="AL262" s="14"/>
      <c r="AM262" s="14"/>
      <c r="AN262" s="166"/>
      <c r="AO262" s="166"/>
      <c r="AP262" s="14"/>
      <c r="AQ262" s="14"/>
      <c r="BA262" s="88">
        <f t="shared" si="68"/>
        <v>205.76246862525937</v>
      </c>
    </row>
    <row r="263" spans="23:53">
      <c r="W263" s="9" t="str">
        <f t="shared" ca="1" si="61"/>
        <v/>
      </c>
      <c r="X263" s="40">
        <v>45038</v>
      </c>
      <c r="Y263" s="168">
        <f t="shared" si="62"/>
        <v>4</v>
      </c>
      <c r="Z263" s="44" t="s">
        <v>1132</v>
      </c>
      <c r="AA263" s="21"/>
      <c r="AB263" s="21"/>
      <c r="AC263" s="21"/>
      <c r="AF263" s="26"/>
      <c r="AG263" s="9">
        <f>11.6+9.2+2.8+37</f>
        <v>60.599999999999994</v>
      </c>
      <c r="AH263" s="9">
        <f t="shared" si="59"/>
        <v>60.599999999999994</v>
      </c>
      <c r="AI263" s="9">
        <f t="shared" si="63"/>
        <v>13135.399999999991</v>
      </c>
      <c r="AJ263" s="14">
        <f>SUM(AH257:AH263)</f>
        <v>620.20000000000005</v>
      </c>
      <c r="AK263" s="14"/>
      <c r="AL263" s="14"/>
      <c r="AM263" s="14"/>
      <c r="AN263" s="166"/>
      <c r="AO263" s="166"/>
      <c r="AP263" s="14"/>
      <c r="AQ263" s="14"/>
      <c r="BA263" s="88">
        <f t="shared" si="68"/>
        <v>145.16246862525938</v>
      </c>
    </row>
    <row r="264" spans="23:53">
      <c r="W264" s="9" t="str">
        <f t="shared" ca="1" si="61"/>
        <v/>
      </c>
      <c r="X264" s="40">
        <v>45039</v>
      </c>
      <c r="Y264" s="168">
        <f t="shared" si="62"/>
        <v>4</v>
      </c>
      <c r="Z264" s="44" t="s">
        <v>1134</v>
      </c>
      <c r="AA264" s="21"/>
      <c r="AB264" s="21"/>
      <c r="AC264" s="21"/>
      <c r="AF264" s="26"/>
      <c r="AG264" s="9">
        <f>33.1+3.3+1.4+1.9</f>
        <v>39.699999999999996</v>
      </c>
      <c r="AH264" s="9">
        <f t="shared" si="59"/>
        <v>39.699999999999996</v>
      </c>
      <c r="AI264" s="9">
        <f t="shared" si="63"/>
        <v>13175.099999999991</v>
      </c>
      <c r="AJ264" s="14"/>
      <c r="AK264" s="14"/>
      <c r="AL264" s="14"/>
      <c r="AM264" s="14"/>
      <c r="AN264" s="166"/>
      <c r="AO264" s="166"/>
      <c r="AP264" s="14"/>
      <c r="AQ264" s="14"/>
      <c r="BA264" s="88">
        <f t="shared" si="68"/>
        <v>105.46246862525939</v>
      </c>
    </row>
    <row r="265" spans="23:53">
      <c r="W265" s="9" t="str">
        <f t="shared" ca="1" si="61"/>
        <v/>
      </c>
      <c r="X265" s="40">
        <v>45040</v>
      </c>
      <c r="Y265" s="168">
        <f t="shared" si="62"/>
        <v>4</v>
      </c>
      <c r="Z265" s="44" t="s">
        <v>1136</v>
      </c>
      <c r="AA265" s="21"/>
      <c r="AB265" s="21"/>
      <c r="AC265" s="21"/>
      <c r="AF265" s="26"/>
      <c r="AG265" s="9">
        <f>3.3+2.1+7.6+9.7</f>
        <v>22.7</v>
      </c>
      <c r="AH265" s="9">
        <f t="shared" si="59"/>
        <v>22.7</v>
      </c>
      <c r="AI265" s="9">
        <f t="shared" si="63"/>
        <v>13197.799999999992</v>
      </c>
      <c r="AJ265" s="14"/>
      <c r="AK265" s="14"/>
      <c r="AL265" s="14"/>
      <c r="AM265" s="14"/>
      <c r="AN265" s="166"/>
      <c r="AO265" s="166"/>
      <c r="AP265" s="14"/>
      <c r="AQ265" s="14"/>
      <c r="AS265" s="14" t="s">
        <v>1207</v>
      </c>
      <c r="AT265" s="14"/>
      <c r="AU265" s="14"/>
      <c r="AV265" s="14"/>
      <c r="AW265" s="14"/>
      <c r="AX265" s="14"/>
      <c r="BA265" s="88">
        <f t="shared" si="68"/>
        <v>82.762468625259388</v>
      </c>
    </row>
    <row r="266" spans="23:53">
      <c r="W266" s="9" t="str">
        <f t="shared" ca="1" si="61"/>
        <v/>
      </c>
      <c r="X266" s="40">
        <v>45041</v>
      </c>
      <c r="Y266" s="168">
        <f t="shared" si="62"/>
        <v>4</v>
      </c>
      <c r="Z266" s="44" t="s">
        <v>1138</v>
      </c>
      <c r="AA266" s="21"/>
      <c r="AB266" s="21"/>
      <c r="AC266" s="21"/>
      <c r="AD266" s="89"/>
      <c r="AF266" s="26"/>
      <c r="AH266" s="9">
        <f t="shared" si="59"/>
        <v>0</v>
      </c>
      <c r="AI266" s="9">
        <f t="shared" si="63"/>
        <v>13197.799999999992</v>
      </c>
      <c r="AJ266" s="14"/>
      <c r="AK266" s="14"/>
      <c r="AL266" s="14"/>
      <c r="AM266" s="14"/>
      <c r="AN266" s="166"/>
      <c r="AO266" s="166"/>
      <c r="AP266" s="14"/>
      <c r="AQ266" s="14"/>
      <c r="AS266" s="9" t="s">
        <v>1208</v>
      </c>
      <c r="AT266" s="9" t="s">
        <v>1209</v>
      </c>
      <c r="AW266" s="9" t="s">
        <v>1210</v>
      </c>
      <c r="AX266" s="9" t="s">
        <v>1211</v>
      </c>
      <c r="BA266" s="88">
        <f t="shared" si="68"/>
        <v>82.762468625259388</v>
      </c>
    </row>
    <row r="267" spans="23:53">
      <c r="W267" s="9" t="str">
        <f t="shared" ca="1" si="61"/>
        <v/>
      </c>
      <c r="X267" s="40">
        <v>45042</v>
      </c>
      <c r="Y267" s="168">
        <f t="shared" si="62"/>
        <v>4</v>
      </c>
      <c r="Z267" s="44" t="s">
        <v>1140</v>
      </c>
      <c r="AA267" s="97">
        <v>20</v>
      </c>
      <c r="AB267" s="97">
        <v>0.62</v>
      </c>
      <c r="AC267" s="97">
        <v>1.7090000000000001</v>
      </c>
      <c r="AD267" s="222">
        <f>AA267/AC267</f>
        <v>11.702750146284377</v>
      </c>
      <c r="AF267" s="26">
        <f>25.5+23.7</f>
        <v>49.2</v>
      </c>
      <c r="AG267" s="9">
        <f>2.5+2.2</f>
        <v>4.7</v>
      </c>
      <c r="AH267" s="9">
        <f t="shared" si="59"/>
        <v>53.900000000000006</v>
      </c>
      <c r="AI267" s="9">
        <f t="shared" si="63"/>
        <v>13251.699999999992</v>
      </c>
      <c r="AJ267" s="14"/>
      <c r="AK267" s="14" t="s">
        <v>1077</v>
      </c>
      <c r="AL267" s="14" t="s">
        <v>1204</v>
      </c>
      <c r="AM267" s="14" t="s">
        <v>1205</v>
      </c>
      <c r="AN267" s="166" t="s">
        <v>1069</v>
      </c>
      <c r="AO267" s="166" t="s">
        <v>1206</v>
      </c>
      <c r="AP267" s="14"/>
      <c r="AQ267" s="14"/>
      <c r="AS267" s="119">
        <f>AS257+SUM(AH257:AH267)-(1.9+4.5+33.1)-AG267-23.7</f>
        <v>188783.24999999997</v>
      </c>
      <c r="AT267" s="119">
        <f>AS267-AS257</f>
        <v>668.59999999997672</v>
      </c>
      <c r="AU267" s="88">
        <f>AT267/AD257</f>
        <v>16.046399999999441</v>
      </c>
      <c r="AV267" s="88">
        <f>100/AU267</f>
        <v>6.2319274105097398</v>
      </c>
      <c r="AW267" s="88">
        <f>((+AD267)*C$62)+AX267</f>
        <v>208.98419247520448</v>
      </c>
      <c r="AX267" s="9">
        <v>20</v>
      </c>
      <c r="AZ267" s="88">
        <f>AW267+BA267</f>
        <v>237.84666110046385</v>
      </c>
      <c r="BA267" s="88">
        <f t="shared" si="68"/>
        <v>28.862468625259382</v>
      </c>
    </row>
    <row r="268" spans="23:53">
      <c r="W268" s="9" t="str">
        <f t="shared" ca="1" si="61"/>
        <v/>
      </c>
      <c r="X268" s="39">
        <v>45043</v>
      </c>
      <c r="Y268" s="179">
        <f t="shared" si="62"/>
        <v>4</v>
      </c>
      <c r="Z268" s="107" t="s">
        <v>1143</v>
      </c>
      <c r="AA268" s="68"/>
      <c r="AB268" s="68"/>
      <c r="AC268" s="68"/>
      <c r="AD268" s="22"/>
      <c r="AE268" s="22"/>
      <c r="AF268" s="115">
        <f>24.5+26.6</f>
        <v>51.1</v>
      </c>
      <c r="AG268" s="22">
        <f>2.1+6.4</f>
        <v>8.5</v>
      </c>
      <c r="AH268" s="22">
        <f t="shared" si="59"/>
        <v>59.6</v>
      </c>
      <c r="AI268" s="22">
        <f t="shared" si="63"/>
        <v>13311.299999999992</v>
      </c>
      <c r="AJ268" s="1372"/>
      <c r="AK268" s="1372">
        <f>SUM(AH238:AH268)</f>
        <v>2026.1499999999999</v>
      </c>
      <c r="AL268" s="1372">
        <f>SUM(AF238:AF268)</f>
        <v>823.20000000000016</v>
      </c>
      <c r="AM268" s="1372">
        <f>SUM(AG238:AG268)</f>
        <v>1202.95</v>
      </c>
      <c r="AN268" s="219">
        <f>SUM(AD238:AD268)</f>
        <v>139.62105289966959</v>
      </c>
      <c r="AO268" s="182">
        <f>AK268/AN268</f>
        <v>14.51177997816685</v>
      </c>
      <c r="AP268" s="183">
        <f>SUM(AA238:AB268)/SUM(AD238:AD268)</f>
        <v>1.472843784867967</v>
      </c>
      <c r="AQ268" s="184">
        <f>(AP268/AO268)*(SUM(AH238:AH268))</f>
        <v>205.64000000000001</v>
      </c>
      <c r="AZ268" s="88">
        <f>AZ267-AG267-23.7-AH268</f>
        <v>149.84666110046388</v>
      </c>
    </row>
    <row r="269" spans="23:53">
      <c r="W269" s="9" t="str">
        <f t="shared" ca="1" si="61"/>
        <v/>
      </c>
      <c r="X269" s="40">
        <v>45044</v>
      </c>
      <c r="Y269" s="168">
        <f t="shared" si="62"/>
        <v>4</v>
      </c>
      <c r="Z269" s="44" t="s">
        <v>1145</v>
      </c>
      <c r="AA269" s="97">
        <v>60</v>
      </c>
      <c r="AB269" s="97"/>
      <c r="AC269" s="97">
        <v>1.4410000000000001</v>
      </c>
      <c r="AD269" s="222">
        <f>AA269/AC269</f>
        <v>41.637751561415683</v>
      </c>
      <c r="AF269" s="26">
        <f>24.2</f>
        <v>24.2</v>
      </c>
      <c r="AG269" s="9">
        <f>44.4+27.8+2.8+7.5+6.5</f>
        <v>89</v>
      </c>
      <c r="AH269" s="9">
        <f t="shared" si="59"/>
        <v>113.2</v>
      </c>
      <c r="AI269" s="9">
        <f t="shared" si="63"/>
        <v>13424.499999999993</v>
      </c>
      <c r="AJ269" s="14"/>
      <c r="AK269" s="14"/>
      <c r="AL269" s="14"/>
      <c r="AM269" s="14"/>
      <c r="AN269" s="166"/>
      <c r="AO269" s="166"/>
      <c r="AP269" s="14"/>
      <c r="AQ269" s="14"/>
      <c r="AS269" s="119">
        <f>(AS267+AH267+AH268+AG269)-44.4</f>
        <v>188941.34999999998</v>
      </c>
      <c r="AT269" s="119">
        <f>AS269-AS267</f>
        <v>158.10000000000582</v>
      </c>
      <c r="AU269" s="88">
        <f>AT269/AD267</f>
        <v>13.509645000000498</v>
      </c>
      <c r="AV269" s="88">
        <f>100/AU269</f>
        <v>7.4021190046071759</v>
      </c>
      <c r="AW269" s="88">
        <f>((+AD269)*C$62)+AX269</f>
        <v>717.39552728686567</v>
      </c>
      <c r="AX269" s="88">
        <v>45</v>
      </c>
      <c r="AZ269" s="88">
        <f>AZ268-AH269</f>
        <v>36.646661100463874</v>
      </c>
      <c r="BA269" s="88">
        <f>AW269+AX269-(27.8+2.8+7.5+6.5)</f>
        <v>717.79552728686565</v>
      </c>
    </row>
    <row r="270" spans="23:53">
      <c r="W270" s="9" t="str">
        <f t="shared" ca="1" si="61"/>
        <v/>
      </c>
      <c r="X270" s="40">
        <v>45045</v>
      </c>
      <c r="Y270" s="168">
        <f t="shared" si="62"/>
        <v>4</v>
      </c>
      <c r="Z270" s="44" t="s">
        <v>1132</v>
      </c>
      <c r="AA270" s="21"/>
      <c r="AB270" s="21"/>
      <c r="AC270" s="21"/>
      <c r="AF270" s="26"/>
      <c r="AG270" s="9">
        <f>37.3+32.6+3.5+35.9+0.6</f>
        <v>109.9</v>
      </c>
      <c r="AH270" s="9">
        <f t="shared" si="59"/>
        <v>109.9</v>
      </c>
      <c r="AI270" s="9">
        <f t="shared" si="63"/>
        <v>13534.399999999992</v>
      </c>
      <c r="AJ270" s="14">
        <f>SUM(AH264:AH270)</f>
        <v>399</v>
      </c>
      <c r="AK270" s="14"/>
      <c r="AL270" s="14"/>
      <c r="AM270" s="14"/>
      <c r="AN270" s="166"/>
      <c r="AO270" s="166"/>
      <c r="AP270" s="14"/>
      <c r="AQ270" s="14"/>
      <c r="BA270" s="88">
        <f t="shared" ref="BA270:BA277" si="69">BA269-AH270</f>
        <v>607.89552728686567</v>
      </c>
    </row>
    <row r="271" spans="23:53">
      <c r="W271" s="9" t="str">
        <f t="shared" ca="1" si="61"/>
        <v/>
      </c>
      <c r="X271" s="40">
        <v>45046</v>
      </c>
      <c r="Y271" s="168">
        <f t="shared" si="62"/>
        <v>4</v>
      </c>
      <c r="Z271" s="44" t="s">
        <v>1134</v>
      </c>
      <c r="AA271" s="21"/>
      <c r="AB271" s="21"/>
      <c r="AC271" s="21"/>
      <c r="AF271" s="26"/>
      <c r="AG271" s="9">
        <f>32.8+10.7+6.8+20.1</f>
        <v>70.400000000000006</v>
      </c>
      <c r="AH271" s="9">
        <f t="shared" si="59"/>
        <v>70.400000000000006</v>
      </c>
      <c r="AI271" s="9">
        <f t="shared" si="63"/>
        <v>13604.799999999992</v>
      </c>
      <c r="AJ271" s="14"/>
      <c r="AK271" s="14"/>
      <c r="AL271" s="14"/>
      <c r="AM271" s="14"/>
      <c r="AN271" s="166"/>
      <c r="AO271" s="166"/>
      <c r="AP271" s="14"/>
      <c r="AQ271" s="14"/>
      <c r="BA271" s="88">
        <f t="shared" si="69"/>
        <v>537.49552728686569</v>
      </c>
    </row>
    <row r="272" spans="23:53">
      <c r="W272" s="9" t="str">
        <f t="shared" ca="1" si="61"/>
        <v/>
      </c>
      <c r="X272" s="40">
        <v>45047</v>
      </c>
      <c r="Y272" s="168">
        <f t="shared" si="62"/>
        <v>5</v>
      </c>
      <c r="Z272" s="44" t="s">
        <v>1136</v>
      </c>
      <c r="AA272" s="21"/>
      <c r="AB272" s="21"/>
      <c r="AC272" s="21"/>
      <c r="AF272" s="26"/>
      <c r="AG272" s="9">
        <f>6.9+4.1+2.7+3</f>
        <v>16.7</v>
      </c>
      <c r="AH272" s="9">
        <f t="shared" si="59"/>
        <v>16.7</v>
      </c>
      <c r="AI272" s="9">
        <f t="shared" si="63"/>
        <v>13621.499999999993</v>
      </c>
      <c r="AJ272" s="14"/>
      <c r="AK272" s="14"/>
      <c r="AL272" s="14"/>
      <c r="AM272" s="14"/>
      <c r="AN272" s="166"/>
      <c r="AO272" s="166"/>
      <c r="AP272" s="14"/>
      <c r="AQ272" s="14"/>
      <c r="BA272" s="88">
        <f t="shared" si="69"/>
        <v>520.79552728686565</v>
      </c>
    </row>
    <row r="273" spans="23:53">
      <c r="W273" s="9" t="str">
        <f t="shared" ca="1" si="61"/>
        <v/>
      </c>
      <c r="X273" s="40">
        <v>45048</v>
      </c>
      <c r="Y273" s="168">
        <f t="shared" si="62"/>
        <v>5</v>
      </c>
      <c r="Z273" s="44" t="s">
        <v>1138</v>
      </c>
      <c r="AA273" s="21"/>
      <c r="AB273" s="21"/>
      <c r="AC273" s="21"/>
      <c r="AF273" s="26">
        <f>24.9+25.4</f>
        <v>50.3</v>
      </c>
      <c r="AG273" s="9">
        <f>7.5+7.4</f>
        <v>14.9</v>
      </c>
      <c r="AH273" s="9">
        <f t="shared" ref="AH273:AH287" si="70">AF273+AG273</f>
        <v>65.2</v>
      </c>
      <c r="AI273" s="9">
        <f t="shared" si="63"/>
        <v>13686.699999999993</v>
      </c>
      <c r="AJ273" s="14"/>
      <c r="AK273" s="14"/>
      <c r="AL273" s="14"/>
      <c r="AM273" s="14"/>
      <c r="AN273" s="166"/>
      <c r="AO273" s="166"/>
      <c r="AP273" s="14"/>
      <c r="AQ273" s="14"/>
      <c r="BA273" s="88">
        <f t="shared" si="69"/>
        <v>455.59552728686566</v>
      </c>
    </row>
    <row r="274" spans="23:53">
      <c r="W274" s="9" t="str">
        <f t="shared" ca="1" si="61"/>
        <v/>
      </c>
      <c r="X274" s="40">
        <v>45049</v>
      </c>
      <c r="Y274" s="168">
        <f t="shared" si="62"/>
        <v>5</v>
      </c>
      <c r="Z274" s="44" t="s">
        <v>1140</v>
      </c>
      <c r="AA274" s="21"/>
      <c r="AB274" s="21"/>
      <c r="AC274" s="21"/>
      <c r="AF274" s="26">
        <f>25.9+23.7</f>
        <v>49.599999999999994</v>
      </c>
      <c r="AG274" s="9">
        <f>2.3+3.6</f>
        <v>5.9</v>
      </c>
      <c r="AH274" s="9">
        <f t="shared" si="70"/>
        <v>55.499999999999993</v>
      </c>
      <c r="AI274" s="9">
        <f t="shared" si="63"/>
        <v>13742.199999999993</v>
      </c>
      <c r="AJ274" s="14"/>
      <c r="AK274" s="14"/>
      <c r="AL274" s="14"/>
      <c r="AM274" s="14"/>
      <c r="AN274" s="166"/>
      <c r="AO274" s="166"/>
      <c r="AP274" s="14"/>
      <c r="AQ274" s="14"/>
      <c r="BA274" s="88">
        <f t="shared" si="69"/>
        <v>400.09552728686566</v>
      </c>
    </row>
    <row r="275" spans="23:53">
      <c r="W275" s="9" t="str">
        <f t="shared" ca="1" si="61"/>
        <v/>
      </c>
      <c r="X275" s="40">
        <v>45050</v>
      </c>
      <c r="Y275" s="168">
        <f t="shared" si="62"/>
        <v>5</v>
      </c>
      <c r="Z275" s="44" t="s">
        <v>1143</v>
      </c>
      <c r="AA275" s="21"/>
      <c r="AB275" s="21"/>
      <c r="AC275" s="21"/>
      <c r="AF275" s="26">
        <f>25.3+22.3</f>
        <v>47.6</v>
      </c>
      <c r="AG275" s="9">
        <f>4.1+3.2+2.7+39.2+1.7+33.1</f>
        <v>84</v>
      </c>
      <c r="AH275" s="9">
        <f t="shared" si="70"/>
        <v>131.6</v>
      </c>
      <c r="AI275" s="9">
        <f t="shared" si="63"/>
        <v>13873.799999999994</v>
      </c>
      <c r="AJ275" s="14"/>
      <c r="AK275" s="14"/>
      <c r="AL275" s="14"/>
      <c r="AM275" s="14"/>
      <c r="AN275" s="166"/>
      <c r="AO275" s="166"/>
      <c r="AP275" s="14"/>
      <c r="AQ275" s="14"/>
      <c r="BA275" s="88">
        <f t="shared" si="69"/>
        <v>268.49552728686569</v>
      </c>
    </row>
    <row r="276" spans="23:53">
      <c r="W276" s="9" t="str">
        <f t="shared" ca="1" si="61"/>
        <v/>
      </c>
      <c r="X276" s="40">
        <v>45051</v>
      </c>
      <c r="Y276" s="168">
        <f t="shared" si="62"/>
        <v>5</v>
      </c>
      <c r="Z276" s="44" t="s">
        <v>1145</v>
      </c>
      <c r="AA276" s="21"/>
      <c r="AB276" s="21"/>
      <c r="AC276" s="21"/>
      <c r="AF276" s="26">
        <f>25.9+19.8</f>
        <v>45.7</v>
      </c>
      <c r="AG276" s="9">
        <f>9.7+35.5</f>
        <v>45.2</v>
      </c>
      <c r="AH276" s="9">
        <f t="shared" si="70"/>
        <v>90.9</v>
      </c>
      <c r="AI276" s="9">
        <f t="shared" si="63"/>
        <v>13964.699999999993</v>
      </c>
      <c r="AJ276" s="14"/>
      <c r="AK276" s="14"/>
      <c r="AL276" s="14"/>
      <c r="AM276" s="14"/>
      <c r="AN276" s="166"/>
      <c r="AO276" s="166"/>
      <c r="AP276" s="14"/>
      <c r="AQ276" s="14"/>
      <c r="AS276" s="14" t="s">
        <v>1207</v>
      </c>
      <c r="AT276" s="14"/>
      <c r="AU276" s="14"/>
      <c r="AV276" s="14"/>
      <c r="AW276" s="14"/>
      <c r="AX276" s="14"/>
      <c r="BA276" s="88">
        <f t="shared" si="69"/>
        <v>177.59552728686569</v>
      </c>
    </row>
    <row r="277" spans="23:53">
      <c r="W277" s="9" t="str">
        <f t="shared" ca="1" si="61"/>
        <v/>
      </c>
      <c r="X277" s="40">
        <v>45052</v>
      </c>
      <c r="Y277" s="168">
        <f t="shared" si="62"/>
        <v>5</v>
      </c>
      <c r="Z277" s="44" t="s">
        <v>1132</v>
      </c>
      <c r="AA277" s="21"/>
      <c r="AB277" s="21"/>
      <c r="AC277" s="21"/>
      <c r="AF277" s="26"/>
      <c r="AG277" s="9">
        <f>1.1+31.7+2.2+7.9+6.3+11.2+11.9</f>
        <v>72.3</v>
      </c>
      <c r="AH277" s="9">
        <f t="shared" si="70"/>
        <v>72.3</v>
      </c>
      <c r="AI277" s="9">
        <f t="shared" si="63"/>
        <v>14036.999999999993</v>
      </c>
      <c r="AJ277" s="14">
        <f>SUM(AH271:AH277)</f>
        <v>502.59999999999997</v>
      </c>
      <c r="AK277" s="14"/>
      <c r="AL277" s="14"/>
      <c r="AM277" s="14"/>
      <c r="AN277" s="166"/>
      <c r="AO277" s="166"/>
      <c r="AP277" s="14"/>
      <c r="AQ277" s="14"/>
      <c r="AS277" s="9" t="s">
        <v>1208</v>
      </c>
      <c r="AT277" s="9" t="s">
        <v>1209</v>
      </c>
      <c r="AW277" s="9" t="s">
        <v>1210</v>
      </c>
      <c r="AX277" s="9" t="s">
        <v>1211</v>
      </c>
      <c r="AZ277" s="88">
        <f>AW278-(31.7+2.2+7.9+6.3+11.2+11.9)</f>
        <v>586.47946744259752</v>
      </c>
      <c r="BA277" s="88">
        <f t="shared" si="69"/>
        <v>105.29552728686569</v>
      </c>
    </row>
    <row r="278" spans="23:53">
      <c r="W278" s="9" t="str">
        <f t="shared" ca="1" si="61"/>
        <v/>
      </c>
      <c r="X278" s="40">
        <v>45053</v>
      </c>
      <c r="Y278" s="168">
        <f t="shared" si="62"/>
        <v>5</v>
      </c>
      <c r="Z278" s="44" t="s">
        <v>1134</v>
      </c>
      <c r="AA278" s="97">
        <v>60.01</v>
      </c>
      <c r="AB278" s="97">
        <v>0.62</v>
      </c>
      <c r="AC278" s="97">
        <v>1.649</v>
      </c>
      <c r="AD278" s="222">
        <f>AA278/AC278</f>
        <v>36.391752577319586</v>
      </c>
      <c r="AF278" s="26"/>
      <c r="AG278" s="9">
        <f>32.7+26.4+4.4</f>
        <v>63.5</v>
      </c>
      <c r="AH278" s="9">
        <f t="shared" si="70"/>
        <v>63.5</v>
      </c>
      <c r="AI278" s="9">
        <f t="shared" si="63"/>
        <v>14100.499999999993</v>
      </c>
      <c r="AJ278" s="14"/>
      <c r="AK278" s="14"/>
      <c r="AL278" s="14"/>
      <c r="AM278" s="14"/>
      <c r="AN278" s="166"/>
      <c r="AO278" s="166"/>
      <c r="AP278" s="14"/>
      <c r="AQ278" s="14"/>
      <c r="AS278" s="119">
        <f>AS269+(SUM(AH269:AH278))-44.4</f>
        <v>189686.15</v>
      </c>
      <c r="AT278" s="119">
        <f>AS278-AS269</f>
        <v>744.80000000001746</v>
      </c>
      <c r="AU278" s="88">
        <f>AT278/AD269</f>
        <v>17.887613333333753</v>
      </c>
      <c r="AV278" s="88">
        <f>100/AU278</f>
        <v>5.5904607359579357</v>
      </c>
      <c r="AW278" s="88">
        <f>((+AD278)*C$62)+AX278</f>
        <v>657.67946744259757</v>
      </c>
      <c r="AX278" s="88">
        <v>70</v>
      </c>
      <c r="AZ278" s="88">
        <f t="shared" ref="AZ278:AZ287" si="71">AZ277-AH278</f>
        <v>522.97946744259752</v>
      </c>
      <c r="BA278" s="88"/>
    </row>
    <row r="279" spans="23:53">
      <c r="W279" s="9" t="str">
        <f t="shared" ca="1" si="61"/>
        <v/>
      </c>
      <c r="X279" s="40">
        <v>45054</v>
      </c>
      <c r="Y279" s="168">
        <f t="shared" si="62"/>
        <v>5</v>
      </c>
      <c r="Z279" s="44" t="s">
        <v>1136</v>
      </c>
      <c r="AA279" s="21"/>
      <c r="AB279" s="21"/>
      <c r="AC279" s="21"/>
      <c r="AF279" s="26">
        <f>26.7+25.4</f>
        <v>52.099999999999994</v>
      </c>
      <c r="AG279" s="9">
        <f>7.6+6.5</f>
        <v>14.1</v>
      </c>
      <c r="AH279" s="9">
        <f t="shared" si="70"/>
        <v>66.199999999999989</v>
      </c>
      <c r="AI279" s="9">
        <f t="shared" si="63"/>
        <v>14166.699999999993</v>
      </c>
      <c r="AJ279" s="14"/>
      <c r="AK279" s="14"/>
      <c r="AL279" s="14"/>
      <c r="AM279" s="14"/>
      <c r="AN279" s="166"/>
      <c r="AO279" s="166"/>
      <c r="AP279" s="14"/>
      <c r="AQ279" s="14"/>
      <c r="AZ279" s="88">
        <f t="shared" si="71"/>
        <v>456.77946744259754</v>
      </c>
    </row>
    <row r="280" spans="23:53">
      <c r="W280" s="9" t="str">
        <f t="shared" ca="1" si="61"/>
        <v/>
      </c>
      <c r="X280" s="40">
        <v>45055</v>
      </c>
      <c r="Y280" s="168">
        <f t="shared" si="62"/>
        <v>5</v>
      </c>
      <c r="Z280" s="44" t="s">
        <v>1138</v>
      </c>
      <c r="AA280" s="21"/>
      <c r="AB280" s="21"/>
      <c r="AC280" s="21"/>
      <c r="AF280" s="26">
        <f>25+24.7</f>
        <v>49.7</v>
      </c>
      <c r="AG280" s="9">
        <f>2.6+2.4+4.4</f>
        <v>9.4</v>
      </c>
      <c r="AH280" s="9">
        <f t="shared" si="70"/>
        <v>59.1</v>
      </c>
      <c r="AI280" s="9">
        <f t="shared" si="63"/>
        <v>14225.799999999994</v>
      </c>
      <c r="AJ280" s="14"/>
      <c r="AK280" s="14"/>
      <c r="AL280" s="14"/>
      <c r="AM280" s="14"/>
      <c r="AN280" s="166"/>
      <c r="AO280" s="166"/>
      <c r="AP280" s="14"/>
      <c r="AQ280" s="14"/>
      <c r="AZ280" s="88">
        <f t="shared" si="71"/>
        <v>397.67946744259751</v>
      </c>
    </row>
    <row r="281" spans="23:53">
      <c r="W281" s="9" t="str">
        <f t="shared" ca="1" si="61"/>
        <v/>
      </c>
      <c r="X281" s="40">
        <v>45056</v>
      </c>
      <c r="Y281" s="168">
        <f t="shared" si="62"/>
        <v>5</v>
      </c>
      <c r="Z281" s="44" t="s">
        <v>1140</v>
      </c>
      <c r="AA281" s="21"/>
      <c r="AB281" s="21"/>
      <c r="AC281" s="21"/>
      <c r="AF281" s="26">
        <f>24.9+25.4</f>
        <v>50.3</v>
      </c>
      <c r="AG281" s="9">
        <f>2.4+2.4</f>
        <v>4.8</v>
      </c>
      <c r="AH281" s="9">
        <f t="shared" si="70"/>
        <v>55.099999999999994</v>
      </c>
      <c r="AI281" s="9">
        <f t="shared" si="63"/>
        <v>14280.899999999994</v>
      </c>
      <c r="AJ281" s="14"/>
      <c r="AK281" s="14"/>
      <c r="AL281" s="14"/>
      <c r="AM281" s="14"/>
      <c r="AN281" s="166"/>
      <c r="AO281" s="166"/>
      <c r="AP281" s="14"/>
      <c r="AQ281" s="14"/>
      <c r="AZ281" s="88">
        <f t="shared" si="71"/>
        <v>342.57946744259755</v>
      </c>
    </row>
    <row r="282" spans="23:53">
      <c r="W282" s="9" t="str">
        <f t="shared" ref="W282:W345" ca="1" si="72">IF(X282=TODAY(),1,"")</f>
        <v/>
      </c>
      <c r="X282" s="40">
        <v>45057</v>
      </c>
      <c r="Y282" s="168">
        <f t="shared" ref="Y282:Y301" si="73">MONTH(X282)</f>
        <v>5</v>
      </c>
      <c r="Z282" s="44" t="s">
        <v>1143</v>
      </c>
      <c r="AA282" s="21"/>
      <c r="AB282" s="21"/>
      <c r="AC282" s="21"/>
      <c r="AF282" s="26">
        <f>24.5+25.7</f>
        <v>50.2</v>
      </c>
      <c r="AG282" s="9">
        <f>1.8+1.6</f>
        <v>3.4000000000000004</v>
      </c>
      <c r="AH282" s="9">
        <f t="shared" si="70"/>
        <v>53.6</v>
      </c>
      <c r="AI282" s="9">
        <f t="shared" si="63"/>
        <v>14334.499999999995</v>
      </c>
      <c r="AJ282" s="14"/>
      <c r="AK282" s="14"/>
      <c r="AL282" s="14"/>
      <c r="AM282" s="14"/>
      <c r="AN282" s="166"/>
      <c r="AO282" s="166"/>
      <c r="AP282" s="14"/>
      <c r="AQ282" s="14"/>
      <c r="AZ282" s="88">
        <f t="shared" si="71"/>
        <v>288.97946744259752</v>
      </c>
    </row>
    <row r="283" spans="23:53">
      <c r="W283" s="9" t="str">
        <f t="shared" ca="1" si="72"/>
        <v/>
      </c>
      <c r="X283" s="40">
        <v>45058</v>
      </c>
      <c r="Y283" s="168">
        <f t="shared" si="73"/>
        <v>5</v>
      </c>
      <c r="Z283" s="44" t="s">
        <v>1145</v>
      </c>
      <c r="AA283" s="21"/>
      <c r="AB283" s="21"/>
      <c r="AC283" s="21"/>
      <c r="AF283" s="26">
        <f>24.8+23.4</f>
        <v>48.2</v>
      </c>
      <c r="AG283" s="9">
        <v>35.799999999999997</v>
      </c>
      <c r="AH283" s="9">
        <f t="shared" si="70"/>
        <v>84</v>
      </c>
      <c r="AI283" s="9">
        <f t="shared" ref="AI283:AI346" si="74">AI282+AH283</f>
        <v>14418.499999999995</v>
      </c>
      <c r="AJ283" s="14"/>
      <c r="AK283" s="14"/>
      <c r="AL283" s="14"/>
      <c r="AM283" s="14"/>
      <c r="AN283" s="166"/>
      <c r="AO283" s="166"/>
      <c r="AP283" s="14"/>
      <c r="AQ283" s="14"/>
      <c r="AZ283" s="88">
        <f t="shared" si="71"/>
        <v>204.97946744259752</v>
      </c>
    </row>
    <row r="284" spans="23:53">
      <c r="W284" s="9" t="str">
        <f t="shared" ca="1" si="72"/>
        <v/>
      </c>
      <c r="X284" s="40">
        <v>45059</v>
      </c>
      <c r="Y284" s="168">
        <f t="shared" si="73"/>
        <v>5</v>
      </c>
      <c r="Z284" s="44" t="s">
        <v>1132</v>
      </c>
      <c r="AA284" s="21"/>
      <c r="AB284" s="21"/>
      <c r="AC284" s="21"/>
      <c r="AF284" s="26"/>
      <c r="AH284" s="9">
        <f t="shared" si="70"/>
        <v>0</v>
      </c>
      <c r="AI284" s="9">
        <f t="shared" si="74"/>
        <v>14418.499999999995</v>
      </c>
      <c r="AJ284" s="14">
        <f>SUM(AH278:AH284)</f>
        <v>381.5</v>
      </c>
      <c r="AK284" s="14"/>
      <c r="AL284" s="14"/>
      <c r="AM284" s="14"/>
      <c r="AN284" s="166"/>
      <c r="AO284" s="166"/>
      <c r="AP284" s="14"/>
      <c r="AQ284" s="14"/>
      <c r="AZ284" s="88">
        <f t="shared" si="71"/>
        <v>204.97946744259752</v>
      </c>
    </row>
    <row r="285" spans="23:53">
      <c r="W285" s="9" t="str">
        <f t="shared" ca="1" si="72"/>
        <v/>
      </c>
      <c r="X285" s="40">
        <v>45060</v>
      </c>
      <c r="Y285" s="168">
        <f t="shared" si="73"/>
        <v>5</v>
      </c>
      <c r="Z285" s="44" t="s">
        <v>1134</v>
      </c>
      <c r="AF285" s="26"/>
      <c r="AG285" s="9">
        <v>33.6</v>
      </c>
      <c r="AH285" s="9">
        <f t="shared" si="70"/>
        <v>33.6</v>
      </c>
      <c r="AI285" s="9">
        <f t="shared" si="74"/>
        <v>14452.099999999995</v>
      </c>
      <c r="AJ285" s="14"/>
      <c r="AK285" s="14"/>
      <c r="AL285" s="14"/>
      <c r="AM285" s="14"/>
      <c r="AN285" s="166"/>
      <c r="AO285" s="166"/>
      <c r="AP285" s="14"/>
      <c r="AQ285" s="14"/>
      <c r="AS285" s="14" t="s">
        <v>1207</v>
      </c>
      <c r="AT285" s="14"/>
      <c r="AU285" s="14"/>
      <c r="AV285" s="14"/>
      <c r="AW285" s="14"/>
      <c r="AX285" s="14"/>
      <c r="AZ285" s="88">
        <f t="shared" si="71"/>
        <v>171.37946744259753</v>
      </c>
    </row>
    <row r="286" spans="23:53">
      <c r="W286" s="9" t="str">
        <f t="shared" ca="1" si="72"/>
        <v/>
      </c>
      <c r="X286" s="40">
        <v>45061</v>
      </c>
      <c r="Y286" s="168">
        <f t="shared" si="73"/>
        <v>5</v>
      </c>
      <c r="Z286" s="44" t="s">
        <v>1136</v>
      </c>
      <c r="AA286" s="21"/>
      <c r="AB286" s="21"/>
      <c r="AC286" s="21"/>
      <c r="AF286" s="26">
        <f>24.8+24.7</f>
        <v>49.5</v>
      </c>
      <c r="AG286" s="9">
        <f>8.7+7.2</f>
        <v>15.899999999999999</v>
      </c>
      <c r="AH286" s="9">
        <f t="shared" si="70"/>
        <v>65.400000000000006</v>
      </c>
      <c r="AI286" s="9">
        <f t="shared" si="74"/>
        <v>14517.499999999995</v>
      </c>
      <c r="AJ286" s="14"/>
      <c r="AK286" s="14"/>
      <c r="AL286" s="14"/>
      <c r="AM286" s="14"/>
      <c r="AN286" s="166"/>
      <c r="AO286" s="166"/>
      <c r="AP286" s="14"/>
      <c r="AQ286" s="14"/>
      <c r="AS286" s="9" t="s">
        <v>1208</v>
      </c>
      <c r="AT286" s="9" t="s">
        <v>1209</v>
      </c>
      <c r="AW286" s="9" t="s">
        <v>1210</v>
      </c>
      <c r="AX286" s="9" t="s">
        <v>1211</v>
      </c>
      <c r="AZ286" s="88">
        <f t="shared" si="71"/>
        <v>105.97946744259752</v>
      </c>
    </row>
    <row r="287" spans="23:53">
      <c r="W287" s="9" t="str">
        <f t="shared" ca="1" si="72"/>
        <v/>
      </c>
      <c r="X287" s="40">
        <v>45062</v>
      </c>
      <c r="Y287" s="168">
        <f t="shared" si="73"/>
        <v>5</v>
      </c>
      <c r="Z287" s="44" t="s">
        <v>1138</v>
      </c>
      <c r="AA287" s="97">
        <v>50</v>
      </c>
      <c r="AB287" s="97">
        <v>0.62</v>
      </c>
      <c r="AC287" s="97">
        <v>1.63</v>
      </c>
      <c r="AD287" s="222">
        <f>AA287/AC287</f>
        <v>30.674846625766872</v>
      </c>
      <c r="AF287" s="26">
        <f>25.3+27.2</f>
        <v>52.5</v>
      </c>
      <c r="AG287" s="9">
        <f>1.7+4.8</f>
        <v>6.5</v>
      </c>
      <c r="AH287" s="9">
        <f t="shared" si="70"/>
        <v>59</v>
      </c>
      <c r="AI287" s="9">
        <f t="shared" si="74"/>
        <v>14576.499999999995</v>
      </c>
      <c r="AJ287" s="14"/>
      <c r="AK287" s="14"/>
      <c r="AL287" s="14"/>
      <c r="AM287" s="14"/>
      <c r="AN287" s="166"/>
      <c r="AO287" s="166"/>
      <c r="AP287" s="14"/>
      <c r="AQ287" s="14"/>
      <c r="AS287" s="9">
        <f>190471+25.3</f>
        <v>190496.3</v>
      </c>
      <c r="AT287" s="119">
        <f>AS287-AS278-AF287-27.2</f>
        <v>730.44999999999413</v>
      </c>
      <c r="AU287" s="88">
        <f>AT287/AD278</f>
        <v>20.071855524079158</v>
      </c>
      <c r="AV287" s="88">
        <f>100/AU287</f>
        <v>4.9821004281360644</v>
      </c>
      <c r="AW287" s="88">
        <f>((+AD287)*C$62)+AX287</f>
        <v>542.33834005015046</v>
      </c>
      <c r="AX287" s="88">
        <f>AZ287</f>
        <v>46.979467442597524</v>
      </c>
      <c r="AZ287" s="88">
        <f t="shared" si="71"/>
        <v>46.979467442597524</v>
      </c>
      <c r="BA287" s="88">
        <f>AW287+AX287-27.2-AG287</f>
        <v>555.61780749274794</v>
      </c>
    </row>
    <row r="288" spans="23:53">
      <c r="W288" s="9" t="str">
        <f t="shared" ca="1" si="72"/>
        <v/>
      </c>
      <c r="X288" s="40">
        <v>45063</v>
      </c>
      <c r="Y288" s="168">
        <f t="shared" si="73"/>
        <v>5</v>
      </c>
      <c r="Z288" s="44" t="s">
        <v>1140</v>
      </c>
      <c r="AA288" s="21"/>
      <c r="AB288" s="21"/>
      <c r="AC288" s="21"/>
      <c r="AF288" s="26">
        <f>24.9+25.4</f>
        <v>50.3</v>
      </c>
      <c r="AG288" s="9">
        <f>2.4+2.4</f>
        <v>4.8</v>
      </c>
      <c r="AH288" s="9">
        <f t="shared" ref="AH288:AH302" si="75">AF288+AG288</f>
        <v>55.099999999999994</v>
      </c>
      <c r="AI288" s="9">
        <f t="shared" si="74"/>
        <v>14631.599999999995</v>
      </c>
      <c r="AJ288" s="14"/>
      <c r="AK288" s="14"/>
      <c r="AL288" s="14"/>
      <c r="AM288" s="14"/>
      <c r="AN288" s="166"/>
      <c r="AO288" s="166"/>
      <c r="AP288" s="14"/>
      <c r="AQ288" s="14"/>
      <c r="BA288" s="88">
        <f t="shared" ref="BA288:BA294" si="76">BA287-AH288</f>
        <v>500.51780749274792</v>
      </c>
    </row>
    <row r="289" spans="1:53">
      <c r="W289" s="9" t="str">
        <f t="shared" ca="1" si="72"/>
        <v/>
      </c>
      <c r="X289" s="40">
        <v>45064</v>
      </c>
      <c r="Y289" s="168">
        <f t="shared" si="73"/>
        <v>5</v>
      </c>
      <c r="Z289" s="44" t="s">
        <v>1143</v>
      </c>
      <c r="AA289" s="21"/>
      <c r="AB289" s="21"/>
      <c r="AC289" s="21"/>
      <c r="AF289" s="26">
        <f>26+27.9</f>
        <v>53.9</v>
      </c>
      <c r="AG289" s="9">
        <f>7.5+8.2</f>
        <v>15.7</v>
      </c>
      <c r="AH289" s="9">
        <f t="shared" si="75"/>
        <v>69.599999999999994</v>
      </c>
      <c r="AI289" s="9">
        <f t="shared" si="74"/>
        <v>14701.199999999995</v>
      </c>
      <c r="AJ289" s="14"/>
      <c r="AK289" s="14"/>
      <c r="AL289" s="14"/>
      <c r="AM289" s="14"/>
      <c r="AN289" s="166"/>
      <c r="AO289" s="166"/>
      <c r="AP289" s="14"/>
      <c r="AQ289" s="14"/>
      <c r="BA289" s="88">
        <f t="shared" si="76"/>
        <v>430.9178074927479</v>
      </c>
    </row>
    <row r="290" spans="1:53">
      <c r="W290" s="9" t="str">
        <f t="shared" ca="1" si="72"/>
        <v/>
      </c>
      <c r="X290" s="40">
        <v>45065</v>
      </c>
      <c r="Y290" s="168">
        <f t="shared" si="73"/>
        <v>5</v>
      </c>
      <c r="Z290" s="44" t="s">
        <v>1145</v>
      </c>
      <c r="AA290" s="21"/>
      <c r="AB290" s="21"/>
      <c r="AC290" s="21"/>
      <c r="AF290" s="26">
        <f>26.4+0.5+25.5</f>
        <v>52.4</v>
      </c>
      <c r="AG290" s="9">
        <f>35.3+36.3</f>
        <v>71.599999999999994</v>
      </c>
      <c r="AH290" s="9">
        <f t="shared" si="75"/>
        <v>124</v>
      </c>
      <c r="AI290" s="9">
        <f t="shared" si="74"/>
        <v>14825.199999999995</v>
      </c>
      <c r="AJ290" s="14"/>
      <c r="AK290" s="14"/>
      <c r="AL290" s="14"/>
      <c r="AM290" s="14"/>
      <c r="AN290" s="166"/>
      <c r="AO290" s="166"/>
      <c r="AP290" s="14"/>
      <c r="AQ290" s="14"/>
      <c r="BA290" s="88">
        <f t="shared" si="76"/>
        <v>306.9178074927479</v>
      </c>
    </row>
    <row r="291" spans="1:53">
      <c r="W291" s="9" t="str">
        <f t="shared" ca="1" si="72"/>
        <v/>
      </c>
      <c r="X291" s="40">
        <v>45066</v>
      </c>
      <c r="Y291" s="168">
        <f t="shared" si="73"/>
        <v>5</v>
      </c>
      <c r="Z291" s="44" t="s">
        <v>1132</v>
      </c>
      <c r="AA291" s="21"/>
      <c r="AB291" s="21"/>
      <c r="AC291" s="21"/>
      <c r="AF291" s="26"/>
      <c r="AG291" s="9">
        <f>1.7+1.4+2.5+7.1+31.3+29.2</f>
        <v>73.2</v>
      </c>
      <c r="AH291" s="9">
        <f t="shared" si="75"/>
        <v>73.2</v>
      </c>
      <c r="AI291" s="9">
        <f t="shared" si="74"/>
        <v>14898.399999999996</v>
      </c>
      <c r="AJ291" s="14">
        <f>SUM(AH285:AH291)</f>
        <v>479.9</v>
      </c>
      <c r="AK291" s="14"/>
      <c r="AL291" s="14"/>
      <c r="AM291" s="14"/>
      <c r="AN291" s="166"/>
      <c r="AO291" s="166"/>
      <c r="AP291" s="14"/>
      <c r="AQ291" s="14"/>
      <c r="BA291" s="88">
        <f t="shared" si="76"/>
        <v>233.71780749274791</v>
      </c>
    </row>
    <row r="292" spans="1:53">
      <c r="W292" s="9" t="str">
        <f t="shared" ca="1" si="72"/>
        <v/>
      </c>
      <c r="X292" s="40">
        <v>45067</v>
      </c>
      <c r="Y292" s="168">
        <f t="shared" si="73"/>
        <v>5</v>
      </c>
      <c r="Z292" s="44" t="s">
        <v>1134</v>
      </c>
      <c r="AF292" s="26"/>
      <c r="AG292" s="9">
        <f>27.1+1.4+13.4+29.2</f>
        <v>71.099999999999994</v>
      </c>
      <c r="AH292" s="9">
        <f t="shared" si="75"/>
        <v>71.099999999999994</v>
      </c>
      <c r="AI292" s="9">
        <f t="shared" si="74"/>
        <v>14969.499999999996</v>
      </c>
      <c r="AJ292" s="14"/>
      <c r="AK292" s="14"/>
      <c r="AL292" s="14"/>
      <c r="AM292" s="14"/>
      <c r="AN292" s="166"/>
      <c r="AO292" s="166"/>
      <c r="AP292" s="14"/>
      <c r="AQ292" s="14"/>
      <c r="AS292" s="14" t="s">
        <v>1207</v>
      </c>
      <c r="AT292" s="14"/>
      <c r="AU292" s="14"/>
      <c r="AV292" s="14"/>
      <c r="AW292" s="14"/>
      <c r="AX292" s="14"/>
      <c r="BA292" s="88">
        <f t="shared" si="76"/>
        <v>162.61780749274791</v>
      </c>
    </row>
    <row r="293" spans="1:53">
      <c r="W293" s="9" t="str">
        <f t="shared" ca="1" si="72"/>
        <v/>
      </c>
      <c r="X293" s="40">
        <v>45068</v>
      </c>
      <c r="Y293" s="168">
        <f t="shared" si="73"/>
        <v>5</v>
      </c>
      <c r="Z293" s="44" t="s">
        <v>1136</v>
      </c>
      <c r="AA293" s="21"/>
      <c r="AB293" s="21"/>
      <c r="AC293" s="21"/>
      <c r="AF293" s="26"/>
      <c r="AG293" s="9">
        <f>2.1+4.4+2.1+3.5</f>
        <v>12.1</v>
      </c>
      <c r="AH293" s="9">
        <f t="shared" si="75"/>
        <v>12.1</v>
      </c>
      <c r="AI293" s="9">
        <f t="shared" si="74"/>
        <v>14981.599999999997</v>
      </c>
      <c r="AJ293" s="14"/>
      <c r="AK293" s="14"/>
      <c r="AL293" s="14"/>
      <c r="AM293" s="14"/>
      <c r="AN293" s="166"/>
      <c r="AO293" s="166"/>
      <c r="AP293" s="14"/>
      <c r="AQ293" s="14"/>
      <c r="AS293" s="9" t="s">
        <v>1208</v>
      </c>
      <c r="AT293" s="9" t="s">
        <v>1209</v>
      </c>
      <c r="AW293" s="9" t="s">
        <v>1210</v>
      </c>
      <c r="AX293" s="9" t="s">
        <v>1211</v>
      </c>
      <c r="BA293" s="88">
        <f t="shared" si="76"/>
        <v>150.51780749274792</v>
      </c>
    </row>
    <row r="294" spans="1:53">
      <c r="W294" s="9" t="str">
        <f t="shared" ca="1" si="72"/>
        <v/>
      </c>
      <c r="X294" s="40">
        <v>45069</v>
      </c>
      <c r="Y294" s="168">
        <f t="shared" si="73"/>
        <v>5</v>
      </c>
      <c r="Z294" s="44" t="s">
        <v>1138</v>
      </c>
      <c r="AA294" s="97">
        <v>40</v>
      </c>
      <c r="AB294" s="97">
        <v>0.62</v>
      </c>
      <c r="AC294" s="97">
        <v>1.629</v>
      </c>
      <c r="AD294" s="119">
        <f>AA294/AC294</f>
        <v>24.554941682013506</v>
      </c>
      <c r="AF294" s="26">
        <f>24.6+24.6</f>
        <v>49.2</v>
      </c>
      <c r="AG294" s="9">
        <f>2.1+3.7</f>
        <v>5.8000000000000007</v>
      </c>
      <c r="AH294" s="9">
        <f t="shared" si="75"/>
        <v>55</v>
      </c>
      <c r="AI294" s="9">
        <f t="shared" si="74"/>
        <v>15036.599999999997</v>
      </c>
      <c r="AJ294" s="14"/>
      <c r="AK294" s="14"/>
      <c r="AL294" s="14"/>
      <c r="AM294" s="14"/>
      <c r="AN294" s="166"/>
      <c r="AO294" s="166"/>
      <c r="AP294" s="14"/>
      <c r="AQ294" s="14"/>
      <c r="AS294" s="9">
        <f>AS287+(SUM(AH287:AH294))-24.6</f>
        <v>190990.8</v>
      </c>
      <c r="AT294" s="9">
        <f>AS294-AS287</f>
        <v>494.5</v>
      </c>
      <c r="AU294" s="88">
        <f>AT294/AD287</f>
        <v>16.120699999999999</v>
      </c>
      <c r="AV294" s="88">
        <f>100/AU294</f>
        <v>6.2032045754836949</v>
      </c>
      <c r="AW294" s="88">
        <f>((+AD294)*C$62)+AX294</f>
        <v>441.53036825061326</v>
      </c>
      <c r="AX294" s="9">
        <v>45</v>
      </c>
      <c r="AZ294" s="88">
        <f>AW294+AX294-AG294-24.6</f>
        <v>456.13036825061323</v>
      </c>
      <c r="BA294" s="88">
        <f t="shared" si="76"/>
        <v>95.51780749274792</v>
      </c>
    </row>
    <row r="295" spans="1:53">
      <c r="W295" s="9" t="str">
        <f t="shared" ca="1" si="72"/>
        <v/>
      </c>
      <c r="X295" s="40">
        <v>45070</v>
      </c>
      <c r="Y295" s="168">
        <f t="shared" si="73"/>
        <v>5</v>
      </c>
      <c r="Z295" s="44" t="s">
        <v>1140</v>
      </c>
      <c r="AA295" s="21"/>
      <c r="AB295" s="21"/>
      <c r="AC295" s="21"/>
      <c r="AD295" s="119"/>
      <c r="AF295" s="26">
        <f>25.1+21.6</f>
        <v>46.7</v>
      </c>
      <c r="AG295" s="9">
        <f>1.7+3</f>
        <v>4.7</v>
      </c>
      <c r="AH295" s="9">
        <f t="shared" si="75"/>
        <v>51.400000000000006</v>
      </c>
      <c r="AI295" s="9">
        <f t="shared" si="74"/>
        <v>15087.999999999996</v>
      </c>
      <c r="AJ295" s="14"/>
      <c r="AK295" s="14"/>
      <c r="AL295" s="14"/>
      <c r="AM295" s="14"/>
      <c r="AN295" s="166"/>
      <c r="AO295" s="166"/>
      <c r="AP295" s="14"/>
      <c r="AQ295" s="14"/>
      <c r="AZ295" s="88">
        <f t="shared" ref="AZ295:AZ300" si="77">AZ294-AH295</f>
        <v>404.7303682506132</v>
      </c>
      <c r="BA295" s="88"/>
    </row>
    <row r="296" spans="1:53">
      <c r="W296" s="9" t="str">
        <f t="shared" ca="1" si="72"/>
        <v/>
      </c>
      <c r="X296" s="40">
        <v>45071</v>
      </c>
      <c r="Y296" s="168">
        <f t="shared" si="73"/>
        <v>5</v>
      </c>
      <c r="Z296" s="44" t="s">
        <v>1143</v>
      </c>
      <c r="AF296" s="26">
        <f>24.6+24.6</f>
        <v>49.2</v>
      </c>
      <c r="AG296" s="9">
        <f>2.1+3.7</f>
        <v>5.8000000000000007</v>
      </c>
      <c r="AH296" s="9">
        <f t="shared" si="75"/>
        <v>55</v>
      </c>
      <c r="AI296" s="9">
        <f t="shared" si="74"/>
        <v>15142.999999999996</v>
      </c>
      <c r="AJ296" s="14"/>
      <c r="AK296" s="14"/>
      <c r="AL296" s="14"/>
      <c r="AM296" s="14"/>
      <c r="AN296" s="166"/>
      <c r="AO296" s="166"/>
      <c r="AP296" s="14"/>
      <c r="AQ296" s="14"/>
      <c r="AZ296" s="88">
        <f t="shared" si="77"/>
        <v>349.7303682506132</v>
      </c>
      <c r="BA296" s="88"/>
    </row>
    <row r="297" spans="1:53">
      <c r="W297" s="9" t="str">
        <f t="shared" ca="1" si="72"/>
        <v/>
      </c>
      <c r="X297" s="40">
        <v>45072</v>
      </c>
      <c r="Y297" s="168">
        <f t="shared" si="73"/>
        <v>5</v>
      </c>
      <c r="Z297" s="44" t="s">
        <v>1145</v>
      </c>
      <c r="AA297" s="21"/>
      <c r="AB297" s="21"/>
      <c r="AC297" s="21"/>
      <c r="AF297" s="26">
        <f>24.3+23.9</f>
        <v>48.2</v>
      </c>
      <c r="AG297" s="9">
        <f>2.9+32.7+1.1+33.7</f>
        <v>70.400000000000006</v>
      </c>
      <c r="AH297" s="9">
        <f t="shared" si="75"/>
        <v>118.60000000000001</v>
      </c>
      <c r="AI297" s="9">
        <f t="shared" si="74"/>
        <v>15261.599999999997</v>
      </c>
      <c r="AJ297" s="14"/>
      <c r="AK297" s="14" t="s">
        <v>1077</v>
      </c>
      <c r="AL297" s="14" t="s">
        <v>1204</v>
      </c>
      <c r="AM297" s="14" t="s">
        <v>1205</v>
      </c>
      <c r="AN297" s="166" t="s">
        <v>1069</v>
      </c>
      <c r="AO297" s="166" t="s">
        <v>1206</v>
      </c>
      <c r="AP297" s="14"/>
      <c r="AQ297" s="14"/>
      <c r="AZ297" s="88">
        <f t="shared" si="77"/>
        <v>231.13036825061317</v>
      </c>
    </row>
    <row r="298" spans="1:53">
      <c r="A298" s="9" t="s">
        <v>1214</v>
      </c>
      <c r="W298" s="9" t="str">
        <f t="shared" ca="1" si="72"/>
        <v/>
      </c>
      <c r="X298" s="40">
        <v>45073</v>
      </c>
      <c r="Y298" s="168">
        <f t="shared" si="73"/>
        <v>5</v>
      </c>
      <c r="Z298" s="44" t="s">
        <v>1132</v>
      </c>
      <c r="AA298" s="97"/>
      <c r="AB298" s="97"/>
      <c r="AC298" s="97"/>
      <c r="AD298" s="88"/>
      <c r="AF298" s="26"/>
      <c r="AG298" s="9">
        <f>2.4+3.3+3.7+3.4</f>
        <v>12.799999999999999</v>
      </c>
      <c r="AH298" s="9">
        <f t="shared" si="75"/>
        <v>12.799999999999999</v>
      </c>
      <c r="AI298" s="9">
        <f t="shared" si="74"/>
        <v>15274.399999999996</v>
      </c>
      <c r="AJ298" s="14">
        <f>SUM(AH292:AH298)</f>
        <v>376</v>
      </c>
      <c r="AK298" s="1372">
        <f>SUM(AH269:AH298)</f>
        <v>1963.0999999999995</v>
      </c>
      <c r="AL298" s="1372">
        <f>SUM(AF269:AF298)</f>
        <v>919.80000000000007</v>
      </c>
      <c r="AM298" s="1372">
        <f>SUM(AG269:AG298)</f>
        <v>1043.3</v>
      </c>
      <c r="AN298" s="219">
        <f>SUM(AD269:AD298)</f>
        <v>133.25929244651564</v>
      </c>
      <c r="AO298" s="182">
        <f>AK298/AN298</f>
        <v>14.731430461315863</v>
      </c>
      <c r="AP298" s="183">
        <f>SUM(AA269:AB298)/SUM(AD269:AD298)</f>
        <v>1.5899078864240195</v>
      </c>
      <c r="AQ298" s="184">
        <f>(AP298/AO298)*(SUM(AH269:AH298))</f>
        <v>211.87</v>
      </c>
      <c r="AS298" s="14" t="s">
        <v>1207</v>
      </c>
      <c r="AT298" s="14"/>
      <c r="AU298" s="14"/>
      <c r="AV298" s="14"/>
      <c r="AW298" s="14"/>
      <c r="AX298" s="14"/>
      <c r="AZ298" s="88">
        <f t="shared" si="77"/>
        <v>218.33036825061316</v>
      </c>
    </row>
    <row r="299" spans="1:53">
      <c r="W299" s="9" t="str">
        <f t="shared" ca="1" si="72"/>
        <v/>
      </c>
      <c r="X299" s="223">
        <v>45074</v>
      </c>
      <c r="Y299" s="224">
        <f t="shared" si="73"/>
        <v>5</v>
      </c>
      <c r="Z299" s="42" t="s">
        <v>1134</v>
      </c>
      <c r="AA299" s="41"/>
      <c r="AB299" s="27"/>
      <c r="AC299" s="27"/>
      <c r="AD299" s="225"/>
      <c r="AE299" s="42"/>
      <c r="AF299" s="41"/>
      <c r="AG299" s="41">
        <f>23.8+19.1+33.7+34.8</f>
        <v>111.4</v>
      </c>
      <c r="AH299" s="41">
        <f t="shared" si="75"/>
        <v>111.4</v>
      </c>
      <c r="AI299" s="41">
        <f t="shared" si="74"/>
        <v>15385.799999999996</v>
      </c>
      <c r="AJ299" s="226"/>
      <c r="AK299" s="226"/>
      <c r="AL299" s="226"/>
      <c r="AM299" s="226"/>
      <c r="AN299" s="166"/>
      <c r="AO299" s="166"/>
      <c r="AP299" s="14"/>
      <c r="AQ299" s="14"/>
      <c r="AS299" s="9" t="s">
        <v>1208</v>
      </c>
      <c r="AT299" s="9" t="s">
        <v>1209</v>
      </c>
      <c r="AW299" s="9" t="s">
        <v>1210</v>
      </c>
      <c r="AX299" s="9" t="s">
        <v>1211</v>
      </c>
      <c r="AZ299" s="88">
        <f t="shared" si="77"/>
        <v>106.93036825061316</v>
      </c>
    </row>
    <row r="300" spans="1:53">
      <c r="W300" s="9" t="str">
        <f t="shared" ca="1" si="72"/>
        <v/>
      </c>
      <c r="X300" s="40">
        <v>45075</v>
      </c>
      <c r="Y300" s="168">
        <f t="shared" si="73"/>
        <v>5</v>
      </c>
      <c r="Z300" s="44" t="s">
        <v>1136</v>
      </c>
      <c r="AA300" s="97">
        <v>60</v>
      </c>
      <c r="AB300" s="97">
        <v>0.62</v>
      </c>
      <c r="AC300" s="97">
        <v>1.629</v>
      </c>
      <c r="AD300" s="88">
        <f>AA300/AC300</f>
        <v>36.83241252302026</v>
      </c>
      <c r="AF300" s="26">
        <f>25.6+23.7</f>
        <v>49.3</v>
      </c>
      <c r="AG300" s="9">
        <f>1.3+2.5</f>
        <v>3.8</v>
      </c>
      <c r="AH300" s="9">
        <f t="shared" si="75"/>
        <v>53.099999999999994</v>
      </c>
      <c r="AI300" s="9">
        <f t="shared" si="74"/>
        <v>15438.899999999996</v>
      </c>
      <c r="AJ300" s="14"/>
      <c r="AK300" s="14"/>
      <c r="AL300" s="14"/>
      <c r="AM300" s="14"/>
      <c r="AN300" s="166"/>
      <c r="AO300" s="166"/>
      <c r="AP300" s="14"/>
      <c r="AQ300" s="14"/>
      <c r="AS300" s="9">
        <f>AS294+(SUM(AH294:AH300))-25.6</f>
        <v>191422.49999999997</v>
      </c>
      <c r="AT300" s="9">
        <f>AS300-AS294</f>
        <v>431.69999999998254</v>
      </c>
      <c r="AU300" s="88">
        <f>AT300/AD294</f>
        <v>17.580982499999287</v>
      </c>
      <c r="AV300" s="88">
        <f>100/AU300</f>
        <v>5.687964253420084</v>
      </c>
      <c r="AW300" s="88">
        <f>((+AD300)*C$62)+AX300</f>
        <v>654.7955523759199</v>
      </c>
      <c r="AX300" s="9">
        <v>60</v>
      </c>
      <c r="AZ300" s="88">
        <f t="shared" si="77"/>
        <v>53.830368250613162</v>
      </c>
      <c r="BA300" s="88">
        <f>AW300-AH300+24.6</f>
        <v>626.2955523759199</v>
      </c>
    </row>
    <row r="301" spans="1:53">
      <c r="W301" s="9" t="str">
        <f t="shared" ca="1" si="72"/>
        <v/>
      </c>
      <c r="X301" s="40">
        <v>45076</v>
      </c>
      <c r="Y301" s="168">
        <f t="shared" si="73"/>
        <v>5</v>
      </c>
      <c r="Z301" s="44" t="s">
        <v>1138</v>
      </c>
      <c r="AA301" s="21"/>
      <c r="AB301" s="21"/>
      <c r="AC301" s="21"/>
      <c r="AF301" s="26">
        <f>26.1+25.1</f>
        <v>51.2</v>
      </c>
      <c r="AG301" s="9">
        <f>2.1+2.8</f>
        <v>4.9000000000000004</v>
      </c>
      <c r="AH301" s="9">
        <f t="shared" si="75"/>
        <v>56.1</v>
      </c>
      <c r="AI301" s="9">
        <f t="shared" si="74"/>
        <v>15494.999999999996</v>
      </c>
      <c r="AJ301" s="14"/>
      <c r="AK301" s="14"/>
      <c r="AL301" s="14"/>
      <c r="AM301" s="14"/>
      <c r="AN301" s="166"/>
      <c r="AO301" s="166"/>
      <c r="AP301" s="14"/>
      <c r="AQ301" s="14"/>
      <c r="AZ301" s="88"/>
      <c r="BA301" s="88">
        <f t="shared" ref="BA301:BA311" si="78">BA300-AH301</f>
        <v>570.19555237591987</v>
      </c>
    </row>
    <row r="302" spans="1:53">
      <c r="W302" s="9" t="str">
        <f t="shared" ca="1" si="72"/>
        <v/>
      </c>
      <c r="X302" s="40">
        <v>45077</v>
      </c>
      <c r="Y302" s="168">
        <f>MONTH(X302)</f>
        <v>5</v>
      </c>
      <c r="Z302" s="44" t="s">
        <v>1140</v>
      </c>
      <c r="AA302" s="21"/>
      <c r="AB302" s="21"/>
      <c r="AC302" s="21"/>
      <c r="AD302" s="88"/>
      <c r="AF302" s="26">
        <f>24.6+26.2</f>
        <v>50.8</v>
      </c>
      <c r="AG302" s="9">
        <f>2.1+13.5+13+2.2</f>
        <v>30.8</v>
      </c>
      <c r="AH302" s="9">
        <f t="shared" si="75"/>
        <v>81.599999999999994</v>
      </c>
      <c r="AI302" s="9">
        <f t="shared" si="74"/>
        <v>15576.599999999997</v>
      </c>
      <c r="AJ302" s="14"/>
      <c r="AK302" s="14"/>
      <c r="AL302" s="14"/>
      <c r="AM302" s="14"/>
      <c r="AN302" s="166"/>
      <c r="AO302" s="166"/>
      <c r="AP302" s="14"/>
      <c r="AQ302" s="14"/>
      <c r="AZ302" s="88"/>
      <c r="BA302" s="88">
        <f t="shared" si="78"/>
        <v>488.59555237591985</v>
      </c>
    </row>
    <row r="303" spans="1:53">
      <c r="W303" s="9" t="str">
        <f t="shared" ca="1" si="72"/>
        <v/>
      </c>
      <c r="X303" s="40">
        <v>45078</v>
      </c>
      <c r="Y303" s="168">
        <f t="shared" ref="Y303:Y366" si="79">MONTH(X303)</f>
        <v>6</v>
      </c>
      <c r="Z303" s="44" t="s">
        <v>1143</v>
      </c>
      <c r="AA303" s="21"/>
      <c r="AB303" s="21"/>
      <c r="AC303" s="21"/>
      <c r="AF303" s="26">
        <f>25.5+29.7</f>
        <v>55.2</v>
      </c>
      <c r="AG303" s="9">
        <f>2.4+12+11.4</f>
        <v>25.8</v>
      </c>
      <c r="AH303" s="9">
        <f t="shared" ref="AH303:AH366" si="80">AF303+AG303</f>
        <v>81</v>
      </c>
      <c r="AI303" s="9">
        <f t="shared" si="74"/>
        <v>15657.599999999997</v>
      </c>
      <c r="AJ303" s="14"/>
      <c r="AK303" s="14"/>
      <c r="AL303" s="14"/>
      <c r="AM303" s="14"/>
      <c r="AN303" s="166"/>
      <c r="AO303" s="166"/>
      <c r="AP303" s="14"/>
      <c r="AQ303" s="14"/>
      <c r="BA303" s="88">
        <f t="shared" si="78"/>
        <v>407.59555237591985</v>
      </c>
    </row>
    <row r="304" spans="1:53">
      <c r="W304" s="9" t="str">
        <f t="shared" ca="1" si="72"/>
        <v/>
      </c>
      <c r="X304" s="40">
        <v>45079</v>
      </c>
      <c r="Y304" s="168">
        <f t="shared" si="79"/>
        <v>6</v>
      </c>
      <c r="Z304" s="44" t="s">
        <v>1145</v>
      </c>
      <c r="AA304" s="21"/>
      <c r="AB304" s="21"/>
      <c r="AC304" s="21"/>
      <c r="AF304" s="26"/>
      <c r="AG304" s="9">
        <f>2.4+2.4+35.5+28.3+23.7+34.1</f>
        <v>126.4</v>
      </c>
      <c r="AH304" s="9">
        <f t="shared" si="80"/>
        <v>126.4</v>
      </c>
      <c r="AI304" s="9">
        <f t="shared" si="74"/>
        <v>15783.999999999996</v>
      </c>
      <c r="AJ304" s="14"/>
      <c r="AK304" s="14"/>
      <c r="AL304" s="14"/>
      <c r="AM304" s="14"/>
      <c r="AN304" s="166"/>
      <c r="AO304" s="166"/>
      <c r="AP304" s="14"/>
      <c r="AQ304" s="14"/>
      <c r="BA304" s="88">
        <f t="shared" si="78"/>
        <v>281.19555237591987</v>
      </c>
    </row>
    <row r="305" spans="23:53">
      <c r="W305" s="9" t="str">
        <f t="shared" ca="1" si="72"/>
        <v/>
      </c>
      <c r="X305" s="40">
        <v>45080</v>
      </c>
      <c r="Y305" s="168">
        <f t="shared" si="79"/>
        <v>6</v>
      </c>
      <c r="Z305" s="44" t="s">
        <v>1132</v>
      </c>
      <c r="AF305" s="26"/>
      <c r="AG305" s="9">
        <f>12.8+13.2</f>
        <v>26</v>
      </c>
      <c r="AH305" s="9">
        <f t="shared" si="80"/>
        <v>26</v>
      </c>
      <c r="AI305" s="9">
        <f t="shared" si="74"/>
        <v>15809.999999999996</v>
      </c>
      <c r="AJ305" s="14">
        <f>SUM(AH299:AH305)</f>
        <v>535.6</v>
      </c>
      <c r="AK305" s="14"/>
      <c r="AL305" s="14"/>
      <c r="AM305" s="14"/>
      <c r="AN305" s="166"/>
      <c r="AO305" s="166"/>
      <c r="AP305" s="14"/>
      <c r="AQ305" s="14"/>
      <c r="BA305" s="88">
        <f t="shared" si="78"/>
        <v>255.19555237591987</v>
      </c>
    </row>
    <row r="306" spans="23:53">
      <c r="W306" s="9" t="str">
        <f t="shared" ca="1" si="72"/>
        <v/>
      </c>
      <c r="X306" s="40">
        <v>45081</v>
      </c>
      <c r="Y306" s="168">
        <f t="shared" si="79"/>
        <v>6</v>
      </c>
      <c r="Z306" s="44" t="s">
        <v>1134</v>
      </c>
      <c r="AA306" s="21"/>
      <c r="AB306" s="21"/>
      <c r="AC306" s="21"/>
      <c r="AD306" s="88"/>
      <c r="AF306" s="26"/>
      <c r="AG306" s="9">
        <f>35.6+6.9+34.4</f>
        <v>76.900000000000006</v>
      </c>
      <c r="AH306" s="9">
        <f t="shared" si="80"/>
        <v>76.900000000000006</v>
      </c>
      <c r="AI306" s="9">
        <f t="shared" si="74"/>
        <v>15886.899999999996</v>
      </c>
      <c r="AJ306" s="14"/>
      <c r="AK306" s="14"/>
      <c r="AL306" s="14"/>
      <c r="AM306" s="14"/>
      <c r="AN306" s="166"/>
      <c r="AO306" s="166"/>
      <c r="AP306" s="14"/>
      <c r="AQ306" s="14"/>
      <c r="BA306" s="88">
        <f t="shared" si="78"/>
        <v>178.29555237591987</v>
      </c>
    </row>
    <row r="307" spans="23:53">
      <c r="W307" s="9" t="str">
        <f t="shared" ca="1" si="72"/>
        <v/>
      </c>
      <c r="X307" s="40">
        <v>45082</v>
      </c>
      <c r="Y307" s="168">
        <f t="shared" si="79"/>
        <v>6</v>
      </c>
      <c r="Z307" s="44" t="s">
        <v>1136</v>
      </c>
      <c r="AF307" s="26">
        <f>25.7+24+2.4+1.7</f>
        <v>53.800000000000004</v>
      </c>
      <c r="AH307" s="9">
        <f t="shared" si="80"/>
        <v>53.800000000000004</v>
      </c>
      <c r="AI307" s="9">
        <f t="shared" si="74"/>
        <v>15940.699999999995</v>
      </c>
      <c r="AJ307" s="14"/>
      <c r="AK307" s="14"/>
      <c r="AL307" s="14"/>
      <c r="AM307" s="14"/>
      <c r="AN307" s="166"/>
      <c r="AO307" s="166"/>
      <c r="AP307" s="14"/>
      <c r="AQ307" s="14"/>
      <c r="BA307" s="88">
        <f t="shared" si="78"/>
        <v>124.49555237591986</v>
      </c>
    </row>
    <row r="308" spans="23:53">
      <c r="W308" s="9" t="str">
        <f t="shared" ca="1" si="72"/>
        <v/>
      </c>
      <c r="X308" s="40">
        <v>45083</v>
      </c>
      <c r="Y308" s="168">
        <f t="shared" si="79"/>
        <v>6</v>
      </c>
      <c r="Z308" s="44" t="s">
        <v>1138</v>
      </c>
      <c r="AF308" s="26"/>
      <c r="AH308" s="9">
        <f t="shared" si="80"/>
        <v>0</v>
      </c>
      <c r="AI308" s="9">
        <f t="shared" si="74"/>
        <v>15940.699999999995</v>
      </c>
      <c r="AJ308" s="14"/>
      <c r="AK308" s="14"/>
      <c r="AL308" s="14"/>
      <c r="AM308" s="14"/>
      <c r="AN308" s="166"/>
      <c r="AO308" s="166"/>
      <c r="AP308" s="14"/>
      <c r="AQ308" s="14"/>
      <c r="BA308" s="88">
        <f t="shared" si="78"/>
        <v>124.49555237591986</v>
      </c>
    </row>
    <row r="309" spans="23:53">
      <c r="W309" s="9" t="str">
        <f t="shared" ca="1" si="72"/>
        <v/>
      </c>
      <c r="X309" s="40">
        <v>45084</v>
      </c>
      <c r="Y309" s="168">
        <f t="shared" si="79"/>
        <v>6</v>
      </c>
      <c r="Z309" s="44" t="s">
        <v>1140</v>
      </c>
      <c r="AA309" s="21"/>
      <c r="AB309" s="21"/>
      <c r="AC309" s="21"/>
      <c r="AF309" s="26"/>
      <c r="AH309" s="9">
        <f t="shared" si="80"/>
        <v>0</v>
      </c>
      <c r="AI309" s="9">
        <f t="shared" si="74"/>
        <v>15940.699999999995</v>
      </c>
      <c r="AJ309" s="14"/>
      <c r="AK309" s="14"/>
      <c r="AL309" s="14"/>
      <c r="AM309" s="14"/>
      <c r="AN309" s="166"/>
      <c r="AO309" s="166"/>
      <c r="AP309" s="14"/>
      <c r="AQ309" s="14"/>
      <c r="AS309" s="14" t="s">
        <v>1207</v>
      </c>
      <c r="AT309" s="14"/>
      <c r="AU309" s="14"/>
      <c r="AV309" s="14"/>
      <c r="AW309" s="14"/>
      <c r="AX309" s="14"/>
      <c r="BA309" s="88">
        <f t="shared" si="78"/>
        <v>124.49555237591986</v>
      </c>
    </row>
    <row r="310" spans="23:53">
      <c r="W310" s="9" t="str">
        <f t="shared" ca="1" si="72"/>
        <v/>
      </c>
      <c r="X310" s="40">
        <v>45085</v>
      </c>
      <c r="Y310" s="168">
        <f t="shared" si="79"/>
        <v>6</v>
      </c>
      <c r="Z310" s="44" t="s">
        <v>1143</v>
      </c>
      <c r="AA310" s="21"/>
      <c r="AB310" s="21"/>
      <c r="AC310" s="21"/>
      <c r="AF310" s="26"/>
      <c r="AH310" s="9">
        <f t="shared" si="80"/>
        <v>0</v>
      </c>
      <c r="AI310" s="9">
        <f t="shared" si="74"/>
        <v>15940.699999999995</v>
      </c>
      <c r="AJ310" s="14"/>
      <c r="AK310" s="14"/>
      <c r="AL310" s="14"/>
      <c r="AM310" s="14"/>
      <c r="AN310" s="166"/>
      <c r="AO310" s="166"/>
      <c r="AP310" s="14"/>
      <c r="AQ310" s="14"/>
      <c r="AS310" s="9" t="s">
        <v>1208</v>
      </c>
      <c r="AT310" s="9" t="s">
        <v>1209</v>
      </c>
      <c r="AW310" s="9" t="s">
        <v>1210</v>
      </c>
      <c r="AX310" s="9" t="s">
        <v>1211</v>
      </c>
      <c r="BA310" s="88">
        <f t="shared" si="78"/>
        <v>124.49555237591986</v>
      </c>
    </row>
    <row r="311" spans="23:53">
      <c r="W311" s="9" t="str">
        <f t="shared" ca="1" si="72"/>
        <v/>
      </c>
      <c r="X311" s="40">
        <v>45086</v>
      </c>
      <c r="Y311" s="168">
        <f t="shared" si="79"/>
        <v>6</v>
      </c>
      <c r="Z311" s="44" t="s">
        <v>1145</v>
      </c>
      <c r="AA311" s="97">
        <v>60</v>
      </c>
      <c r="AB311" s="97">
        <v>0.62</v>
      </c>
      <c r="AC311" s="97">
        <v>1.659</v>
      </c>
      <c r="AD311" s="88">
        <f>AA311/AC311</f>
        <v>36.166365280289327</v>
      </c>
      <c r="AF311" s="26">
        <f>25.8+26.7</f>
        <v>52.5</v>
      </c>
      <c r="AG311" s="9">
        <v>2</v>
      </c>
      <c r="AH311" s="9">
        <f t="shared" si="80"/>
        <v>54.5</v>
      </c>
      <c r="AI311" s="9">
        <f t="shared" si="74"/>
        <v>15995.199999999995</v>
      </c>
      <c r="AJ311" s="14"/>
      <c r="AK311" s="14"/>
      <c r="AL311" s="14"/>
      <c r="AM311" s="14"/>
      <c r="AN311" s="166"/>
      <c r="AO311" s="166"/>
      <c r="AP311" s="14"/>
      <c r="AQ311" s="14"/>
      <c r="AS311" s="9">
        <f>AS300+(SUM(AH300:AH311))-25.6</f>
        <v>192006.29999999996</v>
      </c>
      <c r="AT311" s="9">
        <f>AS311-AS300</f>
        <v>583.79999999998836</v>
      </c>
      <c r="AU311" s="88">
        <f>AT311/AD300</f>
        <v>15.850169999999682</v>
      </c>
      <c r="AV311" s="88">
        <f>100/AU311</f>
        <v>6.3090805966120236</v>
      </c>
      <c r="AW311" s="88">
        <f>((+AD311)*C$62)+AX311</f>
        <v>664.0397557687603</v>
      </c>
      <c r="AX311" s="9">
        <v>80</v>
      </c>
      <c r="AZ311" s="88">
        <f>AW311-AH311+26.7</f>
        <v>636.23975576876035</v>
      </c>
      <c r="BA311" s="88">
        <f t="shared" si="78"/>
        <v>69.995552375919857</v>
      </c>
    </row>
    <row r="312" spans="23:53">
      <c r="W312" s="9" t="str">
        <f t="shared" ca="1" si="72"/>
        <v/>
      </c>
      <c r="X312" s="40">
        <v>45087</v>
      </c>
      <c r="Y312" s="168">
        <f t="shared" si="79"/>
        <v>6</v>
      </c>
      <c r="Z312" s="44" t="s">
        <v>1132</v>
      </c>
      <c r="AA312" s="21"/>
      <c r="AB312" s="21"/>
      <c r="AC312" s="21"/>
      <c r="AF312" s="26"/>
      <c r="AG312" s="9">
        <f>9.9+8.5+1.6+3.5+14.7+16.1+2.9+4.4+4.5+2.8</f>
        <v>68.899999999999991</v>
      </c>
      <c r="AH312" s="9">
        <f t="shared" si="80"/>
        <v>68.899999999999991</v>
      </c>
      <c r="AI312" s="9">
        <f t="shared" si="74"/>
        <v>16064.099999999995</v>
      </c>
      <c r="AJ312" s="14">
        <f>SUM(AH306:AH312)</f>
        <v>254.10000000000002</v>
      </c>
      <c r="AK312" s="14"/>
      <c r="AL312" s="14"/>
      <c r="AM312" s="14"/>
      <c r="AN312" s="166"/>
      <c r="AO312" s="166"/>
      <c r="AP312" s="14"/>
      <c r="AQ312" s="14"/>
      <c r="AZ312" s="88">
        <f t="shared" ref="AZ312:AZ318" si="81">AZ311-AH312</f>
        <v>567.33975576876037</v>
      </c>
    </row>
    <row r="313" spans="23:53">
      <c r="W313" s="9" t="str">
        <f t="shared" ca="1" si="72"/>
        <v/>
      </c>
      <c r="X313" s="40">
        <v>45088</v>
      </c>
      <c r="Y313" s="168">
        <f t="shared" si="79"/>
        <v>6</v>
      </c>
      <c r="Z313" s="44" t="s">
        <v>1134</v>
      </c>
      <c r="AA313" s="21"/>
      <c r="AB313" s="21"/>
      <c r="AC313" s="21"/>
      <c r="AF313" s="26"/>
      <c r="AG313" s="9">
        <f>19+14.4+4.4+33.1+1.1+35.9</f>
        <v>107.9</v>
      </c>
      <c r="AH313" s="9">
        <f t="shared" si="80"/>
        <v>107.9</v>
      </c>
      <c r="AI313" s="9">
        <f t="shared" si="74"/>
        <v>16171.999999999995</v>
      </c>
      <c r="AJ313" s="14"/>
      <c r="AK313" s="14"/>
      <c r="AL313" s="14"/>
      <c r="AM313" s="14"/>
      <c r="AN313" s="166"/>
      <c r="AO313" s="166"/>
      <c r="AP313" s="14"/>
      <c r="AQ313" s="14"/>
      <c r="AZ313" s="88">
        <f t="shared" si="81"/>
        <v>459.43975576876039</v>
      </c>
    </row>
    <row r="314" spans="23:53">
      <c r="W314" s="9" t="str">
        <f t="shared" ca="1" si="72"/>
        <v/>
      </c>
      <c r="X314" s="40">
        <v>45089</v>
      </c>
      <c r="Y314" s="168">
        <f t="shared" si="79"/>
        <v>6</v>
      </c>
      <c r="Z314" s="44" t="s">
        <v>1136</v>
      </c>
      <c r="AA314" s="21"/>
      <c r="AB314" s="21"/>
      <c r="AC314" s="21"/>
      <c r="AF314" s="26">
        <f>25.6+23.7</f>
        <v>49.3</v>
      </c>
      <c r="AH314" s="9">
        <f t="shared" si="80"/>
        <v>49.3</v>
      </c>
      <c r="AI314" s="9">
        <f t="shared" si="74"/>
        <v>16221.299999999994</v>
      </c>
      <c r="AJ314" s="14"/>
      <c r="AK314" s="14"/>
      <c r="AL314" s="14"/>
      <c r="AM314" s="14"/>
      <c r="AN314" s="166"/>
      <c r="AO314" s="166"/>
      <c r="AP314" s="14"/>
      <c r="AQ314" s="14"/>
      <c r="AZ314" s="88">
        <f t="shared" si="81"/>
        <v>410.13975576876038</v>
      </c>
    </row>
    <row r="315" spans="23:53">
      <c r="W315" s="9" t="str">
        <f t="shared" ca="1" si="72"/>
        <v/>
      </c>
      <c r="X315" s="40">
        <v>45090</v>
      </c>
      <c r="Y315" s="168">
        <f t="shared" si="79"/>
        <v>6</v>
      </c>
      <c r="Z315" s="44" t="s">
        <v>1138</v>
      </c>
      <c r="AF315" s="26">
        <f>25.5+24.7</f>
        <v>50.2</v>
      </c>
      <c r="AG315" s="9">
        <f>2.3+3.4</f>
        <v>5.6999999999999993</v>
      </c>
      <c r="AH315" s="9">
        <f t="shared" si="80"/>
        <v>55.900000000000006</v>
      </c>
      <c r="AI315" s="9">
        <f t="shared" si="74"/>
        <v>16277.199999999993</v>
      </c>
      <c r="AJ315" s="14"/>
      <c r="AK315" s="14"/>
      <c r="AL315" s="14"/>
      <c r="AM315" s="14"/>
      <c r="AN315" s="166"/>
      <c r="AO315" s="166"/>
      <c r="AP315" s="14"/>
      <c r="AQ315" s="14"/>
      <c r="AZ315" s="88">
        <f t="shared" si="81"/>
        <v>354.23975576876035</v>
      </c>
    </row>
    <row r="316" spans="23:53">
      <c r="W316" s="9" t="str">
        <f t="shared" ca="1" si="72"/>
        <v/>
      </c>
      <c r="X316" s="40">
        <v>45091</v>
      </c>
      <c r="Y316" s="168">
        <f t="shared" si="79"/>
        <v>6</v>
      </c>
      <c r="Z316" s="44" t="s">
        <v>1140</v>
      </c>
      <c r="AF316" s="26">
        <f>25.8+28.2</f>
        <v>54</v>
      </c>
      <c r="AG316" s="9">
        <f>34.6+4.1+2.9+34.2</f>
        <v>75.800000000000011</v>
      </c>
      <c r="AH316" s="9">
        <f t="shared" si="80"/>
        <v>129.80000000000001</v>
      </c>
      <c r="AI316" s="9">
        <f t="shared" si="74"/>
        <v>16406.999999999993</v>
      </c>
      <c r="AJ316" s="14"/>
      <c r="AK316" s="14"/>
      <c r="AL316" s="14"/>
      <c r="AM316" s="14"/>
      <c r="AN316" s="166"/>
      <c r="AO316" s="166"/>
      <c r="AP316" s="14"/>
      <c r="AQ316" s="14"/>
      <c r="AS316" s="14" t="s">
        <v>1207</v>
      </c>
      <c r="AT316" s="14"/>
      <c r="AU316" s="14"/>
      <c r="AV316" s="14"/>
      <c r="AW316" s="14"/>
      <c r="AX316" s="14"/>
      <c r="AZ316" s="88">
        <f t="shared" si="81"/>
        <v>224.43975576876034</v>
      </c>
    </row>
    <row r="317" spans="23:53">
      <c r="W317" s="9" t="str">
        <f t="shared" ca="1" si="72"/>
        <v/>
      </c>
      <c r="X317" s="40">
        <v>45092</v>
      </c>
      <c r="Y317" s="168">
        <f t="shared" si="79"/>
        <v>6</v>
      </c>
      <c r="Z317" s="44" t="s">
        <v>1143</v>
      </c>
      <c r="AA317" s="21"/>
      <c r="AB317" s="21"/>
      <c r="AC317" s="21"/>
      <c r="AF317" s="26">
        <f>22.9+27.6</f>
        <v>50.5</v>
      </c>
      <c r="AG317" s="9">
        <f>4.4</f>
        <v>4.4000000000000004</v>
      </c>
      <c r="AH317" s="9">
        <f t="shared" si="80"/>
        <v>54.9</v>
      </c>
      <c r="AI317" s="9">
        <f t="shared" si="74"/>
        <v>16461.899999999994</v>
      </c>
      <c r="AJ317" s="14"/>
      <c r="AK317" s="14"/>
      <c r="AL317" s="14"/>
      <c r="AM317" s="14"/>
      <c r="AN317" s="166"/>
      <c r="AO317" s="166"/>
      <c r="AP317" s="14"/>
      <c r="AQ317" s="14"/>
      <c r="AS317" s="9" t="s">
        <v>1208</v>
      </c>
      <c r="AT317" s="9" t="s">
        <v>1209</v>
      </c>
      <c r="AW317" s="9" t="s">
        <v>1210</v>
      </c>
      <c r="AX317" s="9" t="s">
        <v>1211</v>
      </c>
      <c r="AZ317" s="88">
        <f t="shared" si="81"/>
        <v>169.53975576876033</v>
      </c>
    </row>
    <row r="318" spans="23:53">
      <c r="W318" s="9" t="str">
        <f t="shared" ca="1" si="72"/>
        <v/>
      </c>
      <c r="X318" s="40">
        <v>45093</v>
      </c>
      <c r="Y318" s="168">
        <f t="shared" si="79"/>
        <v>6</v>
      </c>
      <c r="Z318" s="44" t="s">
        <v>1145</v>
      </c>
      <c r="AA318" s="97">
        <v>60</v>
      </c>
      <c r="AB318" s="97">
        <v>0.62</v>
      </c>
      <c r="AC318" s="97">
        <v>1.679</v>
      </c>
      <c r="AD318" s="88">
        <f>AA318/AC318</f>
        <v>35.735556879094695</v>
      </c>
      <c r="AF318" s="26">
        <f>25+0.4+26.1</f>
        <v>51.5</v>
      </c>
      <c r="AG318" s="9">
        <f>2.2+34.9+2.4+34.2</f>
        <v>73.7</v>
      </c>
      <c r="AH318" s="9">
        <f t="shared" si="80"/>
        <v>125.2</v>
      </c>
      <c r="AI318" s="9">
        <f t="shared" si="74"/>
        <v>16587.099999999995</v>
      </c>
      <c r="AJ318" s="14"/>
      <c r="AK318" s="14"/>
      <c r="AL318" s="14"/>
      <c r="AM318" s="14"/>
      <c r="AN318" s="166"/>
      <c r="AO318" s="166"/>
      <c r="AP318" s="14"/>
      <c r="AQ318" s="14"/>
      <c r="AS318" s="9">
        <f>AS311+(SUM(AH311:AH318))</f>
        <v>192652.69999999995</v>
      </c>
      <c r="AT318" s="9">
        <f>AS318-AS311-AG311</f>
        <v>644.39999999999418</v>
      </c>
      <c r="AU318" s="88">
        <f>AT318/AD311</f>
        <v>17.81765999999984</v>
      </c>
      <c r="AV318" s="88">
        <f>100/AU318</f>
        <v>5.6124092613733172</v>
      </c>
      <c r="AW318" s="88">
        <f>((+AD318)*C$62)+AX318</f>
        <v>657.08276046478454</v>
      </c>
      <c r="AX318" s="9">
        <v>80</v>
      </c>
      <c r="AZ318" s="88">
        <f t="shared" si="81"/>
        <v>44.339755768760327</v>
      </c>
      <c r="BA318" s="88">
        <f>AW318-34.2</f>
        <v>622.8827604647845</v>
      </c>
    </row>
    <row r="319" spans="23:53">
      <c r="W319" s="9" t="str">
        <f t="shared" ca="1" si="72"/>
        <v/>
      </c>
      <c r="X319" s="40">
        <v>45094</v>
      </c>
      <c r="Y319" s="168">
        <f t="shared" si="79"/>
        <v>6</v>
      </c>
      <c r="Z319" s="44" t="s">
        <v>1132</v>
      </c>
      <c r="AA319" s="21"/>
      <c r="AB319" s="21"/>
      <c r="AC319" s="21"/>
      <c r="AD319" s="88"/>
      <c r="AF319" s="26"/>
      <c r="AG319" s="9">
        <f>2.2+3+21.3+18.2+5.9+2.7</f>
        <v>53.300000000000004</v>
      </c>
      <c r="AH319" s="9">
        <f t="shared" si="80"/>
        <v>53.300000000000004</v>
      </c>
      <c r="AI319" s="9">
        <f t="shared" si="74"/>
        <v>16640.399999999994</v>
      </c>
      <c r="AJ319" s="14">
        <f>SUM(AH313:AH319)</f>
        <v>576.29999999999995</v>
      </c>
      <c r="AK319" s="14"/>
      <c r="AL319" s="14"/>
      <c r="AM319" s="14"/>
      <c r="AN319" s="166"/>
      <c r="AO319" s="166"/>
      <c r="AP319" s="14"/>
      <c r="AQ319" s="14"/>
      <c r="AZ319" s="88"/>
      <c r="BA319" s="88">
        <f t="shared" ref="BA319:BA325" si="82">BA318-AH319</f>
        <v>569.58276046478454</v>
      </c>
    </row>
    <row r="320" spans="23:53">
      <c r="W320" s="9" t="str">
        <f t="shared" ca="1" si="72"/>
        <v/>
      </c>
      <c r="X320" s="40">
        <v>45095</v>
      </c>
      <c r="Y320" s="168">
        <f t="shared" si="79"/>
        <v>6</v>
      </c>
      <c r="Z320" s="44" t="s">
        <v>1134</v>
      </c>
      <c r="AF320" s="26"/>
      <c r="AG320" s="9">
        <f>2.8+26.5+23.9</f>
        <v>53.2</v>
      </c>
      <c r="AH320" s="9">
        <f t="shared" si="80"/>
        <v>53.2</v>
      </c>
      <c r="AI320" s="9">
        <f t="shared" si="74"/>
        <v>16693.599999999995</v>
      </c>
      <c r="AJ320" s="14"/>
      <c r="AK320" s="14"/>
      <c r="AL320" s="14"/>
      <c r="AM320" s="14"/>
      <c r="AN320" s="166"/>
      <c r="AO320" s="166"/>
      <c r="AP320" s="14"/>
      <c r="AQ320" s="14"/>
      <c r="AZ320" s="88"/>
      <c r="BA320" s="88">
        <f t="shared" si="82"/>
        <v>516.3827604647845</v>
      </c>
    </row>
    <row r="321" spans="23:53">
      <c r="W321" s="9" t="str">
        <f t="shared" ca="1" si="72"/>
        <v/>
      </c>
      <c r="X321" s="40">
        <v>45096</v>
      </c>
      <c r="Y321" s="168">
        <f t="shared" si="79"/>
        <v>6</v>
      </c>
      <c r="Z321" s="44" t="s">
        <v>1136</v>
      </c>
      <c r="AF321" s="26">
        <f>24+25.3</f>
        <v>49.3</v>
      </c>
      <c r="AG321" s="9">
        <f>2.2+3.6</f>
        <v>5.8000000000000007</v>
      </c>
      <c r="AH321" s="9">
        <f t="shared" si="80"/>
        <v>55.099999999999994</v>
      </c>
      <c r="AI321" s="9">
        <f t="shared" si="74"/>
        <v>16748.699999999993</v>
      </c>
      <c r="AJ321" s="14"/>
      <c r="AK321" s="14"/>
      <c r="AL321" s="14"/>
      <c r="AM321" s="14"/>
      <c r="AN321" s="166"/>
      <c r="AO321" s="166"/>
      <c r="AP321" s="14"/>
      <c r="AQ321" s="14"/>
      <c r="AZ321" s="88"/>
      <c r="BA321" s="88">
        <f t="shared" si="82"/>
        <v>461.28276046478447</v>
      </c>
    </row>
    <row r="322" spans="23:53">
      <c r="W322" s="9" t="str">
        <f t="shared" ca="1" si="72"/>
        <v/>
      </c>
      <c r="X322" s="40">
        <v>45097</v>
      </c>
      <c r="Y322" s="168">
        <f t="shared" si="79"/>
        <v>6</v>
      </c>
      <c r="Z322" s="44" t="s">
        <v>1138</v>
      </c>
      <c r="AA322" s="21"/>
      <c r="AB322" s="21"/>
      <c r="AC322" s="21"/>
      <c r="AF322" s="26">
        <f>27.2+24.8</f>
        <v>52</v>
      </c>
      <c r="AG322" s="9">
        <f>2.2+4.6</f>
        <v>6.8</v>
      </c>
      <c r="AH322" s="9">
        <f t="shared" si="80"/>
        <v>58.8</v>
      </c>
      <c r="AI322" s="9">
        <f t="shared" si="74"/>
        <v>16807.499999999993</v>
      </c>
      <c r="AJ322" s="14"/>
      <c r="AK322" s="14"/>
      <c r="AL322" s="14"/>
      <c r="AM322" s="14"/>
      <c r="AN322" s="166"/>
      <c r="AO322" s="166"/>
      <c r="AP322" s="14"/>
      <c r="AQ322" s="14"/>
      <c r="BA322" s="88">
        <f t="shared" si="82"/>
        <v>402.48276046478446</v>
      </c>
    </row>
    <row r="323" spans="23:53">
      <c r="W323" s="9" t="str">
        <f t="shared" ca="1" si="72"/>
        <v/>
      </c>
      <c r="X323" s="40">
        <v>45098</v>
      </c>
      <c r="Y323" s="168">
        <f t="shared" si="79"/>
        <v>6</v>
      </c>
      <c r="Z323" s="44" t="s">
        <v>1140</v>
      </c>
      <c r="AF323" s="26">
        <f>26.8+26.8</f>
        <v>53.6</v>
      </c>
      <c r="AG323" s="9">
        <f>34.1+34.2</f>
        <v>68.300000000000011</v>
      </c>
      <c r="AH323" s="9">
        <f t="shared" si="80"/>
        <v>121.9</v>
      </c>
      <c r="AI323" s="9">
        <f t="shared" si="74"/>
        <v>16929.399999999994</v>
      </c>
      <c r="AJ323" s="14"/>
      <c r="AK323" s="14"/>
      <c r="AL323" s="14"/>
      <c r="AM323" s="14"/>
      <c r="AN323" s="166"/>
      <c r="AO323" s="166"/>
      <c r="AP323" s="14"/>
      <c r="AQ323" s="14"/>
      <c r="BA323" s="88">
        <f t="shared" si="82"/>
        <v>280.58276046478443</v>
      </c>
    </row>
    <row r="324" spans="23:53">
      <c r="W324" s="9" t="str">
        <f t="shared" ca="1" si="72"/>
        <v/>
      </c>
      <c r="X324" s="40">
        <v>45099</v>
      </c>
      <c r="Y324" s="168">
        <f t="shared" si="79"/>
        <v>6</v>
      </c>
      <c r="Z324" s="44" t="s">
        <v>1143</v>
      </c>
      <c r="AF324" s="26">
        <f>25.4+26.7</f>
        <v>52.099999999999994</v>
      </c>
      <c r="AG324" s="9">
        <f>2.2+9.3</f>
        <v>11.5</v>
      </c>
      <c r="AH324" s="9">
        <f t="shared" si="80"/>
        <v>63.599999999999994</v>
      </c>
      <c r="AI324" s="9">
        <f t="shared" si="74"/>
        <v>16992.999999999993</v>
      </c>
      <c r="AJ324" s="14"/>
      <c r="AK324" s="14"/>
      <c r="AL324" s="14"/>
      <c r="AM324" s="14"/>
      <c r="AN324" s="166"/>
      <c r="AO324" s="166"/>
      <c r="AP324" s="14"/>
      <c r="AQ324" s="14"/>
      <c r="AS324" s="14" t="s">
        <v>1207</v>
      </c>
      <c r="AT324" s="14"/>
      <c r="AU324" s="14"/>
      <c r="AV324" s="14"/>
      <c r="AW324" s="14"/>
      <c r="AX324" s="14"/>
      <c r="BA324" s="88">
        <f t="shared" si="82"/>
        <v>216.98276046478443</v>
      </c>
    </row>
    <row r="325" spans="23:53">
      <c r="W325" s="9" t="str">
        <f t="shared" ca="1" si="72"/>
        <v/>
      </c>
      <c r="X325" s="40">
        <v>45100</v>
      </c>
      <c r="Y325" s="168">
        <f t="shared" si="79"/>
        <v>6</v>
      </c>
      <c r="Z325" s="44" t="s">
        <v>1145</v>
      </c>
      <c r="AA325" s="21"/>
      <c r="AB325" s="21"/>
      <c r="AC325" s="21"/>
      <c r="AF325" s="26">
        <f>25.8+25.2</f>
        <v>51</v>
      </c>
      <c r="AG325" s="9">
        <f>34.4+34.3</f>
        <v>68.699999999999989</v>
      </c>
      <c r="AH325" s="9">
        <f t="shared" si="80"/>
        <v>119.69999999999999</v>
      </c>
      <c r="AI325" s="9">
        <f t="shared" si="74"/>
        <v>17112.699999999993</v>
      </c>
      <c r="AJ325" s="14"/>
      <c r="AK325" s="14"/>
      <c r="AL325" s="14"/>
      <c r="AM325" s="14"/>
      <c r="AN325" s="166"/>
      <c r="AO325" s="166"/>
      <c r="AP325" s="14"/>
      <c r="AQ325" s="14"/>
      <c r="AS325" s="9" t="s">
        <v>1208</v>
      </c>
      <c r="AT325" s="9" t="s">
        <v>1209</v>
      </c>
      <c r="AW325" s="9" t="s">
        <v>1210</v>
      </c>
      <c r="AX325" s="9" t="s">
        <v>1211</v>
      </c>
      <c r="BA325" s="88">
        <f t="shared" si="82"/>
        <v>97.282760464784445</v>
      </c>
    </row>
    <row r="326" spans="23:53">
      <c r="W326" s="9" t="str">
        <f t="shared" ca="1" si="72"/>
        <v/>
      </c>
      <c r="X326" s="40">
        <v>45101</v>
      </c>
      <c r="Y326" s="168">
        <f t="shared" si="79"/>
        <v>6</v>
      </c>
      <c r="Z326" s="44" t="s">
        <v>1132</v>
      </c>
      <c r="AA326" s="97">
        <v>60</v>
      </c>
      <c r="AB326" s="97">
        <v>0.62</v>
      </c>
      <c r="AC326" s="97">
        <v>1.679</v>
      </c>
      <c r="AD326" s="88">
        <f>AA326/AC326</f>
        <v>35.735556879094695</v>
      </c>
      <c r="AF326" s="26"/>
      <c r="AG326" s="9">
        <f>2.7+5.4+1.6+2.7+16.5+23.1+2.8+22+21.8</f>
        <v>98.6</v>
      </c>
      <c r="AH326" s="9">
        <f t="shared" si="80"/>
        <v>98.6</v>
      </c>
      <c r="AI326" s="9">
        <f t="shared" si="74"/>
        <v>17211.299999999992</v>
      </c>
      <c r="AJ326" s="14">
        <f>SUM(AH320:AH326)</f>
        <v>570.9</v>
      </c>
      <c r="AK326" s="14"/>
      <c r="AL326" s="14"/>
      <c r="AM326" s="14"/>
      <c r="AN326" s="166"/>
      <c r="AO326" s="166"/>
      <c r="AP326" s="14"/>
      <c r="AQ326" s="14"/>
      <c r="AS326" s="9">
        <f>AS318+SUM(AH318:AH326)</f>
        <v>193402.09999999995</v>
      </c>
      <c r="AT326" s="9">
        <f>AS326-AS318-(2.2+34.9+2.4)-(2.8+22+21.8)</f>
        <v>663.29999999999416</v>
      </c>
      <c r="AU326" s="88">
        <f>AT326/AD318</f>
        <v>18.561344999999839</v>
      </c>
      <c r="AV326" s="88">
        <f>100/AU326</f>
        <v>5.3875406119546225</v>
      </c>
      <c r="AW326" s="88">
        <f>((+AD326)*C$62)+AX326</f>
        <v>657.08276046478454</v>
      </c>
      <c r="AX326" s="88">
        <v>80</v>
      </c>
      <c r="AZ326" s="88">
        <f>AW326-(2.8+22+21.8)</f>
        <v>610.48276046478452</v>
      </c>
      <c r="BA326" s="88">
        <f>BA325-(2.8+22+21.8)</f>
        <v>50.682760464784444</v>
      </c>
    </row>
    <row r="327" spans="23:53">
      <c r="W327" s="9" t="str">
        <f t="shared" ca="1" si="72"/>
        <v/>
      </c>
      <c r="X327" s="40">
        <v>45102</v>
      </c>
      <c r="Y327" s="168">
        <f t="shared" si="79"/>
        <v>6</v>
      </c>
      <c r="Z327" s="44" t="s">
        <v>1134</v>
      </c>
      <c r="AF327" s="26"/>
      <c r="AG327" s="9">
        <f>19.4+19.1</f>
        <v>38.5</v>
      </c>
      <c r="AH327" s="9">
        <f t="shared" si="80"/>
        <v>38.5</v>
      </c>
      <c r="AI327" s="9">
        <f t="shared" si="74"/>
        <v>17249.799999999992</v>
      </c>
      <c r="AJ327" s="14"/>
      <c r="AK327" s="14"/>
      <c r="AL327" s="14"/>
      <c r="AM327" s="14"/>
      <c r="AN327" s="166"/>
      <c r="AO327" s="166"/>
      <c r="AP327" s="14"/>
      <c r="AQ327" s="14"/>
      <c r="AZ327" s="88">
        <f t="shared" ref="AZ327:AZ334" si="83">AZ326-AH327</f>
        <v>571.98276046478452</v>
      </c>
      <c r="BA327" s="88"/>
    </row>
    <row r="328" spans="23:53">
      <c r="W328" s="9" t="str">
        <f t="shared" ca="1" si="72"/>
        <v/>
      </c>
      <c r="X328" s="40">
        <v>45103</v>
      </c>
      <c r="Y328" s="168">
        <f t="shared" si="79"/>
        <v>6</v>
      </c>
      <c r="Z328" s="44" t="s">
        <v>1136</v>
      </c>
      <c r="AF328" s="26">
        <f>24.6+23.8</f>
        <v>48.400000000000006</v>
      </c>
      <c r="AG328" s="9">
        <f>7.4+7.8</f>
        <v>15.2</v>
      </c>
      <c r="AH328" s="9">
        <f t="shared" si="80"/>
        <v>63.600000000000009</v>
      </c>
      <c r="AI328" s="9">
        <f t="shared" si="74"/>
        <v>17313.399999999991</v>
      </c>
      <c r="AJ328" s="14"/>
      <c r="AK328" s="14" t="s">
        <v>1077</v>
      </c>
      <c r="AL328" s="14" t="s">
        <v>1204</v>
      </c>
      <c r="AM328" s="14" t="s">
        <v>1205</v>
      </c>
      <c r="AN328" s="166" t="s">
        <v>1069</v>
      </c>
      <c r="AO328" s="166" t="s">
        <v>1206</v>
      </c>
      <c r="AP328" s="14"/>
      <c r="AQ328" s="14"/>
      <c r="AZ328" s="88">
        <f t="shared" si="83"/>
        <v>508.3827604647845</v>
      </c>
      <c r="BA328" s="88"/>
    </row>
    <row r="329" spans="23:53">
      <c r="W329" s="9" t="str">
        <f t="shared" ca="1" si="72"/>
        <v/>
      </c>
      <c r="X329" s="39">
        <v>45104</v>
      </c>
      <c r="Y329" s="179">
        <f t="shared" si="79"/>
        <v>6</v>
      </c>
      <c r="Z329" s="107" t="s">
        <v>1138</v>
      </c>
      <c r="AA329" s="22"/>
      <c r="AB329" s="22"/>
      <c r="AC329" s="22"/>
      <c r="AD329" s="22"/>
      <c r="AE329" s="22"/>
      <c r="AF329" s="115">
        <f>27+28.3</f>
        <v>55.3</v>
      </c>
      <c r="AG329" s="22">
        <f>3.6</f>
        <v>3.6</v>
      </c>
      <c r="AH329" s="22">
        <f t="shared" si="80"/>
        <v>58.9</v>
      </c>
      <c r="AI329" s="22">
        <f t="shared" si="74"/>
        <v>17372.299999999992</v>
      </c>
      <c r="AJ329" s="1372"/>
      <c r="AK329" s="1372">
        <f>SUM(AH299:AH329)</f>
        <v>2097.8999999999996</v>
      </c>
      <c r="AL329" s="1372">
        <f>SUM(AF299:AF329)</f>
        <v>929.99999999999989</v>
      </c>
      <c r="AM329" s="1372">
        <f>SUM(AG299:AG329)</f>
        <v>1167.8999999999999</v>
      </c>
      <c r="AN329" s="219">
        <f>SUM(AD299:AD329)</f>
        <v>144.469891561499</v>
      </c>
      <c r="AO329" s="182">
        <f>AK329/AN329</f>
        <v>14.521364813975445</v>
      </c>
      <c r="AP329" s="183">
        <f>SUM(AA299:AB329)/SUM(AD299:AD329)</f>
        <v>1.6784120025228881</v>
      </c>
      <c r="AQ329" s="184">
        <f>(AP329/AO329)*(SUM(AH299:AH329))</f>
        <v>242.48000000000002</v>
      </c>
      <c r="AZ329" s="88">
        <f t="shared" si="83"/>
        <v>449.48276046478452</v>
      </c>
    </row>
    <row r="330" spans="23:53">
      <c r="W330" s="9" t="str">
        <f t="shared" ca="1" si="72"/>
        <v/>
      </c>
      <c r="X330" s="40">
        <v>45105</v>
      </c>
      <c r="Y330" s="168">
        <f t="shared" si="79"/>
        <v>6</v>
      </c>
      <c r="Z330" s="44" t="s">
        <v>1140</v>
      </c>
      <c r="AA330" s="21"/>
      <c r="AB330" s="21"/>
      <c r="AC330" s="21"/>
      <c r="AF330" s="26">
        <f>24.4+24.5</f>
        <v>48.9</v>
      </c>
      <c r="AG330" s="9">
        <f>3+38.9+4.2+33.9</f>
        <v>80</v>
      </c>
      <c r="AH330" s="9">
        <f t="shared" si="80"/>
        <v>128.9</v>
      </c>
      <c r="AI330" s="9">
        <f t="shared" si="74"/>
        <v>17501.199999999993</v>
      </c>
      <c r="AJ330" s="14"/>
      <c r="AK330" s="14"/>
      <c r="AL330" s="14"/>
      <c r="AM330" s="14"/>
      <c r="AN330" s="166"/>
      <c r="AO330" s="166"/>
      <c r="AP330" s="14"/>
      <c r="AQ330" s="14"/>
      <c r="AZ330" s="88">
        <f t="shared" si="83"/>
        <v>320.58276046478454</v>
      </c>
    </row>
    <row r="331" spans="23:53">
      <c r="W331" s="9" t="str">
        <f t="shared" ca="1" si="72"/>
        <v/>
      </c>
      <c r="X331" s="40">
        <v>45106</v>
      </c>
      <c r="Y331" s="168">
        <f t="shared" si="79"/>
        <v>6</v>
      </c>
      <c r="Z331" s="44" t="s">
        <v>1143</v>
      </c>
      <c r="AA331" s="21"/>
      <c r="AB331" s="21"/>
      <c r="AC331" s="21"/>
      <c r="AF331" s="26">
        <v>49.3</v>
      </c>
      <c r="AG331" s="9">
        <v>15.2</v>
      </c>
      <c r="AH331" s="9">
        <f t="shared" si="80"/>
        <v>64.5</v>
      </c>
      <c r="AI331" s="9">
        <f t="shared" si="74"/>
        <v>17565.699999999993</v>
      </c>
      <c r="AJ331" s="14"/>
      <c r="AK331" s="14"/>
      <c r="AL331" s="14"/>
      <c r="AM331" s="14"/>
      <c r="AN331" s="166"/>
      <c r="AO331" s="166"/>
      <c r="AP331" s="14"/>
      <c r="AQ331" s="14"/>
      <c r="AZ331" s="88">
        <f t="shared" si="83"/>
        <v>256.08276046478454</v>
      </c>
    </row>
    <row r="332" spans="23:53">
      <c r="W332" s="9" t="str">
        <f t="shared" ca="1" si="72"/>
        <v/>
      </c>
      <c r="X332" s="40">
        <v>45107</v>
      </c>
      <c r="Y332" s="168">
        <f t="shared" si="79"/>
        <v>6</v>
      </c>
      <c r="Z332" s="44" t="s">
        <v>1145</v>
      </c>
      <c r="AA332" s="21"/>
      <c r="AB332" s="21"/>
      <c r="AC332" s="21"/>
      <c r="AF332" s="26">
        <f>24.7+23.3</f>
        <v>48</v>
      </c>
      <c r="AG332" s="9">
        <f>2.4+1.7+2.1+3.1+4.1+2.8</f>
        <v>16.2</v>
      </c>
      <c r="AH332" s="9">
        <f t="shared" si="80"/>
        <v>64.2</v>
      </c>
      <c r="AI332" s="9">
        <f t="shared" si="74"/>
        <v>17629.899999999994</v>
      </c>
      <c r="AJ332" s="14"/>
      <c r="AK332" s="14"/>
      <c r="AL332" s="14"/>
      <c r="AM332" s="14"/>
      <c r="AN332" s="166"/>
      <c r="AO332" s="166"/>
      <c r="AP332" s="14"/>
      <c r="AQ332" s="14"/>
      <c r="AS332" s="14" t="s">
        <v>1207</v>
      </c>
      <c r="AT332" s="14"/>
      <c r="AU332" s="14"/>
      <c r="AV332" s="14"/>
      <c r="AW332" s="14"/>
      <c r="AX332" s="14"/>
      <c r="AZ332" s="88">
        <f t="shared" si="83"/>
        <v>191.88276046478455</v>
      </c>
    </row>
    <row r="333" spans="23:53">
      <c r="W333" s="9" t="str">
        <f t="shared" ca="1" si="72"/>
        <v/>
      </c>
      <c r="X333" s="40">
        <v>45108</v>
      </c>
      <c r="Y333" s="168">
        <f t="shared" si="79"/>
        <v>7</v>
      </c>
      <c r="Z333" s="44" t="s">
        <v>1132</v>
      </c>
      <c r="AA333" s="21"/>
      <c r="AB333" s="21"/>
      <c r="AC333" s="21"/>
      <c r="AF333" s="26"/>
      <c r="AG333" s="9">
        <f>2.5+3.5+7.9+10.4+8+8.1+14.7</f>
        <v>55.099999999999994</v>
      </c>
      <c r="AH333" s="9">
        <f t="shared" si="80"/>
        <v>55.099999999999994</v>
      </c>
      <c r="AI333" s="9">
        <f t="shared" si="74"/>
        <v>17684.999999999993</v>
      </c>
      <c r="AJ333" s="14">
        <f>SUM(AH327:AH333)</f>
        <v>473.69999999999993</v>
      </c>
      <c r="AK333" s="14"/>
      <c r="AL333" s="14"/>
      <c r="AM333" s="14"/>
      <c r="AN333" s="166"/>
      <c r="AO333" s="166"/>
      <c r="AP333" s="14"/>
      <c r="AQ333" s="14"/>
      <c r="AS333" s="9" t="s">
        <v>1208</v>
      </c>
      <c r="AT333" s="9" t="s">
        <v>1209</v>
      </c>
      <c r="AW333" s="9" t="s">
        <v>1210</v>
      </c>
      <c r="AX333" s="9" t="s">
        <v>1211</v>
      </c>
      <c r="AZ333" s="88">
        <f t="shared" si="83"/>
        <v>136.78276046478456</v>
      </c>
    </row>
    <row r="334" spans="23:53">
      <c r="W334" s="9" t="str">
        <f t="shared" ca="1" si="72"/>
        <v/>
      </c>
      <c r="X334" s="40">
        <v>45109</v>
      </c>
      <c r="Y334" s="168">
        <f t="shared" si="79"/>
        <v>7</v>
      </c>
      <c r="Z334" s="44" t="s">
        <v>1134</v>
      </c>
      <c r="AA334" s="97">
        <v>60</v>
      </c>
      <c r="AB334" s="97">
        <v>0.62</v>
      </c>
      <c r="AC334" s="97">
        <v>1.659</v>
      </c>
      <c r="AD334" s="217">
        <f>AA334/AC334</f>
        <v>36.166365280289327</v>
      </c>
      <c r="AF334" s="26"/>
      <c r="AG334" s="9">
        <f>2+1.4+18+55.1+33.9</f>
        <v>110.4</v>
      </c>
      <c r="AH334" s="9">
        <f t="shared" si="80"/>
        <v>110.4</v>
      </c>
      <c r="AI334" s="9">
        <f t="shared" si="74"/>
        <v>17795.399999999994</v>
      </c>
      <c r="AJ334" s="14"/>
      <c r="AK334" s="14"/>
      <c r="AL334" s="14"/>
      <c r="AM334" s="14"/>
      <c r="AN334" s="166"/>
      <c r="AO334" s="166"/>
      <c r="AP334" s="14"/>
      <c r="AQ334" s="14"/>
      <c r="AS334" s="9">
        <f>AS326+SUM(AH326:AH334)</f>
        <v>194084.79999999996</v>
      </c>
      <c r="AT334" s="9">
        <f>AS334-AS326-(55.1+33.9)+(2.8+22+21.8)</f>
        <v>640.30000000001166</v>
      </c>
      <c r="AU334" s="88">
        <f>AT334/AD326</f>
        <v>17.917728333333663</v>
      </c>
      <c r="AV334" s="88">
        <f>100/AU334</f>
        <v>5.5810646383092362</v>
      </c>
      <c r="AW334" s="88">
        <f>((+AD334)*C$62)+AX334</f>
        <v>704.0397557687603</v>
      </c>
      <c r="AX334" s="88">
        <v>120</v>
      </c>
      <c r="AZ334" s="88">
        <f t="shared" si="83"/>
        <v>26.382760464784553</v>
      </c>
      <c r="BA334" s="88">
        <f>AW334-AH334+2+1.4+18</f>
        <v>615.0397557687603</v>
      </c>
    </row>
    <row r="335" spans="23:53">
      <c r="W335" s="9" t="str">
        <f t="shared" ca="1" si="72"/>
        <v/>
      </c>
      <c r="X335" s="40">
        <v>45110</v>
      </c>
      <c r="Y335" s="168">
        <f t="shared" si="79"/>
        <v>7</v>
      </c>
      <c r="Z335" s="44" t="s">
        <v>1136</v>
      </c>
      <c r="AF335" s="26">
        <f>24.3+24.6</f>
        <v>48.900000000000006</v>
      </c>
      <c r="AG335" s="9">
        <f>7.7+7.4</f>
        <v>15.100000000000001</v>
      </c>
      <c r="AH335" s="9">
        <f t="shared" si="80"/>
        <v>64</v>
      </c>
      <c r="AI335" s="9">
        <f t="shared" si="74"/>
        <v>17859.399999999994</v>
      </c>
      <c r="AJ335" s="14"/>
      <c r="AK335" s="14"/>
      <c r="AL335" s="14"/>
      <c r="AM335" s="14"/>
      <c r="AN335" s="166"/>
      <c r="AO335" s="166"/>
      <c r="AP335" s="14"/>
      <c r="AQ335" s="14"/>
      <c r="AZ335" s="88"/>
      <c r="BA335" s="88">
        <f t="shared" ref="BA335:BA342" si="84">BA334-AH335</f>
        <v>551.0397557687603</v>
      </c>
    </row>
    <row r="336" spans="23:53">
      <c r="W336" s="9" t="str">
        <f t="shared" ca="1" si="72"/>
        <v/>
      </c>
      <c r="X336" s="40">
        <v>45111</v>
      </c>
      <c r="Y336" s="168">
        <f t="shared" si="79"/>
        <v>7</v>
      </c>
      <c r="Z336" s="44" t="s">
        <v>1138</v>
      </c>
      <c r="AA336" s="21"/>
      <c r="AB336" s="21"/>
      <c r="AC336" s="21"/>
      <c r="AF336" s="26">
        <f>24.6+22.1</f>
        <v>46.7</v>
      </c>
      <c r="AG336" s="9">
        <f>11.7+1.7+7.9+8.2</f>
        <v>29.499999999999996</v>
      </c>
      <c r="AH336" s="9">
        <f t="shared" si="80"/>
        <v>76.2</v>
      </c>
      <c r="AI336" s="9">
        <f t="shared" si="74"/>
        <v>17935.599999999995</v>
      </c>
      <c r="AJ336" s="14"/>
      <c r="AK336" s="14"/>
      <c r="AL336" s="14"/>
      <c r="AM336" s="14"/>
      <c r="AN336" s="166"/>
      <c r="AO336" s="166"/>
      <c r="AP336" s="14"/>
      <c r="AQ336" s="14"/>
      <c r="BA336" s="88">
        <f t="shared" si="84"/>
        <v>474.83975576876031</v>
      </c>
    </row>
    <row r="337" spans="23:53">
      <c r="W337" s="9" t="str">
        <f t="shared" ca="1" si="72"/>
        <v/>
      </c>
      <c r="X337" s="40">
        <v>45112</v>
      </c>
      <c r="Y337" s="168">
        <f t="shared" si="79"/>
        <v>7</v>
      </c>
      <c r="Z337" s="44" t="s">
        <v>1140</v>
      </c>
      <c r="AA337" s="21"/>
      <c r="AB337" s="21"/>
      <c r="AC337" s="21"/>
      <c r="AF337" s="26">
        <f>25+25.1</f>
        <v>50.1</v>
      </c>
      <c r="AG337" s="9">
        <f>2.2+2.2</f>
        <v>4.4000000000000004</v>
      </c>
      <c r="AH337" s="9">
        <f t="shared" si="80"/>
        <v>54.5</v>
      </c>
      <c r="AI337" s="9">
        <f t="shared" si="74"/>
        <v>17990.099999999995</v>
      </c>
      <c r="AJ337" s="14"/>
      <c r="AK337" s="14"/>
      <c r="AL337" s="14"/>
      <c r="AM337" s="14"/>
      <c r="AN337" s="166"/>
      <c r="AO337" s="166"/>
      <c r="AP337" s="14"/>
      <c r="AQ337" s="14"/>
      <c r="BA337" s="88">
        <f t="shared" si="84"/>
        <v>420.33975576876031</v>
      </c>
    </row>
    <row r="338" spans="23:53">
      <c r="W338" s="9" t="str">
        <f t="shared" ca="1" si="72"/>
        <v/>
      </c>
      <c r="X338" s="40">
        <v>45113</v>
      </c>
      <c r="Y338" s="168">
        <f t="shared" si="79"/>
        <v>7</v>
      </c>
      <c r="Z338" s="44" t="s">
        <v>1143</v>
      </c>
      <c r="AA338" s="21"/>
      <c r="AB338" s="21"/>
      <c r="AC338" s="21"/>
      <c r="AF338" s="26">
        <v>49.3</v>
      </c>
      <c r="AG338" s="9">
        <f>7.7+7.4</f>
        <v>15.100000000000001</v>
      </c>
      <c r="AH338" s="9">
        <f t="shared" si="80"/>
        <v>64.400000000000006</v>
      </c>
      <c r="AI338" s="9">
        <f t="shared" si="74"/>
        <v>18054.499999999996</v>
      </c>
      <c r="AJ338" s="14"/>
      <c r="AK338" s="14"/>
      <c r="AL338" s="14"/>
      <c r="AM338" s="14"/>
      <c r="AN338" s="166"/>
      <c r="AO338" s="166"/>
      <c r="AP338" s="14"/>
      <c r="AQ338" s="14"/>
      <c r="BA338" s="88">
        <f t="shared" si="84"/>
        <v>355.93975576876028</v>
      </c>
    </row>
    <row r="339" spans="23:53">
      <c r="W339" s="9" t="str">
        <f t="shared" ca="1" si="72"/>
        <v/>
      </c>
      <c r="X339" s="40">
        <v>45114</v>
      </c>
      <c r="Y339" s="168">
        <f t="shared" si="79"/>
        <v>7</v>
      </c>
      <c r="Z339" s="44" t="s">
        <v>1145</v>
      </c>
      <c r="AA339" s="21"/>
      <c r="AB339" s="21"/>
      <c r="AC339" s="21"/>
      <c r="AF339" s="26">
        <f>25.4+24.5</f>
        <v>49.9</v>
      </c>
      <c r="AG339" s="9">
        <f>2.7+3.9+0.8+18+20.8</f>
        <v>46.2</v>
      </c>
      <c r="AH339" s="9">
        <f t="shared" si="80"/>
        <v>96.1</v>
      </c>
      <c r="AI339" s="9">
        <f t="shared" si="74"/>
        <v>18150.599999999995</v>
      </c>
      <c r="AJ339" s="14"/>
      <c r="AK339" s="14"/>
      <c r="AL339" s="14"/>
      <c r="AM339" s="14"/>
      <c r="AN339" s="166"/>
      <c r="AO339" s="166"/>
      <c r="AP339" s="14"/>
      <c r="AQ339" s="14"/>
      <c r="BA339" s="88">
        <f t="shared" si="84"/>
        <v>259.83975576876026</v>
      </c>
    </row>
    <row r="340" spans="23:53">
      <c r="W340" s="9" t="str">
        <f t="shared" ca="1" si="72"/>
        <v/>
      </c>
      <c r="X340" s="40">
        <v>45115</v>
      </c>
      <c r="Y340" s="168">
        <f t="shared" si="79"/>
        <v>7</v>
      </c>
      <c r="Z340" s="44" t="s">
        <v>1132</v>
      </c>
      <c r="AA340" s="21"/>
      <c r="AB340" s="21"/>
      <c r="AC340" s="21"/>
      <c r="AF340" s="26"/>
      <c r="AG340" s="88">
        <f>14.7+18.7+6.2+0.62</f>
        <v>40.22</v>
      </c>
      <c r="AH340" s="9">
        <f t="shared" si="80"/>
        <v>40.22</v>
      </c>
      <c r="AI340" s="9">
        <f t="shared" si="74"/>
        <v>18190.819999999996</v>
      </c>
      <c r="AJ340" s="14">
        <f>SUM(AH334:AH340)</f>
        <v>505.82000000000005</v>
      </c>
      <c r="AK340" s="14"/>
      <c r="AL340" s="14"/>
      <c r="AM340" s="14"/>
      <c r="AN340" s="166"/>
      <c r="AO340" s="166"/>
      <c r="AP340" s="14"/>
      <c r="AQ340" s="14"/>
      <c r="AS340" s="14" t="s">
        <v>1207</v>
      </c>
      <c r="AT340" s="14"/>
      <c r="AU340" s="14"/>
      <c r="AV340" s="14"/>
      <c r="AW340" s="14"/>
      <c r="AX340" s="14"/>
      <c r="BA340" s="88">
        <f t="shared" si="84"/>
        <v>219.61975576876026</v>
      </c>
    </row>
    <row r="341" spans="23:53">
      <c r="W341" s="9" t="str">
        <f t="shared" ca="1" si="72"/>
        <v/>
      </c>
      <c r="X341" s="40">
        <v>45116</v>
      </c>
      <c r="Y341" s="168">
        <f t="shared" si="79"/>
        <v>7</v>
      </c>
      <c r="Z341" s="44" t="s">
        <v>1134</v>
      </c>
      <c r="AA341" s="21"/>
      <c r="AB341" s="21"/>
      <c r="AC341" s="21"/>
      <c r="AF341" s="26"/>
      <c r="AG341" s="9">
        <f>3.2+1.9+21.3+1.6+22.7</f>
        <v>50.7</v>
      </c>
      <c r="AH341" s="9">
        <f t="shared" si="80"/>
        <v>50.7</v>
      </c>
      <c r="AI341" s="9">
        <f t="shared" si="74"/>
        <v>18241.519999999997</v>
      </c>
      <c r="AJ341" s="14"/>
      <c r="AK341" s="14"/>
      <c r="AL341" s="14"/>
      <c r="AM341" s="14"/>
      <c r="AN341" s="166"/>
      <c r="AO341" s="166"/>
      <c r="AP341" s="14"/>
      <c r="AQ341" s="14"/>
      <c r="AS341" s="9" t="s">
        <v>1208</v>
      </c>
      <c r="AT341" s="9" t="s">
        <v>1209</v>
      </c>
      <c r="AW341" s="9" t="s">
        <v>1210</v>
      </c>
      <c r="AX341" s="9" t="s">
        <v>1211</v>
      </c>
      <c r="BA341" s="88">
        <f t="shared" si="84"/>
        <v>168.91975576876024</v>
      </c>
    </row>
    <row r="342" spans="23:53">
      <c r="W342" s="9" t="str">
        <f t="shared" ca="1" si="72"/>
        <v/>
      </c>
      <c r="X342" s="40">
        <v>45117</v>
      </c>
      <c r="Y342" s="168">
        <f t="shared" si="79"/>
        <v>7</v>
      </c>
      <c r="Z342" s="44" t="s">
        <v>1136</v>
      </c>
      <c r="AA342" s="97">
        <v>60</v>
      </c>
      <c r="AB342" s="97">
        <v>0.62</v>
      </c>
      <c r="AC342" s="97">
        <v>1.639</v>
      </c>
      <c r="AD342" s="88">
        <f>AA342/AC342</f>
        <v>36.607687614399026</v>
      </c>
      <c r="AF342" s="26">
        <f>25+21.3</f>
        <v>46.3</v>
      </c>
      <c r="AG342" s="9">
        <f>2.1+2.1+1.9+2.2</f>
        <v>8.3000000000000007</v>
      </c>
      <c r="AH342" s="9">
        <f t="shared" si="80"/>
        <v>54.599999999999994</v>
      </c>
      <c r="AI342" s="9">
        <f t="shared" si="74"/>
        <v>18296.119999999995</v>
      </c>
      <c r="AJ342" s="14"/>
      <c r="AK342" s="14"/>
      <c r="AL342" s="14"/>
      <c r="AM342" s="14"/>
      <c r="AN342" s="166"/>
      <c r="AO342" s="166"/>
      <c r="AP342" s="14"/>
      <c r="AQ342" s="14"/>
      <c r="AS342" s="9">
        <f>194519+AF342</f>
        <v>194565.3</v>
      </c>
      <c r="AT342" s="9">
        <f>AS342-AS334</f>
        <v>480.5000000000291</v>
      </c>
      <c r="AU342" s="88">
        <f>AT342/AD334</f>
        <v>13.285825000000806</v>
      </c>
      <c r="AV342" s="88">
        <f>100/AU342</f>
        <v>7.5268189969380099</v>
      </c>
      <c r="AW342" s="88">
        <f>((+AD342)*C$62)+AX342</f>
        <v>687.16653741328457</v>
      </c>
      <c r="AX342" s="88">
        <v>96</v>
      </c>
      <c r="AZ342" s="88">
        <f>AW342-AF342</f>
        <v>640.86653741328462</v>
      </c>
      <c r="BA342" s="88">
        <f t="shared" si="84"/>
        <v>114.31975576876025</v>
      </c>
    </row>
    <row r="343" spans="23:53">
      <c r="W343" s="9" t="str">
        <f t="shared" ca="1" si="72"/>
        <v/>
      </c>
      <c r="X343" s="40">
        <v>45118</v>
      </c>
      <c r="Y343" s="168">
        <f t="shared" si="79"/>
        <v>7</v>
      </c>
      <c r="Z343" s="44" t="s">
        <v>1138</v>
      </c>
      <c r="AA343" s="21"/>
      <c r="AB343" s="21"/>
      <c r="AD343" s="21"/>
      <c r="AF343" s="26">
        <f>24.9+23.7</f>
        <v>48.599999999999994</v>
      </c>
      <c r="AG343" s="9">
        <f>10.9+8+7.6</f>
        <v>26.5</v>
      </c>
      <c r="AH343" s="9">
        <f t="shared" si="80"/>
        <v>75.099999999999994</v>
      </c>
      <c r="AI343" s="9">
        <f t="shared" si="74"/>
        <v>18371.219999999994</v>
      </c>
      <c r="AJ343" s="14"/>
      <c r="AK343" s="14"/>
      <c r="AL343" s="14"/>
      <c r="AM343" s="14"/>
      <c r="AN343" s="166"/>
      <c r="AO343" s="166"/>
      <c r="AP343" s="14"/>
      <c r="AQ343" s="14"/>
      <c r="AZ343" s="88">
        <f t="shared" ref="AZ343:AZ350" si="85">AZ342-AH343</f>
        <v>565.7665374132846</v>
      </c>
      <c r="BA343" s="88"/>
    </row>
    <row r="344" spans="23:53">
      <c r="W344" s="9" t="str">
        <f t="shared" ca="1" si="72"/>
        <v/>
      </c>
      <c r="X344" s="40">
        <v>45119</v>
      </c>
      <c r="Y344" s="168">
        <f t="shared" si="79"/>
        <v>7</v>
      </c>
      <c r="Z344" s="44" t="s">
        <v>1140</v>
      </c>
      <c r="AF344" s="26">
        <f>25.3+19.9</f>
        <v>45.2</v>
      </c>
      <c r="AG344" s="9">
        <f>7+4.5</f>
        <v>11.5</v>
      </c>
      <c r="AH344" s="9">
        <f t="shared" si="80"/>
        <v>56.7</v>
      </c>
      <c r="AI344" s="9">
        <f t="shared" si="74"/>
        <v>18427.919999999995</v>
      </c>
      <c r="AJ344" s="14"/>
      <c r="AK344" s="14"/>
      <c r="AL344" s="14"/>
      <c r="AM344" s="14"/>
      <c r="AN344" s="166"/>
      <c r="AO344" s="166"/>
      <c r="AP344" s="14"/>
      <c r="AQ344" s="14"/>
      <c r="AZ344" s="88">
        <f t="shared" si="85"/>
        <v>509.06653741328461</v>
      </c>
    </row>
    <row r="345" spans="23:53">
      <c r="W345" s="9" t="str">
        <f t="shared" ca="1" si="72"/>
        <v/>
      </c>
      <c r="X345" s="40">
        <v>45120</v>
      </c>
      <c r="Y345" s="168">
        <f t="shared" si="79"/>
        <v>7</v>
      </c>
      <c r="Z345" s="44" t="s">
        <v>1143</v>
      </c>
      <c r="AA345" s="21"/>
      <c r="AB345" s="21"/>
      <c r="AC345" s="21"/>
      <c r="AF345" s="26">
        <f>22+25.7</f>
        <v>47.7</v>
      </c>
      <c r="AG345" s="9">
        <f>2.6+46.7</f>
        <v>49.300000000000004</v>
      </c>
      <c r="AH345" s="9">
        <f t="shared" si="80"/>
        <v>97</v>
      </c>
      <c r="AI345" s="9">
        <f t="shared" si="74"/>
        <v>18524.919999999995</v>
      </c>
      <c r="AJ345" s="14"/>
      <c r="AK345" s="14"/>
      <c r="AL345" s="14"/>
      <c r="AM345" s="14"/>
      <c r="AN345" s="166"/>
      <c r="AO345" s="166"/>
      <c r="AP345" s="14"/>
      <c r="AQ345" s="14"/>
      <c r="AZ345" s="88">
        <f t="shared" si="85"/>
        <v>412.06653741328461</v>
      </c>
    </row>
    <row r="346" spans="23:53">
      <c r="W346" s="9" t="str">
        <f t="shared" ref="W346:W409" ca="1" si="86">IF(X346=TODAY(),1,"")</f>
        <v/>
      </c>
      <c r="X346" s="40">
        <v>45121</v>
      </c>
      <c r="Y346" s="168">
        <f t="shared" si="79"/>
        <v>7</v>
      </c>
      <c r="Z346" s="44" t="s">
        <v>1145</v>
      </c>
      <c r="AA346" s="21"/>
      <c r="AB346" s="21"/>
      <c r="AC346" s="21"/>
      <c r="AF346" s="26">
        <f>24.2+31.9</f>
        <v>56.099999999999994</v>
      </c>
      <c r="AG346" s="9">
        <f>7.2+1.6+2.7</f>
        <v>11.5</v>
      </c>
      <c r="AH346" s="9">
        <f t="shared" si="80"/>
        <v>67.599999999999994</v>
      </c>
      <c r="AI346" s="9">
        <f t="shared" si="74"/>
        <v>18592.519999999993</v>
      </c>
      <c r="AJ346" s="14"/>
      <c r="AK346" s="14"/>
      <c r="AL346" s="14"/>
      <c r="AM346" s="14"/>
      <c r="AN346" s="166"/>
      <c r="AO346" s="166"/>
      <c r="AP346" s="14"/>
      <c r="AQ346" s="14"/>
      <c r="AZ346" s="88">
        <f t="shared" si="85"/>
        <v>344.46653741328464</v>
      </c>
    </row>
    <row r="347" spans="23:53">
      <c r="W347" s="9" t="str">
        <f t="shared" ca="1" si="86"/>
        <v/>
      </c>
      <c r="X347" s="40">
        <v>45122</v>
      </c>
      <c r="Y347" s="168">
        <f t="shared" si="79"/>
        <v>7</v>
      </c>
      <c r="Z347" s="44" t="s">
        <v>1132</v>
      </c>
      <c r="AA347" s="21"/>
      <c r="AB347" s="21"/>
      <c r="AC347" s="21"/>
      <c r="AF347" s="26"/>
      <c r="AG347" s="9">
        <f>18.1+18.1+50.6+50.8</f>
        <v>137.60000000000002</v>
      </c>
      <c r="AH347" s="9">
        <f t="shared" si="80"/>
        <v>137.60000000000002</v>
      </c>
      <c r="AI347" s="9">
        <f t="shared" ref="AI347:AI410" si="87">AI346+AH347</f>
        <v>18730.119999999992</v>
      </c>
      <c r="AJ347" s="14">
        <f>SUM(AH341:AH347)</f>
        <v>539.29999999999995</v>
      </c>
      <c r="AK347" s="14"/>
      <c r="AL347" s="14"/>
      <c r="AM347" s="14"/>
      <c r="AN347" s="166"/>
      <c r="AO347" s="166"/>
      <c r="AP347" s="14"/>
      <c r="AQ347" s="14"/>
      <c r="AZ347" s="88">
        <f t="shared" si="85"/>
        <v>206.86653741328462</v>
      </c>
    </row>
    <row r="348" spans="23:53">
      <c r="W348" s="9" t="str">
        <f t="shared" ca="1" si="86"/>
        <v/>
      </c>
      <c r="X348" s="40">
        <v>45123</v>
      </c>
      <c r="Y348" s="168">
        <f t="shared" si="79"/>
        <v>7</v>
      </c>
      <c r="Z348" s="44" t="s">
        <v>1134</v>
      </c>
      <c r="AA348" s="21"/>
      <c r="AB348" s="21"/>
      <c r="AC348" s="21"/>
      <c r="AF348" s="26"/>
      <c r="AG348" s="9">
        <v>38.5</v>
      </c>
      <c r="AH348" s="9">
        <f t="shared" si="80"/>
        <v>38.5</v>
      </c>
      <c r="AI348" s="9">
        <f t="shared" si="87"/>
        <v>18768.619999999992</v>
      </c>
      <c r="AJ348" s="14"/>
      <c r="AK348" s="14"/>
      <c r="AL348" s="14"/>
      <c r="AM348" s="14"/>
      <c r="AN348" s="166"/>
      <c r="AO348" s="166"/>
      <c r="AP348" s="14"/>
      <c r="AQ348" s="14"/>
      <c r="AS348" s="14" t="s">
        <v>1207</v>
      </c>
      <c r="AT348" s="14"/>
      <c r="AU348" s="14"/>
      <c r="AV348" s="14"/>
      <c r="AW348" s="14"/>
      <c r="AX348" s="14"/>
      <c r="AZ348" s="88">
        <f t="shared" si="85"/>
        <v>168.36653741328462</v>
      </c>
    </row>
    <row r="349" spans="23:53">
      <c r="W349" s="9" t="str">
        <f t="shared" ca="1" si="86"/>
        <v/>
      </c>
      <c r="X349" s="40">
        <v>45124</v>
      </c>
      <c r="Y349" s="168">
        <f t="shared" si="79"/>
        <v>7</v>
      </c>
      <c r="Z349" s="44" t="s">
        <v>1136</v>
      </c>
      <c r="AA349" s="21"/>
      <c r="AB349" s="21"/>
      <c r="AC349" s="21"/>
      <c r="AF349" s="26">
        <f>25+24.3</f>
        <v>49.3</v>
      </c>
      <c r="AG349" s="9">
        <f>1+5+2.1</f>
        <v>8.1</v>
      </c>
      <c r="AH349" s="9">
        <f t="shared" si="80"/>
        <v>57.4</v>
      </c>
      <c r="AI349" s="9">
        <f t="shared" si="87"/>
        <v>18826.019999999993</v>
      </c>
      <c r="AJ349" s="14"/>
      <c r="AK349" s="14"/>
      <c r="AL349" s="14"/>
      <c r="AM349" s="14"/>
      <c r="AN349" s="166"/>
      <c r="AO349" s="166"/>
      <c r="AP349" s="14"/>
      <c r="AQ349" s="14"/>
      <c r="AS349" s="9" t="s">
        <v>1208</v>
      </c>
      <c r="AT349" s="9" t="s">
        <v>1209</v>
      </c>
      <c r="AW349" s="9" t="s">
        <v>1210</v>
      </c>
      <c r="AX349" s="9" t="s">
        <v>1211</v>
      </c>
      <c r="AZ349" s="88">
        <f t="shared" si="85"/>
        <v>110.96653741328461</v>
      </c>
    </row>
    <row r="350" spans="23:53">
      <c r="W350" s="9" t="str">
        <f t="shared" ca="1" si="86"/>
        <v/>
      </c>
      <c r="X350" s="40">
        <v>45125</v>
      </c>
      <c r="Y350" s="168">
        <f t="shared" si="79"/>
        <v>7</v>
      </c>
      <c r="Z350" s="44" t="s">
        <v>1138</v>
      </c>
      <c r="AA350" s="97">
        <v>60</v>
      </c>
      <c r="AB350" s="97">
        <v>0.62</v>
      </c>
      <c r="AC350" s="97">
        <v>1.639</v>
      </c>
      <c r="AD350" s="217">
        <f>AA350/AC350</f>
        <v>36.607687614399026</v>
      </c>
      <c r="AF350" s="26">
        <f>23.7+24.9</f>
        <v>48.599999999999994</v>
      </c>
      <c r="AH350" s="9">
        <f t="shared" si="80"/>
        <v>48.599999999999994</v>
      </c>
      <c r="AI350" s="9">
        <f t="shared" si="87"/>
        <v>18874.619999999992</v>
      </c>
      <c r="AJ350" s="14"/>
      <c r="AK350" s="14"/>
      <c r="AL350" s="14"/>
      <c r="AM350" s="14"/>
      <c r="AN350" s="166"/>
      <c r="AO350" s="166"/>
      <c r="AP350" s="14"/>
      <c r="AQ350" s="14"/>
      <c r="AS350" s="9">
        <f>195247-24.6</f>
        <v>195222.39999999999</v>
      </c>
      <c r="AT350" s="9">
        <f>AS350-AS342</f>
        <v>657.10000000000582</v>
      </c>
      <c r="AU350" s="88">
        <f>AT350/AD342</f>
        <v>17.949781666666823</v>
      </c>
      <c r="AV350" s="88">
        <f>100/AU350</f>
        <v>5.5710984042609502</v>
      </c>
      <c r="AW350" s="88">
        <f>((+AD350)*C$62)+AX350</f>
        <v>662.16653741328457</v>
      </c>
      <c r="AX350" s="88">
        <v>71</v>
      </c>
      <c r="AZ350" s="88">
        <f t="shared" si="85"/>
        <v>62.366537413284618</v>
      </c>
      <c r="BA350" s="88">
        <f>AW350-AG350</f>
        <v>662.16653741328457</v>
      </c>
    </row>
    <row r="351" spans="23:53">
      <c r="W351" s="9" t="str">
        <f t="shared" ca="1" si="86"/>
        <v/>
      </c>
      <c r="X351" s="40">
        <v>45126</v>
      </c>
      <c r="Y351" s="168">
        <f t="shared" si="79"/>
        <v>7</v>
      </c>
      <c r="Z351" s="44" t="s">
        <v>1140</v>
      </c>
      <c r="AF351" s="26">
        <f>22+24.5</f>
        <v>46.5</v>
      </c>
      <c r="AG351" s="9">
        <f>4.2+1.9</f>
        <v>6.1</v>
      </c>
      <c r="AH351" s="9">
        <f t="shared" si="80"/>
        <v>52.6</v>
      </c>
      <c r="AI351" s="9">
        <f t="shared" si="87"/>
        <v>18927.21999999999</v>
      </c>
      <c r="AJ351" s="14"/>
      <c r="AK351" s="14"/>
      <c r="AL351" s="14"/>
      <c r="AM351" s="14"/>
      <c r="AN351" s="166"/>
      <c r="AO351" s="166"/>
      <c r="AP351" s="14"/>
      <c r="AQ351" s="14"/>
      <c r="AZ351" s="88">
        <f>AZ350-AH353</f>
        <v>-60.483462586715376</v>
      </c>
      <c r="BA351" s="88">
        <f t="shared" ref="BA351:BA359" si="88">BA350-AH350</f>
        <v>613.56653741328455</v>
      </c>
    </row>
    <row r="352" spans="23:53">
      <c r="W352" s="9" t="str">
        <f t="shared" ca="1" si="86"/>
        <v/>
      </c>
      <c r="X352" s="40">
        <v>45127</v>
      </c>
      <c r="Y352" s="168">
        <f t="shared" si="79"/>
        <v>7</v>
      </c>
      <c r="Z352" s="44" t="s">
        <v>1143</v>
      </c>
      <c r="AF352" s="26">
        <f>21.9+20.2</f>
        <v>42.099999999999994</v>
      </c>
      <c r="AG352" s="9">
        <f>8.3+3.1+2.7</f>
        <v>14.100000000000001</v>
      </c>
      <c r="AH352" s="9">
        <f t="shared" si="80"/>
        <v>56.199999999999996</v>
      </c>
      <c r="AI352" s="9">
        <f t="shared" si="87"/>
        <v>18983.419999999991</v>
      </c>
      <c r="AJ352" s="14"/>
      <c r="AK352" s="14"/>
      <c r="AL352" s="14"/>
      <c r="AM352" s="14"/>
      <c r="AN352" s="166"/>
      <c r="AO352" s="166"/>
      <c r="AP352" s="14"/>
      <c r="AQ352" s="14"/>
      <c r="BA352" s="88">
        <f t="shared" si="88"/>
        <v>560.96653741328453</v>
      </c>
    </row>
    <row r="353" spans="23:53">
      <c r="W353" s="9" t="str">
        <f t="shared" ca="1" si="86"/>
        <v/>
      </c>
      <c r="X353" s="40">
        <v>45128</v>
      </c>
      <c r="Y353" s="168">
        <f t="shared" si="79"/>
        <v>7</v>
      </c>
      <c r="Z353" s="44" t="s">
        <v>1145</v>
      </c>
      <c r="AA353" s="21"/>
      <c r="AB353" s="21"/>
      <c r="AF353" s="26">
        <f>24.2+25.1</f>
        <v>49.3</v>
      </c>
      <c r="AG353" s="88">
        <f>35.3+0.75+1.7+35.8</f>
        <v>73.55</v>
      </c>
      <c r="AH353" s="9">
        <f t="shared" si="80"/>
        <v>122.85</v>
      </c>
      <c r="AI353" s="9">
        <f t="shared" si="87"/>
        <v>19106.26999999999</v>
      </c>
      <c r="AJ353" s="14"/>
      <c r="AK353" s="14"/>
      <c r="AL353" s="14"/>
      <c r="AM353" s="14"/>
      <c r="AN353" s="166"/>
      <c r="AO353" s="166"/>
      <c r="AP353" s="14"/>
      <c r="AQ353" s="14"/>
      <c r="BA353" s="88">
        <f t="shared" si="88"/>
        <v>504.76653741328454</v>
      </c>
    </row>
    <row r="354" spans="23:53">
      <c r="W354" s="9" t="str">
        <f t="shared" ca="1" si="86"/>
        <v/>
      </c>
      <c r="X354" s="40">
        <v>45129</v>
      </c>
      <c r="Y354" s="168">
        <f t="shared" si="79"/>
        <v>7</v>
      </c>
      <c r="Z354" s="44" t="s">
        <v>1132</v>
      </c>
      <c r="AF354" s="26"/>
      <c r="AG354" s="9">
        <f>15.4+15.4</f>
        <v>30.8</v>
      </c>
      <c r="AH354" s="9">
        <f>AF354+AG354</f>
        <v>30.8</v>
      </c>
      <c r="AI354" s="9">
        <f t="shared" si="87"/>
        <v>19137.069999999989</v>
      </c>
      <c r="AJ354" s="14">
        <f>SUM(AH348:AH354)</f>
        <v>406.95</v>
      </c>
      <c r="AK354" s="14"/>
      <c r="AL354" s="14"/>
      <c r="AM354" s="14"/>
      <c r="AN354" s="166"/>
      <c r="AO354" s="166"/>
      <c r="AP354" s="14"/>
      <c r="AQ354" s="14"/>
      <c r="BA354" s="88">
        <f t="shared" si="88"/>
        <v>381.91653741328457</v>
      </c>
    </row>
    <row r="355" spans="23:53">
      <c r="W355" s="9" t="str">
        <f t="shared" ca="1" si="86"/>
        <v/>
      </c>
      <c r="X355" s="40">
        <v>45130</v>
      </c>
      <c r="Y355" s="168">
        <f t="shared" si="79"/>
        <v>7</v>
      </c>
      <c r="Z355" s="44" t="s">
        <v>1134</v>
      </c>
      <c r="AA355" s="21"/>
      <c r="AB355" s="21"/>
      <c r="AC355" s="21"/>
      <c r="AF355" s="26"/>
      <c r="AG355" s="9">
        <f>24+26+1.8+3.6</f>
        <v>55.4</v>
      </c>
      <c r="AH355" s="9">
        <f>AF355+AG355</f>
        <v>55.4</v>
      </c>
      <c r="AI355" s="9">
        <f t="shared" si="87"/>
        <v>19192.46999999999</v>
      </c>
      <c r="AJ355" s="14"/>
      <c r="AK355" s="14"/>
      <c r="AL355" s="14"/>
      <c r="AM355" s="14"/>
      <c r="AN355" s="166"/>
      <c r="AO355" s="166"/>
      <c r="AP355" s="14"/>
      <c r="AQ355" s="14"/>
      <c r="BA355" s="88">
        <f t="shared" si="88"/>
        <v>351.11653741328456</v>
      </c>
    </row>
    <row r="356" spans="23:53">
      <c r="W356" s="9" t="str">
        <f t="shared" ca="1" si="86"/>
        <v/>
      </c>
      <c r="X356" s="40">
        <v>45131</v>
      </c>
      <c r="Y356" s="168">
        <f t="shared" si="79"/>
        <v>7</v>
      </c>
      <c r="Z356" s="44" t="s">
        <v>1136</v>
      </c>
      <c r="AA356" s="21"/>
      <c r="AB356" s="21"/>
      <c r="AC356" s="21"/>
      <c r="AF356" s="26">
        <f>25+23.6</f>
        <v>48.6</v>
      </c>
      <c r="AG356" s="9">
        <f>2.5+2.4+2.2</f>
        <v>7.1000000000000005</v>
      </c>
      <c r="AH356" s="9">
        <f t="shared" si="80"/>
        <v>55.7</v>
      </c>
      <c r="AI356" s="9">
        <f t="shared" si="87"/>
        <v>19248.169999999991</v>
      </c>
      <c r="AJ356" s="14"/>
      <c r="AK356" s="14"/>
      <c r="AL356" s="14"/>
      <c r="AM356" s="14"/>
      <c r="AN356" s="166"/>
      <c r="AO356" s="166"/>
      <c r="AP356" s="14"/>
      <c r="AQ356" s="14"/>
      <c r="BA356" s="88">
        <f t="shared" si="88"/>
        <v>295.71653741328458</v>
      </c>
    </row>
    <row r="357" spans="23:53">
      <c r="W357" s="9" t="str">
        <f t="shared" ca="1" si="86"/>
        <v/>
      </c>
      <c r="X357" s="40">
        <v>45132</v>
      </c>
      <c r="Y357" s="168">
        <f t="shared" si="79"/>
        <v>7</v>
      </c>
      <c r="Z357" s="44" t="s">
        <v>1138</v>
      </c>
      <c r="AA357" s="21"/>
      <c r="AB357" s="21"/>
      <c r="AC357" s="21"/>
      <c r="AD357" s="88"/>
      <c r="AF357" s="26">
        <f>25.7+28.2</f>
        <v>53.9</v>
      </c>
      <c r="AG357" s="9">
        <f>1.8+2.1</f>
        <v>3.9000000000000004</v>
      </c>
      <c r="AH357" s="9">
        <f t="shared" si="80"/>
        <v>57.8</v>
      </c>
      <c r="AI357" s="9">
        <f t="shared" si="87"/>
        <v>19305.96999999999</v>
      </c>
      <c r="AJ357" s="14"/>
      <c r="AK357" s="14"/>
      <c r="AL357" s="14"/>
      <c r="AM357" s="14"/>
      <c r="AN357" s="166"/>
      <c r="AO357" s="166"/>
      <c r="AP357" s="14"/>
      <c r="AQ357" s="14"/>
      <c r="BA357" s="88">
        <f t="shared" si="88"/>
        <v>240.0165374132846</v>
      </c>
    </row>
    <row r="358" spans="23:53">
      <c r="W358" s="9" t="str">
        <f t="shared" ca="1" si="86"/>
        <v/>
      </c>
      <c r="X358" s="40">
        <v>45133</v>
      </c>
      <c r="Y358" s="168">
        <f t="shared" si="79"/>
        <v>7</v>
      </c>
      <c r="Z358" s="44" t="s">
        <v>1140</v>
      </c>
      <c r="AF358" s="26">
        <f>24.4+24.9</f>
        <v>49.3</v>
      </c>
      <c r="AH358" s="9">
        <f t="shared" si="80"/>
        <v>49.3</v>
      </c>
      <c r="AI358" s="9">
        <f t="shared" si="87"/>
        <v>19355.26999999999</v>
      </c>
      <c r="AJ358" s="14"/>
      <c r="AK358" s="14" t="s">
        <v>1077</v>
      </c>
      <c r="AL358" s="14" t="s">
        <v>1204</v>
      </c>
      <c r="AM358" s="14" t="s">
        <v>1205</v>
      </c>
      <c r="AN358" s="166" t="s">
        <v>1069</v>
      </c>
      <c r="AO358" s="166" t="s">
        <v>1206</v>
      </c>
      <c r="AP358" s="14"/>
      <c r="AQ358" s="14"/>
      <c r="AS358" s="14" t="s">
        <v>1207</v>
      </c>
      <c r="AT358" s="14"/>
      <c r="AU358" s="14"/>
      <c r="AV358" s="14"/>
      <c r="AW358" s="14"/>
      <c r="AX358" s="14"/>
      <c r="BA358" s="88">
        <f t="shared" si="88"/>
        <v>182.21653741328458</v>
      </c>
    </row>
    <row r="359" spans="23:53">
      <c r="W359" s="9" t="str">
        <f t="shared" ca="1" si="86"/>
        <v/>
      </c>
      <c r="X359" s="39">
        <v>45134</v>
      </c>
      <c r="Y359" s="179">
        <f t="shared" si="79"/>
        <v>7</v>
      </c>
      <c r="Z359" s="107" t="s">
        <v>1143</v>
      </c>
      <c r="AA359" s="68"/>
      <c r="AB359" s="68"/>
      <c r="AC359" s="68"/>
      <c r="AD359" s="22"/>
      <c r="AE359" s="22"/>
      <c r="AF359" s="115">
        <f>23.6+28.2</f>
        <v>51.8</v>
      </c>
      <c r="AG359" s="22">
        <f>2.2+34.5+10.7+10.8+36.6</f>
        <v>94.800000000000011</v>
      </c>
      <c r="AH359" s="22">
        <f t="shared" si="80"/>
        <v>146.60000000000002</v>
      </c>
      <c r="AI359" s="22">
        <f t="shared" si="87"/>
        <v>19501.869999999988</v>
      </c>
      <c r="AJ359" s="1372"/>
      <c r="AK359" s="1372">
        <f>SUM(AH330:AH359)</f>
        <v>2129.5700000000002</v>
      </c>
      <c r="AL359" s="1372">
        <f>SUM(AF330:AF359)</f>
        <v>1074.4000000000001</v>
      </c>
      <c r="AM359" s="1372">
        <f>SUM(AG330:AG359)</f>
        <v>1055.1699999999998</v>
      </c>
      <c r="AN359" s="219">
        <f>SUM(AD330:AD359)</f>
        <v>109.38174050908738</v>
      </c>
      <c r="AO359" s="182">
        <f>AK359/AN359</f>
        <v>19.469154450171477</v>
      </c>
      <c r="AP359" s="183">
        <f>SUM(AA330:AB359)/SUM(AD330:AD359)</f>
        <v>1.662617537018358</v>
      </c>
      <c r="AQ359" s="184">
        <f>(AP359/AO359)*(SUM(AH330:AH359))</f>
        <v>181.86</v>
      </c>
      <c r="AS359" s="9" t="s">
        <v>1208</v>
      </c>
      <c r="AT359" s="9" t="s">
        <v>1209</v>
      </c>
      <c r="AW359" s="9" t="s">
        <v>1210</v>
      </c>
      <c r="AX359" s="9" t="s">
        <v>1211</v>
      </c>
      <c r="BA359" s="88">
        <f t="shared" si="88"/>
        <v>132.91653741328457</v>
      </c>
    </row>
    <row r="360" spans="23:53">
      <c r="W360" s="9" t="str">
        <f t="shared" ca="1" si="86"/>
        <v/>
      </c>
      <c r="X360" s="40">
        <v>45135</v>
      </c>
      <c r="Y360" s="168">
        <f t="shared" si="79"/>
        <v>7</v>
      </c>
      <c r="Z360" s="44" t="s">
        <v>1145</v>
      </c>
      <c r="AA360" s="97">
        <v>60</v>
      </c>
      <c r="AB360" s="97">
        <v>0.62</v>
      </c>
      <c r="AC360" s="97">
        <v>1.679</v>
      </c>
      <c r="AD360" s="217">
        <f>AA360/AC360</f>
        <v>35.735556879094695</v>
      </c>
      <c r="AF360" s="26">
        <f>15.4+9.2+19.5</f>
        <v>44.1</v>
      </c>
      <c r="AG360" s="9">
        <f>5.4+5.3+34.7</f>
        <v>45.400000000000006</v>
      </c>
      <c r="AH360" s="9">
        <f t="shared" si="80"/>
        <v>89.5</v>
      </c>
      <c r="AI360" s="9">
        <f t="shared" si="87"/>
        <v>19591.369999999988</v>
      </c>
      <c r="AJ360" s="14"/>
      <c r="AK360" s="14"/>
      <c r="AL360" s="14"/>
      <c r="AM360" s="14"/>
      <c r="AN360" s="166"/>
      <c r="AO360" s="166"/>
      <c r="AP360" s="14"/>
      <c r="AQ360" s="14"/>
      <c r="AS360" s="9">
        <f>AS350+(SUM(AH350:AH359))</f>
        <v>195898.25</v>
      </c>
      <c r="AT360" s="9">
        <f>AS360-AS350</f>
        <v>675.85000000000582</v>
      </c>
      <c r="AU360" s="88">
        <f>AT360/AD350</f>
        <v>18.461969166666826</v>
      </c>
      <c r="AV360" s="88">
        <f>100/AU360</f>
        <v>5.4165402995337288</v>
      </c>
      <c r="AW360" s="88">
        <f>((+AD360)*C$62)+AX360</f>
        <v>602.08276046478454</v>
      </c>
      <c r="AX360" s="88">
        <v>25</v>
      </c>
      <c r="AZ360" s="88">
        <f>AW360-AH360+36.6</f>
        <v>549.18276046478456</v>
      </c>
      <c r="BA360" s="88">
        <f>BA359-AH359+36.6</f>
        <v>22.916537413284551</v>
      </c>
    </row>
    <row r="361" spans="23:53">
      <c r="W361" s="9" t="str">
        <f t="shared" ca="1" si="86"/>
        <v/>
      </c>
      <c r="X361" s="40">
        <v>45136</v>
      </c>
      <c r="Y361" s="168">
        <f t="shared" si="79"/>
        <v>7</v>
      </c>
      <c r="Z361" s="44" t="s">
        <v>1132</v>
      </c>
      <c r="AA361" s="21"/>
      <c r="AF361" s="26"/>
      <c r="AG361" s="9">
        <f>17.9+8.1+8</f>
        <v>34</v>
      </c>
      <c r="AH361" s="9">
        <f t="shared" si="80"/>
        <v>34</v>
      </c>
      <c r="AI361" s="9">
        <f t="shared" si="87"/>
        <v>19625.369999999988</v>
      </c>
      <c r="AJ361" s="14">
        <f>SUM(AH355:AH361)</f>
        <v>488.3</v>
      </c>
      <c r="AK361" s="14"/>
      <c r="AL361" s="14"/>
      <c r="AM361" s="14"/>
      <c r="AN361" s="166"/>
      <c r="AO361" s="166"/>
      <c r="AP361" s="14"/>
      <c r="AQ361" s="14"/>
      <c r="AZ361" s="88">
        <f t="shared" ref="AZ361:AZ367" si="89">AZ360-AH361</f>
        <v>515.18276046478456</v>
      </c>
    </row>
    <row r="362" spans="23:53">
      <c r="W362" s="9" t="str">
        <f t="shared" ca="1" si="86"/>
        <v/>
      </c>
      <c r="X362" s="40">
        <v>45137</v>
      </c>
      <c r="Y362" s="168">
        <f t="shared" si="79"/>
        <v>7</v>
      </c>
      <c r="Z362" s="44" t="s">
        <v>1134</v>
      </c>
      <c r="AF362" s="26"/>
      <c r="AG362" s="9">
        <f>4.4+2.1+3.3+16.5+0.65+17.5+3</f>
        <v>47.45</v>
      </c>
      <c r="AH362" s="9">
        <f t="shared" si="80"/>
        <v>47.45</v>
      </c>
      <c r="AI362" s="9">
        <f t="shared" si="87"/>
        <v>19672.819999999989</v>
      </c>
      <c r="AJ362" s="14"/>
      <c r="AK362" s="14"/>
      <c r="AL362" s="14"/>
      <c r="AM362" s="14"/>
      <c r="AN362" s="166"/>
      <c r="AO362" s="166"/>
      <c r="AP362" s="14"/>
      <c r="AQ362" s="14"/>
      <c r="AZ362" s="88">
        <f t="shared" si="89"/>
        <v>467.73276046478458</v>
      </c>
    </row>
    <row r="363" spans="23:53">
      <c r="W363" s="9" t="str">
        <f t="shared" ca="1" si="86"/>
        <v/>
      </c>
      <c r="X363" s="40">
        <v>45138</v>
      </c>
      <c r="Y363" s="168">
        <f t="shared" si="79"/>
        <v>7</v>
      </c>
      <c r="Z363" s="44" t="s">
        <v>1136</v>
      </c>
      <c r="AA363" s="21"/>
      <c r="AB363" s="21"/>
      <c r="AC363" s="21"/>
      <c r="AF363" s="26">
        <f>24.9+22.3</f>
        <v>47.2</v>
      </c>
      <c r="AG363" s="9">
        <f>3.6+2.7</f>
        <v>6.3000000000000007</v>
      </c>
      <c r="AH363" s="9">
        <f t="shared" si="80"/>
        <v>53.5</v>
      </c>
      <c r="AI363" s="9">
        <f t="shared" si="87"/>
        <v>19726.319999999989</v>
      </c>
      <c r="AJ363" s="14"/>
      <c r="AK363" s="14"/>
      <c r="AL363" s="14"/>
      <c r="AM363" s="14"/>
      <c r="AN363" s="166"/>
      <c r="AO363" s="166"/>
      <c r="AP363" s="14"/>
      <c r="AQ363" s="14"/>
      <c r="AZ363" s="88">
        <f t="shared" si="89"/>
        <v>414.23276046478458</v>
      </c>
    </row>
    <row r="364" spans="23:53">
      <c r="W364" s="9" t="str">
        <f t="shared" ca="1" si="86"/>
        <v/>
      </c>
      <c r="X364" s="40">
        <v>45139</v>
      </c>
      <c r="Y364" s="168">
        <f t="shared" si="79"/>
        <v>8</v>
      </c>
      <c r="Z364" s="44" t="s">
        <v>1138</v>
      </c>
      <c r="AA364" s="21"/>
      <c r="AB364" s="21"/>
      <c r="AC364" s="21"/>
      <c r="AF364" s="26">
        <f>24.6+28</f>
        <v>52.6</v>
      </c>
      <c r="AG364" s="9">
        <f>2.2+2.2</f>
        <v>4.4000000000000004</v>
      </c>
      <c r="AH364" s="9">
        <f t="shared" si="80"/>
        <v>57</v>
      </c>
      <c r="AI364" s="9">
        <f t="shared" si="87"/>
        <v>19783.319999999989</v>
      </c>
      <c r="AJ364" s="14"/>
      <c r="AK364" s="14"/>
      <c r="AL364" s="14"/>
      <c r="AM364" s="14"/>
      <c r="AN364" s="166"/>
      <c r="AO364" s="166"/>
      <c r="AP364" s="14"/>
      <c r="AQ364" s="14"/>
      <c r="AZ364" s="88">
        <f t="shared" si="89"/>
        <v>357.23276046478458</v>
      </c>
    </row>
    <row r="365" spans="23:53">
      <c r="W365" s="9" t="str">
        <f t="shared" ca="1" si="86"/>
        <v/>
      </c>
      <c r="X365" s="40">
        <v>45140</v>
      </c>
      <c r="Y365" s="168">
        <f t="shared" si="79"/>
        <v>8</v>
      </c>
      <c r="Z365" s="44" t="s">
        <v>1140</v>
      </c>
      <c r="AF365" s="26">
        <f>22+24.5</f>
        <v>46.5</v>
      </c>
      <c r="AG365" s="9">
        <f>2.5+2.4+2.2</f>
        <v>7.1000000000000005</v>
      </c>
      <c r="AH365" s="9">
        <f t="shared" si="80"/>
        <v>53.6</v>
      </c>
      <c r="AI365" s="9">
        <f t="shared" si="87"/>
        <v>19836.919999999987</v>
      </c>
      <c r="AJ365" s="14"/>
      <c r="AK365" s="14"/>
      <c r="AL365" s="14"/>
      <c r="AM365" s="14"/>
      <c r="AN365" s="166"/>
      <c r="AO365" s="166"/>
      <c r="AP365" s="14"/>
      <c r="AQ365" s="14"/>
      <c r="AZ365" s="88">
        <f t="shared" si="89"/>
        <v>303.63276046478455</v>
      </c>
    </row>
    <row r="366" spans="23:53">
      <c r="W366" s="9" t="str">
        <f t="shared" ca="1" si="86"/>
        <v/>
      </c>
      <c r="X366" s="40">
        <v>45141</v>
      </c>
      <c r="Y366" s="168">
        <f t="shared" si="79"/>
        <v>8</v>
      </c>
      <c r="Z366" s="44" t="s">
        <v>1143</v>
      </c>
      <c r="AA366" s="21"/>
      <c r="AB366" s="21"/>
      <c r="AC366" s="21"/>
      <c r="AF366" s="26">
        <f>32.3+24.3</f>
        <v>56.599999999999994</v>
      </c>
      <c r="AG366" s="9">
        <f>12.7+2.2+4.4+4.6+3.1</f>
        <v>27</v>
      </c>
      <c r="AH366" s="9">
        <f t="shared" si="80"/>
        <v>83.6</v>
      </c>
      <c r="AI366" s="9">
        <f t="shared" si="87"/>
        <v>19920.519999999986</v>
      </c>
      <c r="AJ366" s="14"/>
      <c r="AK366" s="14"/>
      <c r="AL366" s="14"/>
      <c r="AM366" s="14"/>
      <c r="AN366" s="166"/>
      <c r="AO366" s="166"/>
      <c r="AP366" s="14"/>
      <c r="AQ366" s="14"/>
      <c r="AS366" s="14" t="s">
        <v>1207</v>
      </c>
      <c r="AT366" s="14"/>
      <c r="AU366" s="14"/>
      <c r="AV366" s="14"/>
      <c r="AW366" s="14"/>
      <c r="AX366" s="14"/>
      <c r="AZ366" s="88">
        <f t="shared" si="89"/>
        <v>220.03276046478456</v>
      </c>
    </row>
    <row r="367" spans="23:53">
      <c r="W367" s="9" t="str">
        <f t="shared" ca="1" si="86"/>
        <v/>
      </c>
      <c r="X367" s="40">
        <v>45142</v>
      </c>
      <c r="Y367" s="168">
        <f t="shared" ref="Y367:Y430" si="90">MONTH(X367)</f>
        <v>8</v>
      </c>
      <c r="Z367" s="44" t="s">
        <v>1145</v>
      </c>
      <c r="AA367" s="21"/>
      <c r="AB367" s="21"/>
      <c r="AC367" s="21"/>
      <c r="AF367" s="26"/>
      <c r="AG367" s="9">
        <f>7.5+3.4+28.3+19.8</f>
        <v>59</v>
      </c>
      <c r="AH367" s="9">
        <f t="shared" ref="AH367:AH430" si="91">AF367+AG367</f>
        <v>59</v>
      </c>
      <c r="AI367" s="9">
        <f t="shared" si="87"/>
        <v>19979.519999999986</v>
      </c>
      <c r="AJ367" s="14"/>
      <c r="AK367" s="14"/>
      <c r="AL367" s="14"/>
      <c r="AM367" s="14"/>
      <c r="AN367" s="166"/>
      <c r="AO367" s="166"/>
      <c r="AP367" s="14"/>
      <c r="AQ367" s="14"/>
      <c r="AS367" s="9" t="s">
        <v>1208</v>
      </c>
      <c r="AT367" s="9" t="s">
        <v>1209</v>
      </c>
      <c r="AW367" s="9" t="s">
        <v>1210</v>
      </c>
      <c r="AX367" s="9" t="s">
        <v>1211</v>
      </c>
      <c r="AZ367" s="88">
        <f t="shared" si="89"/>
        <v>161.03276046478456</v>
      </c>
    </row>
    <row r="368" spans="23:53">
      <c r="W368" s="9" t="str">
        <f t="shared" ca="1" si="86"/>
        <v/>
      </c>
      <c r="X368" s="40">
        <v>45143</v>
      </c>
      <c r="Y368" s="168">
        <f t="shared" si="90"/>
        <v>8</v>
      </c>
      <c r="Z368" s="44" t="s">
        <v>1132</v>
      </c>
      <c r="AA368" s="97">
        <v>25.01</v>
      </c>
      <c r="AB368" s="97">
        <v>0.62</v>
      </c>
      <c r="AC368" s="97">
        <v>1.7889999999999999</v>
      </c>
      <c r="AD368" s="217">
        <f>AA368/AC368</f>
        <v>13.979877026271662</v>
      </c>
      <c r="AF368" s="26"/>
      <c r="AG368" s="9">
        <f>1.1+33.3+1.7+2.5+2.9+2.9+4.9+2.8</f>
        <v>52.099999999999994</v>
      </c>
      <c r="AH368" s="9">
        <f>AF368+AG368</f>
        <v>52.099999999999994</v>
      </c>
      <c r="AI368" s="9">
        <f t="shared" si="87"/>
        <v>20031.619999999984</v>
      </c>
      <c r="AJ368" s="14">
        <f>SUM(AH362:AH368)</f>
        <v>406.25</v>
      </c>
      <c r="AK368" s="14"/>
      <c r="AL368" s="14"/>
      <c r="AM368" s="14"/>
      <c r="AN368" s="166"/>
      <c r="AO368" s="166"/>
      <c r="AP368" s="14"/>
      <c r="AQ368" s="14"/>
      <c r="AS368" s="9">
        <f>AS360+(SUM(AH360:AH368))+1.1</f>
        <v>196429.1</v>
      </c>
      <c r="AT368" s="9">
        <f>AS368-AS360</f>
        <v>530.85000000000582</v>
      </c>
      <c r="AU368" s="88">
        <f>AT368/AD360</f>
        <v>14.854952500000165</v>
      </c>
      <c r="AV368" s="88">
        <f>100/AU368</f>
        <v>6.7317616801533964</v>
      </c>
      <c r="AW368" s="88">
        <f>((+AD368)*C$62)+AX368</f>
        <v>250.7568296073928</v>
      </c>
      <c r="AX368" s="88">
        <v>25</v>
      </c>
      <c r="AZ368" s="88"/>
      <c r="BA368" s="88">
        <f>AW368-(33.3+1.7+2.5+2.9+2.9+4.9+2.8)</f>
        <v>199.7568296073928</v>
      </c>
    </row>
    <row r="369" spans="23:53">
      <c r="W369" s="9" t="str">
        <f t="shared" ca="1" si="86"/>
        <v/>
      </c>
      <c r="X369" s="40">
        <v>45144</v>
      </c>
      <c r="Y369" s="168">
        <f t="shared" si="90"/>
        <v>8</v>
      </c>
      <c r="Z369" s="44" t="s">
        <v>1134</v>
      </c>
      <c r="AA369" s="21"/>
      <c r="AB369" s="21"/>
      <c r="AC369" s="21"/>
      <c r="AF369" s="26"/>
      <c r="AG369" s="9">
        <f>14.6+15+3.3+6.8+3.5</f>
        <v>43.199999999999996</v>
      </c>
      <c r="AH369" s="9">
        <f t="shared" si="91"/>
        <v>43.199999999999996</v>
      </c>
      <c r="AI369" s="9">
        <f t="shared" si="87"/>
        <v>20074.819999999985</v>
      </c>
      <c r="AJ369" s="14"/>
      <c r="AK369" s="14"/>
      <c r="AL369" s="14"/>
      <c r="AM369" s="14"/>
      <c r="AN369" s="166"/>
      <c r="AO369" s="166"/>
      <c r="AP369" s="14"/>
      <c r="AQ369" s="14"/>
      <c r="AZ369" s="88"/>
      <c r="BA369" s="88">
        <f>BA368-AH369</f>
        <v>156.55682960739281</v>
      </c>
    </row>
    <row r="370" spans="23:53">
      <c r="W370" s="9" t="str">
        <f t="shared" ca="1" si="86"/>
        <v/>
      </c>
      <c r="X370" s="40">
        <v>45145</v>
      </c>
      <c r="Y370" s="168">
        <f t="shared" si="90"/>
        <v>8</v>
      </c>
      <c r="Z370" s="44" t="s">
        <v>1136</v>
      </c>
      <c r="AA370" s="21"/>
      <c r="AB370" s="21"/>
      <c r="AC370" s="21"/>
      <c r="AD370" s="88"/>
      <c r="AF370" s="26"/>
      <c r="AG370" s="9">
        <f>1.8+2+1.7+2.3+3.6</f>
        <v>11.4</v>
      </c>
      <c r="AH370" s="9">
        <f t="shared" si="91"/>
        <v>11.4</v>
      </c>
      <c r="AI370" s="9">
        <f t="shared" si="87"/>
        <v>20086.219999999987</v>
      </c>
      <c r="AJ370" s="14"/>
      <c r="AK370" s="14"/>
      <c r="AL370" s="14"/>
      <c r="AM370" s="14"/>
      <c r="AN370" s="166"/>
      <c r="AO370" s="166"/>
      <c r="AP370" s="14"/>
      <c r="AQ370" s="14"/>
      <c r="AZ370" s="88"/>
      <c r="BA370" s="88">
        <f>BA369-AH370</f>
        <v>145.15682960739281</v>
      </c>
    </row>
    <row r="371" spans="23:53">
      <c r="W371" s="9" t="str">
        <f t="shared" ca="1" si="86"/>
        <v/>
      </c>
      <c r="X371" s="40">
        <v>45146</v>
      </c>
      <c r="Y371" s="168">
        <f t="shared" si="90"/>
        <v>8</v>
      </c>
      <c r="Z371" s="44" t="s">
        <v>1138</v>
      </c>
      <c r="AA371" s="21"/>
      <c r="AB371" s="21"/>
      <c r="AC371" s="21"/>
      <c r="AF371" s="26"/>
      <c r="AG371" s="9">
        <f>16.9+18.4+2.1+2.2</f>
        <v>39.6</v>
      </c>
      <c r="AH371" s="9">
        <f t="shared" si="91"/>
        <v>39.6</v>
      </c>
      <c r="AI371" s="9">
        <f t="shared" si="87"/>
        <v>20125.819999999985</v>
      </c>
      <c r="AJ371" s="14"/>
      <c r="AK371" s="14"/>
      <c r="AL371" s="14"/>
      <c r="AM371" s="14"/>
      <c r="AN371" s="166"/>
      <c r="AO371" s="166"/>
      <c r="AP371" s="14"/>
      <c r="AQ371" s="14"/>
      <c r="AZ371" s="88"/>
      <c r="BA371" s="88">
        <f>BA370-AH371</f>
        <v>105.55682960739281</v>
      </c>
    </row>
    <row r="372" spans="23:53">
      <c r="W372" s="9" t="str">
        <f t="shared" ca="1" si="86"/>
        <v/>
      </c>
      <c r="X372" s="40">
        <v>45147</v>
      </c>
      <c r="Y372" s="168">
        <f t="shared" si="90"/>
        <v>8</v>
      </c>
      <c r="Z372" s="44" t="s">
        <v>1140</v>
      </c>
      <c r="AA372" s="97"/>
      <c r="AB372" s="97"/>
      <c r="AC372" s="97"/>
      <c r="AD372" s="88"/>
      <c r="AF372" s="26"/>
      <c r="AG372" s="9">
        <f>1.7+1.4+2.8</f>
        <v>5.8999999999999995</v>
      </c>
      <c r="AH372" s="9">
        <f t="shared" si="91"/>
        <v>5.8999999999999995</v>
      </c>
      <c r="AI372" s="9">
        <f t="shared" si="87"/>
        <v>20131.719999999987</v>
      </c>
      <c r="AJ372" s="14"/>
      <c r="AK372" s="14"/>
      <c r="AL372" s="14"/>
      <c r="AM372" s="14"/>
      <c r="AN372" s="166"/>
      <c r="AO372" s="166"/>
      <c r="AP372" s="14"/>
      <c r="AQ372" s="14"/>
      <c r="AZ372" s="88"/>
      <c r="BA372" s="88">
        <f>BA371-AH372</f>
        <v>99.656829607392808</v>
      </c>
    </row>
    <row r="373" spans="23:53">
      <c r="W373" s="9" t="str">
        <f t="shared" ca="1" si="86"/>
        <v/>
      </c>
      <c r="X373" s="40">
        <v>45148</v>
      </c>
      <c r="Y373" s="168">
        <f t="shared" si="90"/>
        <v>8</v>
      </c>
      <c r="Z373" s="44" t="s">
        <v>1143</v>
      </c>
      <c r="AA373" s="97">
        <v>25.01</v>
      </c>
      <c r="AB373" s="97">
        <v>0.62</v>
      </c>
      <c r="AC373" s="97">
        <v>1.7989999999999999</v>
      </c>
      <c r="AD373" s="88">
        <f>AA373/AC373</f>
        <v>13.902167871039468</v>
      </c>
      <c r="AF373" s="26"/>
      <c r="AG373" s="9">
        <f>9.8+4.7+29.6+19.1+2.1+3.2+28.9+31.5</f>
        <v>128.9</v>
      </c>
      <c r="AH373" s="9">
        <f t="shared" si="91"/>
        <v>128.9</v>
      </c>
      <c r="AI373" s="9">
        <f t="shared" si="87"/>
        <v>20260.619999999988</v>
      </c>
      <c r="AJ373" s="14"/>
      <c r="AK373" s="14"/>
      <c r="AL373" s="14"/>
      <c r="AM373" s="14"/>
      <c r="AN373" s="166"/>
      <c r="AO373" s="166"/>
      <c r="AP373" s="14"/>
      <c r="AQ373" s="14"/>
      <c r="AS373" s="9">
        <f>AS368+(SUM(AH368:AH373))</f>
        <v>196710.2</v>
      </c>
      <c r="AT373" s="9">
        <f>AS373-AS368-1.1-28.9-31.5</f>
        <v>219.60000000000579</v>
      </c>
      <c r="AU373" s="89">
        <f>AT373/AD368</f>
        <v>15.708292682927242</v>
      </c>
      <c r="AV373" s="88">
        <f>100/AU373</f>
        <v>6.3660642196135218</v>
      </c>
      <c r="AW373" s="88">
        <f>((+AD373)*C$62)+AX373</f>
        <v>265.30192783080918</v>
      </c>
      <c r="AX373" s="88">
        <v>40.799999999999997</v>
      </c>
      <c r="AZ373" s="88">
        <f>AW373-(28.9+31.5)</f>
        <v>204.90192783080917</v>
      </c>
      <c r="BA373" s="88"/>
    </row>
    <row r="374" spans="23:53">
      <c r="W374" s="9" t="str">
        <f t="shared" ca="1" si="86"/>
        <v/>
      </c>
      <c r="X374" s="40">
        <v>45149</v>
      </c>
      <c r="Y374" s="168">
        <f t="shared" si="90"/>
        <v>8</v>
      </c>
      <c r="Z374" s="44" t="s">
        <v>1145</v>
      </c>
      <c r="AA374" s="21"/>
      <c r="AB374" s="21"/>
      <c r="AC374" s="21"/>
      <c r="AF374" s="26"/>
      <c r="AG374" s="9">
        <f>2.1+2.2+18.6+2.7+14.5+41.5+35.8</f>
        <v>117.39999999999999</v>
      </c>
      <c r="AH374" s="9">
        <f t="shared" si="91"/>
        <v>117.39999999999999</v>
      </c>
      <c r="AI374" s="9">
        <f t="shared" si="87"/>
        <v>20378.01999999999</v>
      </c>
      <c r="AJ374" s="14"/>
      <c r="AK374" s="14"/>
      <c r="AL374" s="14"/>
      <c r="AM374" s="14"/>
      <c r="AN374" s="166"/>
      <c r="AO374" s="166"/>
      <c r="AP374" s="14"/>
      <c r="AQ374" s="14"/>
      <c r="AZ374" s="88">
        <f>AZ373-AH374</f>
        <v>87.50192783080918</v>
      </c>
    </row>
    <row r="375" spans="23:53">
      <c r="W375" s="9" t="str">
        <f t="shared" ca="1" si="86"/>
        <v/>
      </c>
      <c r="X375" s="40">
        <v>45150</v>
      </c>
      <c r="Y375" s="168">
        <f t="shared" si="90"/>
        <v>8</v>
      </c>
      <c r="Z375" s="44" t="s">
        <v>1132</v>
      </c>
      <c r="AA375" s="97">
        <v>90.01</v>
      </c>
      <c r="AB375" s="97"/>
      <c r="AC375" s="97">
        <v>1.5580000000000001</v>
      </c>
      <c r="AD375" s="88">
        <f>AA375/AC375</f>
        <v>57.772785622593069</v>
      </c>
      <c r="AF375" s="26"/>
      <c r="AG375" s="9">
        <f>8.6+10.7+5.1+27.1+8.5+17.4+19.8+3.4</f>
        <v>100.60000000000001</v>
      </c>
      <c r="AH375" s="9">
        <f t="shared" si="91"/>
        <v>100.60000000000001</v>
      </c>
      <c r="AI375" s="9">
        <f t="shared" si="87"/>
        <v>20478.619999999988</v>
      </c>
      <c r="AJ375" s="14">
        <f>SUM(AH369:AH375)</f>
        <v>447</v>
      </c>
      <c r="AK375" s="14"/>
      <c r="AL375" s="14"/>
      <c r="AM375" s="14"/>
      <c r="AN375" s="166"/>
      <c r="AO375" s="166"/>
      <c r="AP375" s="14"/>
      <c r="AQ375" s="14"/>
      <c r="AS375" s="9">
        <f>AS373+(SUM(AH373:AH375))-(9.8+4.7+29.6+19.1+2.1+3.2)-(27.1+8.5+17.4+19.8+3.4)</f>
        <v>196912.4</v>
      </c>
      <c r="AT375" s="9">
        <f>AS375-AS373</f>
        <v>202.19999999998254</v>
      </c>
      <c r="AU375" s="89">
        <f>AT375/AD373</f>
        <v>14.544494202317814</v>
      </c>
      <c r="AV375" s="88">
        <f>100/AU375</f>
        <v>6.8754539421566117</v>
      </c>
      <c r="AW375" s="88">
        <f>((+AD375)*C$62)+AX375</f>
        <v>970.45533968102075</v>
      </c>
      <c r="AX375" s="9">
        <v>37.5</v>
      </c>
      <c r="AZ375" s="88">
        <f>AZ374-(8.6+10.7+5.1+27.1)</f>
        <v>36.00192783080918</v>
      </c>
      <c r="BA375" s="88">
        <f>AW375-(8.5+17.4+19.8+3.4)</f>
        <v>921.35533968102072</v>
      </c>
    </row>
    <row r="376" spans="23:53">
      <c r="W376" s="9" t="str">
        <f t="shared" ca="1" si="86"/>
        <v/>
      </c>
      <c r="X376" s="40">
        <v>45151</v>
      </c>
      <c r="Y376" s="168">
        <f t="shared" si="90"/>
        <v>8</v>
      </c>
      <c r="Z376" s="44" t="s">
        <v>1134</v>
      </c>
      <c r="AA376" s="21"/>
      <c r="AB376" s="21"/>
      <c r="AC376" s="21"/>
      <c r="AF376" s="26"/>
      <c r="AG376" s="9">
        <f>1.3+2.1+1.2+30.3+1.3+18.6</f>
        <v>54.8</v>
      </c>
      <c r="AH376" s="9">
        <f t="shared" si="91"/>
        <v>54.8</v>
      </c>
      <c r="AI376" s="9">
        <f t="shared" si="87"/>
        <v>20533.419999999987</v>
      </c>
      <c r="AJ376" s="14"/>
      <c r="AK376" s="14"/>
      <c r="AL376" s="14"/>
      <c r="AM376" s="14"/>
      <c r="AN376" s="166"/>
      <c r="AO376" s="166"/>
      <c r="AP376" s="14"/>
      <c r="AQ376" s="14"/>
      <c r="BA376" s="88">
        <f>BA375-AH376</f>
        <v>866.55533968102077</v>
      </c>
    </row>
    <row r="377" spans="23:53">
      <c r="W377" s="9" t="str">
        <f t="shared" ca="1" si="86"/>
        <v/>
      </c>
      <c r="X377" s="40">
        <v>45152</v>
      </c>
      <c r="Y377" s="168">
        <f t="shared" si="90"/>
        <v>8</v>
      </c>
      <c r="Z377" s="44" t="s">
        <v>1136</v>
      </c>
      <c r="AA377" s="21"/>
      <c r="AB377" s="21"/>
      <c r="AC377" s="21"/>
      <c r="AD377" s="88"/>
      <c r="AF377" s="26"/>
      <c r="AG377" s="9">
        <f>154+240+20.8+4.8+3.3</f>
        <v>422.90000000000003</v>
      </c>
      <c r="AH377" s="9">
        <f t="shared" si="91"/>
        <v>422.90000000000003</v>
      </c>
      <c r="AI377" s="9">
        <f t="shared" si="87"/>
        <v>20956.319999999989</v>
      </c>
      <c r="AJ377" s="14"/>
      <c r="AK377" s="14"/>
      <c r="AL377" s="14"/>
      <c r="AM377" s="14"/>
      <c r="AN377" s="166"/>
      <c r="AO377" s="166"/>
      <c r="AP377" s="14"/>
      <c r="AQ377" s="14"/>
      <c r="BA377" s="88">
        <f>BA376-AH377</f>
        <v>443.65533968102073</v>
      </c>
    </row>
    <row r="378" spans="23:53">
      <c r="W378" s="9" t="str">
        <f t="shared" ca="1" si="86"/>
        <v/>
      </c>
      <c r="X378" s="40">
        <v>45153</v>
      </c>
      <c r="Y378" s="168">
        <f t="shared" si="90"/>
        <v>8</v>
      </c>
      <c r="Z378" s="44" t="s">
        <v>1138</v>
      </c>
      <c r="AF378" s="26"/>
      <c r="AG378" s="9">
        <f>5.7+10.5+9+28.4+26.9</f>
        <v>80.5</v>
      </c>
      <c r="AH378" s="9">
        <f t="shared" si="91"/>
        <v>80.5</v>
      </c>
      <c r="AI378" s="9">
        <f t="shared" si="87"/>
        <v>21036.819999999989</v>
      </c>
      <c r="AJ378" s="14"/>
      <c r="AK378" s="14"/>
      <c r="AL378" s="14"/>
      <c r="AM378" s="14"/>
      <c r="AN378" s="166"/>
      <c r="AO378" s="166"/>
      <c r="AP378" s="14"/>
      <c r="AQ378" s="14"/>
      <c r="BA378" s="88">
        <f>BA377-AH378</f>
        <v>363.15533968102073</v>
      </c>
    </row>
    <row r="379" spans="23:53">
      <c r="W379" s="9" t="str">
        <f t="shared" ca="1" si="86"/>
        <v/>
      </c>
      <c r="X379" s="40">
        <v>45154</v>
      </c>
      <c r="Y379" s="168">
        <f t="shared" si="90"/>
        <v>8</v>
      </c>
      <c r="Z379" s="44" t="s">
        <v>1140</v>
      </c>
      <c r="AA379" s="21"/>
      <c r="AB379" s="21"/>
      <c r="AC379" s="21"/>
      <c r="AF379" s="26"/>
      <c r="AG379" s="9">
        <f>66.4+72.9+30.3+29.6</f>
        <v>199.20000000000002</v>
      </c>
      <c r="AH379" s="9">
        <f t="shared" si="91"/>
        <v>199.20000000000002</v>
      </c>
      <c r="AI379" s="9">
        <f t="shared" si="87"/>
        <v>21236.01999999999</v>
      </c>
      <c r="AJ379" s="14"/>
      <c r="AK379" s="14"/>
      <c r="AL379" s="14"/>
      <c r="AM379" s="14"/>
      <c r="AN379" s="166"/>
      <c r="AO379" s="166"/>
      <c r="AP379" s="14"/>
      <c r="AQ379" s="14"/>
      <c r="BA379" s="88">
        <f>BA378-AH379</f>
        <v>163.95533968102072</v>
      </c>
    </row>
    <row r="380" spans="23:53">
      <c r="W380" s="9" t="str">
        <f t="shared" ca="1" si="86"/>
        <v/>
      </c>
      <c r="X380" s="40">
        <v>45155</v>
      </c>
      <c r="Y380" s="168">
        <f t="shared" si="90"/>
        <v>8</v>
      </c>
      <c r="Z380" s="44" t="s">
        <v>1143</v>
      </c>
      <c r="AA380" s="97">
        <v>92</v>
      </c>
      <c r="AB380" s="97">
        <v>0.62</v>
      </c>
      <c r="AC380" s="97">
        <f>1.799</f>
        <v>1.7989999999999999</v>
      </c>
      <c r="AD380" s="89">
        <f>AA380/AC380</f>
        <v>51.139521956642582</v>
      </c>
      <c r="AF380" s="26"/>
      <c r="AG380" s="9">
        <f>5.5+14.7+11.8+103+82.6+42.2+263+2.4</f>
        <v>525.19999999999993</v>
      </c>
      <c r="AH380" s="9">
        <f t="shared" si="91"/>
        <v>525.19999999999993</v>
      </c>
      <c r="AI380" s="9">
        <f t="shared" si="87"/>
        <v>21761.21999999999</v>
      </c>
      <c r="AJ380" s="14"/>
      <c r="AK380" s="14"/>
      <c r="AL380" s="14"/>
      <c r="AM380" s="14"/>
      <c r="AN380" s="166"/>
      <c r="AO380" s="166"/>
      <c r="AP380" s="14"/>
      <c r="AQ380" s="14"/>
      <c r="AS380" s="9">
        <f>AS375+SUM(AH375:AH380)-(103+82.6+42.2+263+2.4)+(8.5+17.4+19.8+3.4)</f>
        <v>197851.5</v>
      </c>
      <c r="AT380" s="9">
        <f>AS380-AS375</f>
        <v>939.10000000000582</v>
      </c>
      <c r="AU380" s="89">
        <f>AT380/AD375</f>
        <v>16.255058326852673</v>
      </c>
      <c r="AV380" s="88">
        <f>100/AU380</f>
        <v>6.1519311705454918</v>
      </c>
      <c r="AW380" s="88">
        <f>((+AD380)*C$62)+AX380</f>
        <v>957.79209939451312</v>
      </c>
      <c r="AX380" s="88">
        <f>BA380</f>
        <v>131.9553396810208</v>
      </c>
      <c r="AZ380" s="88">
        <f>AW380-(103+82.6+42.2+263+2.4)</f>
        <v>464.59209939451313</v>
      </c>
      <c r="BA380" s="88">
        <f>BA379-AH380+(103+82.6+42.2+263+2.4)</f>
        <v>131.9553396810208</v>
      </c>
    </row>
    <row r="381" spans="23:53">
      <c r="W381" s="9" t="str">
        <f t="shared" ca="1" si="86"/>
        <v/>
      </c>
      <c r="X381" s="40">
        <v>45156</v>
      </c>
      <c r="Y381" s="168">
        <f t="shared" si="90"/>
        <v>8</v>
      </c>
      <c r="Z381" s="44" t="s">
        <v>1145</v>
      </c>
      <c r="AA381" s="21"/>
      <c r="AB381" s="21"/>
      <c r="AC381" s="21"/>
      <c r="AF381" s="26"/>
      <c r="AG381" s="9">
        <f>2+2.3+16.4+21.1</f>
        <v>41.8</v>
      </c>
      <c r="AH381" s="9">
        <f t="shared" si="91"/>
        <v>41.8</v>
      </c>
      <c r="AI381" s="9">
        <f t="shared" si="87"/>
        <v>21803.01999999999</v>
      </c>
      <c r="AJ381" s="14"/>
      <c r="AK381" s="14"/>
      <c r="AL381" s="14"/>
      <c r="AM381" s="14"/>
      <c r="AN381" s="166"/>
      <c r="AO381" s="166"/>
      <c r="AP381" s="14"/>
      <c r="AQ381" s="14"/>
      <c r="AZ381" s="88">
        <f t="shared" ref="AZ381:AZ390" si="92">AZ380-AH381</f>
        <v>422.79209939451312</v>
      </c>
    </row>
    <row r="382" spans="23:53">
      <c r="W382" s="9" t="str">
        <f t="shared" ca="1" si="86"/>
        <v/>
      </c>
      <c r="X382" s="40">
        <v>45157</v>
      </c>
      <c r="Y382" s="168">
        <f t="shared" si="90"/>
        <v>8</v>
      </c>
      <c r="Z382" s="44" t="s">
        <v>1132</v>
      </c>
      <c r="AF382" s="26"/>
      <c r="AG382" s="9">
        <f>2.3+2.4+4.7+4.7</f>
        <v>14.099999999999998</v>
      </c>
      <c r="AH382" s="9">
        <f t="shared" si="91"/>
        <v>14.099999999999998</v>
      </c>
      <c r="AI382" s="9">
        <f t="shared" si="87"/>
        <v>21817.119999999988</v>
      </c>
      <c r="AJ382" s="14">
        <f>SUM(AH376:AH382)</f>
        <v>1338.4999999999998</v>
      </c>
      <c r="AK382" s="14"/>
      <c r="AL382" s="14"/>
      <c r="AM382" s="14"/>
      <c r="AN382" s="166"/>
      <c r="AO382" s="166"/>
      <c r="AP382" s="14"/>
      <c r="AQ382" s="14"/>
      <c r="AZ382" s="88">
        <f t="shared" si="92"/>
        <v>408.69209939451309</v>
      </c>
    </row>
    <row r="383" spans="23:53">
      <c r="W383" s="9" t="str">
        <f t="shared" ca="1" si="86"/>
        <v/>
      </c>
      <c r="X383" s="40">
        <v>45158</v>
      </c>
      <c r="Y383" s="168">
        <f t="shared" si="90"/>
        <v>8</v>
      </c>
      <c r="Z383" s="44" t="s">
        <v>1134</v>
      </c>
      <c r="AA383" s="21"/>
      <c r="AB383" s="21"/>
      <c r="AC383" s="21"/>
      <c r="AF383" s="26"/>
      <c r="AH383" s="9">
        <f t="shared" si="91"/>
        <v>0</v>
      </c>
      <c r="AI383" s="9">
        <f t="shared" si="87"/>
        <v>21817.119999999988</v>
      </c>
      <c r="AJ383" s="14"/>
      <c r="AK383" s="14"/>
      <c r="AL383" s="14"/>
      <c r="AM383" s="14"/>
      <c r="AN383" s="166"/>
      <c r="AO383" s="166"/>
      <c r="AP383" s="14"/>
      <c r="AQ383" s="14"/>
      <c r="AZ383" s="88">
        <f t="shared" si="92"/>
        <v>408.69209939451309</v>
      </c>
    </row>
    <row r="384" spans="23:53">
      <c r="W384" s="9" t="str">
        <f t="shared" ca="1" si="86"/>
        <v/>
      </c>
      <c r="X384" s="40">
        <v>45159</v>
      </c>
      <c r="Y384" s="168">
        <f t="shared" si="90"/>
        <v>8</v>
      </c>
      <c r="Z384" s="44" t="s">
        <v>1136</v>
      </c>
      <c r="AA384" s="21"/>
      <c r="AB384" s="21"/>
      <c r="AC384" s="21"/>
      <c r="AD384" s="88"/>
      <c r="AF384" s="26"/>
      <c r="AG384" s="9">
        <f>2.3+2.2+3.8+1.4+2.9</f>
        <v>12.600000000000001</v>
      </c>
      <c r="AH384" s="9">
        <f t="shared" si="91"/>
        <v>12.600000000000001</v>
      </c>
      <c r="AI384" s="9">
        <f t="shared" si="87"/>
        <v>21829.719999999987</v>
      </c>
      <c r="AJ384" s="14"/>
      <c r="AK384" s="14"/>
      <c r="AL384" s="14"/>
      <c r="AM384" s="14"/>
      <c r="AN384" s="166"/>
      <c r="AO384" s="166"/>
      <c r="AP384" s="14"/>
      <c r="AQ384" s="14"/>
      <c r="AZ384" s="88">
        <f t="shared" si="92"/>
        <v>396.09209939451307</v>
      </c>
    </row>
    <row r="385" spans="23:53">
      <c r="W385" s="9" t="str">
        <f t="shared" ca="1" si="86"/>
        <v/>
      </c>
      <c r="X385" s="40">
        <v>45160</v>
      </c>
      <c r="Y385" s="168">
        <f t="shared" si="90"/>
        <v>8</v>
      </c>
      <c r="Z385" s="44" t="s">
        <v>1138</v>
      </c>
      <c r="AA385" s="21"/>
      <c r="AB385" s="21"/>
      <c r="AC385" s="21"/>
      <c r="AF385" s="26">
        <f>24.7+24.5</f>
        <v>49.2</v>
      </c>
      <c r="AH385" s="9">
        <f t="shared" si="91"/>
        <v>49.2</v>
      </c>
      <c r="AI385" s="9">
        <f t="shared" si="87"/>
        <v>21878.919999999987</v>
      </c>
      <c r="AJ385" s="14"/>
      <c r="AK385" s="14"/>
      <c r="AL385" s="14"/>
      <c r="AM385" s="14"/>
      <c r="AN385" s="166"/>
      <c r="AO385" s="166"/>
      <c r="AP385" s="14"/>
      <c r="AQ385" s="14"/>
      <c r="AZ385" s="88">
        <f t="shared" si="92"/>
        <v>346.89209939451308</v>
      </c>
    </row>
    <row r="386" spans="23:53">
      <c r="W386" s="9" t="str">
        <f t="shared" ca="1" si="86"/>
        <v/>
      </c>
      <c r="X386" s="40">
        <v>45161</v>
      </c>
      <c r="Y386" s="168">
        <f t="shared" si="90"/>
        <v>8</v>
      </c>
      <c r="Z386" s="44" t="s">
        <v>1140</v>
      </c>
      <c r="AA386" s="21"/>
      <c r="AB386" s="21"/>
      <c r="AC386" s="21"/>
      <c r="AF386" s="26">
        <f>25.6+25.1</f>
        <v>50.7</v>
      </c>
      <c r="AG386" s="9">
        <f>2.1+3.5</f>
        <v>5.6</v>
      </c>
      <c r="AH386" s="9">
        <f t="shared" si="91"/>
        <v>56.300000000000004</v>
      </c>
      <c r="AI386" s="9">
        <f t="shared" si="87"/>
        <v>21935.219999999987</v>
      </c>
      <c r="AJ386" s="14"/>
      <c r="AK386" s="14"/>
      <c r="AL386" s="14"/>
      <c r="AM386" s="14"/>
      <c r="AN386" s="166"/>
      <c r="AO386" s="166"/>
      <c r="AP386" s="14"/>
      <c r="AQ386" s="14"/>
      <c r="AZ386" s="88">
        <f t="shared" si="92"/>
        <v>290.59209939451307</v>
      </c>
    </row>
    <row r="387" spans="23:53">
      <c r="W387" s="9" t="str">
        <f t="shared" ca="1" si="86"/>
        <v/>
      </c>
      <c r="X387" s="40">
        <v>45162</v>
      </c>
      <c r="Y387" s="168">
        <f t="shared" si="90"/>
        <v>8</v>
      </c>
      <c r="Z387" s="44" t="s">
        <v>1143</v>
      </c>
      <c r="AA387" s="21"/>
      <c r="AB387" s="21"/>
      <c r="AC387" s="21"/>
      <c r="AF387" s="26">
        <f>25.8+24.9</f>
        <v>50.7</v>
      </c>
      <c r="AG387" s="9">
        <f>3.3+3.9</f>
        <v>7.1999999999999993</v>
      </c>
      <c r="AH387" s="9">
        <f t="shared" si="91"/>
        <v>57.900000000000006</v>
      </c>
      <c r="AI387" s="9">
        <f t="shared" si="87"/>
        <v>21993.119999999988</v>
      </c>
      <c r="AJ387" s="14"/>
      <c r="AK387" s="14"/>
      <c r="AL387" s="14"/>
      <c r="AM387" s="14"/>
      <c r="AN387" s="166"/>
      <c r="AO387" s="166"/>
      <c r="AP387" s="14"/>
      <c r="AQ387" s="14"/>
      <c r="AZ387" s="88">
        <f t="shared" si="92"/>
        <v>232.69209939451306</v>
      </c>
    </row>
    <row r="388" spans="23:53">
      <c r="W388" s="9" t="str">
        <f t="shared" ca="1" si="86"/>
        <v/>
      </c>
      <c r="X388" s="40">
        <v>45163</v>
      </c>
      <c r="Y388" s="168">
        <f t="shared" si="90"/>
        <v>8</v>
      </c>
      <c r="Z388" s="44" t="s">
        <v>1145</v>
      </c>
      <c r="AA388" s="21"/>
      <c r="AB388" s="21"/>
      <c r="AC388" s="21"/>
      <c r="AF388" s="26">
        <f>24.4+24.7</f>
        <v>49.099999999999994</v>
      </c>
      <c r="AG388" s="9">
        <f>77.8-24.7</f>
        <v>53.099999999999994</v>
      </c>
      <c r="AH388" s="9">
        <f t="shared" si="91"/>
        <v>102.19999999999999</v>
      </c>
      <c r="AI388" s="9">
        <f t="shared" si="87"/>
        <v>22095.319999999989</v>
      </c>
      <c r="AJ388" s="14"/>
      <c r="AK388" s="14" t="s">
        <v>1077</v>
      </c>
      <c r="AL388" s="14" t="s">
        <v>1204</v>
      </c>
      <c r="AM388" s="14" t="s">
        <v>1205</v>
      </c>
      <c r="AN388" s="166" t="s">
        <v>1069</v>
      </c>
      <c r="AO388" s="166" t="s">
        <v>1206</v>
      </c>
      <c r="AP388" s="14"/>
      <c r="AQ388" s="14"/>
      <c r="AS388" s="14" t="s">
        <v>1207</v>
      </c>
      <c r="AT388" s="14"/>
      <c r="AU388" s="14"/>
      <c r="AV388" s="14"/>
      <c r="AW388" s="14"/>
      <c r="AX388" s="14"/>
      <c r="AZ388" s="88">
        <f t="shared" si="92"/>
        <v>130.49209939451308</v>
      </c>
    </row>
    <row r="389" spans="23:53">
      <c r="W389" s="9" t="str">
        <f t="shared" ca="1" si="86"/>
        <v/>
      </c>
      <c r="X389" s="39">
        <v>45164</v>
      </c>
      <c r="Y389" s="179">
        <f t="shared" si="90"/>
        <v>8</v>
      </c>
      <c r="Z389" s="107" t="s">
        <v>1132</v>
      </c>
      <c r="AA389" s="68"/>
      <c r="AB389" s="68"/>
      <c r="AC389" s="68"/>
      <c r="AD389" s="22"/>
      <c r="AE389" s="107"/>
      <c r="AF389" s="22"/>
      <c r="AG389" s="22">
        <f>34.9+18.8+19.5+5.1+4.2+7.3</f>
        <v>89.8</v>
      </c>
      <c r="AH389" s="22">
        <f t="shared" si="91"/>
        <v>89.8</v>
      </c>
      <c r="AI389" s="22">
        <f t="shared" si="87"/>
        <v>22185.119999999988</v>
      </c>
      <c r="AJ389" s="1372">
        <f>SUM(AH383:AH389)</f>
        <v>368</v>
      </c>
      <c r="AK389" s="1372">
        <f>SUM(AH360:AH390)</f>
        <v>2690.65</v>
      </c>
      <c r="AL389" s="1372">
        <f>SUM(AF360:AF390)</f>
        <v>446.69999999999993</v>
      </c>
      <c r="AM389" s="1372">
        <f>SUM(AG360:AG390)</f>
        <v>2243.9499999999998</v>
      </c>
      <c r="AN389" s="219">
        <f>SUM(AD360:AD389)</f>
        <v>172.52990935564145</v>
      </c>
      <c r="AO389" s="182">
        <f>AK389/AN389</f>
        <v>15.595266989062614</v>
      </c>
      <c r="AP389" s="183">
        <f>SUM(AA360:AB389)/SUM(AD360:AD389)</f>
        <v>1.7070083737940014</v>
      </c>
      <c r="AQ389" s="184">
        <f>(AP389/AO389)*(SUM(AH360:AH389))</f>
        <v>293.7000195120138</v>
      </c>
      <c r="AS389" s="9" t="s">
        <v>1208</v>
      </c>
      <c r="AT389" s="9" t="s">
        <v>1209</v>
      </c>
      <c r="AW389" s="9" t="s">
        <v>1210</v>
      </c>
      <c r="AX389" s="9" t="s">
        <v>1211</v>
      </c>
      <c r="AZ389" s="88">
        <f t="shared" si="92"/>
        <v>40.692099394513079</v>
      </c>
    </row>
    <row r="390" spans="23:53">
      <c r="W390" s="9" t="str">
        <f t="shared" ca="1" si="86"/>
        <v/>
      </c>
      <c r="X390" s="40">
        <v>45165</v>
      </c>
      <c r="Y390" s="168">
        <f t="shared" si="90"/>
        <v>8</v>
      </c>
      <c r="Z390" s="44" t="s">
        <v>1134</v>
      </c>
      <c r="AA390" s="97">
        <v>15</v>
      </c>
      <c r="AB390" s="97">
        <v>0.62</v>
      </c>
      <c r="AC390" s="97">
        <v>1.819</v>
      </c>
      <c r="AD390" s="88">
        <f>AA390/AC390</f>
        <v>8.2462891698735579</v>
      </c>
      <c r="AF390" s="26"/>
      <c r="AG390" s="9">
        <f>3+4.4</f>
        <v>7.4</v>
      </c>
      <c r="AH390" s="9">
        <f t="shared" si="91"/>
        <v>7.4</v>
      </c>
      <c r="AI390" s="9">
        <f t="shared" si="87"/>
        <v>22192.51999999999</v>
      </c>
      <c r="AJ390" s="14"/>
      <c r="AN390" s="166"/>
      <c r="AO390" s="166"/>
      <c r="AP390" s="14"/>
      <c r="AQ390" s="14"/>
      <c r="AS390" s="9">
        <f>AS380+(SUM(AH380:AH389)-(8.5+17.4+19.8+3.4))+3</f>
        <v>198754.5</v>
      </c>
      <c r="AT390" s="9">
        <f>AS390-AS380</f>
        <v>903</v>
      </c>
      <c r="AU390" s="89">
        <f>AT390/AD380</f>
        <v>17.657576086956521</v>
      </c>
      <c r="AV390" s="88">
        <f>100/AU390</f>
        <v>5.6632914680667312</v>
      </c>
      <c r="AW390" s="88">
        <f>((+AD390)*C$62)+AX390</f>
        <v>166.4589431026458</v>
      </c>
      <c r="AX390" s="88">
        <f>AZ390</f>
        <v>33.29209939451308</v>
      </c>
      <c r="AZ390" s="88">
        <f t="shared" si="92"/>
        <v>33.29209939451308</v>
      </c>
      <c r="BA390" s="88">
        <f>AW390-AH390+3</f>
        <v>162.0589431026458</v>
      </c>
    </row>
    <row r="391" spans="23:53">
      <c r="W391" s="9" t="str">
        <f t="shared" ca="1" si="86"/>
        <v/>
      </c>
      <c r="X391" s="40">
        <v>45166</v>
      </c>
      <c r="Y391" s="168">
        <f t="shared" si="90"/>
        <v>8</v>
      </c>
      <c r="Z391" s="44" t="s">
        <v>1136</v>
      </c>
      <c r="AA391" s="21"/>
      <c r="AB391" s="21"/>
      <c r="AC391" s="21"/>
      <c r="AD391" s="88"/>
      <c r="AF391" s="26">
        <f>25.1+24.8</f>
        <v>49.900000000000006</v>
      </c>
      <c r="AG391" s="9">
        <f>1.2+2.7+2.2+2.6</f>
        <v>8.7000000000000011</v>
      </c>
      <c r="AH391" s="9">
        <f t="shared" si="91"/>
        <v>58.600000000000009</v>
      </c>
      <c r="AI391" s="9">
        <f t="shared" si="87"/>
        <v>22251.119999999988</v>
      </c>
      <c r="AJ391" s="14"/>
      <c r="AK391" s="14"/>
      <c r="AL391" s="14"/>
      <c r="AM391" s="14"/>
      <c r="AN391" s="166"/>
      <c r="AO391" s="166"/>
      <c r="AP391" s="14"/>
      <c r="AQ391" s="14"/>
      <c r="BA391" s="88">
        <f>BA390-AH391</f>
        <v>103.45894310264579</v>
      </c>
    </row>
    <row r="392" spans="23:53">
      <c r="W392" s="9" t="str">
        <f t="shared" ca="1" si="86"/>
        <v/>
      </c>
      <c r="X392" s="40">
        <v>45167</v>
      </c>
      <c r="Y392" s="168">
        <f t="shared" si="90"/>
        <v>8</v>
      </c>
      <c r="Z392" s="44" t="s">
        <v>1138</v>
      </c>
      <c r="AA392" s="97">
        <v>70</v>
      </c>
      <c r="AB392" s="97"/>
      <c r="AC392" s="97">
        <v>1.5720000000000001</v>
      </c>
      <c r="AD392" s="88">
        <f>AA392/AC392</f>
        <v>44.529262086513995</v>
      </c>
      <c r="AF392" s="26">
        <f>26+35.4</f>
        <v>61.4</v>
      </c>
      <c r="AG392" s="9">
        <f>36.9+0.35+0.45</f>
        <v>37.700000000000003</v>
      </c>
      <c r="AH392" s="9">
        <f t="shared" si="91"/>
        <v>99.1</v>
      </c>
      <c r="AI392" s="9">
        <f t="shared" si="87"/>
        <v>22350.219999999987</v>
      </c>
      <c r="AJ392" s="14"/>
      <c r="AK392" s="14"/>
      <c r="AL392" s="14"/>
      <c r="AM392" s="14"/>
      <c r="AN392" s="166"/>
      <c r="AO392" s="166"/>
      <c r="AP392" s="14"/>
      <c r="AQ392" s="14"/>
      <c r="AS392" s="9">
        <f>AS390+(SUM(AH390:AH392))-AG392</f>
        <v>198881.9</v>
      </c>
      <c r="AT392" s="9">
        <f>AS392-AS390</f>
        <v>127.39999999999418</v>
      </c>
      <c r="AU392" s="89">
        <f>AT392/AD390</f>
        <v>15.449373333332625</v>
      </c>
      <c r="AV392" s="88">
        <f>100/AU392</f>
        <v>6.4727544504504984</v>
      </c>
      <c r="AW392" s="88">
        <f>((+AD392)*C$62)+AX392</f>
        <v>777.08966112623136</v>
      </c>
      <c r="AX392" s="9">
        <v>58</v>
      </c>
      <c r="AZ392" s="88">
        <f>AW392-AG392</f>
        <v>739.38966112623132</v>
      </c>
      <c r="BA392" s="88">
        <f>BA391-AH392</f>
        <v>4.3589431026457959</v>
      </c>
    </row>
    <row r="393" spans="23:53">
      <c r="W393" s="9" t="str">
        <f t="shared" ca="1" si="86"/>
        <v/>
      </c>
      <c r="X393" s="40">
        <v>45168</v>
      </c>
      <c r="Y393" s="168">
        <f t="shared" si="90"/>
        <v>8</v>
      </c>
      <c r="Z393" s="44" t="s">
        <v>1140</v>
      </c>
      <c r="AA393" s="21"/>
      <c r="AB393" s="21"/>
      <c r="AC393" s="21"/>
      <c r="AF393" s="26">
        <f>24.7+24</f>
        <v>48.7</v>
      </c>
      <c r="AG393" s="9">
        <f>6.2+8.9+10.2</f>
        <v>25.3</v>
      </c>
      <c r="AH393" s="9">
        <f t="shared" si="91"/>
        <v>74</v>
      </c>
      <c r="AI393" s="9">
        <f t="shared" si="87"/>
        <v>22424.219999999987</v>
      </c>
      <c r="AJ393" s="14"/>
      <c r="AK393" s="14"/>
      <c r="AL393" s="14"/>
      <c r="AM393" s="14"/>
      <c r="AN393" s="166"/>
      <c r="AO393" s="166"/>
      <c r="AP393" s="14"/>
      <c r="AQ393" s="14"/>
      <c r="AZ393" s="88">
        <f t="shared" ref="AZ393:AZ400" si="93">AZ392-AH393</f>
        <v>665.38966112623132</v>
      </c>
    </row>
    <row r="394" spans="23:53">
      <c r="W394" s="9" t="str">
        <f t="shared" ca="1" si="86"/>
        <v/>
      </c>
      <c r="X394" s="40">
        <v>45169</v>
      </c>
      <c r="Y394" s="168">
        <f t="shared" si="90"/>
        <v>8</v>
      </c>
      <c r="Z394" s="44" t="s">
        <v>1143</v>
      </c>
      <c r="AA394" s="21"/>
      <c r="AB394" s="21"/>
      <c r="AC394" s="21"/>
      <c r="AF394" s="26">
        <f>25+25.1</f>
        <v>50.1</v>
      </c>
      <c r="AG394" s="9">
        <f>1.6+0.55</f>
        <v>2.1500000000000004</v>
      </c>
      <c r="AH394" s="9">
        <f t="shared" si="91"/>
        <v>52.25</v>
      </c>
      <c r="AI394" s="9">
        <f t="shared" si="87"/>
        <v>22476.469999999987</v>
      </c>
      <c r="AJ394" s="14"/>
      <c r="AK394" s="14"/>
      <c r="AL394" s="14"/>
      <c r="AM394" s="14"/>
      <c r="AN394" s="166"/>
      <c r="AO394" s="166"/>
      <c r="AP394" s="14"/>
      <c r="AQ394" s="14"/>
      <c r="AZ394" s="88">
        <f t="shared" si="93"/>
        <v>613.13966112623132</v>
      </c>
    </row>
    <row r="395" spans="23:53">
      <c r="W395" s="9" t="str">
        <f t="shared" ca="1" si="86"/>
        <v/>
      </c>
      <c r="X395" s="40">
        <v>45170</v>
      </c>
      <c r="Y395" s="168">
        <f t="shared" si="90"/>
        <v>9</v>
      </c>
      <c r="Z395" s="44" t="s">
        <v>1145</v>
      </c>
      <c r="AA395" s="21"/>
      <c r="AB395" s="21"/>
      <c r="AC395" s="21"/>
      <c r="AF395" s="26">
        <f>23.8+0.35+19.6</f>
        <v>43.75</v>
      </c>
      <c r="AG395" s="9">
        <f>35.3</f>
        <v>35.299999999999997</v>
      </c>
      <c r="AH395" s="9">
        <f t="shared" si="91"/>
        <v>79.05</v>
      </c>
      <c r="AI395" s="9">
        <f t="shared" si="87"/>
        <v>22555.519999999986</v>
      </c>
      <c r="AJ395" s="14"/>
      <c r="AK395" s="14"/>
      <c r="AL395" s="14"/>
      <c r="AM395" s="14"/>
      <c r="AN395" s="166"/>
      <c r="AO395" s="166"/>
      <c r="AP395" s="14"/>
      <c r="AQ395" s="14"/>
      <c r="AZ395" s="88">
        <f t="shared" si="93"/>
        <v>534.08966112623136</v>
      </c>
    </row>
    <row r="396" spans="23:53">
      <c r="W396" s="9" t="str">
        <f t="shared" ca="1" si="86"/>
        <v/>
      </c>
      <c r="X396" s="40">
        <v>45171</v>
      </c>
      <c r="Y396" s="168">
        <f t="shared" si="90"/>
        <v>9</v>
      </c>
      <c r="Z396" s="44" t="s">
        <v>1132</v>
      </c>
      <c r="AA396" s="21"/>
      <c r="AB396" s="21"/>
      <c r="AC396" s="21"/>
      <c r="AF396" s="26"/>
      <c r="AG396" s="9">
        <f>3.7+3.7+2.8+2+7.2+33.3+30.3</f>
        <v>83</v>
      </c>
      <c r="AH396" s="9">
        <f t="shared" si="91"/>
        <v>83</v>
      </c>
      <c r="AI396" s="9">
        <f t="shared" si="87"/>
        <v>22638.519999999986</v>
      </c>
      <c r="AJ396" s="14">
        <f>SUM(AH390:AH396)</f>
        <v>453.40000000000003</v>
      </c>
      <c r="AK396" s="14"/>
      <c r="AL396" s="14"/>
      <c r="AM396" s="14"/>
      <c r="AN396" s="166"/>
      <c r="AO396" s="166"/>
      <c r="AP396" s="14"/>
      <c r="AQ396" s="14"/>
      <c r="AZ396" s="88">
        <f t="shared" si="93"/>
        <v>451.08966112623136</v>
      </c>
    </row>
    <row r="397" spans="23:53">
      <c r="W397" s="9" t="str">
        <f t="shared" ca="1" si="86"/>
        <v/>
      </c>
      <c r="X397" s="40">
        <v>45172</v>
      </c>
      <c r="Y397" s="168">
        <f t="shared" si="90"/>
        <v>9</v>
      </c>
      <c r="Z397" s="44" t="s">
        <v>1134</v>
      </c>
      <c r="AA397" s="21"/>
      <c r="AB397" s="21"/>
      <c r="AC397" s="21"/>
      <c r="AF397" s="26"/>
      <c r="AG397" s="9">
        <f>23.7+23.6+3.3</f>
        <v>50.599999999999994</v>
      </c>
      <c r="AH397" s="9">
        <f t="shared" si="91"/>
        <v>50.599999999999994</v>
      </c>
      <c r="AI397" s="9">
        <f t="shared" si="87"/>
        <v>22689.119999999984</v>
      </c>
      <c r="AJ397" s="14"/>
      <c r="AK397" s="14"/>
      <c r="AL397" s="14"/>
      <c r="AM397" s="14"/>
      <c r="AN397" s="166"/>
      <c r="AO397" s="166"/>
      <c r="AP397" s="14"/>
      <c r="AQ397" s="14"/>
      <c r="AZ397" s="88">
        <f t="shared" si="93"/>
        <v>400.48966112623134</v>
      </c>
    </row>
    <row r="398" spans="23:53">
      <c r="W398" s="9" t="str">
        <f t="shared" ca="1" si="86"/>
        <v/>
      </c>
      <c r="X398" s="40">
        <v>45173</v>
      </c>
      <c r="Y398" s="168">
        <f t="shared" si="90"/>
        <v>9</v>
      </c>
      <c r="Z398" s="44" t="s">
        <v>1136</v>
      </c>
      <c r="AA398" s="21"/>
      <c r="AB398" s="21"/>
      <c r="AC398" s="21"/>
      <c r="AF398" s="26">
        <f>25+30</f>
        <v>55</v>
      </c>
      <c r="AG398" s="9">
        <f>2.5+3.1+6.7+2.7</f>
        <v>15</v>
      </c>
      <c r="AH398" s="9">
        <f t="shared" si="91"/>
        <v>70</v>
      </c>
      <c r="AI398" s="9">
        <f t="shared" si="87"/>
        <v>22759.119999999984</v>
      </c>
      <c r="AJ398" s="14"/>
      <c r="AK398" s="14"/>
      <c r="AL398" s="14"/>
      <c r="AM398" s="14"/>
      <c r="AN398" s="166"/>
      <c r="AO398" s="166"/>
      <c r="AP398" s="14"/>
      <c r="AQ398" s="14"/>
      <c r="AZ398" s="88">
        <f t="shared" si="93"/>
        <v>330.48966112623134</v>
      </c>
    </row>
    <row r="399" spans="23:53">
      <c r="W399" s="9" t="str">
        <f t="shared" ca="1" si="86"/>
        <v/>
      </c>
      <c r="X399" s="40">
        <v>45174</v>
      </c>
      <c r="Y399" s="168">
        <f t="shared" si="90"/>
        <v>9</v>
      </c>
      <c r="Z399" s="44" t="s">
        <v>1138</v>
      </c>
      <c r="AA399" s="21"/>
      <c r="AB399" s="21"/>
      <c r="AC399" s="21"/>
      <c r="AF399" s="26">
        <f>25.8+21.8</f>
        <v>47.6</v>
      </c>
      <c r="AG399" s="9">
        <f>40.9+29.4+1.3</f>
        <v>71.599999999999994</v>
      </c>
      <c r="AH399" s="9">
        <f t="shared" si="91"/>
        <v>119.19999999999999</v>
      </c>
      <c r="AI399" s="9">
        <f t="shared" si="87"/>
        <v>22878.319999999985</v>
      </c>
      <c r="AJ399" s="14"/>
      <c r="AK399" s="14"/>
      <c r="AL399" s="14"/>
      <c r="AM399" s="14"/>
      <c r="AN399" s="166"/>
      <c r="AO399" s="166"/>
      <c r="AP399" s="14"/>
      <c r="AQ399" s="14"/>
      <c r="AS399" s="14" t="s">
        <v>1207</v>
      </c>
      <c r="AT399" s="14"/>
      <c r="AU399" s="14"/>
      <c r="AV399" s="14"/>
      <c r="AW399" s="14"/>
      <c r="AX399" s="14"/>
      <c r="AZ399" s="88">
        <f t="shared" si="93"/>
        <v>211.28966112623135</v>
      </c>
    </row>
    <row r="400" spans="23:53">
      <c r="W400" s="9" t="str">
        <f t="shared" ca="1" si="86"/>
        <v/>
      </c>
      <c r="X400" s="40">
        <v>45175</v>
      </c>
      <c r="Y400" s="168">
        <f t="shared" si="90"/>
        <v>9</v>
      </c>
      <c r="Z400" s="44" t="s">
        <v>1140</v>
      </c>
      <c r="AA400" s="21"/>
      <c r="AB400" s="21"/>
      <c r="AC400" s="21"/>
      <c r="AF400" s="26">
        <f>25.2+20.2</f>
        <v>45.4</v>
      </c>
      <c r="AG400" s="9">
        <f>8.5+3.2</f>
        <v>11.7</v>
      </c>
      <c r="AH400" s="9">
        <f t="shared" si="91"/>
        <v>57.099999999999994</v>
      </c>
      <c r="AI400" s="9">
        <f t="shared" si="87"/>
        <v>22935.419999999984</v>
      </c>
      <c r="AJ400" s="14"/>
      <c r="AK400" s="14"/>
      <c r="AL400" s="14"/>
      <c r="AM400" s="14"/>
      <c r="AN400" s="166"/>
      <c r="AO400" s="166"/>
      <c r="AP400" s="14"/>
      <c r="AQ400" s="14"/>
      <c r="AS400" s="9" t="s">
        <v>1208</v>
      </c>
      <c r="AT400" s="9" t="s">
        <v>1209</v>
      </c>
      <c r="AW400" s="9" t="s">
        <v>1210</v>
      </c>
      <c r="AX400" s="9" t="s">
        <v>1211</v>
      </c>
      <c r="AZ400" s="88">
        <f t="shared" si="93"/>
        <v>154.18966112623136</v>
      </c>
    </row>
    <row r="401" spans="23:53">
      <c r="W401" s="9" t="str">
        <f t="shared" ca="1" si="86"/>
        <v/>
      </c>
      <c r="X401" s="40">
        <v>45176</v>
      </c>
      <c r="Y401" s="168">
        <f t="shared" si="90"/>
        <v>9</v>
      </c>
      <c r="Z401" s="44" t="s">
        <v>1143</v>
      </c>
      <c r="AA401" s="97">
        <v>70</v>
      </c>
      <c r="AB401" s="97"/>
      <c r="AC401" s="97">
        <v>1.5720000000000001</v>
      </c>
      <c r="AD401" s="88">
        <f>AA401/AC401</f>
        <v>44.529262086513995</v>
      </c>
      <c r="AF401" s="26">
        <f>25.1+35</f>
        <v>60.1</v>
      </c>
      <c r="AG401" s="9">
        <f>37.1+0.5+1.8</f>
        <v>39.4</v>
      </c>
      <c r="AH401" s="9">
        <f t="shared" si="91"/>
        <v>99.5</v>
      </c>
      <c r="AI401" s="9">
        <f t="shared" si="87"/>
        <v>23034.919999999984</v>
      </c>
      <c r="AJ401" s="14"/>
      <c r="AK401" s="14"/>
      <c r="AL401" s="14"/>
      <c r="AM401" s="14"/>
      <c r="AN401" s="166"/>
      <c r="AO401" s="166"/>
      <c r="AP401" s="14"/>
      <c r="AQ401" s="14"/>
      <c r="AS401" s="9">
        <f>AS392+(SUM(AH392:AH400)+AF401)</f>
        <v>199626.3</v>
      </c>
      <c r="AT401" s="9">
        <f>AS401-AS392</f>
        <v>744.39999999999418</v>
      </c>
      <c r="AU401" s="88">
        <f>AT401/AD392</f>
        <v>16.717097142857011</v>
      </c>
      <c r="AV401" s="88">
        <f>100/AU401</f>
        <v>5.9818997966838188</v>
      </c>
      <c r="AW401" s="88">
        <f>((+AD401)*C$62)+AX401</f>
        <v>799.08966112623136</v>
      </c>
      <c r="AX401" s="9">
        <v>80</v>
      </c>
      <c r="AZ401" s="88">
        <f>AZ400-AF401</f>
        <v>94.089661126231363</v>
      </c>
      <c r="BA401" s="88">
        <f>AW401-AG401</f>
        <v>759.68966112623139</v>
      </c>
    </row>
    <row r="402" spans="23:53">
      <c r="W402" s="9" t="str">
        <f t="shared" ca="1" si="86"/>
        <v/>
      </c>
      <c r="X402" s="40">
        <v>45177</v>
      </c>
      <c r="Y402" s="168">
        <f t="shared" si="90"/>
        <v>9</v>
      </c>
      <c r="Z402" s="44" t="s">
        <v>1145</v>
      </c>
      <c r="AA402" s="21"/>
      <c r="AB402" s="21"/>
      <c r="AC402" s="21"/>
      <c r="AD402" s="88"/>
      <c r="AF402" s="26">
        <f>26+21.1</f>
        <v>47.1</v>
      </c>
      <c r="AG402" s="9">
        <f>11.1+2.3+2.2+35.9+34.3</f>
        <v>85.8</v>
      </c>
      <c r="AH402" s="9">
        <f t="shared" si="91"/>
        <v>132.9</v>
      </c>
      <c r="AI402" s="9">
        <f t="shared" si="87"/>
        <v>23167.819999999985</v>
      </c>
      <c r="AJ402" s="14"/>
      <c r="AK402" s="14"/>
      <c r="AL402" s="14"/>
      <c r="AM402" s="14"/>
      <c r="AN402" s="166"/>
      <c r="AO402" s="166"/>
      <c r="AP402" s="14"/>
      <c r="AQ402" s="14"/>
      <c r="AZ402" s="88"/>
      <c r="BA402" s="88">
        <f t="shared" ref="BA402:BA412" si="94">BA401-AH402</f>
        <v>626.78966112623141</v>
      </c>
    </row>
    <row r="403" spans="23:53">
      <c r="W403" s="9" t="str">
        <f t="shared" ca="1" si="86"/>
        <v/>
      </c>
      <c r="X403" s="40">
        <v>45178</v>
      </c>
      <c r="Y403" s="168">
        <f t="shared" si="90"/>
        <v>9</v>
      </c>
      <c r="Z403" s="44" t="s">
        <v>1132</v>
      </c>
      <c r="AA403" s="21"/>
      <c r="AB403" s="21"/>
      <c r="AC403" s="21"/>
      <c r="AF403" s="26"/>
      <c r="AG403" s="9">
        <f>1.9+2.1+6.3+8.5+39.6</f>
        <v>58.400000000000006</v>
      </c>
      <c r="AH403" s="9">
        <f t="shared" si="91"/>
        <v>58.400000000000006</v>
      </c>
      <c r="AI403" s="9">
        <f t="shared" si="87"/>
        <v>23226.219999999987</v>
      </c>
      <c r="AJ403" s="14">
        <f>SUM(AH397:AH403)</f>
        <v>587.69999999999993</v>
      </c>
      <c r="AK403" s="14"/>
      <c r="AL403" s="14"/>
      <c r="AM403" s="14"/>
      <c r="AN403" s="166"/>
      <c r="AO403" s="166"/>
      <c r="AP403" s="14"/>
      <c r="AQ403" s="14"/>
      <c r="AZ403" s="88"/>
      <c r="BA403" s="88">
        <f t="shared" si="94"/>
        <v>568.38966112623143</v>
      </c>
    </row>
    <row r="404" spans="23:53">
      <c r="W404" s="9" t="str">
        <f t="shared" ca="1" si="86"/>
        <v/>
      </c>
      <c r="X404" s="40">
        <v>45179</v>
      </c>
      <c r="Y404" s="168">
        <f t="shared" si="90"/>
        <v>9</v>
      </c>
      <c r="Z404" s="44" t="s">
        <v>1134</v>
      </c>
      <c r="AA404" s="21"/>
      <c r="AB404" s="21"/>
      <c r="AC404" s="21"/>
      <c r="AF404" s="26"/>
      <c r="AG404" s="9">
        <f>37.3+18.9+18.9</f>
        <v>75.099999999999994</v>
      </c>
      <c r="AH404" s="9">
        <f t="shared" si="91"/>
        <v>75.099999999999994</v>
      </c>
      <c r="AI404" s="9">
        <f t="shared" si="87"/>
        <v>23301.319999999985</v>
      </c>
      <c r="AJ404" s="14"/>
      <c r="AK404" s="14"/>
      <c r="AL404" s="14"/>
      <c r="AM404" s="14"/>
      <c r="AN404" s="166"/>
      <c r="AO404" s="166"/>
      <c r="AP404" s="14"/>
      <c r="AQ404" s="14"/>
      <c r="BA404" s="88">
        <f t="shared" si="94"/>
        <v>493.28966112623141</v>
      </c>
    </row>
    <row r="405" spans="23:53">
      <c r="W405" s="9" t="str">
        <f t="shared" ca="1" si="86"/>
        <v/>
      </c>
      <c r="X405" s="40">
        <v>45180</v>
      </c>
      <c r="Y405" s="168">
        <f t="shared" si="90"/>
        <v>9</v>
      </c>
      <c r="Z405" s="44" t="s">
        <v>1136</v>
      </c>
      <c r="AA405" s="21"/>
      <c r="AB405" s="21"/>
      <c r="AC405" s="21"/>
      <c r="AF405" s="26">
        <f>26.1+27.1</f>
        <v>53.2</v>
      </c>
      <c r="AG405" s="9">
        <f>4.6*2</f>
        <v>9.1999999999999993</v>
      </c>
      <c r="AH405" s="9">
        <f t="shared" si="91"/>
        <v>62.400000000000006</v>
      </c>
      <c r="AI405" s="9">
        <f t="shared" si="87"/>
        <v>23363.719999999987</v>
      </c>
      <c r="AJ405" s="14"/>
      <c r="AK405" s="14"/>
      <c r="AL405" s="14"/>
      <c r="AM405" s="14"/>
      <c r="AN405" s="166"/>
      <c r="AO405" s="166"/>
      <c r="AP405" s="14"/>
      <c r="AQ405" s="14"/>
      <c r="BA405" s="88">
        <f t="shared" si="94"/>
        <v>430.88966112623143</v>
      </c>
    </row>
    <row r="406" spans="23:53">
      <c r="W406" s="9" t="str">
        <f t="shared" ca="1" si="86"/>
        <v/>
      </c>
      <c r="X406" s="40">
        <v>45181</v>
      </c>
      <c r="Y406" s="168">
        <f t="shared" si="90"/>
        <v>9</v>
      </c>
      <c r="Z406" s="44" t="s">
        <v>1138</v>
      </c>
      <c r="AA406" s="21"/>
      <c r="AB406" s="21"/>
      <c r="AC406" s="21"/>
      <c r="AF406" s="26">
        <f>25.7+21.1</f>
        <v>46.8</v>
      </c>
      <c r="AG406" s="9">
        <f>1.5+1.7+3.2</f>
        <v>6.4</v>
      </c>
      <c r="AH406" s="9">
        <f t="shared" si="91"/>
        <v>53.199999999999996</v>
      </c>
      <c r="AI406" s="9">
        <f t="shared" si="87"/>
        <v>23416.919999999987</v>
      </c>
      <c r="AJ406" s="14"/>
      <c r="AK406" s="14"/>
      <c r="AL406" s="14"/>
      <c r="AM406" s="14"/>
      <c r="AN406" s="166"/>
      <c r="AO406" s="166"/>
      <c r="AP406" s="14"/>
      <c r="AQ406" s="14"/>
      <c r="BA406" s="88">
        <f t="shared" si="94"/>
        <v>377.68966112623144</v>
      </c>
    </row>
    <row r="407" spans="23:53">
      <c r="W407" s="9" t="str">
        <f t="shared" ca="1" si="86"/>
        <v/>
      </c>
      <c r="X407" s="40">
        <v>45182</v>
      </c>
      <c r="Y407" s="168">
        <f t="shared" si="90"/>
        <v>9</v>
      </c>
      <c r="Z407" s="44" t="s">
        <v>1140</v>
      </c>
      <c r="AA407" s="21"/>
      <c r="AB407" s="21"/>
      <c r="AC407" s="21"/>
      <c r="AF407" s="26">
        <f>24.8+19.6</f>
        <v>44.400000000000006</v>
      </c>
      <c r="AG407" s="9">
        <f>9+4.6</f>
        <v>13.6</v>
      </c>
      <c r="AH407" s="9">
        <f t="shared" si="91"/>
        <v>58.000000000000007</v>
      </c>
      <c r="AI407" s="9">
        <f t="shared" si="87"/>
        <v>23474.919999999987</v>
      </c>
      <c r="AJ407" s="14"/>
      <c r="AK407" s="14"/>
      <c r="AL407" s="14"/>
      <c r="AM407" s="14"/>
      <c r="AN407" s="166"/>
      <c r="AO407" s="166"/>
      <c r="AP407" s="14"/>
      <c r="AQ407" s="14"/>
      <c r="BA407" s="88">
        <f t="shared" si="94"/>
        <v>319.68966112623144</v>
      </c>
    </row>
    <row r="408" spans="23:53">
      <c r="W408" s="9" t="str">
        <f t="shared" ca="1" si="86"/>
        <v/>
      </c>
      <c r="X408" s="40">
        <v>45183</v>
      </c>
      <c r="Y408" s="168">
        <f t="shared" si="90"/>
        <v>9</v>
      </c>
      <c r="Z408" s="44" t="s">
        <v>1143</v>
      </c>
      <c r="AA408" s="21"/>
      <c r="AB408" s="21"/>
      <c r="AC408" s="21"/>
      <c r="AF408" s="26">
        <f>24.5+12.3+27.7</f>
        <v>64.5</v>
      </c>
      <c r="AH408" s="9">
        <f t="shared" si="91"/>
        <v>64.5</v>
      </c>
      <c r="AI408" s="9">
        <f t="shared" si="87"/>
        <v>23539.419999999987</v>
      </c>
      <c r="AJ408" s="14"/>
      <c r="AK408" s="14"/>
      <c r="AL408" s="14"/>
      <c r="AM408" s="14"/>
      <c r="AN408" s="166"/>
      <c r="AO408" s="166"/>
      <c r="AP408" s="14"/>
      <c r="AQ408" s="14"/>
      <c r="BA408" s="88">
        <f t="shared" si="94"/>
        <v>255.18966112623144</v>
      </c>
    </row>
    <row r="409" spans="23:53">
      <c r="W409" s="9" t="str">
        <f t="shared" ca="1" si="86"/>
        <v/>
      </c>
      <c r="X409" s="40">
        <v>45184</v>
      </c>
      <c r="Y409" s="168">
        <f t="shared" si="90"/>
        <v>9</v>
      </c>
      <c r="Z409" s="44" t="s">
        <v>1145</v>
      </c>
      <c r="AA409" s="21"/>
      <c r="AB409" s="21"/>
      <c r="AC409" s="21"/>
      <c r="AF409" s="26">
        <f>25+25.2</f>
        <v>50.2</v>
      </c>
      <c r="AG409" s="9">
        <f>7+2.5</f>
        <v>9.5</v>
      </c>
      <c r="AH409" s="9">
        <f t="shared" si="91"/>
        <v>59.7</v>
      </c>
      <c r="AI409" s="9">
        <f t="shared" si="87"/>
        <v>23599.119999999988</v>
      </c>
      <c r="AJ409" s="14"/>
      <c r="AK409" s="14"/>
      <c r="AL409" s="14"/>
      <c r="AM409" s="14"/>
      <c r="AN409" s="166"/>
      <c r="AO409" s="166"/>
      <c r="AP409" s="14"/>
      <c r="AQ409" s="14"/>
      <c r="BA409" s="88">
        <f t="shared" si="94"/>
        <v>195.48966112623145</v>
      </c>
    </row>
    <row r="410" spans="23:53">
      <c r="W410" s="9" t="str">
        <f t="shared" ref="W410:W473" ca="1" si="95">IF(X410=TODAY(),1,"")</f>
        <v/>
      </c>
      <c r="X410" s="40">
        <v>45185</v>
      </c>
      <c r="Y410" s="168">
        <f t="shared" si="90"/>
        <v>9</v>
      </c>
      <c r="Z410" s="44" t="s">
        <v>1132</v>
      </c>
      <c r="AA410" s="21"/>
      <c r="AB410" s="21"/>
      <c r="AC410" s="21"/>
      <c r="AF410" s="26"/>
      <c r="AG410" s="9">
        <f>7.8+7.3+2.9+2.8</f>
        <v>20.8</v>
      </c>
      <c r="AH410" s="9">
        <f t="shared" si="91"/>
        <v>20.8</v>
      </c>
      <c r="AI410" s="9">
        <f t="shared" si="87"/>
        <v>23619.919999999987</v>
      </c>
      <c r="AJ410" s="14">
        <f>SUM(AH404:AH410)</f>
        <v>393.7</v>
      </c>
      <c r="AK410" s="14"/>
      <c r="AL410" s="14"/>
      <c r="AM410" s="14"/>
      <c r="AN410" s="166"/>
      <c r="AO410" s="166"/>
      <c r="AP410" s="14"/>
      <c r="AQ410" s="14"/>
      <c r="AS410" s="14" t="s">
        <v>1207</v>
      </c>
      <c r="AT410" s="14"/>
      <c r="AU410" s="14"/>
      <c r="AV410" s="14"/>
      <c r="AW410" s="14"/>
      <c r="AX410" s="14"/>
      <c r="BA410" s="88">
        <f t="shared" si="94"/>
        <v>174.68966112623144</v>
      </c>
    </row>
    <row r="411" spans="23:53">
      <c r="W411" s="9" t="str">
        <f t="shared" ca="1" si="95"/>
        <v/>
      </c>
      <c r="X411" s="40">
        <v>45186</v>
      </c>
      <c r="Y411" s="168">
        <f t="shared" si="90"/>
        <v>9</v>
      </c>
      <c r="Z411" s="44" t="s">
        <v>1134</v>
      </c>
      <c r="AA411" s="21"/>
      <c r="AB411" s="21"/>
      <c r="AC411" s="21"/>
      <c r="AF411" s="26"/>
      <c r="AG411" s="9">
        <f>2.9+17.5+0.8+15.7</f>
        <v>36.9</v>
      </c>
      <c r="AH411" s="9">
        <f t="shared" si="91"/>
        <v>36.9</v>
      </c>
      <c r="AI411" s="9">
        <f t="shared" ref="AI411:AI474" si="96">AI410+AH411</f>
        <v>23656.819999999989</v>
      </c>
      <c r="AJ411" s="14"/>
      <c r="AK411" s="14"/>
      <c r="AL411" s="14"/>
      <c r="AM411" s="14"/>
      <c r="AN411" s="166"/>
      <c r="AO411" s="166"/>
      <c r="AP411" s="14"/>
      <c r="AQ411" s="14"/>
      <c r="AS411" s="9" t="s">
        <v>1208</v>
      </c>
      <c r="AT411" s="9" t="s">
        <v>1209</v>
      </c>
      <c r="AW411" s="9" t="s">
        <v>1210</v>
      </c>
      <c r="AX411" s="9" t="s">
        <v>1211</v>
      </c>
      <c r="BA411" s="88">
        <f t="shared" si="94"/>
        <v>137.78966112623144</v>
      </c>
    </row>
    <row r="412" spans="23:53">
      <c r="W412" s="9" t="str">
        <f t="shared" ca="1" si="95"/>
        <v/>
      </c>
      <c r="X412" s="40">
        <v>45187</v>
      </c>
      <c r="Y412" s="168">
        <f t="shared" si="90"/>
        <v>9</v>
      </c>
      <c r="Z412" s="44" t="s">
        <v>1136</v>
      </c>
      <c r="AA412" s="97">
        <v>70</v>
      </c>
      <c r="AB412" s="97"/>
      <c r="AC412" s="97">
        <v>1.6</v>
      </c>
      <c r="AD412" s="88">
        <f>AA412/AC412</f>
        <v>43.75</v>
      </c>
      <c r="AF412" s="26">
        <f>26.1+35.4</f>
        <v>61.5</v>
      </c>
      <c r="AG412" s="9">
        <f>35.4+2.2</f>
        <v>37.6</v>
      </c>
      <c r="AH412" s="9">
        <f t="shared" si="91"/>
        <v>99.1</v>
      </c>
      <c r="AI412" s="9">
        <f t="shared" si="96"/>
        <v>23755.919999999987</v>
      </c>
      <c r="AJ412" s="14"/>
      <c r="AK412" s="14"/>
      <c r="AL412" s="14"/>
      <c r="AM412" s="14"/>
      <c r="AN412" s="166"/>
      <c r="AO412" s="166"/>
      <c r="AP412" s="14"/>
      <c r="AQ412" s="14"/>
      <c r="AS412" s="9">
        <f>AS401+(SUM(AH402:AH411))+AG401+AF412</f>
        <v>200349.09999999998</v>
      </c>
      <c r="AT412" s="9">
        <f>AS412-AS401</f>
        <v>722.79999999998836</v>
      </c>
      <c r="AU412" s="88">
        <f>AT412/AD401</f>
        <v>16.232022857142596</v>
      </c>
      <c r="AV412" s="88">
        <f>100/AU412</f>
        <v>6.1606616057712662</v>
      </c>
      <c r="AW412" s="88">
        <f>((+AD412)*C$62)+AX412</f>
        <v>761.50559205652235</v>
      </c>
      <c r="AX412" s="88">
        <v>55</v>
      </c>
      <c r="AZ412" s="88">
        <f>AW412-AG412</f>
        <v>723.90559205652232</v>
      </c>
      <c r="BA412" s="88">
        <f t="shared" si="94"/>
        <v>38.689661126231442</v>
      </c>
    </row>
    <row r="413" spans="23:53">
      <c r="W413" s="9" t="str">
        <f t="shared" ca="1" si="95"/>
        <v/>
      </c>
      <c r="X413" s="40">
        <v>45188</v>
      </c>
      <c r="Y413" s="168">
        <f t="shared" si="90"/>
        <v>9</v>
      </c>
      <c r="Z413" s="44" t="s">
        <v>1138</v>
      </c>
      <c r="AA413" s="21"/>
      <c r="AB413" s="21"/>
      <c r="AC413" s="21"/>
      <c r="AD413" s="88"/>
      <c r="AF413" s="26">
        <f>24.8+24.3</f>
        <v>49.1</v>
      </c>
      <c r="AH413" s="9">
        <f t="shared" si="91"/>
        <v>49.1</v>
      </c>
      <c r="AI413" s="9">
        <f t="shared" si="96"/>
        <v>23805.019999999986</v>
      </c>
      <c r="AJ413" s="14"/>
      <c r="AK413" s="14"/>
      <c r="AL413" s="14"/>
      <c r="AM413" s="14"/>
      <c r="AN413" s="166"/>
      <c r="AO413" s="166"/>
      <c r="AP413" s="14"/>
      <c r="AQ413" s="14"/>
      <c r="AZ413" s="88">
        <f t="shared" ref="AZ413:AZ421" si="97">AZ412-AH413</f>
        <v>674.8055920565223</v>
      </c>
      <c r="BA413" s="88"/>
    </row>
    <row r="414" spans="23:53">
      <c r="W414" s="9" t="str">
        <f t="shared" ca="1" si="95"/>
        <v/>
      </c>
      <c r="X414" s="40">
        <v>45189</v>
      </c>
      <c r="Y414" s="168">
        <f t="shared" si="90"/>
        <v>9</v>
      </c>
      <c r="Z414" s="44" t="s">
        <v>1140</v>
      </c>
      <c r="AA414" s="21"/>
      <c r="AB414" s="21"/>
      <c r="AC414" s="21"/>
      <c r="AF414" s="26">
        <f>25.3+25.2</f>
        <v>50.5</v>
      </c>
      <c r="AG414" s="9">
        <f>2.3+2.3+43.8+10.1+33.5</f>
        <v>92</v>
      </c>
      <c r="AH414" s="9">
        <f t="shared" si="91"/>
        <v>142.5</v>
      </c>
      <c r="AI414" s="9">
        <f t="shared" si="96"/>
        <v>23947.519999999986</v>
      </c>
      <c r="AJ414" s="14"/>
      <c r="AK414" s="14"/>
      <c r="AL414" s="14"/>
      <c r="AM414" s="14"/>
      <c r="AN414" s="166"/>
      <c r="AO414" s="166"/>
      <c r="AP414" s="14"/>
      <c r="AQ414" s="14"/>
      <c r="AZ414" s="88">
        <f t="shared" si="97"/>
        <v>532.3055920565223</v>
      </c>
    </row>
    <row r="415" spans="23:53">
      <c r="W415" s="9" t="str">
        <f t="shared" ca="1" si="95"/>
        <v/>
      </c>
      <c r="X415" s="40">
        <v>45190</v>
      </c>
      <c r="Y415" s="168">
        <f t="shared" si="90"/>
        <v>9</v>
      </c>
      <c r="Z415" s="44" t="s">
        <v>1143</v>
      </c>
      <c r="AA415" s="21"/>
      <c r="AB415" s="21"/>
      <c r="AC415" s="21"/>
      <c r="AF415" s="26">
        <f>24.8+25.8</f>
        <v>50.6</v>
      </c>
      <c r="AH415" s="9">
        <f t="shared" si="91"/>
        <v>50.6</v>
      </c>
      <c r="AI415" s="9">
        <f t="shared" si="96"/>
        <v>23998.119999999984</v>
      </c>
      <c r="AJ415" s="14"/>
      <c r="AK415" s="14"/>
      <c r="AL415" s="14"/>
      <c r="AM415" s="14"/>
      <c r="AN415" s="166"/>
      <c r="AO415" s="166"/>
      <c r="AP415" s="14"/>
      <c r="AQ415" s="14"/>
      <c r="AZ415" s="88">
        <f t="shared" si="97"/>
        <v>481.70559205652228</v>
      </c>
    </row>
    <row r="416" spans="23:53">
      <c r="W416" s="9" t="str">
        <f t="shared" ca="1" si="95"/>
        <v/>
      </c>
      <c r="X416" s="40">
        <v>45191</v>
      </c>
      <c r="Y416" s="168">
        <f t="shared" si="90"/>
        <v>9</v>
      </c>
      <c r="Z416" s="44" t="s">
        <v>1145</v>
      </c>
      <c r="AA416" s="21"/>
      <c r="AB416" s="21"/>
      <c r="AC416" s="21"/>
      <c r="AF416" s="26">
        <f>25.5+25.2</f>
        <v>50.7</v>
      </c>
      <c r="AG416" s="9">
        <f>2.1+2.1</f>
        <v>4.2</v>
      </c>
      <c r="AH416" s="9">
        <f t="shared" si="91"/>
        <v>54.900000000000006</v>
      </c>
      <c r="AI416" s="9">
        <f t="shared" si="96"/>
        <v>24053.019999999986</v>
      </c>
      <c r="AJ416" s="14"/>
      <c r="AK416" s="14"/>
      <c r="AL416" s="14"/>
      <c r="AM416" s="14"/>
      <c r="AN416" s="166"/>
      <c r="AO416" s="166"/>
      <c r="AP416" s="14"/>
      <c r="AQ416" s="14"/>
      <c r="AZ416" s="88">
        <f t="shared" si="97"/>
        <v>426.8055920565223</v>
      </c>
    </row>
    <row r="417" spans="23:53">
      <c r="W417" s="9" t="str">
        <f t="shared" ca="1" si="95"/>
        <v/>
      </c>
      <c r="X417" s="40">
        <v>45192</v>
      </c>
      <c r="Y417" s="168">
        <f t="shared" si="90"/>
        <v>9</v>
      </c>
      <c r="Z417" s="44" t="s">
        <v>1132</v>
      </c>
      <c r="AA417" s="21"/>
      <c r="AB417" s="21"/>
      <c r="AC417" s="21"/>
      <c r="AF417" s="26"/>
      <c r="AG417" s="9">
        <f>2.2+2+6.5+3+31.1+32.4</f>
        <v>77.199999999999989</v>
      </c>
      <c r="AH417" s="9">
        <f t="shared" si="91"/>
        <v>77.199999999999989</v>
      </c>
      <c r="AI417" s="9">
        <f t="shared" si="96"/>
        <v>24130.219999999987</v>
      </c>
      <c r="AJ417" s="14">
        <f>SUM(AH411:AH417)</f>
        <v>510.3</v>
      </c>
      <c r="AK417" s="14"/>
      <c r="AL417" s="14"/>
      <c r="AM417" s="14"/>
      <c r="AN417" s="166"/>
      <c r="AO417" s="166"/>
      <c r="AP417" s="14"/>
      <c r="AQ417" s="14"/>
      <c r="AZ417" s="88">
        <f t="shared" si="97"/>
        <v>349.60559205652231</v>
      </c>
    </row>
    <row r="418" spans="23:53">
      <c r="W418" s="9" t="str">
        <f t="shared" ca="1" si="95"/>
        <v/>
      </c>
      <c r="X418" s="40">
        <v>45193</v>
      </c>
      <c r="Y418" s="168">
        <f t="shared" si="90"/>
        <v>9</v>
      </c>
      <c r="Z418" s="44" t="s">
        <v>1134</v>
      </c>
      <c r="AA418" s="21"/>
      <c r="AB418" s="21"/>
      <c r="AC418" s="21"/>
      <c r="AF418" s="26"/>
      <c r="AG418" s="9">
        <f>31.9+30</f>
        <v>61.9</v>
      </c>
      <c r="AH418" s="9">
        <f t="shared" si="91"/>
        <v>61.9</v>
      </c>
      <c r="AI418" s="9">
        <f t="shared" si="96"/>
        <v>24192.119999999988</v>
      </c>
      <c r="AJ418" s="14"/>
      <c r="AK418" s="14"/>
      <c r="AL418" s="14"/>
      <c r="AM418" s="14"/>
      <c r="AN418" s="166"/>
      <c r="AO418" s="166"/>
      <c r="AP418" s="14"/>
      <c r="AQ418" s="14"/>
      <c r="AZ418" s="88">
        <f t="shared" si="97"/>
        <v>287.70559205652233</v>
      </c>
    </row>
    <row r="419" spans="23:53">
      <c r="W419" s="9" t="str">
        <f t="shared" ca="1" si="95"/>
        <v/>
      </c>
      <c r="X419" s="40">
        <v>45194</v>
      </c>
      <c r="Y419" s="168">
        <f t="shared" si="90"/>
        <v>9</v>
      </c>
      <c r="Z419" s="44" t="s">
        <v>1136</v>
      </c>
      <c r="AA419" s="21"/>
      <c r="AB419" s="21"/>
      <c r="AC419" s="21"/>
      <c r="AF419" s="26">
        <f>24.6+24.6</f>
        <v>49.2</v>
      </c>
      <c r="AG419" s="9">
        <f>2.7+1.8+2</f>
        <v>6.5</v>
      </c>
      <c r="AH419" s="9">
        <f t="shared" si="91"/>
        <v>55.7</v>
      </c>
      <c r="AI419" s="9">
        <f t="shared" si="96"/>
        <v>24247.819999999989</v>
      </c>
      <c r="AJ419" s="14"/>
      <c r="AK419" s="14"/>
      <c r="AL419" s="14"/>
      <c r="AM419" s="14"/>
      <c r="AN419" s="166"/>
      <c r="AO419" s="166"/>
      <c r="AP419" s="14"/>
      <c r="AQ419" s="14"/>
      <c r="AZ419" s="88">
        <f t="shared" si="97"/>
        <v>232.00559205652235</v>
      </c>
    </row>
    <row r="420" spans="23:53">
      <c r="W420" s="9" t="str">
        <f t="shared" ca="1" si="95"/>
        <v/>
      </c>
      <c r="X420" s="40">
        <v>45195</v>
      </c>
      <c r="Y420" s="168">
        <f t="shared" si="90"/>
        <v>9</v>
      </c>
      <c r="Z420" s="44" t="s">
        <v>1138</v>
      </c>
      <c r="AA420" s="21"/>
      <c r="AB420" s="21"/>
      <c r="AC420" s="21"/>
      <c r="AF420" s="26">
        <f>24.6+24.6</f>
        <v>49.2</v>
      </c>
      <c r="AH420" s="9">
        <f t="shared" si="91"/>
        <v>49.2</v>
      </c>
      <c r="AI420" s="9">
        <f t="shared" si="96"/>
        <v>24297.01999999999</v>
      </c>
      <c r="AJ420" s="14"/>
      <c r="AK420" s="14" t="s">
        <v>1077</v>
      </c>
      <c r="AL420" s="14" t="s">
        <v>1204</v>
      </c>
      <c r="AM420" s="14" t="s">
        <v>1205</v>
      </c>
      <c r="AN420" s="166" t="s">
        <v>1069</v>
      </c>
      <c r="AO420" s="166" t="s">
        <v>1206</v>
      </c>
      <c r="AP420" s="14"/>
      <c r="AQ420" s="14"/>
      <c r="AS420" s="14" t="s">
        <v>1207</v>
      </c>
      <c r="AT420" s="14"/>
      <c r="AU420" s="14"/>
      <c r="AV420" s="14"/>
      <c r="AW420" s="14"/>
      <c r="AX420" s="14"/>
      <c r="AZ420" s="88">
        <f t="shared" si="97"/>
        <v>182.80559205652236</v>
      </c>
    </row>
    <row r="421" spans="23:53">
      <c r="W421" s="9" t="str">
        <f t="shared" ca="1" si="95"/>
        <v/>
      </c>
      <c r="X421" s="39">
        <v>45196</v>
      </c>
      <c r="Y421" s="179">
        <f t="shared" si="90"/>
        <v>9</v>
      </c>
      <c r="Z421" s="107" t="s">
        <v>1140</v>
      </c>
      <c r="AA421" s="68"/>
      <c r="AB421" s="68"/>
      <c r="AC421" s="68"/>
      <c r="AD421" s="22"/>
      <c r="AE421" s="22"/>
      <c r="AF421" s="115">
        <f>24.8+18.7</f>
        <v>43.5</v>
      </c>
      <c r="AG421" s="22">
        <f>8.9+1.8+1.9+0.45+1.1</f>
        <v>14.15</v>
      </c>
      <c r="AH421" s="22">
        <f t="shared" si="91"/>
        <v>57.65</v>
      </c>
      <c r="AI421" s="22">
        <f t="shared" si="96"/>
        <v>24354.669999999991</v>
      </c>
      <c r="AJ421" s="1372"/>
      <c r="AK421" s="1372">
        <f>SUM(AH390:AH421)</f>
        <v>2169.5500000000002</v>
      </c>
      <c r="AL421" s="1372">
        <f>SUM(AF390:AF421)</f>
        <v>1172.4500000000003</v>
      </c>
      <c r="AM421" s="1372">
        <f>SUM(AG390:AG421)</f>
        <v>997.09999999999991</v>
      </c>
      <c r="AN421" s="219">
        <f>SUM(AD390:AD421)</f>
        <v>141.05481334290155</v>
      </c>
      <c r="AO421" s="182">
        <f>AK421/AN421</f>
        <v>15.380900152098075</v>
      </c>
      <c r="AP421" s="183">
        <f>SUM(AA390:AB421)/SUM(AD390:AD421)</f>
        <v>1.5995200351761276</v>
      </c>
      <c r="AQ421" s="184">
        <f>(AP421/AO421)*(SUM(AH390:AH421))</f>
        <v>225.62000000000003</v>
      </c>
      <c r="AS421" s="9" t="s">
        <v>1208</v>
      </c>
      <c r="AT421" s="9" t="s">
        <v>1209</v>
      </c>
      <c r="AW421" s="9" t="s">
        <v>1210</v>
      </c>
      <c r="AX421" s="9" t="s">
        <v>1211</v>
      </c>
      <c r="AZ421" s="88">
        <f t="shared" si="97"/>
        <v>125.15559205652235</v>
      </c>
    </row>
    <row r="422" spans="23:53">
      <c r="W422" s="9" t="str">
        <f t="shared" ca="1" si="95"/>
        <v/>
      </c>
      <c r="X422" s="40">
        <v>45197</v>
      </c>
      <c r="Y422" s="168">
        <f t="shared" si="90"/>
        <v>9</v>
      </c>
      <c r="Z422" s="44" t="s">
        <v>1143</v>
      </c>
      <c r="AA422" s="97">
        <v>75</v>
      </c>
      <c r="AB422" s="97"/>
      <c r="AC422" s="97">
        <f>1.664</f>
        <v>1.6639999999999999</v>
      </c>
      <c r="AD422" s="217">
        <f>AA422/AC422</f>
        <v>45.072115384615387</v>
      </c>
      <c r="AF422" s="26">
        <f>24.8+34.7</f>
        <v>59.5</v>
      </c>
      <c r="AG422" s="9">
        <v>35.4</v>
      </c>
      <c r="AH422" s="9">
        <f t="shared" si="91"/>
        <v>94.9</v>
      </c>
      <c r="AI422" s="9">
        <f t="shared" si="96"/>
        <v>24449.569999999992</v>
      </c>
      <c r="AJ422" s="14"/>
      <c r="AN422" s="166"/>
      <c r="AO422" s="166"/>
      <c r="AP422" s="14"/>
      <c r="AQ422" s="14"/>
      <c r="AS422" s="9">
        <f>AS412+(SUM(AH413:AH421)+AF422+AG412)</f>
        <v>201044.94999999998</v>
      </c>
      <c r="AT422" s="88">
        <f>AS422-AS412+(AX422-AX412)</f>
        <v>709.05000000000587</v>
      </c>
      <c r="AU422" s="88">
        <f>AT422/AD412</f>
        <v>16.206857142857277</v>
      </c>
      <c r="AV422" s="88">
        <f>100/AU422</f>
        <v>6.1702277695507561</v>
      </c>
      <c r="AW422" s="88">
        <f>((+AD422)*AU$422)+AX422</f>
        <v>798.67733516484134</v>
      </c>
      <c r="AX422" s="88">
        <v>68.2</v>
      </c>
      <c r="AZ422" s="88">
        <f>AZ421-AF422</f>
        <v>65.655592056522352</v>
      </c>
      <c r="BA422" s="88">
        <f>AW422-AG422</f>
        <v>763.27733516484136</v>
      </c>
    </row>
    <row r="423" spans="23:53">
      <c r="W423" s="9" t="str">
        <f t="shared" ca="1" si="95"/>
        <v/>
      </c>
      <c r="X423" s="40">
        <v>45198</v>
      </c>
      <c r="Y423" s="168">
        <f t="shared" si="90"/>
        <v>9</v>
      </c>
      <c r="Z423" s="44" t="s">
        <v>1145</v>
      </c>
      <c r="AA423" s="97"/>
      <c r="AB423" s="97"/>
      <c r="AC423" s="97"/>
      <c r="AD423" s="76"/>
      <c r="AF423" s="26">
        <f>23.9+22.6</f>
        <v>46.5</v>
      </c>
      <c r="AG423" s="9">
        <f>2.5+1.9+2.2+33.6+32.4</f>
        <v>72.599999999999994</v>
      </c>
      <c r="AH423" s="9">
        <f t="shared" si="91"/>
        <v>119.1</v>
      </c>
      <c r="AI423" s="9">
        <f t="shared" si="96"/>
        <v>24568.669999999991</v>
      </c>
      <c r="AJ423" s="14"/>
      <c r="AK423" s="14"/>
      <c r="AL423" s="14"/>
      <c r="AM423" s="14"/>
      <c r="AN423" s="166"/>
      <c r="AO423" s="166"/>
      <c r="AP423" s="14"/>
      <c r="AQ423" s="14"/>
      <c r="BA423" s="88">
        <f t="shared" ref="BA423:BA433" si="98">BA422-AH423</f>
        <v>644.17733516484134</v>
      </c>
    </row>
    <row r="424" spans="23:53">
      <c r="W424" s="9" t="str">
        <f t="shared" ca="1" si="95"/>
        <v/>
      </c>
      <c r="X424" s="40">
        <v>45199</v>
      </c>
      <c r="Y424" s="168">
        <f t="shared" si="90"/>
        <v>9</v>
      </c>
      <c r="Z424" s="44" t="s">
        <v>1132</v>
      </c>
      <c r="AA424" s="97"/>
      <c r="AB424" s="97"/>
      <c r="AC424" s="97"/>
      <c r="AD424" s="76"/>
      <c r="AF424" s="26"/>
      <c r="AG424" s="9">
        <f>1.9+0.95+1.7+0.35+8.3+2.7</f>
        <v>15.899999999999999</v>
      </c>
      <c r="AH424" s="9">
        <f t="shared" si="91"/>
        <v>15.899999999999999</v>
      </c>
      <c r="AI424" s="9">
        <f t="shared" si="96"/>
        <v>24584.569999999992</v>
      </c>
      <c r="AJ424" s="14">
        <f>SUM(AH418:AH424)</f>
        <v>454.35</v>
      </c>
      <c r="AK424" s="14"/>
      <c r="AL424" s="14"/>
      <c r="AM424" s="14"/>
      <c r="AN424" s="166"/>
      <c r="AO424" s="166"/>
      <c r="AP424" s="14"/>
      <c r="AQ424" s="14"/>
      <c r="BA424" s="88">
        <f t="shared" si="98"/>
        <v>628.27733516484136</v>
      </c>
    </row>
    <row r="425" spans="23:53">
      <c r="W425" s="9" t="str">
        <f t="shared" ca="1" si="95"/>
        <v/>
      </c>
      <c r="X425" s="40">
        <v>45200</v>
      </c>
      <c r="Y425" s="168">
        <f t="shared" si="90"/>
        <v>10</v>
      </c>
      <c r="Z425" s="44" t="s">
        <v>1134</v>
      </c>
      <c r="AA425" s="97"/>
      <c r="AB425" s="97"/>
      <c r="AC425" s="97"/>
      <c r="AD425" s="76"/>
      <c r="AF425" s="26"/>
      <c r="AG425" s="9">
        <f>15.7+17.5</f>
        <v>33.200000000000003</v>
      </c>
      <c r="AH425" s="9">
        <f t="shared" si="91"/>
        <v>33.200000000000003</v>
      </c>
      <c r="AI425" s="9">
        <f t="shared" si="96"/>
        <v>24617.769999999993</v>
      </c>
      <c r="AJ425" s="14"/>
      <c r="AK425" s="14"/>
      <c r="AL425" s="14"/>
      <c r="AM425" s="14"/>
      <c r="AN425" s="166"/>
      <c r="AO425" s="166"/>
      <c r="AP425" s="14"/>
      <c r="AQ425" s="14"/>
      <c r="BA425" s="88">
        <f t="shared" si="98"/>
        <v>595.07733516484132</v>
      </c>
    </row>
    <row r="426" spans="23:53">
      <c r="W426" s="9" t="str">
        <f t="shared" ca="1" si="95"/>
        <v/>
      </c>
      <c r="X426" s="40">
        <v>45201</v>
      </c>
      <c r="Y426" s="168">
        <f t="shared" si="90"/>
        <v>10</v>
      </c>
      <c r="Z426" s="44" t="s">
        <v>1136</v>
      </c>
      <c r="AA426" s="97"/>
      <c r="AB426" s="97"/>
      <c r="AC426" s="97"/>
      <c r="AD426" s="76"/>
      <c r="AF426" s="26">
        <f>24.8+19.2</f>
        <v>44</v>
      </c>
      <c r="AG426" s="88">
        <f>9.1+1.9+2</f>
        <v>13</v>
      </c>
      <c r="AH426" s="88">
        <f t="shared" si="91"/>
        <v>57</v>
      </c>
      <c r="AI426" s="9">
        <f t="shared" si="96"/>
        <v>24674.769999999993</v>
      </c>
      <c r="AJ426" s="14"/>
      <c r="AK426" s="14"/>
      <c r="AL426" s="14"/>
      <c r="AM426" s="14"/>
      <c r="AN426" s="166"/>
      <c r="AO426" s="166"/>
      <c r="AP426" s="14"/>
      <c r="AQ426" s="14"/>
      <c r="BA426" s="88">
        <f t="shared" si="98"/>
        <v>538.07733516484132</v>
      </c>
    </row>
    <row r="427" spans="23:53">
      <c r="W427" s="9" t="str">
        <f t="shared" ca="1" si="95"/>
        <v/>
      </c>
      <c r="X427" s="40">
        <v>45202</v>
      </c>
      <c r="Y427" s="168">
        <f t="shared" si="90"/>
        <v>10</v>
      </c>
      <c r="Z427" s="44" t="s">
        <v>1138</v>
      </c>
      <c r="AA427" s="97"/>
      <c r="AB427" s="97"/>
      <c r="AC427" s="97"/>
      <c r="AD427" s="76"/>
      <c r="AF427" s="26">
        <f>25.5+25.2</f>
        <v>50.7</v>
      </c>
      <c r="AG427" s="9">
        <f>2+0.7+0.8</f>
        <v>3.5</v>
      </c>
      <c r="AH427" s="9">
        <f t="shared" si="91"/>
        <v>54.2</v>
      </c>
      <c r="AI427" s="9">
        <f t="shared" si="96"/>
        <v>24728.969999999994</v>
      </c>
      <c r="AJ427" s="14"/>
      <c r="AK427" s="14"/>
      <c r="AL427" s="14"/>
      <c r="AM427" s="14"/>
      <c r="AN427" s="166"/>
      <c r="AO427" s="166"/>
      <c r="AP427" s="14"/>
      <c r="AQ427" s="14"/>
      <c r="BA427" s="88">
        <f t="shared" si="98"/>
        <v>483.87733516484133</v>
      </c>
    </row>
    <row r="428" spans="23:53">
      <c r="W428" s="9" t="str">
        <f t="shared" ca="1" si="95"/>
        <v/>
      </c>
      <c r="X428" s="40">
        <v>45203</v>
      </c>
      <c r="Y428" s="168">
        <f t="shared" si="90"/>
        <v>10</v>
      </c>
      <c r="Z428" s="44" t="s">
        <v>1140</v>
      </c>
      <c r="AA428" s="97"/>
      <c r="AB428" s="97"/>
      <c r="AC428" s="97"/>
      <c r="AD428" s="76"/>
      <c r="AF428" s="26">
        <f>24.8+25.8</f>
        <v>50.6</v>
      </c>
      <c r="AG428" s="9">
        <f>1+2.4+2.3+1.1</f>
        <v>6.7999999999999989</v>
      </c>
      <c r="AH428" s="9">
        <f t="shared" si="91"/>
        <v>57.4</v>
      </c>
      <c r="AI428" s="9">
        <f t="shared" si="96"/>
        <v>24786.369999999995</v>
      </c>
      <c r="AJ428" s="14"/>
      <c r="AK428" s="14"/>
      <c r="AL428" s="14"/>
      <c r="AM428" s="14"/>
      <c r="AN428" s="166"/>
      <c r="AO428" s="166"/>
      <c r="AP428" s="14"/>
      <c r="AQ428" s="14"/>
      <c r="BA428" s="88">
        <f t="shared" si="98"/>
        <v>426.47733516484135</v>
      </c>
    </row>
    <row r="429" spans="23:53">
      <c r="W429" s="9" t="str">
        <f t="shared" ca="1" si="95"/>
        <v/>
      </c>
      <c r="X429" s="40">
        <v>45204</v>
      </c>
      <c r="Y429" s="168">
        <f t="shared" si="90"/>
        <v>10</v>
      </c>
      <c r="Z429" s="44" t="s">
        <v>1143</v>
      </c>
      <c r="AA429" s="97"/>
      <c r="AB429" s="97"/>
      <c r="AC429" s="97"/>
      <c r="AD429" s="76"/>
      <c r="AF429" s="26">
        <f>24.8+24.8</f>
        <v>49.6</v>
      </c>
      <c r="AG429" s="9">
        <f>4.9+0.45</f>
        <v>5.3500000000000005</v>
      </c>
      <c r="AH429" s="9">
        <f t="shared" si="91"/>
        <v>54.95</v>
      </c>
      <c r="AI429" s="9">
        <f t="shared" si="96"/>
        <v>24841.319999999996</v>
      </c>
      <c r="AJ429" s="14"/>
      <c r="AK429" s="14"/>
      <c r="AL429" s="14"/>
      <c r="AM429" s="14"/>
      <c r="AN429" s="166"/>
      <c r="AO429" s="166"/>
      <c r="AP429" s="14"/>
      <c r="AQ429" s="14"/>
      <c r="BA429" s="88">
        <f t="shared" si="98"/>
        <v>371.52733516484136</v>
      </c>
    </row>
    <row r="430" spans="23:53">
      <c r="W430" s="9" t="str">
        <f t="shared" ca="1" si="95"/>
        <v/>
      </c>
      <c r="X430" s="40">
        <v>45205</v>
      </c>
      <c r="Y430" s="168">
        <f t="shared" si="90"/>
        <v>10</v>
      </c>
      <c r="Z430" s="44" t="s">
        <v>1145</v>
      </c>
      <c r="AA430" s="97"/>
      <c r="AB430" s="97"/>
      <c r="AC430" s="97"/>
      <c r="AD430" s="76"/>
      <c r="AF430" s="26">
        <f>31.4+21.5</f>
        <v>52.9</v>
      </c>
      <c r="AG430" s="9">
        <f>13.1+1.1</f>
        <v>14.2</v>
      </c>
      <c r="AH430" s="9">
        <f t="shared" si="91"/>
        <v>67.099999999999994</v>
      </c>
      <c r="AI430" s="9">
        <f t="shared" si="96"/>
        <v>24908.419999999995</v>
      </c>
      <c r="AJ430" s="14"/>
      <c r="AK430" s="14"/>
      <c r="AL430" s="14"/>
      <c r="AM430" s="14"/>
      <c r="AN430" s="166"/>
      <c r="AO430" s="166"/>
      <c r="AP430" s="14"/>
      <c r="AQ430" s="14"/>
      <c r="BA430" s="88">
        <f t="shared" si="98"/>
        <v>304.42733516484134</v>
      </c>
    </row>
    <row r="431" spans="23:53">
      <c r="W431" s="9" t="str">
        <f t="shared" ca="1" si="95"/>
        <v/>
      </c>
      <c r="X431" s="40">
        <v>45206</v>
      </c>
      <c r="Y431" s="168">
        <f t="shared" ref="Y431:Y494" si="99">MONTH(X431)</f>
        <v>10</v>
      </c>
      <c r="Z431" s="44" t="s">
        <v>1132</v>
      </c>
      <c r="AA431" s="97"/>
      <c r="AB431" s="97"/>
      <c r="AC431" s="97"/>
      <c r="AD431" s="76"/>
      <c r="AF431" s="26"/>
      <c r="AG431" s="9">
        <f>9.7+10.5+9.4</f>
        <v>29.6</v>
      </c>
      <c r="AH431" s="9">
        <f t="shared" ref="AH431:AH494" si="100">AF431+AG431</f>
        <v>29.6</v>
      </c>
      <c r="AI431" s="9">
        <f t="shared" si="96"/>
        <v>24938.019999999993</v>
      </c>
      <c r="AJ431" s="14">
        <f>SUM(AH425:AH431)</f>
        <v>353.45000000000005</v>
      </c>
      <c r="AK431" s="14"/>
      <c r="AL431" s="14"/>
      <c r="AM431" s="14"/>
      <c r="AN431" s="166"/>
      <c r="AO431" s="166"/>
      <c r="AP431" s="14"/>
      <c r="AQ431" s="14"/>
      <c r="AS431" s="14" t="s">
        <v>1207</v>
      </c>
      <c r="AT431" s="14"/>
      <c r="AU431" s="14"/>
      <c r="AV431" s="14"/>
      <c r="AW431" s="14"/>
      <c r="AX431" s="14"/>
      <c r="BA431" s="88">
        <f t="shared" si="98"/>
        <v>274.82733516484132</v>
      </c>
    </row>
    <row r="432" spans="23:53">
      <c r="W432" s="9" t="str">
        <f t="shared" ca="1" si="95"/>
        <v/>
      </c>
      <c r="X432" s="40">
        <v>45207</v>
      </c>
      <c r="Y432" s="168">
        <f t="shared" si="99"/>
        <v>10</v>
      </c>
      <c r="Z432" s="44" t="s">
        <v>1134</v>
      </c>
      <c r="AA432" s="76"/>
      <c r="AB432" s="76"/>
      <c r="AC432" s="76"/>
      <c r="AD432" s="76"/>
      <c r="AF432" s="26"/>
      <c r="AG432" s="9">
        <f>10.2+8.4+6.7+10.3+0.7</f>
        <v>36.300000000000004</v>
      </c>
      <c r="AH432" s="9">
        <f t="shared" si="100"/>
        <v>36.300000000000004</v>
      </c>
      <c r="AI432" s="9">
        <f t="shared" si="96"/>
        <v>24974.319999999992</v>
      </c>
      <c r="AJ432" s="14"/>
      <c r="AK432" s="14"/>
      <c r="AL432" s="14"/>
      <c r="AM432" s="14"/>
      <c r="AN432" s="166"/>
      <c r="AO432" s="166"/>
      <c r="AP432" s="14"/>
      <c r="AQ432" s="14"/>
      <c r="AS432" s="9" t="s">
        <v>1208</v>
      </c>
      <c r="AT432" s="9" t="s">
        <v>1209</v>
      </c>
      <c r="AW432" s="9" t="s">
        <v>1210</v>
      </c>
      <c r="AX432" s="9" t="s">
        <v>1211</v>
      </c>
      <c r="BA432" s="88">
        <f t="shared" si="98"/>
        <v>238.5273351648413</v>
      </c>
    </row>
    <row r="433" spans="23:53">
      <c r="W433" s="9" t="str">
        <f t="shared" ca="1" si="95"/>
        <v/>
      </c>
      <c r="X433" s="40">
        <v>45208</v>
      </c>
      <c r="Y433" s="168">
        <f t="shared" si="99"/>
        <v>10</v>
      </c>
      <c r="Z433" s="44" t="s">
        <v>1136</v>
      </c>
      <c r="AA433" s="97">
        <v>65</v>
      </c>
      <c r="AB433" s="97"/>
      <c r="AC433" s="97">
        <v>1.6639999999999999</v>
      </c>
      <c r="AD433" s="217">
        <f>AA433/AC433</f>
        <v>39.0625</v>
      </c>
      <c r="AF433" s="26">
        <f>24.3+34.7</f>
        <v>59</v>
      </c>
      <c r="AG433" s="9">
        <f>32.9+2.1</f>
        <v>35</v>
      </c>
      <c r="AH433" s="9">
        <f t="shared" si="100"/>
        <v>94</v>
      </c>
      <c r="AI433" s="9">
        <f t="shared" si="96"/>
        <v>25068.319999999992</v>
      </c>
      <c r="AJ433" s="14"/>
      <c r="AK433" s="14"/>
      <c r="AL433" s="14"/>
      <c r="AM433" s="14"/>
      <c r="AN433" s="166"/>
      <c r="AO433" s="166"/>
      <c r="AP433" s="14"/>
      <c r="AQ433" s="14"/>
      <c r="AS433" s="9">
        <f>AS422+(SUM(AH423:AH432,AF433)+AG422)</f>
        <v>201664.09999999998</v>
      </c>
      <c r="AT433" s="88">
        <f>AS433-AS422+(152-AX422)</f>
        <v>702.94999999999413</v>
      </c>
      <c r="AU433" s="88">
        <f>AT433/AD422</f>
        <v>15.596117333333202</v>
      </c>
      <c r="AV433" s="88">
        <f>100/AU433</f>
        <v>6.4118522490384473</v>
      </c>
      <c r="AW433" s="88">
        <f>((+AD433)*16.35)+AX433</f>
        <v>770.671875</v>
      </c>
      <c r="AX433" s="9">
        <v>132</v>
      </c>
      <c r="AZ433" s="88">
        <f>AW433-AG433</f>
        <v>735.671875</v>
      </c>
      <c r="BA433" s="88">
        <f t="shared" si="98"/>
        <v>144.5273351648413</v>
      </c>
    </row>
    <row r="434" spans="23:53">
      <c r="W434" s="9" t="str">
        <f t="shared" ca="1" si="95"/>
        <v/>
      </c>
      <c r="X434" s="40">
        <v>45209</v>
      </c>
      <c r="Y434" s="168">
        <f t="shared" si="99"/>
        <v>10</v>
      </c>
      <c r="Z434" s="44" t="s">
        <v>1138</v>
      </c>
      <c r="AA434" s="97"/>
      <c r="AB434" s="97"/>
      <c r="AC434" s="97"/>
      <c r="AD434" s="76"/>
      <c r="AF434" s="26">
        <f>24.3+19.4</f>
        <v>43.7</v>
      </c>
      <c r="AG434" s="9">
        <v>3</v>
      </c>
      <c r="AH434" s="9">
        <f t="shared" si="100"/>
        <v>46.7</v>
      </c>
      <c r="AI434" s="9">
        <f t="shared" si="96"/>
        <v>25115.019999999993</v>
      </c>
      <c r="AJ434" s="14"/>
      <c r="AK434" s="14"/>
      <c r="AL434" s="14"/>
      <c r="AM434" s="14"/>
      <c r="AN434" s="166"/>
      <c r="AO434" s="166"/>
      <c r="AP434" s="14"/>
      <c r="AQ434" s="14"/>
      <c r="AZ434" s="88">
        <f t="shared" ref="AZ434:AZ444" si="101">AZ433-AH434</f>
        <v>688.97187499999995</v>
      </c>
    </row>
    <row r="435" spans="23:53">
      <c r="W435" s="9" t="str">
        <f t="shared" ca="1" si="95"/>
        <v/>
      </c>
      <c r="X435" s="40">
        <v>45210</v>
      </c>
      <c r="Y435" s="168">
        <f t="shared" si="99"/>
        <v>10</v>
      </c>
      <c r="Z435" s="44" t="s">
        <v>1140</v>
      </c>
      <c r="AA435" s="97"/>
      <c r="AB435" s="97"/>
      <c r="AC435" s="97"/>
      <c r="AD435" s="76"/>
      <c r="AF435" s="26">
        <f>22.8+19.9</f>
        <v>42.7</v>
      </c>
      <c r="AG435" s="9">
        <f>2.4+1.9+4.1</f>
        <v>8.3999999999999986</v>
      </c>
      <c r="AH435" s="9">
        <f t="shared" si="100"/>
        <v>51.1</v>
      </c>
      <c r="AI435" s="9">
        <f t="shared" si="96"/>
        <v>25166.119999999992</v>
      </c>
      <c r="AJ435" s="14"/>
      <c r="AK435" s="14"/>
      <c r="AL435" s="14"/>
      <c r="AM435" s="14"/>
      <c r="AN435" s="166"/>
      <c r="AO435" s="166"/>
      <c r="AP435" s="14"/>
      <c r="AQ435" s="14"/>
      <c r="AZ435" s="88">
        <f t="shared" si="101"/>
        <v>637.87187499999993</v>
      </c>
    </row>
    <row r="436" spans="23:53">
      <c r="W436" s="9" t="str">
        <f t="shared" ca="1" si="95"/>
        <v/>
      </c>
      <c r="X436" s="40">
        <v>45211</v>
      </c>
      <c r="Y436" s="168">
        <f t="shared" si="99"/>
        <v>10</v>
      </c>
      <c r="Z436" s="44" t="s">
        <v>1143</v>
      </c>
      <c r="AA436" s="97"/>
      <c r="AB436" s="97"/>
      <c r="AC436" s="97"/>
      <c r="AD436" s="76"/>
      <c r="AF436" s="26">
        <f>23.1+24.1</f>
        <v>47.2</v>
      </c>
      <c r="AH436" s="9">
        <f t="shared" si="100"/>
        <v>47.2</v>
      </c>
      <c r="AI436" s="9">
        <f t="shared" si="96"/>
        <v>25213.319999999992</v>
      </c>
      <c r="AJ436" s="14"/>
      <c r="AK436" s="14"/>
      <c r="AL436" s="14"/>
      <c r="AM436" s="14"/>
      <c r="AN436" s="166"/>
      <c r="AO436" s="166"/>
      <c r="AP436" s="14"/>
      <c r="AQ436" s="14"/>
      <c r="AZ436" s="88">
        <f t="shared" si="101"/>
        <v>590.67187499999989</v>
      </c>
    </row>
    <row r="437" spans="23:53">
      <c r="W437" s="9" t="str">
        <f t="shared" ca="1" si="95"/>
        <v/>
      </c>
      <c r="X437" s="40">
        <v>45212</v>
      </c>
      <c r="Y437" s="168">
        <f t="shared" si="99"/>
        <v>10</v>
      </c>
      <c r="Z437" s="44" t="s">
        <v>1145</v>
      </c>
      <c r="AA437" s="97"/>
      <c r="AB437" s="97"/>
      <c r="AC437" s="97"/>
      <c r="AD437" s="76"/>
      <c r="AF437" s="26">
        <f>22.5+18.3</f>
        <v>40.799999999999997</v>
      </c>
      <c r="AH437" s="9">
        <f t="shared" si="100"/>
        <v>40.799999999999997</v>
      </c>
      <c r="AI437" s="9">
        <f t="shared" si="96"/>
        <v>25254.119999999992</v>
      </c>
      <c r="AJ437" s="14"/>
      <c r="AK437" s="14"/>
      <c r="AL437" s="14"/>
      <c r="AM437" s="14"/>
      <c r="AN437" s="166"/>
      <c r="AO437" s="166"/>
      <c r="AP437" s="14"/>
      <c r="AQ437" s="14"/>
      <c r="AZ437" s="88">
        <f t="shared" si="101"/>
        <v>549.87187499999993</v>
      </c>
    </row>
    <row r="438" spans="23:53">
      <c r="W438" s="9" t="str">
        <f t="shared" ca="1" si="95"/>
        <v/>
      </c>
      <c r="X438" s="40">
        <v>45213</v>
      </c>
      <c r="Y438" s="168">
        <f t="shared" si="99"/>
        <v>10</v>
      </c>
      <c r="Z438" s="44" t="s">
        <v>1132</v>
      </c>
      <c r="AA438" s="97"/>
      <c r="AB438" s="97"/>
      <c r="AC438" s="97"/>
      <c r="AD438" s="76"/>
      <c r="AF438" s="26"/>
      <c r="AG438" s="9">
        <f>32.1+2.5+2.5</f>
        <v>37.1</v>
      </c>
      <c r="AH438" s="9">
        <f t="shared" si="100"/>
        <v>37.1</v>
      </c>
      <c r="AI438" s="9">
        <f t="shared" si="96"/>
        <v>25291.21999999999</v>
      </c>
      <c r="AJ438" s="14">
        <f>SUM(AH432:AH438)</f>
        <v>353.20000000000005</v>
      </c>
      <c r="AK438" s="14"/>
      <c r="AL438" s="14"/>
      <c r="AM438" s="14"/>
      <c r="AN438" s="166"/>
      <c r="AO438" s="166"/>
      <c r="AP438" s="14"/>
      <c r="AQ438" s="14"/>
      <c r="AZ438" s="88">
        <f t="shared" si="101"/>
        <v>512.77187499999991</v>
      </c>
    </row>
    <row r="439" spans="23:53">
      <c r="W439" s="9" t="str">
        <f t="shared" ca="1" si="95"/>
        <v/>
      </c>
      <c r="X439" s="40">
        <v>45214</v>
      </c>
      <c r="Y439" s="168">
        <f t="shared" si="99"/>
        <v>10</v>
      </c>
      <c r="Z439" s="44" t="s">
        <v>1134</v>
      </c>
      <c r="AA439" s="97"/>
      <c r="AB439" s="97"/>
      <c r="AC439" s="97"/>
      <c r="AD439" s="76"/>
      <c r="AF439" s="26"/>
      <c r="AG439" s="9">
        <f>11.2+38.2+42.4</f>
        <v>91.800000000000011</v>
      </c>
      <c r="AH439" s="9">
        <f t="shared" si="100"/>
        <v>91.800000000000011</v>
      </c>
      <c r="AI439" s="9">
        <f t="shared" si="96"/>
        <v>25383.01999999999</v>
      </c>
      <c r="AJ439" s="14"/>
      <c r="AK439" s="14"/>
      <c r="AL439" s="14"/>
      <c r="AM439" s="14"/>
      <c r="AN439" s="166"/>
      <c r="AO439" s="166"/>
      <c r="AP439" s="14"/>
      <c r="AQ439" s="14"/>
      <c r="AZ439" s="88">
        <f t="shared" si="101"/>
        <v>420.9718749999999</v>
      </c>
    </row>
    <row r="440" spans="23:53">
      <c r="W440" s="9" t="str">
        <f t="shared" ca="1" si="95"/>
        <v/>
      </c>
      <c r="X440" s="40">
        <v>45215</v>
      </c>
      <c r="Y440" s="168">
        <f t="shared" si="99"/>
        <v>10</v>
      </c>
      <c r="Z440" s="44" t="s">
        <v>1136</v>
      </c>
      <c r="AA440" s="97"/>
      <c r="AB440" s="97"/>
      <c r="AC440" s="97"/>
      <c r="AD440" s="76"/>
      <c r="AF440" s="26">
        <f>25.2+26.6</f>
        <v>51.8</v>
      </c>
      <c r="AG440" s="9">
        <f>3.1+1.9+2</f>
        <v>7</v>
      </c>
      <c r="AH440" s="9">
        <f t="shared" si="100"/>
        <v>58.8</v>
      </c>
      <c r="AI440" s="9">
        <f t="shared" si="96"/>
        <v>25441.819999999989</v>
      </c>
      <c r="AJ440" s="14"/>
      <c r="AK440" s="14"/>
      <c r="AL440" s="14"/>
      <c r="AM440" s="14"/>
      <c r="AN440" s="166"/>
      <c r="AO440" s="166"/>
      <c r="AP440" s="14"/>
      <c r="AQ440" s="14"/>
      <c r="AZ440" s="88">
        <f t="shared" si="101"/>
        <v>362.17187499999989</v>
      </c>
    </row>
    <row r="441" spans="23:53">
      <c r="W441" s="9" t="str">
        <f t="shared" ca="1" si="95"/>
        <v/>
      </c>
      <c r="X441" s="40">
        <v>45216</v>
      </c>
      <c r="Y441" s="168">
        <f t="shared" si="99"/>
        <v>10</v>
      </c>
      <c r="Z441" s="44" t="s">
        <v>1138</v>
      </c>
      <c r="AA441" s="97"/>
      <c r="AB441" s="97"/>
      <c r="AC441" s="97"/>
      <c r="AD441" s="76"/>
      <c r="AF441" s="114">
        <f>22.5+23.4</f>
        <v>45.9</v>
      </c>
      <c r="AG441" s="227"/>
      <c r="AH441" s="9">
        <f t="shared" si="100"/>
        <v>45.9</v>
      </c>
      <c r="AI441" s="9">
        <f t="shared" si="96"/>
        <v>25487.71999999999</v>
      </c>
      <c r="AJ441" s="14"/>
      <c r="AK441" s="14"/>
      <c r="AL441" s="14"/>
      <c r="AM441" s="14"/>
      <c r="AN441" s="166"/>
      <c r="AO441" s="166"/>
      <c r="AP441" s="14"/>
      <c r="AQ441" s="14"/>
      <c r="AZ441" s="88">
        <f t="shared" si="101"/>
        <v>316.27187499999991</v>
      </c>
    </row>
    <row r="442" spans="23:53">
      <c r="W442" s="9" t="str">
        <f t="shared" ca="1" si="95"/>
        <v/>
      </c>
      <c r="X442" s="40">
        <v>45217</v>
      </c>
      <c r="Y442" s="168">
        <f t="shared" si="99"/>
        <v>10</v>
      </c>
      <c r="Z442" s="44" t="s">
        <v>1140</v>
      </c>
      <c r="AA442" s="76"/>
      <c r="AB442" s="76"/>
      <c r="AC442" s="76"/>
      <c r="AD442" s="76"/>
      <c r="AF442" s="114">
        <f>22.7+20.9</f>
        <v>43.599999999999994</v>
      </c>
      <c r="AG442" s="105">
        <f>2.3</f>
        <v>2.2999999999999998</v>
      </c>
      <c r="AH442" s="9">
        <f t="shared" si="100"/>
        <v>45.899999999999991</v>
      </c>
      <c r="AI442" s="9">
        <f t="shared" si="96"/>
        <v>25533.619999999992</v>
      </c>
      <c r="AJ442" s="14"/>
      <c r="AK442" s="14"/>
      <c r="AL442" s="14"/>
      <c r="AM442" s="14"/>
      <c r="AN442" s="166"/>
      <c r="AO442" s="166"/>
      <c r="AP442" s="14"/>
      <c r="AQ442" s="14"/>
      <c r="AZ442" s="88">
        <f t="shared" si="101"/>
        <v>270.37187499999993</v>
      </c>
    </row>
    <row r="443" spans="23:53">
      <c r="W443" s="9" t="str">
        <f t="shared" ca="1" si="95"/>
        <v/>
      </c>
      <c r="X443" s="40">
        <v>45218</v>
      </c>
      <c r="Y443" s="168">
        <f t="shared" si="99"/>
        <v>10</v>
      </c>
      <c r="Z443" s="44" t="s">
        <v>1143</v>
      </c>
      <c r="AA443" s="97"/>
      <c r="AB443" s="97"/>
      <c r="AC443" s="97"/>
      <c r="AD443" s="217"/>
      <c r="AF443" s="114">
        <f>21.3+22.2</f>
        <v>43.5</v>
      </c>
      <c r="AG443" s="105">
        <v>3.8</v>
      </c>
      <c r="AH443" s="9">
        <f t="shared" si="100"/>
        <v>47.3</v>
      </c>
      <c r="AI443" s="9">
        <f t="shared" si="96"/>
        <v>25580.919999999991</v>
      </c>
      <c r="AJ443" s="14"/>
      <c r="AK443" s="14"/>
      <c r="AL443" s="14"/>
      <c r="AM443" s="14"/>
      <c r="AN443" s="166"/>
      <c r="AO443" s="166"/>
      <c r="AP443" s="14"/>
      <c r="AQ443" s="14"/>
      <c r="AS443" s="14" t="s">
        <v>1207</v>
      </c>
      <c r="AT443" s="14"/>
      <c r="AU443" s="14"/>
      <c r="AV443" s="14"/>
      <c r="AW443" s="14"/>
      <c r="AX443" s="14"/>
      <c r="AZ443" s="88">
        <f t="shared" si="101"/>
        <v>223.07187499999992</v>
      </c>
    </row>
    <row r="444" spans="23:53">
      <c r="W444" s="9" t="str">
        <f t="shared" ca="1" si="95"/>
        <v/>
      </c>
      <c r="X444" s="40">
        <v>45219</v>
      </c>
      <c r="Y444" s="168">
        <f t="shared" si="99"/>
        <v>10</v>
      </c>
      <c r="Z444" s="44" t="s">
        <v>1145</v>
      </c>
      <c r="AA444" s="97"/>
      <c r="AB444" s="97"/>
      <c r="AC444" s="97"/>
      <c r="AD444" s="76"/>
      <c r="AF444" s="26">
        <f>24+25</f>
        <v>49</v>
      </c>
      <c r="AH444" s="9">
        <f t="shared" si="100"/>
        <v>49</v>
      </c>
      <c r="AI444" s="9">
        <f t="shared" si="96"/>
        <v>25629.919999999991</v>
      </c>
      <c r="AJ444" s="14"/>
      <c r="AK444" s="14"/>
      <c r="AL444" s="14"/>
      <c r="AM444" s="14"/>
      <c r="AN444" s="166"/>
      <c r="AO444" s="166"/>
      <c r="AP444" s="14"/>
      <c r="AQ444" s="14"/>
      <c r="AS444" s="9" t="s">
        <v>1208</v>
      </c>
      <c r="AT444" s="9" t="s">
        <v>1209</v>
      </c>
      <c r="AW444" s="9" t="s">
        <v>1210</v>
      </c>
      <c r="AX444" s="9" t="s">
        <v>1211</v>
      </c>
      <c r="AZ444" s="88">
        <f t="shared" si="101"/>
        <v>174.07187499999992</v>
      </c>
    </row>
    <row r="445" spans="23:53">
      <c r="W445" s="9" t="str">
        <f t="shared" ca="1" si="95"/>
        <v/>
      </c>
      <c r="X445" s="40">
        <v>45220</v>
      </c>
      <c r="Y445" s="168">
        <f t="shared" si="99"/>
        <v>10</v>
      </c>
      <c r="Z445" s="44" t="s">
        <v>1132</v>
      </c>
      <c r="AA445" s="97">
        <v>20</v>
      </c>
      <c r="AB445" s="97">
        <v>0.62</v>
      </c>
      <c r="AC445" s="97">
        <v>1.869</v>
      </c>
      <c r="AD445" s="217">
        <f>AA445/AC445</f>
        <v>10.700909577314071</v>
      </c>
      <c r="AF445" s="26"/>
      <c r="AG445" s="9">
        <f>2+2.3+34.7+0.6+1.9</f>
        <v>41.5</v>
      </c>
      <c r="AH445" s="9">
        <f t="shared" si="100"/>
        <v>41.5</v>
      </c>
      <c r="AI445" s="9">
        <f t="shared" si="96"/>
        <v>25671.419999999991</v>
      </c>
      <c r="AJ445" s="14">
        <f>SUM(AH439:AH445)</f>
        <v>380.20000000000005</v>
      </c>
      <c r="AK445" s="14"/>
      <c r="AL445" s="14"/>
      <c r="AM445" s="14"/>
      <c r="AN445" s="166"/>
      <c r="AO445" s="166"/>
      <c r="AP445" s="14"/>
      <c r="AQ445" s="14"/>
      <c r="AS445" s="9">
        <f>AS433+(SUM(AH434:AH444)+AG433)</f>
        <v>202260.69999999998</v>
      </c>
      <c r="AT445" s="88">
        <f>(AS445-AS433+0.6+1.9)</f>
        <v>599.10000000000582</v>
      </c>
      <c r="AU445" s="88">
        <f>AT445/AD433</f>
        <v>15.336960000000149</v>
      </c>
      <c r="AV445" s="88">
        <f>100/AU445</f>
        <v>6.5201969621097682</v>
      </c>
      <c r="AW445" s="88">
        <f>((+AD445)*16.35)+AX445</f>
        <v>264.95987158908508</v>
      </c>
      <c r="AX445" s="9">
        <v>90</v>
      </c>
      <c r="AZ445" s="88">
        <f>AZ444-AH445+34.7</f>
        <v>167.27187499999991</v>
      </c>
      <c r="BA445" s="88">
        <f>AW445-34.7</f>
        <v>230.25987158908509</v>
      </c>
    </row>
    <row r="446" spans="23:53">
      <c r="W446" s="9" t="str">
        <f t="shared" ca="1" si="95"/>
        <v/>
      </c>
      <c r="X446" s="40">
        <v>45221</v>
      </c>
      <c r="Y446" s="168">
        <f t="shared" si="99"/>
        <v>10</v>
      </c>
      <c r="Z446" s="44" t="s">
        <v>1134</v>
      </c>
      <c r="AA446" s="97"/>
      <c r="AB446" s="97"/>
      <c r="AC446" s="97"/>
      <c r="AD446" s="76"/>
      <c r="AF446" s="26"/>
      <c r="AG446" s="9">
        <f>20.6+22.4+29.3+3.4</f>
        <v>75.7</v>
      </c>
      <c r="AH446" s="9">
        <f t="shared" si="100"/>
        <v>75.7</v>
      </c>
      <c r="AI446" s="9">
        <f t="shared" si="96"/>
        <v>25747.119999999992</v>
      </c>
      <c r="AJ446" s="14"/>
      <c r="AK446" s="14"/>
      <c r="AL446" s="14"/>
      <c r="AM446" s="14"/>
      <c r="AN446" s="166"/>
      <c r="AO446" s="166"/>
      <c r="AP446" s="14"/>
      <c r="AQ446" s="14"/>
      <c r="AS446" s="14" t="s">
        <v>1207</v>
      </c>
      <c r="AT446" s="14"/>
      <c r="AU446" s="14"/>
      <c r="AV446" s="14"/>
      <c r="AW446" s="14"/>
      <c r="AX446" s="14"/>
      <c r="AZ446" s="88"/>
      <c r="BA446" s="88">
        <f>BA445-AH446</f>
        <v>154.55987158908511</v>
      </c>
    </row>
    <row r="447" spans="23:53">
      <c r="W447" s="9" t="str">
        <f t="shared" ca="1" si="95"/>
        <v/>
      </c>
      <c r="X447" s="40">
        <v>45222</v>
      </c>
      <c r="Y447" s="168">
        <f t="shared" si="99"/>
        <v>10</v>
      </c>
      <c r="Z447" s="44" t="s">
        <v>1136</v>
      </c>
      <c r="AA447" s="97"/>
      <c r="AB447" s="97"/>
      <c r="AC447" s="97"/>
      <c r="AD447" s="76"/>
      <c r="AF447" s="26">
        <f>21.5+22.1</f>
        <v>43.6</v>
      </c>
      <c r="AG447" s="9">
        <f>2+2.8+0.7</f>
        <v>5.5</v>
      </c>
      <c r="AH447" s="9">
        <f t="shared" si="100"/>
        <v>49.1</v>
      </c>
      <c r="AI447" s="9">
        <f t="shared" si="96"/>
        <v>25796.21999999999</v>
      </c>
      <c r="AJ447" s="14"/>
      <c r="AK447" s="14"/>
      <c r="AL447" s="14"/>
      <c r="AM447" s="14"/>
      <c r="AN447" s="166"/>
      <c r="AO447" s="166"/>
      <c r="AP447" s="14"/>
      <c r="AQ447" s="14"/>
      <c r="AS447" s="9" t="s">
        <v>1208</v>
      </c>
      <c r="AT447" s="9" t="s">
        <v>1209</v>
      </c>
      <c r="AW447" s="9" t="s">
        <v>1210</v>
      </c>
      <c r="AX447" s="9" t="s">
        <v>1211</v>
      </c>
      <c r="AZ447" s="88"/>
      <c r="BA447" s="88">
        <f>BA446-AH447</f>
        <v>105.45987158908511</v>
      </c>
    </row>
    <row r="448" spans="23:53">
      <c r="W448" s="9" t="str">
        <f t="shared" ca="1" si="95"/>
        <v/>
      </c>
      <c r="X448" s="40">
        <v>45223</v>
      </c>
      <c r="Y448" s="168">
        <f t="shared" si="99"/>
        <v>10</v>
      </c>
      <c r="Z448" s="44" t="s">
        <v>1138</v>
      </c>
      <c r="AA448" s="97">
        <v>20</v>
      </c>
      <c r="AB448" s="97">
        <v>0.62</v>
      </c>
      <c r="AC448" s="97">
        <v>1.869</v>
      </c>
      <c r="AD448" s="217">
        <f>AA448/AC448</f>
        <v>10.700909577314071</v>
      </c>
      <c r="AF448" s="26">
        <f>24.6+24.8</f>
        <v>49.400000000000006</v>
      </c>
      <c r="AG448" s="9">
        <f>1.4+0.7</f>
        <v>2.0999999999999996</v>
      </c>
      <c r="AH448" s="9">
        <f t="shared" si="100"/>
        <v>51.500000000000007</v>
      </c>
      <c r="AI448" s="9">
        <f t="shared" si="96"/>
        <v>25847.71999999999</v>
      </c>
      <c r="AJ448" s="14"/>
      <c r="AK448" s="14"/>
      <c r="AL448" s="14"/>
      <c r="AM448" s="14"/>
      <c r="AN448" s="166"/>
      <c r="AO448" s="166"/>
      <c r="AP448" s="14"/>
      <c r="AQ448" s="14"/>
      <c r="AS448" s="9">
        <f>AS445+(SUM(AH445:AH447)+AF448)</f>
        <v>202476.4</v>
      </c>
      <c r="AT448" s="88">
        <f>(AS448-AS445-AG448)</f>
        <v>213.60000000001165</v>
      </c>
      <c r="AU448" s="88">
        <f>AT448/AD445</f>
        <v>19.960920000001089</v>
      </c>
      <c r="AV448" s="88">
        <f>100/AU448</f>
        <v>5.0097891279557532</v>
      </c>
      <c r="AW448" s="88">
        <f>((+AD448)*16.35)+AX448</f>
        <v>228.91974317817019</v>
      </c>
      <c r="AX448" s="88">
        <f>BA448</f>
        <v>53.959871589085104</v>
      </c>
      <c r="AZ448" s="88">
        <f>AW448-AG448</f>
        <v>226.8197431781702</v>
      </c>
      <c r="BA448" s="88">
        <f>BA447-AH448</f>
        <v>53.959871589085104</v>
      </c>
    </row>
    <row r="449" spans="23:53">
      <c r="W449" s="9" t="str">
        <f t="shared" ca="1" si="95"/>
        <v/>
      </c>
      <c r="X449" s="40">
        <v>45224</v>
      </c>
      <c r="Y449" s="168">
        <f t="shared" si="99"/>
        <v>10</v>
      </c>
      <c r="Z449" s="44" t="s">
        <v>1140</v>
      </c>
      <c r="AA449" s="97"/>
      <c r="AB449" s="97"/>
      <c r="AC449" s="97"/>
      <c r="AD449" s="76"/>
      <c r="AF449" s="26">
        <f>24.3+18</f>
        <v>42.3</v>
      </c>
      <c r="AG449" s="9">
        <f>8.6+2.2</f>
        <v>10.8</v>
      </c>
      <c r="AH449" s="9">
        <f t="shared" si="100"/>
        <v>53.099999999999994</v>
      </c>
      <c r="AI449" s="9">
        <f t="shared" si="96"/>
        <v>25900.819999999989</v>
      </c>
      <c r="AJ449" s="14"/>
      <c r="AK449" s="14"/>
      <c r="AL449" s="14"/>
      <c r="AM449" s="14"/>
      <c r="AN449" s="166"/>
      <c r="AO449" s="166"/>
      <c r="AP449" s="14"/>
      <c r="AQ449" s="14"/>
      <c r="AZ449" s="88">
        <f>AZ448-AH449</f>
        <v>173.71974317817021</v>
      </c>
      <c r="BA449" s="88"/>
    </row>
    <row r="450" spans="23:53">
      <c r="W450" s="9" t="str">
        <f t="shared" ca="1" si="95"/>
        <v/>
      </c>
      <c r="X450" s="40">
        <v>45225</v>
      </c>
      <c r="Y450" s="168">
        <f t="shared" si="99"/>
        <v>10</v>
      </c>
      <c r="Z450" s="44" t="s">
        <v>1143</v>
      </c>
      <c r="AA450" s="97"/>
      <c r="AB450" s="97"/>
      <c r="AC450" s="97"/>
      <c r="AD450" s="76"/>
      <c r="AF450" s="26">
        <f>24.6+25</f>
        <v>49.6</v>
      </c>
      <c r="AG450" s="9">
        <f>0.7</f>
        <v>0.7</v>
      </c>
      <c r="AH450" s="9">
        <f t="shared" si="100"/>
        <v>50.300000000000004</v>
      </c>
      <c r="AI450" s="9">
        <f t="shared" si="96"/>
        <v>25951.119999999988</v>
      </c>
      <c r="AJ450" s="14"/>
      <c r="AK450" s="14" t="s">
        <v>1077</v>
      </c>
      <c r="AL450" s="14" t="s">
        <v>1204</v>
      </c>
      <c r="AM450" s="14" t="s">
        <v>1205</v>
      </c>
      <c r="AN450" s="166" t="s">
        <v>1069</v>
      </c>
      <c r="AO450" s="166" t="s">
        <v>1206</v>
      </c>
      <c r="AP450" s="14"/>
      <c r="AQ450" s="14"/>
      <c r="AS450" s="14" t="s">
        <v>1207</v>
      </c>
      <c r="AT450" s="14"/>
      <c r="AU450" s="14"/>
      <c r="AV450" s="14"/>
      <c r="AW450" s="14"/>
      <c r="AX450" s="14"/>
      <c r="AZ450" s="88">
        <f>AZ449-AH450</f>
        <v>123.41974317817019</v>
      </c>
      <c r="BA450" s="88"/>
    </row>
    <row r="451" spans="23:53">
      <c r="W451" s="9" t="str">
        <f t="shared" ca="1" si="95"/>
        <v/>
      </c>
      <c r="X451" s="39">
        <v>45226</v>
      </c>
      <c r="Y451" s="179">
        <f t="shared" si="99"/>
        <v>10</v>
      </c>
      <c r="Z451" s="107" t="s">
        <v>1145</v>
      </c>
      <c r="AA451" s="228"/>
      <c r="AB451" s="228"/>
      <c r="AC451" s="228"/>
      <c r="AD451" s="229"/>
      <c r="AE451" s="22"/>
      <c r="AF451" s="115">
        <f>25+19.9</f>
        <v>44.9</v>
      </c>
      <c r="AG451" s="22">
        <f>9.6+4.9+2.4+0.55+3.1+7.3+6.2+2.9</f>
        <v>36.950000000000003</v>
      </c>
      <c r="AH451" s="22">
        <f t="shared" si="100"/>
        <v>81.849999999999994</v>
      </c>
      <c r="AI451" s="22">
        <f t="shared" si="96"/>
        <v>26032.969999999987</v>
      </c>
      <c r="AJ451" s="1372"/>
      <c r="AK451" s="1372">
        <f>SUM(AH422:AH451)</f>
        <v>1678.3</v>
      </c>
      <c r="AL451" s="1372">
        <f>SUM(AF422:AF451)</f>
        <v>1050.8</v>
      </c>
      <c r="AM451" s="1372">
        <f>SUM(AG422:AG451)</f>
        <v>627.50000000000011</v>
      </c>
      <c r="AN451" s="219">
        <f>SUM(AD422:AD451)</f>
        <v>105.53643453924352</v>
      </c>
      <c r="AO451" s="182">
        <f>AK451/AN451</f>
        <v>15.902564904027788</v>
      </c>
      <c r="AP451" s="183">
        <f>SUM(AA422:AB451)/SUM(AD422:AD451)</f>
        <v>1.7173216130644082</v>
      </c>
      <c r="AQ451" s="184">
        <f>(AP451/AO451)*(SUM(AH422:AH451))</f>
        <v>181.24</v>
      </c>
      <c r="AS451" s="9" t="s">
        <v>1208</v>
      </c>
      <c r="AT451" s="9" t="s">
        <v>1209</v>
      </c>
      <c r="AW451" s="9" t="s">
        <v>1210</v>
      </c>
      <c r="AX451" s="9" t="s">
        <v>1211</v>
      </c>
      <c r="AZ451" s="88">
        <f>AZ450-AH451</f>
        <v>41.569743178170199</v>
      </c>
      <c r="BA451" s="88"/>
    </row>
    <row r="452" spans="23:53">
      <c r="W452" s="9" t="str">
        <f t="shared" ca="1" si="95"/>
        <v/>
      </c>
      <c r="X452" s="40">
        <v>45227</v>
      </c>
      <c r="Y452" s="168">
        <f t="shared" si="99"/>
        <v>10</v>
      </c>
      <c r="Z452" s="44" t="s">
        <v>1132</v>
      </c>
      <c r="AA452" s="97">
        <v>30</v>
      </c>
      <c r="AB452" s="97">
        <v>0.62</v>
      </c>
      <c r="AC452" s="97">
        <f>1.869</f>
        <v>1.869</v>
      </c>
      <c r="AD452" s="165">
        <f>AA452/AC452</f>
        <v>16.051364365971107</v>
      </c>
      <c r="AF452" s="26"/>
      <c r="AG452" s="9">
        <f>1.4+2.2+23.5+29+2.8+51.9+2.8+4.6+1.2+6.3</f>
        <v>125.69999999999999</v>
      </c>
      <c r="AH452" s="9">
        <f t="shared" si="100"/>
        <v>125.69999999999999</v>
      </c>
      <c r="AI452" s="9">
        <f t="shared" si="96"/>
        <v>26158.669999999987</v>
      </c>
      <c r="AJ452" s="14">
        <f>SUM(AH446:AH452)</f>
        <v>487.24999999999994</v>
      </c>
      <c r="AK452" s="14"/>
      <c r="AL452" s="14"/>
      <c r="AM452" s="14"/>
      <c r="AN452" s="166"/>
      <c r="AO452" s="166"/>
      <c r="AP452" s="14"/>
      <c r="AQ452" s="14"/>
      <c r="AS452" s="9">
        <f>AS445+(SUM(AH449:AH451)+AG448)</f>
        <v>202448.05</v>
      </c>
      <c r="AT452" s="88">
        <f>(AS452-AS445-AG448+1.4)</f>
        <v>186.65000000000583</v>
      </c>
      <c r="AU452" s="88">
        <f>AT452/AD448</f>
        <v>17.442442500000546</v>
      </c>
      <c r="AV452" s="88">
        <f>100/AU452</f>
        <v>5.7331420183840009</v>
      </c>
      <c r="AW452" s="88">
        <f>((+AD452)*16.35)+AX452</f>
        <v>302.60955056179785</v>
      </c>
      <c r="AX452" s="88">
        <f>AZ452</f>
        <v>40.169743178170201</v>
      </c>
      <c r="AZ452" s="88">
        <f>AZ451-1.4</f>
        <v>40.169743178170201</v>
      </c>
      <c r="BA452" s="88">
        <f>AW452-AH452+1.4</f>
        <v>178.30955056179786</v>
      </c>
    </row>
    <row r="453" spans="23:53">
      <c r="W453" s="9" t="str">
        <f t="shared" ca="1" si="95"/>
        <v/>
      </c>
      <c r="X453" s="40">
        <v>45228</v>
      </c>
      <c r="Y453" s="168">
        <f t="shared" si="99"/>
        <v>10</v>
      </c>
      <c r="Z453" s="44" t="s">
        <v>1134</v>
      </c>
      <c r="AA453" s="21"/>
      <c r="AB453" s="21"/>
      <c r="AC453" s="21"/>
      <c r="AD453" s="88"/>
      <c r="AF453" s="26"/>
      <c r="AG453" s="9">
        <f>6.2+2.2+2.1</f>
        <v>10.5</v>
      </c>
      <c r="AH453" s="9">
        <f t="shared" si="100"/>
        <v>10.5</v>
      </c>
      <c r="AI453" s="9">
        <f t="shared" si="96"/>
        <v>26169.169999999987</v>
      </c>
      <c r="AJ453" s="14"/>
      <c r="AK453" s="14"/>
      <c r="AL453" s="14"/>
      <c r="AM453" s="14"/>
      <c r="AN453" s="166"/>
      <c r="AO453" s="166"/>
      <c r="AP453" s="14"/>
      <c r="AQ453" s="14"/>
      <c r="AZ453" s="88"/>
      <c r="BA453" s="88">
        <f>BA452-AH453</f>
        <v>167.80955056179786</v>
      </c>
    </row>
    <row r="454" spans="23:53">
      <c r="W454" s="9" t="str">
        <f t="shared" ca="1" si="95"/>
        <v/>
      </c>
      <c r="X454" s="40">
        <v>45229</v>
      </c>
      <c r="Y454" s="168">
        <f t="shared" si="99"/>
        <v>10</v>
      </c>
      <c r="Z454" s="44" t="s">
        <v>1136</v>
      </c>
      <c r="AA454" s="97">
        <v>60</v>
      </c>
      <c r="AB454" s="97">
        <v>0.62</v>
      </c>
      <c r="AC454" s="97">
        <v>1.829</v>
      </c>
      <c r="AD454" s="165">
        <f>AA454/AC454</f>
        <v>32.804811372334612</v>
      </c>
      <c r="AF454" s="26">
        <f>25.2+24</f>
        <v>49.2</v>
      </c>
      <c r="AG454" s="9">
        <f>5.3+7.6+0.8</f>
        <v>13.7</v>
      </c>
      <c r="AH454" s="9">
        <f t="shared" si="100"/>
        <v>62.900000000000006</v>
      </c>
      <c r="AI454" s="9">
        <f t="shared" si="96"/>
        <v>26232.069999999989</v>
      </c>
      <c r="AJ454" s="14"/>
      <c r="AK454" s="14"/>
      <c r="AL454" s="14"/>
      <c r="AM454" s="14"/>
      <c r="AN454" s="166"/>
      <c r="AO454" s="166"/>
      <c r="AP454" s="14"/>
      <c r="AQ454" s="14"/>
      <c r="AS454" s="9">
        <f>AS452+(SUM(AH452:AH453)+AF454)</f>
        <v>202633.44999999998</v>
      </c>
      <c r="AT454" s="88">
        <f>(AS454-AS452-AG454)</f>
        <v>171.69999999999419</v>
      </c>
      <c r="AU454" s="88">
        <f>AT454/AD452</f>
        <v>10.696909999999638</v>
      </c>
      <c r="AV454" s="88">
        <f>100/AU454</f>
        <v>9.3484940978285671</v>
      </c>
      <c r="AW454" s="88">
        <f>((+AD454)*16.35)+AX454</f>
        <v>617.35866593767093</v>
      </c>
      <c r="AX454" s="88">
        <v>81</v>
      </c>
      <c r="AZ454" s="88">
        <f>AW454-AG454</f>
        <v>603.65866593767089</v>
      </c>
      <c r="BA454" s="88">
        <f>BA453-AH454</f>
        <v>104.90955056179786</v>
      </c>
    </row>
    <row r="455" spans="23:53">
      <c r="W455" s="9" t="str">
        <f t="shared" ca="1" si="95"/>
        <v/>
      </c>
      <c r="X455" s="40">
        <v>45230</v>
      </c>
      <c r="Y455" s="168">
        <f t="shared" si="99"/>
        <v>10</v>
      </c>
      <c r="Z455" s="44" t="s">
        <v>1138</v>
      </c>
      <c r="AA455" s="21"/>
      <c r="AB455" s="21"/>
      <c r="AC455" s="21"/>
      <c r="AD455" s="89"/>
      <c r="AF455" s="114">
        <f>24.7+20.6</f>
        <v>45.3</v>
      </c>
      <c r="AG455" s="105">
        <f>28+30.7+11.9+46.8+11.9</f>
        <v>129.30000000000001</v>
      </c>
      <c r="AH455" s="9">
        <f t="shared" si="100"/>
        <v>174.60000000000002</v>
      </c>
      <c r="AI455" s="9">
        <f t="shared" si="96"/>
        <v>26406.669999999987</v>
      </c>
      <c r="AJ455" s="14"/>
      <c r="AK455" s="14"/>
      <c r="AL455" s="14"/>
      <c r="AM455" s="14"/>
      <c r="AN455" s="166"/>
      <c r="AO455" s="166"/>
      <c r="AP455" s="14"/>
      <c r="AQ455" s="14"/>
      <c r="AZ455" s="88">
        <f t="shared" ref="AZ455:AZ460" si="102">AZ454-AH455</f>
        <v>429.05866593767087</v>
      </c>
      <c r="BA455" s="88"/>
    </row>
    <row r="456" spans="23:53">
      <c r="W456" s="9" t="str">
        <f t="shared" ca="1" si="95"/>
        <v/>
      </c>
      <c r="X456" s="40">
        <v>45231</v>
      </c>
      <c r="Y456" s="168">
        <f t="shared" si="99"/>
        <v>11</v>
      </c>
      <c r="Z456" s="44" t="s">
        <v>1140</v>
      </c>
      <c r="AA456" s="21"/>
      <c r="AB456" s="21"/>
      <c r="AC456" s="21"/>
      <c r="AF456" s="114"/>
      <c r="AG456" s="105">
        <f>5.6+4.5+34.4+2.1+2</f>
        <v>48.6</v>
      </c>
      <c r="AH456" s="9">
        <f t="shared" si="100"/>
        <v>48.6</v>
      </c>
      <c r="AI456" s="9">
        <f t="shared" si="96"/>
        <v>26455.269999999986</v>
      </c>
      <c r="AJ456" s="14"/>
      <c r="AK456" s="14"/>
      <c r="AL456" s="14"/>
      <c r="AM456" s="14"/>
      <c r="AN456" s="166"/>
      <c r="AO456" s="166"/>
      <c r="AP456" s="14"/>
      <c r="AQ456" s="14"/>
      <c r="AZ456" s="88">
        <f t="shared" si="102"/>
        <v>380.45866593767084</v>
      </c>
      <c r="BA456" s="88"/>
    </row>
    <row r="457" spans="23:53">
      <c r="W457" s="9" t="str">
        <f t="shared" ca="1" si="95"/>
        <v/>
      </c>
      <c r="X457" s="40">
        <v>45232</v>
      </c>
      <c r="Y457" s="168">
        <f t="shared" si="99"/>
        <v>11</v>
      </c>
      <c r="Z457" s="44" t="s">
        <v>1143</v>
      </c>
      <c r="AA457" s="21"/>
      <c r="AB457" s="21"/>
      <c r="AC457" s="21"/>
      <c r="AF457" s="114">
        <f>24.9+24.4</f>
        <v>49.3</v>
      </c>
      <c r="AG457" s="105">
        <f>25.7+28.4</f>
        <v>54.099999999999994</v>
      </c>
      <c r="AH457" s="9">
        <f t="shared" si="100"/>
        <v>103.39999999999999</v>
      </c>
      <c r="AI457" s="9">
        <f t="shared" si="96"/>
        <v>26558.669999999987</v>
      </c>
      <c r="AJ457" s="14"/>
      <c r="AK457" s="14"/>
      <c r="AL457" s="14"/>
      <c r="AM457" s="14"/>
      <c r="AN457" s="166"/>
      <c r="AO457" s="166"/>
      <c r="AP457" s="14"/>
      <c r="AQ457" s="14"/>
      <c r="AZ457" s="88">
        <f t="shared" si="102"/>
        <v>277.05866593767087</v>
      </c>
      <c r="BA457" s="88"/>
    </row>
    <row r="458" spans="23:53">
      <c r="W458" s="9" t="str">
        <f t="shared" ca="1" si="95"/>
        <v/>
      </c>
      <c r="X458" s="40">
        <v>45233</v>
      </c>
      <c r="Y458" s="168">
        <f t="shared" si="99"/>
        <v>11</v>
      </c>
      <c r="Z458" s="44" t="s">
        <v>1145</v>
      </c>
      <c r="AA458" s="21"/>
      <c r="AB458" s="21"/>
      <c r="AC458" s="21"/>
      <c r="AF458" s="114">
        <f>24.6+25.4</f>
        <v>50</v>
      </c>
      <c r="AG458" s="105">
        <f>2.2+4.5+2.5+3.1</f>
        <v>12.299999999999999</v>
      </c>
      <c r="AH458" s="9">
        <f t="shared" si="100"/>
        <v>62.3</v>
      </c>
      <c r="AI458" s="9">
        <f t="shared" si="96"/>
        <v>26620.969999999987</v>
      </c>
      <c r="AJ458" s="14"/>
      <c r="AK458" s="14"/>
      <c r="AL458" s="14"/>
      <c r="AM458" s="14"/>
      <c r="AN458" s="166"/>
      <c r="AO458" s="166"/>
      <c r="AP458" s="14"/>
      <c r="AQ458" s="14"/>
      <c r="AZ458" s="88">
        <f t="shared" si="102"/>
        <v>214.75866593767086</v>
      </c>
      <c r="BA458" s="88"/>
    </row>
    <row r="459" spans="23:53">
      <c r="W459" s="9" t="str">
        <f t="shared" ca="1" si="95"/>
        <v/>
      </c>
      <c r="X459" s="40">
        <v>45234</v>
      </c>
      <c r="Y459" s="168">
        <f t="shared" si="99"/>
        <v>11</v>
      </c>
      <c r="Z459" s="44" t="s">
        <v>1132</v>
      </c>
      <c r="AA459" s="21"/>
      <c r="AB459" s="21"/>
      <c r="AC459" s="21"/>
      <c r="AF459" s="230"/>
      <c r="AG459" s="105">
        <f>2.4+3.1+8+40.6</f>
        <v>54.1</v>
      </c>
      <c r="AH459" s="9">
        <f t="shared" si="100"/>
        <v>54.1</v>
      </c>
      <c r="AI459" s="9">
        <f t="shared" si="96"/>
        <v>26675.069999999985</v>
      </c>
      <c r="AJ459" s="14">
        <f>SUM(AH453:AH459)</f>
        <v>516.4</v>
      </c>
      <c r="AK459" s="14"/>
      <c r="AL459" s="14"/>
      <c r="AM459" s="14"/>
      <c r="AN459" s="166"/>
      <c r="AO459" s="166"/>
      <c r="AP459" s="14"/>
      <c r="AQ459" s="14"/>
      <c r="AS459" s="14" t="s">
        <v>1207</v>
      </c>
      <c r="AT459" s="14"/>
      <c r="AU459" s="14"/>
      <c r="AV459" s="14"/>
      <c r="AW459" s="14"/>
      <c r="AX459" s="14"/>
      <c r="AZ459" s="88">
        <f t="shared" si="102"/>
        <v>160.65866593767086</v>
      </c>
    </row>
    <row r="460" spans="23:53">
      <c r="W460" s="9" t="str">
        <f t="shared" ca="1" si="95"/>
        <v/>
      </c>
      <c r="X460" s="40">
        <v>45235</v>
      </c>
      <c r="Y460" s="168">
        <f t="shared" si="99"/>
        <v>11</v>
      </c>
      <c r="Z460" s="44" t="s">
        <v>1134</v>
      </c>
      <c r="AA460" s="21"/>
      <c r="AB460" s="21"/>
      <c r="AC460" s="21"/>
      <c r="AF460" s="230"/>
      <c r="AG460" s="105">
        <f>30.5+3.6</f>
        <v>34.1</v>
      </c>
      <c r="AH460" s="9">
        <f t="shared" si="100"/>
        <v>34.1</v>
      </c>
      <c r="AI460" s="9">
        <f t="shared" si="96"/>
        <v>26709.169999999984</v>
      </c>
      <c r="AJ460" s="14"/>
      <c r="AK460" s="14"/>
      <c r="AL460" s="14"/>
      <c r="AM460" s="14"/>
      <c r="AN460" s="166"/>
      <c r="AO460" s="166"/>
      <c r="AP460" s="14"/>
      <c r="AQ460" s="14"/>
      <c r="AS460" s="9" t="s">
        <v>1208</v>
      </c>
      <c r="AT460" s="9" t="s">
        <v>1209</v>
      </c>
      <c r="AW460" s="9" t="s">
        <v>1210</v>
      </c>
      <c r="AX460" s="9" t="s">
        <v>1211</v>
      </c>
      <c r="AZ460" s="88">
        <f t="shared" si="102"/>
        <v>126.55866593767087</v>
      </c>
    </row>
    <row r="461" spans="23:53">
      <c r="W461" s="9" t="str">
        <f t="shared" ca="1" si="95"/>
        <v/>
      </c>
      <c r="X461" s="40">
        <v>45236</v>
      </c>
      <c r="Y461" s="168">
        <f t="shared" si="99"/>
        <v>11</v>
      </c>
      <c r="Z461" s="44" t="s">
        <v>1136</v>
      </c>
      <c r="AA461" s="97">
        <v>60</v>
      </c>
      <c r="AB461" s="97">
        <v>0.62</v>
      </c>
      <c r="AC461" s="97">
        <v>1.829</v>
      </c>
      <c r="AD461" s="217">
        <f>AA461/AC461</f>
        <v>32.804811372334612</v>
      </c>
      <c r="AF461" s="114">
        <f>25.8+29</f>
        <v>54.8</v>
      </c>
      <c r="AG461" s="105">
        <f>3.3</f>
        <v>3.3</v>
      </c>
      <c r="AH461" s="9">
        <f t="shared" si="100"/>
        <v>58.099999999999994</v>
      </c>
      <c r="AI461" s="9">
        <f t="shared" si="96"/>
        <v>26767.269999999982</v>
      </c>
      <c r="AJ461" s="14"/>
      <c r="AK461" s="14"/>
      <c r="AL461" s="14"/>
      <c r="AM461" s="14"/>
      <c r="AN461" s="166"/>
      <c r="AO461" s="166"/>
      <c r="AP461" s="14"/>
      <c r="AQ461" s="14"/>
      <c r="AS461" s="9">
        <f>AS454+(SUM(AH454:AH461)+AG454)</f>
        <v>203245.24999999997</v>
      </c>
      <c r="AT461" s="88">
        <f>(AS461-AS454-AG454+5.3+7.6)</f>
        <v>610.99999999998829</v>
      </c>
      <c r="AU461" s="88">
        <f>AT461/AD454</f>
        <v>18.625316666666308</v>
      </c>
      <c r="AV461" s="88">
        <f>100/AU461</f>
        <v>5.3690362311514308</v>
      </c>
      <c r="AW461" s="88">
        <f>((+AD461)*AX4)+AX461</f>
        <v>629.75503270660113</v>
      </c>
      <c r="AX461" s="88">
        <v>100</v>
      </c>
      <c r="AZ461" s="88">
        <v>102</v>
      </c>
      <c r="BA461" s="88">
        <f>AW461-AG461</f>
        <v>626.45503270660117</v>
      </c>
    </row>
    <row r="462" spans="23:53">
      <c r="W462" s="9" t="str">
        <f t="shared" ca="1" si="95"/>
        <v/>
      </c>
      <c r="X462" s="40">
        <v>45237</v>
      </c>
      <c r="Y462" s="168">
        <f t="shared" si="99"/>
        <v>11</v>
      </c>
      <c r="Z462" s="44" t="s">
        <v>1138</v>
      </c>
      <c r="AA462" s="21"/>
      <c r="AB462" s="21"/>
      <c r="AC462" s="21"/>
      <c r="AF462" s="114">
        <f>21.7+21</f>
        <v>42.7</v>
      </c>
      <c r="AG462" s="105">
        <f>19.8+3+13.9</f>
        <v>36.700000000000003</v>
      </c>
      <c r="AH462" s="9">
        <f t="shared" si="100"/>
        <v>79.400000000000006</v>
      </c>
      <c r="AI462" s="9">
        <f t="shared" si="96"/>
        <v>26846.669999999984</v>
      </c>
      <c r="AJ462" s="14"/>
      <c r="AK462" s="14"/>
      <c r="AL462" s="14"/>
      <c r="AM462" s="14"/>
      <c r="AN462" s="166"/>
      <c r="AO462" s="166"/>
      <c r="AP462" s="14"/>
      <c r="AQ462" s="14"/>
      <c r="AZ462" s="88"/>
      <c r="BA462" s="88">
        <f>BA461-AH462</f>
        <v>547.0550327066012</v>
      </c>
    </row>
    <row r="463" spans="23:53">
      <c r="W463" s="9" t="str">
        <f t="shared" ca="1" si="95"/>
        <v/>
      </c>
      <c r="X463" s="40">
        <v>45238</v>
      </c>
      <c r="Y463" s="168">
        <f t="shared" si="99"/>
        <v>11</v>
      </c>
      <c r="Z463" s="44" t="s">
        <v>1140</v>
      </c>
      <c r="AA463" s="21"/>
      <c r="AB463" s="21"/>
      <c r="AC463" s="21"/>
      <c r="AD463" s="88"/>
      <c r="AF463" s="114">
        <f>23.2+23.7</f>
        <v>46.9</v>
      </c>
      <c r="AG463" s="9">
        <f>2.5+2.2+2.1</f>
        <v>6.8000000000000007</v>
      </c>
      <c r="AH463" s="9">
        <f t="shared" si="100"/>
        <v>53.7</v>
      </c>
      <c r="AI463" s="9">
        <f t="shared" si="96"/>
        <v>26900.369999999984</v>
      </c>
      <c r="AJ463" s="14"/>
      <c r="AK463" s="14"/>
      <c r="AL463" s="14"/>
      <c r="AM463" s="14"/>
      <c r="AN463" s="166"/>
      <c r="AO463" s="166"/>
      <c r="AP463" s="14"/>
      <c r="AQ463" s="14"/>
      <c r="AZ463" s="88"/>
      <c r="BA463" s="88">
        <f t="shared" ref="BA463:BA469" si="103">BA462-AH463</f>
        <v>493.35503270660121</v>
      </c>
    </row>
    <row r="464" spans="23:53">
      <c r="W464" s="9" t="str">
        <f t="shared" ca="1" si="95"/>
        <v/>
      </c>
      <c r="X464" s="40">
        <v>45239</v>
      </c>
      <c r="Y464" s="168">
        <f t="shared" si="99"/>
        <v>11</v>
      </c>
      <c r="Z464" s="44" t="s">
        <v>1143</v>
      </c>
      <c r="AA464" s="21"/>
      <c r="AB464" s="21"/>
      <c r="AC464" s="21"/>
      <c r="AF464" s="114">
        <f>21.9+26.8</f>
        <v>48.7</v>
      </c>
      <c r="AH464" s="9">
        <f t="shared" si="100"/>
        <v>48.7</v>
      </c>
      <c r="AI464" s="9">
        <f t="shared" si="96"/>
        <v>26949.069999999985</v>
      </c>
      <c r="AJ464" s="14"/>
      <c r="AK464" s="14"/>
      <c r="AL464" s="14"/>
      <c r="AM464" s="14"/>
      <c r="AN464" s="166"/>
      <c r="AO464" s="166"/>
      <c r="AP464" s="14"/>
      <c r="AQ464" s="14"/>
      <c r="AZ464" s="88"/>
      <c r="BA464" s="88">
        <f t="shared" si="103"/>
        <v>444.65503270660122</v>
      </c>
    </row>
    <row r="465" spans="23:53">
      <c r="W465" s="9" t="str">
        <f t="shared" ca="1" si="95"/>
        <v/>
      </c>
      <c r="X465" s="40">
        <v>45240</v>
      </c>
      <c r="Y465" s="168">
        <f t="shared" si="99"/>
        <v>11</v>
      </c>
      <c r="Z465" s="44" t="s">
        <v>1145</v>
      </c>
      <c r="AF465" s="114">
        <f>26.1+19.6</f>
        <v>45.7</v>
      </c>
      <c r="AG465" s="9">
        <f>35.2+33.7+1.1+35.1</f>
        <v>105.1</v>
      </c>
      <c r="AH465" s="9">
        <f t="shared" si="100"/>
        <v>150.80000000000001</v>
      </c>
      <c r="AI465" s="9">
        <f t="shared" si="96"/>
        <v>27099.869999999984</v>
      </c>
      <c r="AJ465" s="14"/>
      <c r="AK465" s="14"/>
      <c r="AL465" s="14"/>
      <c r="AM465" s="14"/>
      <c r="AN465" s="166"/>
      <c r="AO465" s="166"/>
      <c r="AP465" s="14"/>
      <c r="AQ465" s="14"/>
      <c r="BA465" s="88">
        <f t="shared" si="103"/>
        <v>293.85503270660121</v>
      </c>
    </row>
    <row r="466" spans="23:53">
      <c r="W466" s="9" t="str">
        <f t="shared" ca="1" si="95"/>
        <v/>
      </c>
      <c r="X466" s="40">
        <v>45241</v>
      </c>
      <c r="Y466" s="168">
        <f t="shared" si="99"/>
        <v>11</v>
      </c>
      <c r="Z466" s="44" t="s">
        <v>1132</v>
      </c>
      <c r="AA466" s="21"/>
      <c r="AB466" s="21"/>
      <c r="AC466" s="21"/>
      <c r="AF466" s="26">
        <f>24.9+1.4+26.4</f>
        <v>52.699999999999996</v>
      </c>
      <c r="AG466" s="9">
        <f>2.8</f>
        <v>2.8</v>
      </c>
      <c r="AH466" s="9">
        <f t="shared" si="100"/>
        <v>55.499999999999993</v>
      </c>
      <c r="AI466" s="9">
        <f t="shared" si="96"/>
        <v>27155.369999999984</v>
      </c>
      <c r="AJ466" s="14">
        <f>SUM(AH460:AH466)</f>
        <v>480.3</v>
      </c>
      <c r="AK466" s="14"/>
      <c r="AL466" s="14"/>
      <c r="AM466" s="14"/>
      <c r="AN466" s="166"/>
      <c r="AO466" s="166"/>
      <c r="AP466" s="14"/>
      <c r="AQ466" s="14"/>
      <c r="BA466" s="88">
        <f t="shared" si="103"/>
        <v>238.35503270660121</v>
      </c>
    </row>
    <row r="467" spans="23:53">
      <c r="W467" s="9" t="str">
        <f t="shared" ca="1" si="95"/>
        <v/>
      </c>
      <c r="X467" s="40">
        <v>45242</v>
      </c>
      <c r="Y467" s="168">
        <f t="shared" si="99"/>
        <v>11</v>
      </c>
      <c r="Z467" s="44" t="s">
        <v>1134</v>
      </c>
      <c r="AA467" s="21"/>
      <c r="AB467" s="21"/>
      <c r="AC467" s="21"/>
      <c r="AF467" s="26"/>
      <c r="AG467" s="9">
        <f>2.6+2.8+3.1+2.7</f>
        <v>11.2</v>
      </c>
      <c r="AH467" s="9">
        <f t="shared" si="100"/>
        <v>11.2</v>
      </c>
      <c r="AI467" s="9">
        <f t="shared" si="96"/>
        <v>27166.569999999985</v>
      </c>
      <c r="AJ467" s="14"/>
      <c r="AK467" s="14"/>
      <c r="AL467" s="14"/>
      <c r="AM467" s="14"/>
      <c r="AN467" s="166"/>
      <c r="AO467" s="166"/>
      <c r="AP467" s="14"/>
      <c r="AQ467" s="14"/>
      <c r="AS467" s="14" t="s">
        <v>1207</v>
      </c>
      <c r="AT467" s="14"/>
      <c r="AU467" s="14"/>
      <c r="AV467" s="14"/>
      <c r="AW467" s="14"/>
      <c r="AX467" s="14"/>
      <c r="BA467" s="88">
        <f t="shared" si="103"/>
        <v>227.15503270660122</v>
      </c>
    </row>
    <row r="468" spans="23:53">
      <c r="W468" s="9" t="str">
        <f t="shared" ca="1" si="95"/>
        <v/>
      </c>
      <c r="X468" s="40">
        <v>45243</v>
      </c>
      <c r="Y468" s="168">
        <f t="shared" si="99"/>
        <v>11</v>
      </c>
      <c r="Z468" s="44" t="s">
        <v>1136</v>
      </c>
      <c r="AA468" s="21"/>
      <c r="AB468" s="21"/>
      <c r="AC468" s="21"/>
      <c r="AF468" s="26">
        <f>23.4+25.2</f>
        <v>48.599999999999994</v>
      </c>
      <c r="AG468" s="9">
        <f>1.4+8</f>
        <v>9.4</v>
      </c>
      <c r="AH468" s="9">
        <f t="shared" si="100"/>
        <v>57.999999999999993</v>
      </c>
      <c r="AI468" s="9">
        <f t="shared" si="96"/>
        <v>27224.569999999985</v>
      </c>
      <c r="AJ468" s="14"/>
      <c r="AK468" s="14"/>
      <c r="AL468" s="14"/>
      <c r="AM468" s="14"/>
      <c r="AN468" s="166"/>
      <c r="AO468" s="166"/>
      <c r="AP468" s="14"/>
      <c r="AQ468" s="14"/>
      <c r="AS468" s="9" t="s">
        <v>1208</v>
      </c>
      <c r="AT468" s="9" t="s">
        <v>1209</v>
      </c>
      <c r="AW468" s="9" t="s">
        <v>1210</v>
      </c>
      <c r="AX468" s="9" t="s">
        <v>1211</v>
      </c>
      <c r="BA468" s="88">
        <f t="shared" si="103"/>
        <v>169.15503270660122</v>
      </c>
    </row>
    <row r="469" spans="23:53">
      <c r="W469" s="9" t="str">
        <f t="shared" ca="1" si="95"/>
        <v/>
      </c>
      <c r="X469" s="40">
        <v>45244</v>
      </c>
      <c r="Y469" s="168">
        <f t="shared" si="99"/>
        <v>11</v>
      </c>
      <c r="Z469" s="44" t="s">
        <v>1138</v>
      </c>
      <c r="AA469" s="97">
        <v>40</v>
      </c>
      <c r="AB469" s="97">
        <v>0.62</v>
      </c>
      <c r="AC469" s="97">
        <v>1.879</v>
      </c>
      <c r="AD469" s="88">
        <f>AA469/AC469</f>
        <v>21.287919105907399</v>
      </c>
      <c r="AF469" s="114">
        <f>23.6+24.3</f>
        <v>47.900000000000006</v>
      </c>
      <c r="AG469" s="105">
        <f>2.9+0.45+0.55</f>
        <v>3.9000000000000004</v>
      </c>
      <c r="AH469" s="9">
        <f t="shared" si="100"/>
        <v>51.800000000000004</v>
      </c>
      <c r="AI469" s="9">
        <f t="shared" si="96"/>
        <v>27276.369999999984</v>
      </c>
      <c r="AJ469" s="14"/>
      <c r="AK469" s="14"/>
      <c r="AL469" s="14"/>
      <c r="AM469" s="14"/>
      <c r="AN469" s="166"/>
      <c r="AO469" s="166"/>
      <c r="AP469" s="14"/>
      <c r="AQ469" s="14"/>
      <c r="AS469" s="9">
        <f>AS461+(SUM(AH462:AH468)+AG461)</f>
        <v>203705.84999999998</v>
      </c>
      <c r="AT469" s="88">
        <f>(AS469-AS461-AG461)</f>
        <v>457.30000000000581</v>
      </c>
      <c r="AU469" s="88">
        <f>AT469/AD461</f>
        <v>13.94002833333351</v>
      </c>
      <c r="AV469" s="88">
        <f>100/AU469</f>
        <v>7.1735865673155903</v>
      </c>
      <c r="AW469" s="88">
        <f>((+AD469)*AX4)+AX469</f>
        <v>443.7722032358962</v>
      </c>
      <c r="AX469" s="88">
        <v>100</v>
      </c>
      <c r="AZ469" s="88">
        <f>AW469-AH469</f>
        <v>391.97220323589619</v>
      </c>
      <c r="BA469" s="88">
        <f t="shared" si="103"/>
        <v>117.35503270660121</v>
      </c>
    </row>
    <row r="470" spans="23:53">
      <c r="W470" s="9" t="str">
        <f t="shared" ca="1" si="95"/>
        <v/>
      </c>
      <c r="X470" s="40">
        <v>45245</v>
      </c>
      <c r="Y470" s="168">
        <f t="shared" si="99"/>
        <v>11</v>
      </c>
      <c r="Z470" s="44" t="s">
        <v>1140</v>
      </c>
      <c r="AF470" s="114">
        <f>24.5+24.7</f>
        <v>49.2</v>
      </c>
      <c r="AG470" s="9">
        <f>3+3</f>
        <v>6</v>
      </c>
      <c r="AH470" s="9">
        <f t="shared" si="100"/>
        <v>55.2</v>
      </c>
      <c r="AI470" s="9">
        <f t="shared" si="96"/>
        <v>27331.569999999985</v>
      </c>
      <c r="AJ470" s="14"/>
      <c r="AK470" s="14"/>
      <c r="AL470" s="14"/>
      <c r="AM470" s="14"/>
      <c r="AN470" s="166"/>
      <c r="AO470" s="166"/>
      <c r="AP470" s="14"/>
      <c r="AQ470" s="14"/>
      <c r="AZ470" s="88">
        <f>AZ469-AH470</f>
        <v>336.7722032358962</v>
      </c>
    </row>
    <row r="471" spans="23:53">
      <c r="W471" s="9" t="str">
        <f t="shared" ca="1" si="95"/>
        <v/>
      </c>
      <c r="X471" s="40">
        <v>45246</v>
      </c>
      <c r="Y471" s="168">
        <f t="shared" si="99"/>
        <v>11</v>
      </c>
      <c r="Z471" s="44" t="s">
        <v>1143</v>
      </c>
      <c r="AA471" s="21"/>
      <c r="AB471" s="21"/>
      <c r="AC471" s="21"/>
      <c r="AD471" s="88"/>
      <c r="AF471" s="114">
        <f>24.1+31.4</f>
        <v>55.5</v>
      </c>
      <c r="AG471" s="105">
        <f>0.7+0.65</f>
        <v>1.35</v>
      </c>
      <c r="AH471" s="9">
        <f t="shared" si="100"/>
        <v>56.85</v>
      </c>
      <c r="AI471" s="9">
        <f t="shared" si="96"/>
        <v>27388.419999999984</v>
      </c>
      <c r="AJ471" s="14"/>
      <c r="AK471" s="14"/>
      <c r="AL471" s="14"/>
      <c r="AM471" s="14"/>
      <c r="AN471" s="166"/>
      <c r="AO471" s="166"/>
      <c r="AP471" s="14"/>
      <c r="AQ471" s="14"/>
      <c r="AZ471" s="88">
        <f>AZ470-AH471</f>
        <v>279.92220323589618</v>
      </c>
    </row>
    <row r="472" spans="23:53">
      <c r="W472" s="9" t="str">
        <f t="shared" ca="1" si="95"/>
        <v/>
      </c>
      <c r="X472" s="40">
        <v>45247</v>
      </c>
      <c r="Y472" s="168">
        <f t="shared" si="99"/>
        <v>11</v>
      </c>
      <c r="Z472" s="44" t="s">
        <v>1145</v>
      </c>
      <c r="AA472" s="21"/>
      <c r="AB472" s="21"/>
      <c r="AC472" s="21"/>
      <c r="AF472" s="114">
        <f>24.7+0.4+23.5</f>
        <v>48.599999999999994</v>
      </c>
      <c r="AG472" s="9">
        <f>2+34.7+35.5</f>
        <v>72.2</v>
      </c>
      <c r="AH472" s="9">
        <f t="shared" si="100"/>
        <v>120.8</v>
      </c>
      <c r="AI472" s="9">
        <f t="shared" si="96"/>
        <v>27509.219999999983</v>
      </c>
      <c r="AJ472" s="14"/>
      <c r="AK472" s="14"/>
      <c r="AL472" s="14"/>
      <c r="AM472" s="14"/>
      <c r="AN472" s="166"/>
      <c r="AO472" s="166"/>
      <c r="AP472" s="14"/>
      <c r="AQ472" s="14"/>
      <c r="AS472" s="14" t="s">
        <v>1207</v>
      </c>
      <c r="AT472" s="14"/>
      <c r="AU472" s="14"/>
      <c r="AV472" s="14"/>
      <c r="AW472" s="14"/>
      <c r="AX472" s="14"/>
      <c r="AZ472" s="88">
        <f>AZ471-AH472</f>
        <v>159.12220323589617</v>
      </c>
    </row>
    <row r="473" spans="23:53">
      <c r="W473" s="9" t="str">
        <f t="shared" ca="1" si="95"/>
        <v/>
      </c>
      <c r="X473" s="40">
        <v>45248</v>
      </c>
      <c r="Y473" s="168">
        <f t="shared" si="99"/>
        <v>11</v>
      </c>
      <c r="Z473" s="44" t="s">
        <v>1132</v>
      </c>
      <c r="AA473" s="21"/>
      <c r="AB473" s="21"/>
      <c r="AC473" s="21"/>
      <c r="AD473" s="88"/>
      <c r="AF473" s="26"/>
      <c r="AG473" s="9">
        <f>2.3+1.4+4+2.6+3+5.5+3.3</f>
        <v>22.099999999999998</v>
      </c>
      <c r="AH473" s="9">
        <f t="shared" si="100"/>
        <v>22.099999999999998</v>
      </c>
      <c r="AI473" s="9">
        <f t="shared" si="96"/>
        <v>27531.319999999982</v>
      </c>
      <c r="AJ473" s="14">
        <f>SUM(AH467:AH473)</f>
        <v>375.95</v>
      </c>
      <c r="AK473" s="14"/>
      <c r="AL473" s="14"/>
      <c r="AM473" s="14"/>
      <c r="AN473" s="166"/>
      <c r="AO473" s="166"/>
      <c r="AP473" s="14"/>
      <c r="AQ473" s="14"/>
      <c r="AS473" s="9" t="s">
        <v>1208</v>
      </c>
      <c r="AT473" s="9" t="s">
        <v>1209</v>
      </c>
      <c r="AW473" s="9" t="s">
        <v>1210</v>
      </c>
      <c r="AX473" s="9" t="s">
        <v>1211</v>
      </c>
      <c r="AZ473" s="88">
        <f>AZ472-AH473</f>
        <v>137.02220323589617</v>
      </c>
    </row>
    <row r="474" spans="23:53">
      <c r="W474" s="9" t="str">
        <f t="shared" ref="W474:W537" ca="1" si="104">IF(X474=TODAY(),1,"")</f>
        <v/>
      </c>
      <c r="X474" s="40">
        <v>45249</v>
      </c>
      <c r="Y474" s="168">
        <f t="shared" si="99"/>
        <v>11</v>
      </c>
      <c r="Z474" s="44" t="s">
        <v>1134</v>
      </c>
      <c r="AA474" s="97">
        <v>30</v>
      </c>
      <c r="AB474" s="97">
        <v>0.62</v>
      </c>
      <c r="AC474" s="97">
        <v>1.7789999999999999</v>
      </c>
      <c r="AD474" s="88">
        <f>AA474/AC474</f>
        <v>16.863406408094434</v>
      </c>
      <c r="AF474" s="230"/>
      <c r="AG474" s="9">
        <f>23.6+7.1+10.9+17.3+31.4</f>
        <v>90.300000000000011</v>
      </c>
      <c r="AH474" s="9">
        <f t="shared" si="100"/>
        <v>90.300000000000011</v>
      </c>
      <c r="AI474" s="9">
        <f t="shared" si="96"/>
        <v>27621.619999999981</v>
      </c>
      <c r="AJ474" s="14"/>
      <c r="AK474" s="14"/>
      <c r="AL474" s="14"/>
      <c r="AM474" s="14"/>
      <c r="AN474" s="166"/>
      <c r="AO474" s="166"/>
      <c r="AP474" s="14"/>
      <c r="AQ474" s="14"/>
      <c r="AS474" s="9">
        <f>AS469+(SUM(AH469:AH474)+AG468)</f>
        <v>204112.3</v>
      </c>
      <c r="AT474" s="88">
        <f>(AS474-AS469-AG468)</f>
        <v>397.05000000001166</v>
      </c>
      <c r="AU474" s="88">
        <f>AT474/AD469</f>
        <v>18.651423750000546</v>
      </c>
      <c r="AV474" s="88">
        <f>100/AU474</f>
        <v>5.3615209938060131</v>
      </c>
      <c r="AW474" s="88">
        <f>((+AD474)*AX4)+AX474</f>
        <v>319.04428160025066</v>
      </c>
      <c r="AX474" s="88">
        <f>AZ474</f>
        <v>46.72220323589616</v>
      </c>
      <c r="AZ474" s="88">
        <f>AZ473-AH474</f>
        <v>46.72220323589616</v>
      </c>
      <c r="BA474" s="88">
        <f>AW474+AX474-AH474</f>
        <v>275.46648483614678</v>
      </c>
    </row>
    <row r="475" spans="23:53">
      <c r="W475" s="9" t="str">
        <f t="shared" ca="1" si="104"/>
        <v/>
      </c>
      <c r="X475" s="40">
        <v>45250</v>
      </c>
      <c r="Y475" s="168">
        <f t="shared" si="99"/>
        <v>11</v>
      </c>
      <c r="Z475" s="44" t="s">
        <v>1136</v>
      </c>
      <c r="AA475" s="21"/>
      <c r="AB475" s="21"/>
      <c r="AC475" s="21"/>
      <c r="AF475" s="114">
        <f>24.7+24.4</f>
        <v>49.099999999999994</v>
      </c>
      <c r="AG475" s="9">
        <f>3.7+1.9+1.9</f>
        <v>7.5</v>
      </c>
      <c r="AH475" s="9">
        <f t="shared" si="100"/>
        <v>56.599999999999994</v>
      </c>
      <c r="AI475" s="9">
        <f t="shared" ref="AI475:AI538" si="105">AI474+AH475</f>
        <v>27678.219999999979</v>
      </c>
      <c r="AJ475" s="14"/>
      <c r="AK475" s="14"/>
      <c r="AL475" s="14"/>
      <c r="AM475" s="14"/>
      <c r="AN475" s="166"/>
      <c r="AO475" s="166"/>
      <c r="AP475" s="14"/>
      <c r="AQ475" s="14"/>
      <c r="BA475" s="88">
        <f>BA474-AH475</f>
        <v>218.86648483614678</v>
      </c>
    </row>
    <row r="476" spans="23:53">
      <c r="W476" s="9" t="str">
        <f t="shared" ca="1" si="104"/>
        <v/>
      </c>
      <c r="X476" s="40">
        <v>45251</v>
      </c>
      <c r="Y476" s="168">
        <f t="shared" si="99"/>
        <v>11</v>
      </c>
      <c r="Z476" s="44" t="s">
        <v>1138</v>
      </c>
      <c r="AA476" s="21"/>
      <c r="AB476" s="21"/>
      <c r="AC476" s="21"/>
      <c r="AD476" s="88"/>
      <c r="AF476" s="114">
        <f>26+25.9</f>
        <v>51.9</v>
      </c>
      <c r="AH476" s="9">
        <f t="shared" si="100"/>
        <v>51.9</v>
      </c>
      <c r="AI476" s="9">
        <f t="shared" si="105"/>
        <v>27730.119999999981</v>
      </c>
      <c r="AJ476" s="14"/>
      <c r="AK476" s="14"/>
      <c r="AL476" s="14"/>
      <c r="AM476" s="14"/>
      <c r="AN476" s="166"/>
      <c r="AO476" s="166"/>
      <c r="AP476" s="14"/>
      <c r="AQ476" s="14"/>
      <c r="AS476" s="14" t="s">
        <v>1207</v>
      </c>
      <c r="AT476" s="14"/>
      <c r="AU476" s="14"/>
      <c r="AV476" s="14"/>
      <c r="AW476" s="14"/>
      <c r="AX476" s="14"/>
      <c r="BA476" s="88">
        <f t="shared" ref="BA476:BA478" si="106">BA475-AH476</f>
        <v>166.96648483614678</v>
      </c>
    </row>
    <row r="477" spans="23:53">
      <c r="W477" s="9" t="str">
        <f t="shared" ca="1" si="104"/>
        <v/>
      </c>
      <c r="X477" s="40">
        <v>45252</v>
      </c>
      <c r="Y477" s="168">
        <f t="shared" si="99"/>
        <v>11</v>
      </c>
      <c r="Z477" s="44" t="s">
        <v>1140</v>
      </c>
      <c r="AA477" s="21"/>
      <c r="AB477" s="21"/>
      <c r="AC477" s="21"/>
      <c r="AD477" s="88"/>
      <c r="AF477" s="114">
        <f>24.3+23.9</f>
        <v>48.2</v>
      </c>
      <c r="AG477" s="9">
        <f>9.8+11.9+1.6+1.6</f>
        <v>24.900000000000006</v>
      </c>
      <c r="AH477" s="9">
        <f t="shared" si="100"/>
        <v>73.100000000000009</v>
      </c>
      <c r="AI477" s="9">
        <f t="shared" si="105"/>
        <v>27803.219999999979</v>
      </c>
      <c r="AJ477" s="14"/>
      <c r="AK477" s="14"/>
      <c r="AL477" s="14"/>
      <c r="AM477" s="14"/>
      <c r="AN477" s="166"/>
      <c r="AO477" s="166"/>
      <c r="AP477" s="14"/>
      <c r="AQ477" s="14"/>
      <c r="AS477" s="9" t="s">
        <v>1208</v>
      </c>
      <c r="AT477" s="9" t="s">
        <v>1209</v>
      </c>
      <c r="AW477" s="9" t="s">
        <v>1210</v>
      </c>
      <c r="AX477" s="9" t="s">
        <v>1211</v>
      </c>
      <c r="BA477" s="88">
        <f t="shared" si="106"/>
        <v>93.866484836146768</v>
      </c>
    </row>
    <row r="478" spans="23:53">
      <c r="W478" s="9" t="str">
        <f t="shared" ca="1" si="104"/>
        <v/>
      </c>
      <c r="X478" s="40">
        <v>45253</v>
      </c>
      <c r="Y478" s="168">
        <f t="shared" si="99"/>
        <v>11</v>
      </c>
      <c r="Z478" s="44" t="s">
        <v>1143</v>
      </c>
      <c r="AA478" s="97">
        <v>30</v>
      </c>
      <c r="AB478" s="97">
        <v>0.62</v>
      </c>
      <c r="AC478" s="97">
        <v>1.7689999999999999</v>
      </c>
      <c r="AD478" s="88">
        <f>AA478/AC478</f>
        <v>16.95873374788016</v>
      </c>
      <c r="AF478" s="114">
        <f>25.9+30</f>
        <v>55.9</v>
      </c>
      <c r="AG478" s="9">
        <f>4.9+8.1+7.6</f>
        <v>20.6</v>
      </c>
      <c r="AH478" s="9">
        <f t="shared" si="100"/>
        <v>76.5</v>
      </c>
      <c r="AI478" s="9">
        <f t="shared" si="105"/>
        <v>27879.719999999979</v>
      </c>
      <c r="AJ478" s="14"/>
      <c r="AK478" s="14"/>
      <c r="AL478" s="14"/>
      <c r="AM478" s="14"/>
      <c r="AN478" s="166"/>
      <c r="AO478" s="166"/>
      <c r="AP478" s="14"/>
      <c r="AQ478" s="14"/>
      <c r="AS478" s="9">
        <f>AS474+(SUM(AH474:AH477)+AF478)</f>
        <v>204440.09999999998</v>
      </c>
      <c r="AT478" s="88">
        <f>(AS478-AS474)</f>
        <v>327.79999999998836</v>
      </c>
      <c r="AU478" s="88">
        <f>AT478/AD474</f>
        <v>19.43853999999931</v>
      </c>
      <c r="AV478" s="88">
        <f>100/AU478</f>
        <v>5.1444192825183137</v>
      </c>
      <c r="AW478" s="88">
        <f>((+AD478)*$AX$4)+AX478</f>
        <v>291.22797574071814</v>
      </c>
      <c r="AX478" s="88">
        <f>BA478</f>
        <v>17.366484836146768</v>
      </c>
      <c r="AZ478" s="88">
        <f>AW478-AG478</f>
        <v>270.62797574071811</v>
      </c>
      <c r="BA478" s="88">
        <f t="shared" si="106"/>
        <v>17.366484836146768</v>
      </c>
    </row>
    <row r="479" spans="23:53">
      <c r="W479" s="9" t="str">
        <f t="shared" ca="1" si="104"/>
        <v/>
      </c>
      <c r="X479" s="40">
        <v>45254</v>
      </c>
      <c r="Y479" s="168">
        <f t="shared" si="99"/>
        <v>11</v>
      </c>
      <c r="Z479" s="44" t="s">
        <v>1145</v>
      </c>
      <c r="AA479" s="21"/>
      <c r="AB479" s="21"/>
      <c r="AC479" s="21"/>
      <c r="AF479" s="114">
        <f>27.9+33.1</f>
        <v>61</v>
      </c>
      <c r="AG479" s="9">
        <f>22.2+4.5+10.5+28.5</f>
        <v>65.7</v>
      </c>
      <c r="AH479" s="9">
        <f t="shared" si="100"/>
        <v>126.7</v>
      </c>
      <c r="AI479" s="9">
        <f t="shared" si="105"/>
        <v>28006.41999999998</v>
      </c>
      <c r="AJ479" s="14"/>
      <c r="AK479" s="14"/>
      <c r="AL479" s="14"/>
      <c r="AM479" s="14"/>
      <c r="AN479" s="166"/>
      <c r="AO479" s="166"/>
      <c r="AP479" s="14"/>
      <c r="AQ479" s="14"/>
      <c r="AZ479" s="88">
        <f>AZ478-AH479</f>
        <v>143.92797574071813</v>
      </c>
    </row>
    <row r="480" spans="23:53">
      <c r="W480" s="9" t="str">
        <f t="shared" ca="1" si="104"/>
        <v/>
      </c>
      <c r="X480" s="40">
        <v>45255</v>
      </c>
      <c r="Y480" s="168">
        <f t="shared" si="99"/>
        <v>11</v>
      </c>
      <c r="Z480" s="44" t="s">
        <v>1132</v>
      </c>
      <c r="AA480" s="21"/>
      <c r="AB480" s="21"/>
      <c r="AC480" s="21"/>
      <c r="AF480" s="26"/>
      <c r="AG480" s="9">
        <f>25.4+26.1+0.55+3.7</f>
        <v>55.75</v>
      </c>
      <c r="AH480" s="9">
        <f t="shared" si="100"/>
        <v>55.75</v>
      </c>
      <c r="AI480" s="9">
        <f t="shared" si="105"/>
        <v>28062.16999999998</v>
      </c>
      <c r="AJ480" s="14">
        <f>SUM(AH474:AH480)</f>
        <v>530.85</v>
      </c>
      <c r="AK480" s="14"/>
      <c r="AL480" s="14"/>
      <c r="AM480" s="14"/>
      <c r="AN480" s="166"/>
      <c r="AO480" s="166"/>
      <c r="AP480" s="14"/>
      <c r="AQ480" s="14"/>
      <c r="AZ480" s="88">
        <f t="shared" ref="AZ480:AZ485" si="107">AZ479-AH480</f>
        <v>88.177975740718125</v>
      </c>
    </row>
    <row r="481" spans="23:53">
      <c r="W481" s="9" t="str">
        <f t="shared" ca="1" si="104"/>
        <v/>
      </c>
      <c r="X481" s="40">
        <v>45256</v>
      </c>
      <c r="Y481" s="168">
        <f t="shared" si="99"/>
        <v>11</v>
      </c>
      <c r="Z481" s="44" t="s">
        <v>1134</v>
      </c>
      <c r="AA481" s="21"/>
      <c r="AB481" s="21"/>
      <c r="AC481" s="21"/>
      <c r="AD481" s="88"/>
      <c r="AF481" s="26"/>
      <c r="AG481" s="9">
        <f>2.5+4.5+1.7+2.2</f>
        <v>10.899999999999999</v>
      </c>
      <c r="AH481" s="9">
        <f t="shared" si="100"/>
        <v>10.899999999999999</v>
      </c>
      <c r="AI481" s="9">
        <f t="shared" si="105"/>
        <v>28073.069999999982</v>
      </c>
      <c r="AJ481" s="14"/>
      <c r="AK481" s="14" t="s">
        <v>1077</v>
      </c>
      <c r="AL481" s="14" t="s">
        <v>1204</v>
      </c>
      <c r="AM481" s="14" t="s">
        <v>1205</v>
      </c>
      <c r="AN481" s="166" t="s">
        <v>1069</v>
      </c>
      <c r="AO481" s="166" t="s">
        <v>1206</v>
      </c>
      <c r="AP481" s="14"/>
      <c r="AQ481" s="14"/>
      <c r="AZ481" s="88">
        <f t="shared" si="107"/>
        <v>77.277975740718119</v>
      </c>
    </row>
    <row r="482" spans="23:53">
      <c r="W482" s="9" t="str">
        <f t="shared" ca="1" si="104"/>
        <v/>
      </c>
      <c r="X482" s="39">
        <v>45257</v>
      </c>
      <c r="Y482" s="179">
        <f t="shared" si="99"/>
        <v>11</v>
      </c>
      <c r="Z482" s="107" t="s">
        <v>1136</v>
      </c>
      <c r="AA482" s="68"/>
      <c r="AB482" s="68"/>
      <c r="AC482" s="68"/>
      <c r="AD482" s="22"/>
      <c r="AE482" s="22"/>
      <c r="AF482" s="115">
        <f>24.7+24.9</f>
        <v>49.599999999999994</v>
      </c>
      <c r="AG482" s="22">
        <f>2.1+2.1</f>
        <v>4.2</v>
      </c>
      <c r="AH482" s="22">
        <f t="shared" si="100"/>
        <v>53.8</v>
      </c>
      <c r="AI482" s="22">
        <f t="shared" si="105"/>
        <v>28126.869999999981</v>
      </c>
      <c r="AJ482" s="1372"/>
      <c r="AK482" s="1372">
        <f>SUM(AH452:AH482)</f>
        <v>2093.9</v>
      </c>
      <c r="AL482" s="1372">
        <f>SUM(AF452:AF482)</f>
        <v>1050.8</v>
      </c>
      <c r="AM482" s="1372">
        <f>SUM(AG452:AG482)</f>
        <v>1043.1000000000004</v>
      </c>
      <c r="AN482" s="219">
        <f>SUM(AD452:AD482)</f>
        <v>136.77104637252233</v>
      </c>
      <c r="AO482" s="182">
        <f>AK482/AN482</f>
        <v>15.309526800700635</v>
      </c>
      <c r="AP482" s="183">
        <f>SUM(AA452:AB482)/SUM(AD452:AD482)</f>
        <v>1.8550709870928723</v>
      </c>
      <c r="AQ482" s="184">
        <f>(AP482/AO482)*(SUM(AH452:AH482))</f>
        <v>253.72000000000003</v>
      </c>
      <c r="AZ482" s="88">
        <f t="shared" si="107"/>
        <v>23.477975740718122</v>
      </c>
    </row>
    <row r="483" spans="23:53">
      <c r="W483" s="9" t="str">
        <f t="shared" ca="1" si="104"/>
        <v/>
      </c>
      <c r="X483" s="40">
        <v>45258</v>
      </c>
      <c r="Y483" s="168">
        <f t="shared" si="99"/>
        <v>11</v>
      </c>
      <c r="Z483" s="44" t="s">
        <v>1138</v>
      </c>
      <c r="AA483" s="21"/>
      <c r="AB483" s="21"/>
      <c r="AC483" s="21"/>
      <c r="AF483" s="26"/>
      <c r="AH483" s="9">
        <f t="shared" si="100"/>
        <v>0</v>
      </c>
      <c r="AI483" s="9">
        <f t="shared" si="105"/>
        <v>28126.869999999981</v>
      </c>
      <c r="AJ483" s="14"/>
      <c r="AK483" s="14"/>
      <c r="AL483" s="14"/>
      <c r="AM483" s="14"/>
      <c r="AN483" s="166"/>
      <c r="AO483" s="166"/>
      <c r="AP483" s="14"/>
      <c r="AQ483" s="14"/>
      <c r="AZ483" s="88">
        <f>AZ482-AH483</f>
        <v>23.477975740718122</v>
      </c>
    </row>
    <row r="484" spans="23:53">
      <c r="W484" s="9" t="str">
        <f t="shared" ca="1" si="104"/>
        <v/>
      </c>
      <c r="X484" s="40">
        <v>45259</v>
      </c>
      <c r="Y484" s="168">
        <f t="shared" si="99"/>
        <v>11</v>
      </c>
      <c r="Z484" s="44" t="s">
        <v>1140</v>
      </c>
      <c r="AA484" s="21"/>
      <c r="AB484" s="21"/>
      <c r="AC484" s="21"/>
      <c r="AF484" s="26"/>
      <c r="AH484" s="9">
        <f t="shared" si="100"/>
        <v>0</v>
      </c>
      <c r="AI484" s="9">
        <f t="shared" si="105"/>
        <v>28126.869999999981</v>
      </c>
      <c r="AJ484" s="14"/>
      <c r="AK484" s="14"/>
      <c r="AL484" s="14"/>
      <c r="AM484" s="14"/>
      <c r="AN484" s="166"/>
      <c r="AO484" s="166"/>
      <c r="AP484" s="14"/>
      <c r="AQ484" s="14"/>
      <c r="AS484" s="14" t="s">
        <v>1207</v>
      </c>
      <c r="AT484" s="14"/>
      <c r="AU484" s="14"/>
      <c r="AV484" s="14"/>
      <c r="AW484" s="14"/>
      <c r="AX484" s="14"/>
      <c r="AZ484" s="88">
        <f t="shared" si="107"/>
        <v>23.477975740718122</v>
      </c>
    </row>
    <row r="485" spans="23:53">
      <c r="W485" s="9" t="str">
        <f t="shared" ca="1" si="104"/>
        <v/>
      </c>
      <c r="X485" s="40">
        <v>45260</v>
      </c>
      <c r="Y485" s="168">
        <f t="shared" si="99"/>
        <v>11</v>
      </c>
      <c r="Z485" s="44" t="s">
        <v>1143</v>
      </c>
      <c r="AF485" s="26"/>
      <c r="AG485" s="9">
        <f>2.5+4.5+1.7+2.2</f>
        <v>10.899999999999999</v>
      </c>
      <c r="AH485" s="9">
        <f t="shared" si="100"/>
        <v>10.899999999999999</v>
      </c>
      <c r="AI485" s="9">
        <f t="shared" si="105"/>
        <v>28137.769999999982</v>
      </c>
      <c r="AJ485" s="14"/>
      <c r="AK485" s="14"/>
      <c r="AL485" s="14"/>
      <c r="AM485" s="14"/>
      <c r="AN485" s="166"/>
      <c r="AO485" s="166"/>
      <c r="AP485" s="14"/>
      <c r="AQ485" s="14"/>
      <c r="AS485" s="9" t="s">
        <v>1208</v>
      </c>
      <c r="AT485" s="9" t="s">
        <v>1209</v>
      </c>
      <c r="AW485" s="9" t="s">
        <v>1210</v>
      </c>
      <c r="AX485" s="9" t="s">
        <v>1211</v>
      </c>
      <c r="AZ485" s="88">
        <f t="shared" si="107"/>
        <v>12.577975740718124</v>
      </c>
    </row>
    <row r="486" spans="23:53">
      <c r="W486" s="9" t="str">
        <f t="shared" ca="1" si="104"/>
        <v/>
      </c>
      <c r="X486" s="40">
        <v>45261</v>
      </c>
      <c r="Y486" s="168">
        <f t="shared" si="99"/>
        <v>12</v>
      </c>
      <c r="Z486" s="44" t="s">
        <v>1145</v>
      </c>
      <c r="AA486" s="97">
        <v>60</v>
      </c>
      <c r="AB486" s="97">
        <v>0.62</v>
      </c>
      <c r="AC486" s="97">
        <v>1.7589999999999999</v>
      </c>
      <c r="AD486" s="88">
        <f>AA486/AC486</f>
        <v>34.110289937464472</v>
      </c>
      <c r="AF486" s="114">
        <f>25.6+0.35+0.4+23.5</f>
        <v>49.85</v>
      </c>
      <c r="AG486" s="105">
        <f>41.3</f>
        <v>41.3</v>
      </c>
      <c r="AH486" s="9">
        <f>AF486+AG486</f>
        <v>91.15</v>
      </c>
      <c r="AI486" s="9">
        <f t="shared" si="105"/>
        <v>28228.919999999984</v>
      </c>
      <c r="AJ486" s="14"/>
      <c r="AK486" s="14"/>
      <c r="AL486" s="14"/>
      <c r="AM486" s="14"/>
      <c r="AN486" s="166"/>
      <c r="AO486" s="166"/>
      <c r="AP486" s="14"/>
      <c r="AQ486" s="14"/>
      <c r="AS486" s="9">
        <f>AS478+(SUM(AH479:AH485)+AG478)</f>
        <v>204718.74999999997</v>
      </c>
      <c r="AT486" s="88">
        <f>(AS486-AS478)</f>
        <v>278.64999999999418</v>
      </c>
      <c r="AU486" s="88">
        <f>AT486/AD478</f>
        <v>16.43106166666632</v>
      </c>
      <c r="AV486" s="88">
        <f>100/AU486</f>
        <v>6.0860340024692325</v>
      </c>
      <c r="AW486" s="88">
        <f>((+AD486)*$AX$4)+AX486</f>
        <v>634.83681342829652</v>
      </c>
      <c r="AX486" s="9">
        <v>84</v>
      </c>
      <c r="BA486" s="88">
        <f>AW486-AH486</f>
        <v>543.68681342829655</v>
      </c>
    </row>
    <row r="487" spans="23:53">
      <c r="W487" s="9" t="str">
        <f t="shared" ca="1" si="104"/>
        <v/>
      </c>
      <c r="X487" s="40">
        <v>45262</v>
      </c>
      <c r="Y487" s="168">
        <f t="shared" si="99"/>
        <v>12</v>
      </c>
      <c r="Z487" s="44" t="s">
        <v>1132</v>
      </c>
      <c r="AA487" s="97"/>
      <c r="AB487" s="97"/>
      <c r="AC487" s="97"/>
      <c r="AF487" s="114"/>
      <c r="AG487" s="105">
        <f>33.4+2.3+9.1+8.2+2.5+3.4+5.7</f>
        <v>64.599999999999994</v>
      </c>
      <c r="AH487" s="9">
        <f t="shared" si="100"/>
        <v>64.599999999999994</v>
      </c>
      <c r="AI487" s="9">
        <f t="shared" si="105"/>
        <v>28293.519999999982</v>
      </c>
      <c r="AJ487" s="14">
        <f>SUM(AH481:AH487)</f>
        <v>231.35</v>
      </c>
      <c r="AK487" s="14"/>
      <c r="AL487" s="14"/>
      <c r="AM487" s="14"/>
      <c r="AN487" s="166"/>
      <c r="AO487" s="166"/>
      <c r="AP487" s="14"/>
      <c r="AQ487" s="14"/>
      <c r="BA487" s="88">
        <f>BA486-AH487</f>
        <v>479.08681342829652</v>
      </c>
    </row>
    <row r="488" spans="23:53">
      <c r="W488" s="9" t="str">
        <f t="shared" ca="1" si="104"/>
        <v/>
      </c>
      <c r="X488" s="40">
        <v>45263</v>
      </c>
      <c r="Y488" s="168">
        <f t="shared" si="99"/>
        <v>12</v>
      </c>
      <c r="Z488" s="44" t="s">
        <v>1134</v>
      </c>
      <c r="AA488" s="97"/>
      <c r="AB488" s="97"/>
      <c r="AC488" s="97"/>
      <c r="AF488" s="26"/>
      <c r="AG488" s="9">
        <f>13.7+13.5+3.8+3.8</f>
        <v>34.799999999999997</v>
      </c>
      <c r="AH488" s="9">
        <f t="shared" si="100"/>
        <v>34.799999999999997</v>
      </c>
      <c r="AI488" s="9">
        <f t="shared" si="105"/>
        <v>28328.319999999982</v>
      </c>
      <c r="AJ488" s="14"/>
      <c r="AK488" s="14"/>
      <c r="AL488" s="14"/>
      <c r="AM488" s="14"/>
      <c r="AN488" s="166"/>
      <c r="AO488" s="166"/>
      <c r="AP488" s="14"/>
      <c r="AQ488" s="14"/>
      <c r="BA488" s="88">
        <f t="shared" ref="BA488:BA496" si="108">BA487-AH488</f>
        <v>444.28681342829651</v>
      </c>
    </row>
    <row r="489" spans="23:53">
      <c r="W489" s="9" t="str">
        <f t="shared" ca="1" si="104"/>
        <v/>
      </c>
      <c r="X489" s="40">
        <v>45264</v>
      </c>
      <c r="Y489" s="168">
        <f t="shared" si="99"/>
        <v>12</v>
      </c>
      <c r="Z489" s="44" t="s">
        <v>1136</v>
      </c>
      <c r="AA489" s="97"/>
      <c r="AB489" s="97"/>
      <c r="AC489" s="97"/>
      <c r="AF489" s="114">
        <f>25.4+24.2</f>
        <v>49.599999999999994</v>
      </c>
      <c r="AG489" s="9">
        <f>2+4.6</f>
        <v>6.6</v>
      </c>
      <c r="AH489" s="9">
        <f t="shared" si="100"/>
        <v>56.199999999999996</v>
      </c>
      <c r="AI489" s="9">
        <f t="shared" si="105"/>
        <v>28384.519999999982</v>
      </c>
      <c r="AJ489" s="14"/>
      <c r="AK489" s="14"/>
      <c r="AL489" s="14"/>
      <c r="AM489" s="14"/>
      <c r="AN489" s="166"/>
      <c r="AO489" s="166"/>
      <c r="AP489" s="14"/>
      <c r="AQ489" s="14"/>
      <c r="BA489" s="88">
        <f t="shared" si="108"/>
        <v>388.08681342829652</v>
      </c>
    </row>
    <row r="490" spans="23:53">
      <c r="W490" s="9" t="str">
        <f t="shared" ca="1" si="104"/>
        <v/>
      </c>
      <c r="X490" s="40">
        <v>45265</v>
      </c>
      <c r="Y490" s="168">
        <f t="shared" si="99"/>
        <v>12</v>
      </c>
      <c r="Z490" s="44" t="s">
        <v>1138</v>
      </c>
      <c r="AA490" s="97"/>
      <c r="AB490" s="97"/>
      <c r="AC490" s="97"/>
      <c r="AF490" s="114">
        <f>26.9+25.3</f>
        <v>52.2</v>
      </c>
      <c r="AG490" s="9">
        <f>3.2+0.5+0.55</f>
        <v>4.25</v>
      </c>
      <c r="AH490" s="9">
        <f t="shared" si="100"/>
        <v>56.45</v>
      </c>
      <c r="AI490" s="9">
        <f t="shared" si="105"/>
        <v>28440.969999999983</v>
      </c>
      <c r="AJ490" s="14"/>
      <c r="AK490" s="14"/>
      <c r="AL490" s="14"/>
      <c r="AM490" s="14"/>
      <c r="AN490" s="166"/>
      <c r="AO490" s="166"/>
      <c r="AP490" s="14"/>
      <c r="AQ490" s="14"/>
      <c r="BA490" s="88">
        <f t="shared" si="108"/>
        <v>331.63681342829653</v>
      </c>
    </row>
    <row r="491" spans="23:53">
      <c r="W491" s="9" t="str">
        <f t="shared" ca="1" si="104"/>
        <v/>
      </c>
      <c r="X491" s="40">
        <v>45266</v>
      </c>
      <c r="Y491" s="168">
        <f t="shared" si="99"/>
        <v>12</v>
      </c>
      <c r="Z491" s="44" t="s">
        <v>1140</v>
      </c>
      <c r="AA491" s="97"/>
      <c r="AB491" s="97"/>
      <c r="AC491" s="97"/>
      <c r="AF491" s="114">
        <f>24.6+33.9</f>
        <v>58.5</v>
      </c>
      <c r="AG491" s="9">
        <f>13.5+2.1+32.7+22.1</f>
        <v>70.400000000000006</v>
      </c>
      <c r="AH491" s="9">
        <f t="shared" si="100"/>
        <v>128.9</v>
      </c>
      <c r="AI491" s="9">
        <f t="shared" si="105"/>
        <v>28569.869999999984</v>
      </c>
      <c r="AJ491" s="14"/>
      <c r="AK491" s="14"/>
      <c r="AL491" s="14"/>
      <c r="AM491" s="14"/>
      <c r="AN491" s="166"/>
      <c r="AO491" s="166"/>
      <c r="AP491" s="14"/>
      <c r="AQ491" s="14"/>
      <c r="BA491" s="88">
        <f t="shared" si="108"/>
        <v>202.73681342829653</v>
      </c>
    </row>
    <row r="492" spans="23:53">
      <c r="W492" s="9" t="str">
        <f t="shared" ca="1" si="104"/>
        <v/>
      </c>
      <c r="X492" s="40">
        <v>45267</v>
      </c>
      <c r="Y492" s="168">
        <f t="shared" si="99"/>
        <v>12</v>
      </c>
      <c r="Z492" s="44" t="s">
        <v>1143</v>
      </c>
      <c r="AA492" s="97"/>
      <c r="AB492" s="97"/>
      <c r="AC492" s="97"/>
      <c r="AF492" s="114">
        <f>25.2+25.4</f>
        <v>50.599999999999994</v>
      </c>
      <c r="AG492" s="9">
        <f>1.2+41.2</f>
        <v>42.400000000000006</v>
      </c>
      <c r="AH492" s="9">
        <f t="shared" si="100"/>
        <v>93</v>
      </c>
      <c r="AI492" s="9">
        <f t="shared" si="105"/>
        <v>28662.869999999984</v>
      </c>
      <c r="AJ492" s="14"/>
      <c r="AK492" s="14"/>
      <c r="AL492" s="14"/>
      <c r="AM492" s="14"/>
      <c r="AN492" s="166"/>
      <c r="AO492" s="166"/>
      <c r="AP492" s="14"/>
      <c r="AQ492" s="14"/>
      <c r="BA492" s="88">
        <f t="shared" si="108"/>
        <v>109.73681342829653</v>
      </c>
    </row>
    <row r="493" spans="23:53">
      <c r="W493" s="9" t="str">
        <f t="shared" ca="1" si="104"/>
        <v/>
      </c>
      <c r="X493" s="40">
        <v>45268</v>
      </c>
      <c r="Y493" s="168">
        <f t="shared" si="99"/>
        <v>12</v>
      </c>
      <c r="Z493" s="44" t="s">
        <v>1145</v>
      </c>
      <c r="AA493" s="97"/>
      <c r="AB493" s="97"/>
      <c r="AC493" s="97"/>
      <c r="AF493" s="114"/>
      <c r="AH493" s="9">
        <f t="shared" si="100"/>
        <v>0</v>
      </c>
      <c r="AI493" s="9">
        <f t="shared" si="105"/>
        <v>28662.869999999984</v>
      </c>
      <c r="AJ493" s="14"/>
      <c r="AK493" s="14"/>
      <c r="AL493" s="14"/>
      <c r="AM493" s="14"/>
      <c r="AN493" s="166"/>
      <c r="AO493" s="166"/>
      <c r="AP493" s="14"/>
      <c r="AQ493" s="14"/>
      <c r="BA493" s="88">
        <f t="shared" si="108"/>
        <v>109.73681342829653</v>
      </c>
    </row>
    <row r="494" spans="23:53">
      <c r="W494" s="9" t="str">
        <f t="shared" ca="1" si="104"/>
        <v/>
      </c>
      <c r="X494" s="40">
        <v>45269</v>
      </c>
      <c r="Y494" s="168">
        <f t="shared" si="99"/>
        <v>12</v>
      </c>
      <c r="Z494" s="44" t="s">
        <v>1132</v>
      </c>
      <c r="AA494" s="97"/>
      <c r="AB494" s="97"/>
      <c r="AC494" s="97"/>
      <c r="AF494" s="26"/>
      <c r="AH494" s="9">
        <f t="shared" si="100"/>
        <v>0</v>
      </c>
      <c r="AI494" s="9">
        <f t="shared" si="105"/>
        <v>28662.869999999984</v>
      </c>
      <c r="AJ494" s="14">
        <f>SUM(AH488:AH494)</f>
        <v>369.35</v>
      </c>
      <c r="AK494" s="14"/>
      <c r="AL494" s="14"/>
      <c r="AM494" s="14"/>
      <c r="AN494" s="166"/>
      <c r="AO494" s="166"/>
      <c r="AP494" s="14"/>
      <c r="AQ494" s="14"/>
      <c r="AS494" s="14" t="s">
        <v>1207</v>
      </c>
      <c r="AT494" s="14"/>
      <c r="AU494" s="14"/>
      <c r="AV494" s="14"/>
      <c r="AW494" s="14"/>
      <c r="AX494" s="14"/>
      <c r="BA494" s="88">
        <f t="shared" si="108"/>
        <v>109.73681342829653</v>
      </c>
    </row>
    <row r="495" spans="23:53">
      <c r="W495" s="9" t="str">
        <f t="shared" ca="1" si="104"/>
        <v/>
      </c>
      <c r="X495" s="40">
        <v>45270</v>
      </c>
      <c r="Y495" s="168">
        <f t="shared" ref="Y495:Y558" si="109">MONTH(X495)</f>
        <v>12</v>
      </c>
      <c r="Z495" s="44" t="s">
        <v>1134</v>
      </c>
      <c r="AA495" s="97"/>
      <c r="AB495" s="97"/>
      <c r="AC495" s="97"/>
      <c r="AF495" s="26"/>
      <c r="AH495" s="9">
        <f t="shared" ref="AH495:AH558" si="110">AF495+AG495</f>
        <v>0</v>
      </c>
      <c r="AI495" s="9">
        <f t="shared" si="105"/>
        <v>28662.869999999984</v>
      </c>
      <c r="AJ495" s="14"/>
      <c r="AK495" s="14"/>
      <c r="AL495" s="14"/>
      <c r="AM495" s="14"/>
      <c r="AN495" s="166"/>
      <c r="AO495" s="166"/>
      <c r="AP495" s="14"/>
      <c r="AQ495" s="14"/>
      <c r="AS495" s="9" t="s">
        <v>1208</v>
      </c>
      <c r="AT495" s="9" t="s">
        <v>1209</v>
      </c>
      <c r="AW495" s="9" t="s">
        <v>1210</v>
      </c>
      <c r="AX495" s="9" t="s">
        <v>1211</v>
      </c>
      <c r="BA495" s="88">
        <f t="shared" si="108"/>
        <v>109.73681342829653</v>
      </c>
    </row>
    <row r="496" spans="23:53">
      <c r="W496" s="9" t="str">
        <f t="shared" ca="1" si="104"/>
        <v/>
      </c>
      <c r="X496" s="40">
        <v>45271</v>
      </c>
      <c r="Y496" s="168">
        <f t="shared" si="109"/>
        <v>12</v>
      </c>
      <c r="Z496" s="44" t="s">
        <v>1136</v>
      </c>
      <c r="AA496" s="97">
        <v>60</v>
      </c>
      <c r="AB496" s="97">
        <v>0.62</v>
      </c>
      <c r="AC496" s="97">
        <v>1.7589999999999999</v>
      </c>
      <c r="AD496" s="88">
        <f>AA496/AC496</f>
        <v>34.110289937464472</v>
      </c>
      <c r="AF496" s="26"/>
      <c r="AG496" s="105">
        <v>37.200000000000003</v>
      </c>
      <c r="AH496" s="9">
        <f t="shared" si="110"/>
        <v>37.200000000000003</v>
      </c>
      <c r="AI496" s="9">
        <f t="shared" si="105"/>
        <v>28700.069999999985</v>
      </c>
      <c r="AJ496" s="14"/>
      <c r="AK496" s="14"/>
      <c r="AL496" s="14"/>
      <c r="AM496" s="14"/>
      <c r="AN496" s="166"/>
      <c r="AO496" s="166"/>
      <c r="AP496" s="14"/>
      <c r="AQ496" s="14"/>
      <c r="AS496" s="9">
        <f>AS486+(SUM(AH487:AH495)+AG486)</f>
        <v>205193.99999999997</v>
      </c>
      <c r="AT496" s="88">
        <f>(AS496-AS486)</f>
        <v>475.25</v>
      </c>
      <c r="AU496" s="88">
        <f>AT496/AD486</f>
        <v>13.932745833333332</v>
      </c>
      <c r="AV496" s="88">
        <f>100/AU496</f>
        <v>7.1773361257158275</v>
      </c>
      <c r="AW496" s="88">
        <f>((+AD496)*$AX$4)+AX496</f>
        <v>634.83681342829652</v>
      </c>
      <c r="AX496" s="9">
        <v>84</v>
      </c>
      <c r="AZ496" s="88">
        <f>AW496-AH496</f>
        <v>597.63681342829648</v>
      </c>
      <c r="BA496" s="88">
        <f t="shared" si="108"/>
        <v>72.536813428296526</v>
      </c>
    </row>
    <row r="497" spans="23:53">
      <c r="W497" s="9" t="str">
        <f t="shared" ca="1" si="104"/>
        <v/>
      </c>
      <c r="X497" s="40">
        <v>45272</v>
      </c>
      <c r="Y497" s="168">
        <f t="shared" si="109"/>
        <v>12</v>
      </c>
      <c r="Z497" s="44" t="s">
        <v>1138</v>
      </c>
      <c r="AA497" s="231"/>
      <c r="AB497" s="231"/>
      <c r="AC497" s="231"/>
      <c r="AD497" s="232"/>
      <c r="AF497" s="26">
        <f>26.1+25.5</f>
        <v>51.6</v>
      </c>
      <c r="AG497" s="9">
        <f>4.7+3+0.6</f>
        <v>8.3000000000000007</v>
      </c>
      <c r="AH497" s="9">
        <f t="shared" si="110"/>
        <v>59.900000000000006</v>
      </c>
      <c r="AI497" s="9">
        <f t="shared" si="105"/>
        <v>28759.969999999987</v>
      </c>
      <c r="AJ497" s="14"/>
      <c r="AK497" s="14"/>
      <c r="AL497" s="14"/>
      <c r="AM497" s="14"/>
      <c r="AN497" s="166"/>
      <c r="AO497" s="166"/>
      <c r="AP497" s="14"/>
      <c r="AQ497" s="14"/>
      <c r="AZ497" s="88">
        <f>AZ496-AH497</f>
        <v>537.7368134282965</v>
      </c>
    </row>
    <row r="498" spans="23:53">
      <c r="W498" s="9" t="str">
        <f t="shared" ca="1" si="104"/>
        <v/>
      </c>
      <c r="X498" s="40">
        <v>45273</v>
      </c>
      <c r="Y498" s="168">
        <f t="shared" si="109"/>
        <v>12</v>
      </c>
      <c r="Z498" s="44" t="s">
        <v>1140</v>
      </c>
      <c r="AA498" s="97"/>
      <c r="AB498" s="97"/>
      <c r="AC498" s="97"/>
      <c r="AF498" s="26">
        <f>22.8+3.5+25.8</f>
        <v>52.1</v>
      </c>
      <c r="AG498" s="9">
        <f>2.2+7+8.2</f>
        <v>17.399999999999999</v>
      </c>
      <c r="AH498" s="9">
        <f t="shared" si="110"/>
        <v>69.5</v>
      </c>
      <c r="AI498" s="9">
        <f t="shared" si="105"/>
        <v>28829.469999999987</v>
      </c>
      <c r="AJ498" s="14"/>
      <c r="AK498" s="14"/>
      <c r="AL498" s="14"/>
      <c r="AM498" s="14"/>
      <c r="AN498" s="166"/>
      <c r="AO498" s="166"/>
      <c r="AP498" s="14"/>
      <c r="AQ498" s="14"/>
      <c r="AZ498" s="88">
        <f t="shared" ref="AZ498:AZ503" si="111">AZ497-AH498</f>
        <v>468.2368134282965</v>
      </c>
    </row>
    <row r="499" spans="23:53">
      <c r="W499" s="9" t="str">
        <f t="shared" ca="1" si="104"/>
        <v/>
      </c>
      <c r="X499" s="40">
        <v>45274</v>
      </c>
      <c r="Y499" s="168">
        <f t="shared" si="109"/>
        <v>12</v>
      </c>
      <c r="Z499" s="44" t="s">
        <v>1143</v>
      </c>
      <c r="AA499" s="97"/>
      <c r="AB499" s="97"/>
      <c r="AC499" s="97"/>
      <c r="AF499" s="26">
        <f>24.7+2.9+24</f>
        <v>51.599999999999994</v>
      </c>
      <c r="AG499" s="9">
        <f>0.35+0.35</f>
        <v>0.7</v>
      </c>
      <c r="AH499" s="9">
        <f t="shared" si="110"/>
        <v>52.3</v>
      </c>
      <c r="AI499" s="9">
        <f t="shared" si="105"/>
        <v>28881.769999999986</v>
      </c>
      <c r="AJ499" s="14"/>
      <c r="AK499" s="14"/>
      <c r="AL499" s="14"/>
      <c r="AM499" s="14"/>
      <c r="AN499" s="166"/>
      <c r="AO499" s="166"/>
      <c r="AP499" s="14"/>
      <c r="AQ499" s="14"/>
      <c r="AZ499" s="88">
        <f t="shared" si="111"/>
        <v>415.93681342829649</v>
      </c>
    </row>
    <row r="500" spans="23:53">
      <c r="W500" s="9" t="str">
        <f t="shared" ca="1" si="104"/>
        <v/>
      </c>
      <c r="X500" s="40">
        <v>45275</v>
      </c>
      <c r="Y500" s="168">
        <f t="shared" si="109"/>
        <v>12</v>
      </c>
      <c r="Z500" s="44" t="s">
        <v>1145</v>
      </c>
      <c r="AA500" s="97"/>
      <c r="AB500" s="97"/>
      <c r="AC500" s="97"/>
      <c r="AF500" s="26">
        <f>24.8+24.8</f>
        <v>49.6</v>
      </c>
      <c r="AG500" s="9">
        <f>1.8+34.7</f>
        <v>36.5</v>
      </c>
      <c r="AH500" s="9">
        <f t="shared" si="110"/>
        <v>86.1</v>
      </c>
      <c r="AI500" s="9">
        <f t="shared" si="105"/>
        <v>28967.869999999984</v>
      </c>
      <c r="AJ500" s="14"/>
      <c r="AK500" s="14"/>
      <c r="AL500" s="14"/>
      <c r="AM500" s="14"/>
      <c r="AN500" s="166"/>
      <c r="AO500" s="166"/>
      <c r="AP500" s="14"/>
      <c r="AQ500" s="14"/>
      <c r="AZ500" s="88">
        <f t="shared" si="111"/>
        <v>329.83681342829652</v>
      </c>
    </row>
    <row r="501" spans="23:53">
      <c r="W501" s="9" t="str">
        <f t="shared" ca="1" si="104"/>
        <v/>
      </c>
      <c r="X501" s="40">
        <v>45276</v>
      </c>
      <c r="Y501" s="168">
        <f t="shared" si="109"/>
        <v>12</v>
      </c>
      <c r="Z501" s="44" t="s">
        <v>1132</v>
      </c>
      <c r="AA501" s="97"/>
      <c r="AB501" s="97"/>
      <c r="AC501" s="97"/>
      <c r="AF501" s="26"/>
      <c r="AG501" s="9">
        <f>23.8+11.2+12.7+1.9+12.7+5.5+0.6+3.2</f>
        <v>71.599999999999994</v>
      </c>
      <c r="AH501" s="9">
        <f t="shared" si="110"/>
        <v>71.599999999999994</v>
      </c>
      <c r="AI501" s="9">
        <f t="shared" si="105"/>
        <v>29039.469999999983</v>
      </c>
      <c r="AJ501" s="14">
        <f>SUM(AH495:AH501)</f>
        <v>376.6</v>
      </c>
      <c r="AK501" s="14"/>
      <c r="AL501" s="14"/>
      <c r="AM501" s="14"/>
      <c r="AN501" s="166"/>
      <c r="AO501" s="166"/>
      <c r="AP501" s="14"/>
      <c r="AQ501" s="14"/>
      <c r="AZ501" s="88">
        <f t="shared" si="111"/>
        <v>258.2368134282965</v>
      </c>
    </row>
    <row r="502" spans="23:53">
      <c r="W502" s="9" t="str">
        <f t="shared" ca="1" si="104"/>
        <v/>
      </c>
      <c r="X502" s="40">
        <v>45277</v>
      </c>
      <c r="Y502" s="168">
        <f t="shared" si="109"/>
        <v>12</v>
      </c>
      <c r="Z502" s="44" t="s">
        <v>1134</v>
      </c>
      <c r="AA502" s="97"/>
      <c r="AB502" s="97"/>
      <c r="AC502" s="97"/>
      <c r="AF502" s="26"/>
      <c r="AG502" s="9">
        <f>2.5+1.7+2</f>
        <v>6.2</v>
      </c>
      <c r="AH502" s="9">
        <f t="shared" si="110"/>
        <v>6.2</v>
      </c>
      <c r="AI502" s="9">
        <f t="shared" si="105"/>
        <v>29045.669999999984</v>
      </c>
      <c r="AJ502" s="14"/>
      <c r="AK502" s="14"/>
      <c r="AL502" s="14"/>
      <c r="AM502" s="14"/>
      <c r="AN502" s="166"/>
      <c r="AO502" s="166"/>
      <c r="AP502" s="14"/>
      <c r="AQ502" s="14"/>
      <c r="AS502" s="14" t="s">
        <v>1207</v>
      </c>
      <c r="AT502" s="14"/>
      <c r="AU502" s="14"/>
      <c r="AV502" s="14"/>
      <c r="AW502" s="14"/>
      <c r="AX502" s="14"/>
      <c r="AZ502" s="88">
        <f t="shared" si="111"/>
        <v>252.03681342829651</v>
      </c>
    </row>
    <row r="503" spans="23:53">
      <c r="W503" s="9" t="str">
        <f t="shared" ca="1" si="104"/>
        <v/>
      </c>
      <c r="X503" s="40">
        <v>45278</v>
      </c>
      <c r="Y503" s="168">
        <f t="shared" si="109"/>
        <v>12</v>
      </c>
      <c r="Z503" s="44" t="s">
        <v>1136</v>
      </c>
      <c r="AA503" s="97"/>
      <c r="AB503" s="97"/>
      <c r="AC503" s="97"/>
      <c r="AF503" s="26">
        <f>29.1+22.8</f>
        <v>51.900000000000006</v>
      </c>
      <c r="AG503" s="9">
        <f>3.3+0.85</f>
        <v>4.1499999999999995</v>
      </c>
      <c r="AH503" s="9">
        <f t="shared" si="110"/>
        <v>56.050000000000004</v>
      </c>
      <c r="AI503" s="9">
        <f t="shared" si="105"/>
        <v>29101.719999999983</v>
      </c>
      <c r="AJ503" s="14"/>
      <c r="AK503" s="14"/>
      <c r="AL503" s="14"/>
      <c r="AM503" s="14"/>
      <c r="AN503" s="166"/>
      <c r="AO503" s="166"/>
      <c r="AP503" s="14"/>
      <c r="AQ503" s="14"/>
      <c r="AS503" s="9" t="s">
        <v>1208</v>
      </c>
      <c r="AT503" s="9" t="s">
        <v>1209</v>
      </c>
      <c r="AW503" s="9" t="s">
        <v>1210</v>
      </c>
      <c r="AX503" s="9" t="s">
        <v>1211</v>
      </c>
      <c r="AZ503" s="88">
        <f t="shared" si="111"/>
        <v>195.9868134282965</v>
      </c>
    </row>
    <row r="504" spans="23:53">
      <c r="W504" s="9" t="str">
        <f t="shared" ca="1" si="104"/>
        <v/>
      </c>
      <c r="X504" s="40">
        <v>45279</v>
      </c>
      <c r="Y504" s="168">
        <f t="shared" si="109"/>
        <v>12</v>
      </c>
      <c r="Z504" s="44" t="s">
        <v>1138</v>
      </c>
      <c r="AA504" s="97"/>
      <c r="AB504" s="97"/>
      <c r="AC504" s="97"/>
      <c r="AF504" s="26">
        <f>25.6+17.9</f>
        <v>43.5</v>
      </c>
      <c r="AG504" s="9">
        <f>3.4+6.8</f>
        <v>10.199999999999999</v>
      </c>
      <c r="AH504" s="9">
        <f t="shared" si="110"/>
        <v>53.7</v>
      </c>
      <c r="AI504" s="9">
        <f t="shared" si="105"/>
        <v>29155.419999999984</v>
      </c>
      <c r="AJ504" s="14"/>
      <c r="AK504" s="14"/>
      <c r="AL504" s="14"/>
      <c r="AM504" s="14"/>
      <c r="AN504" s="166"/>
      <c r="AO504" s="166"/>
      <c r="AP504" s="14"/>
      <c r="AQ504" s="14"/>
      <c r="AS504" s="9">
        <f>AS496+(SUM(AH496:AH504)+AF505)</f>
        <v>205725.04999999996</v>
      </c>
      <c r="AT504" s="88">
        <f>(AS504-AS496)</f>
        <v>531.04999999998836</v>
      </c>
      <c r="AU504" s="88">
        <f>AT504/AD496</f>
        <v>15.56861583333299</v>
      </c>
      <c r="AV504" s="88">
        <f>100/AU504</f>
        <v>6.4231785966416011</v>
      </c>
      <c r="AW504" s="88">
        <f>((+AD505)*$AX$4)+AX504</f>
        <v>365.14477775761429</v>
      </c>
      <c r="AX504" s="88">
        <v>80</v>
      </c>
      <c r="AZ504" s="88">
        <f>AZ503-AH504</f>
        <v>142.28681342829651</v>
      </c>
      <c r="BA504" s="88">
        <f>AW504-AH504</f>
        <v>311.4447777576143</v>
      </c>
    </row>
    <row r="505" spans="23:53">
      <c r="W505" s="9" t="str">
        <f t="shared" ca="1" si="104"/>
        <v/>
      </c>
      <c r="X505" s="40">
        <v>45280</v>
      </c>
      <c r="Y505" s="168">
        <f t="shared" si="109"/>
        <v>12</v>
      </c>
      <c r="Z505" s="44" t="s">
        <v>1140</v>
      </c>
      <c r="AA505" s="233">
        <v>30</v>
      </c>
      <c r="AB505" s="233">
        <v>0.62</v>
      </c>
      <c r="AC505" s="233">
        <v>1.6990000000000001</v>
      </c>
      <c r="AD505" s="234">
        <f>AA505/AC505</f>
        <v>17.657445556209534</v>
      </c>
      <c r="AF505" s="26">
        <f>21.3+17.2</f>
        <v>38.5</v>
      </c>
      <c r="AG505" s="9">
        <f>13.4+4+37.1</f>
        <v>54.5</v>
      </c>
      <c r="AH505" s="9">
        <f t="shared" si="110"/>
        <v>93</v>
      </c>
      <c r="AI505" s="9">
        <f t="shared" si="105"/>
        <v>29248.419999999984</v>
      </c>
      <c r="AJ505" s="14"/>
      <c r="AK505" s="14"/>
      <c r="AL505" s="14"/>
      <c r="AM505" s="14"/>
      <c r="AN505" s="166"/>
      <c r="AO505" s="166"/>
      <c r="AP505" s="14"/>
      <c r="AQ505" s="14"/>
      <c r="AZ505" s="88"/>
      <c r="BA505" s="88">
        <f>BA504-AH505</f>
        <v>218.4447777576143</v>
      </c>
    </row>
    <row r="506" spans="23:53">
      <c r="W506" s="9" t="str">
        <f t="shared" ca="1" si="104"/>
        <v/>
      </c>
      <c r="X506" s="40">
        <v>45281</v>
      </c>
      <c r="Y506" s="168">
        <f t="shared" si="109"/>
        <v>12</v>
      </c>
      <c r="Z506" s="44" t="s">
        <v>1143</v>
      </c>
      <c r="AA506" s="97"/>
      <c r="AB506" s="97"/>
      <c r="AC506" s="97"/>
      <c r="AF506" s="26">
        <f>20.6+27.7</f>
        <v>48.3</v>
      </c>
      <c r="AG506" s="9">
        <f>2.2+3.1</f>
        <v>5.3000000000000007</v>
      </c>
      <c r="AH506" s="9">
        <f t="shared" si="110"/>
        <v>53.599999999999994</v>
      </c>
      <c r="AI506" s="9">
        <f t="shared" si="105"/>
        <v>29302.019999999982</v>
      </c>
      <c r="AJ506" s="14"/>
      <c r="AK506" s="14"/>
      <c r="AL506" s="14"/>
      <c r="AM506" s="14"/>
      <c r="AN506" s="166"/>
      <c r="AO506" s="166"/>
      <c r="AP506" s="14"/>
      <c r="AQ506" s="14"/>
      <c r="BA506" s="88">
        <f t="shared" ref="BA506:BA509" si="112">BA505-AH506</f>
        <v>164.84477775761431</v>
      </c>
    </row>
    <row r="507" spans="23:53">
      <c r="W507" s="9" t="str">
        <f t="shared" ca="1" si="104"/>
        <v/>
      </c>
      <c r="X507" s="40">
        <v>45282</v>
      </c>
      <c r="Y507" s="168">
        <f t="shared" si="109"/>
        <v>12</v>
      </c>
      <c r="Z507" s="44" t="s">
        <v>1145</v>
      </c>
      <c r="AA507" s="97"/>
      <c r="AB507" s="97"/>
      <c r="AC507" s="97"/>
      <c r="AF507" s="26"/>
      <c r="AG507" s="9">
        <f>26.4+14.7</f>
        <v>41.099999999999994</v>
      </c>
      <c r="AH507" s="9">
        <f t="shared" si="110"/>
        <v>41.099999999999994</v>
      </c>
      <c r="AI507" s="9">
        <f t="shared" si="105"/>
        <v>29343.119999999981</v>
      </c>
      <c r="AJ507" s="14"/>
      <c r="AK507" s="14"/>
      <c r="AL507" s="14"/>
      <c r="AM507" s="14"/>
      <c r="AN507" s="166"/>
      <c r="AO507" s="166"/>
      <c r="AP507" s="14"/>
      <c r="AQ507" s="14"/>
      <c r="AS507" s="14" t="s">
        <v>1207</v>
      </c>
      <c r="AT507" s="14"/>
      <c r="AU507" s="14"/>
      <c r="AV507" s="14"/>
      <c r="AW507" s="14"/>
      <c r="AX507" s="14"/>
      <c r="BA507" s="88">
        <f t="shared" si="112"/>
        <v>123.74477775761432</v>
      </c>
    </row>
    <row r="508" spans="23:53">
      <c r="W508" s="9" t="str">
        <f t="shared" ca="1" si="104"/>
        <v/>
      </c>
      <c r="X508" s="40">
        <v>45283</v>
      </c>
      <c r="Y508" s="168">
        <f t="shared" si="109"/>
        <v>12</v>
      </c>
      <c r="Z508" s="44" t="s">
        <v>1132</v>
      </c>
      <c r="AA508" s="97"/>
      <c r="AB508" s="97"/>
      <c r="AC508" s="97"/>
      <c r="AF508" s="26"/>
      <c r="AG508" s="9">
        <f>28.2+8.5+8.4+12.6+16.8+4.9+1.8</f>
        <v>81.2</v>
      </c>
      <c r="AH508" s="9">
        <f t="shared" si="110"/>
        <v>81.2</v>
      </c>
      <c r="AI508" s="9">
        <f t="shared" si="105"/>
        <v>29424.319999999982</v>
      </c>
      <c r="AJ508" s="14">
        <f>SUM(AH502:AH508)</f>
        <v>384.84999999999997</v>
      </c>
      <c r="AK508" s="14"/>
      <c r="AL508" s="14"/>
      <c r="AM508" s="14"/>
      <c r="AN508" s="166"/>
      <c r="AO508" s="166"/>
      <c r="AP508" s="14"/>
      <c r="AQ508" s="14"/>
      <c r="AS508" s="9" t="s">
        <v>1208</v>
      </c>
      <c r="AT508" s="9" t="s">
        <v>1209</v>
      </c>
      <c r="AW508" s="9" t="s">
        <v>1210</v>
      </c>
      <c r="AX508" s="9" t="s">
        <v>1211</v>
      </c>
      <c r="BA508" s="88">
        <f t="shared" si="112"/>
        <v>42.544777757614312</v>
      </c>
    </row>
    <row r="509" spans="23:53">
      <c r="W509" s="9" t="str">
        <f t="shared" ca="1" si="104"/>
        <v/>
      </c>
      <c r="X509" s="40">
        <v>45284</v>
      </c>
      <c r="Y509" s="168">
        <f t="shared" si="109"/>
        <v>12</v>
      </c>
      <c r="Z509" s="44" t="s">
        <v>1134</v>
      </c>
      <c r="AA509" s="97">
        <v>25</v>
      </c>
      <c r="AB509" s="97">
        <v>0.62</v>
      </c>
      <c r="AC509" s="233">
        <v>1.6990000000000001</v>
      </c>
      <c r="AD509" s="234">
        <f>AA509/AC509</f>
        <v>14.714537963507945</v>
      </c>
      <c r="AF509" s="26"/>
      <c r="AG509" s="9">
        <f>3+2.9+2+2.9</f>
        <v>10.8</v>
      </c>
      <c r="AH509" s="9">
        <f t="shared" si="110"/>
        <v>10.8</v>
      </c>
      <c r="AI509" s="9">
        <f t="shared" si="105"/>
        <v>29435.119999999981</v>
      </c>
      <c r="AJ509" s="14"/>
      <c r="AK509" s="14"/>
      <c r="AL509" s="14"/>
      <c r="AM509" s="14"/>
      <c r="AN509" s="166"/>
      <c r="AO509" s="166"/>
      <c r="AP509" s="14"/>
      <c r="AQ509" s="14"/>
      <c r="AS509" s="9">
        <f>AS504+(SUM(AH505:AH509)+AF509)</f>
        <v>206004.74999999997</v>
      </c>
      <c r="AT509" s="88">
        <f>(AS509-AS504)</f>
        <v>279.70000000001164</v>
      </c>
      <c r="AU509" s="88">
        <f>AT509/AD505</f>
        <v>15.840343333333992</v>
      </c>
      <c r="AV509" s="88">
        <f>100/AU509</f>
        <v>6.3129944784443337</v>
      </c>
      <c r="AW509" s="88">
        <f>((+AD509)*$AX$4)+AX509</f>
        <v>272.62064813134526</v>
      </c>
      <c r="AX509" s="88">
        <v>35</v>
      </c>
      <c r="AZ509" s="88">
        <f>AW509-AH509</f>
        <v>261.82064813134525</v>
      </c>
      <c r="BA509" s="88">
        <f t="shared" si="112"/>
        <v>31.744777757614312</v>
      </c>
    </row>
    <row r="510" spans="23:53">
      <c r="W510" s="9" t="str">
        <f t="shared" ca="1" si="104"/>
        <v/>
      </c>
      <c r="X510" s="40">
        <v>45285</v>
      </c>
      <c r="Y510" s="168">
        <f t="shared" si="109"/>
        <v>12</v>
      </c>
      <c r="Z510" s="44" t="s">
        <v>1136</v>
      </c>
      <c r="AA510" s="21"/>
      <c r="AB510" s="21"/>
      <c r="AC510" s="21"/>
      <c r="AF510" s="26"/>
      <c r="AG510" s="9">
        <f>8.4+23.3+28.1</f>
        <v>59.800000000000004</v>
      </c>
      <c r="AH510" s="9">
        <f t="shared" si="110"/>
        <v>59.800000000000004</v>
      </c>
      <c r="AI510" s="9">
        <f t="shared" si="105"/>
        <v>29494.91999999998</v>
      </c>
      <c r="AJ510" s="14"/>
      <c r="AK510" s="14"/>
      <c r="AL510" s="14"/>
      <c r="AM510" s="14"/>
      <c r="AN510" s="166"/>
      <c r="AO510" s="166"/>
      <c r="AP510" s="14"/>
      <c r="AQ510" s="14"/>
      <c r="AZ510" s="88">
        <f>AZ509-AH510</f>
        <v>202.02064813134524</v>
      </c>
      <c r="BA510" s="88"/>
    </row>
    <row r="511" spans="23:53">
      <c r="W511" s="9" t="str">
        <f t="shared" ca="1" si="104"/>
        <v/>
      </c>
      <c r="X511" s="40">
        <v>45286</v>
      </c>
      <c r="Y511" s="168">
        <f t="shared" si="109"/>
        <v>12</v>
      </c>
      <c r="Z511" s="44" t="s">
        <v>1138</v>
      </c>
      <c r="AA511" s="21"/>
      <c r="AB511" s="21"/>
      <c r="AC511" s="21"/>
      <c r="AF511" s="26"/>
      <c r="AG511" s="9">
        <f>2.2+2.2</f>
        <v>4.4000000000000004</v>
      </c>
      <c r="AH511" s="9">
        <f t="shared" si="110"/>
        <v>4.4000000000000004</v>
      </c>
      <c r="AI511" s="9">
        <f t="shared" si="105"/>
        <v>29499.319999999982</v>
      </c>
      <c r="AJ511" s="14"/>
      <c r="AK511" s="14" t="s">
        <v>1077</v>
      </c>
      <c r="AL511" s="14" t="s">
        <v>1204</v>
      </c>
      <c r="AM511" s="14" t="s">
        <v>1205</v>
      </c>
      <c r="AN511" s="166" t="s">
        <v>1069</v>
      </c>
      <c r="AO511" s="166" t="s">
        <v>1206</v>
      </c>
      <c r="AP511" s="14"/>
      <c r="AQ511" s="14"/>
      <c r="AZ511" s="88">
        <f t="shared" ref="AZ511:AZ515" si="113">AZ510-AH511</f>
        <v>197.62064813134523</v>
      </c>
    </row>
    <row r="512" spans="23:53">
      <c r="W512" s="9" t="str">
        <f t="shared" ca="1" si="104"/>
        <v/>
      </c>
      <c r="X512" s="39">
        <v>45287</v>
      </c>
      <c r="Y512" s="179">
        <f t="shared" si="109"/>
        <v>12</v>
      </c>
      <c r="Z512" s="107" t="s">
        <v>1140</v>
      </c>
      <c r="AA512" s="68"/>
      <c r="AB512" s="68"/>
      <c r="AC512" s="68"/>
      <c r="AD512" s="22"/>
      <c r="AE512" s="22"/>
      <c r="AF512" s="115"/>
      <c r="AG512" s="22">
        <f>2.2+2.2+1.1+1.1</f>
        <v>6.6</v>
      </c>
      <c r="AH512" s="22">
        <f t="shared" si="110"/>
        <v>6.6</v>
      </c>
      <c r="AI512" s="22">
        <f t="shared" si="105"/>
        <v>29505.91999999998</v>
      </c>
      <c r="AJ512" s="1372"/>
      <c r="AK512" s="1372">
        <f>SUM(AH483:AH512)</f>
        <v>1379.0499999999997</v>
      </c>
      <c r="AL512" s="1372">
        <f>SUM(AF483:AF512)</f>
        <v>647.85</v>
      </c>
      <c r="AM512" s="1372">
        <f>SUM(AG483:AG512)</f>
        <v>731.19999999999982</v>
      </c>
      <c r="AN512" s="219">
        <f>SUM(AD483:AD512)</f>
        <v>100.59256339464643</v>
      </c>
      <c r="AO512" s="182">
        <f>AK512/AN512</f>
        <v>13.709263920332635</v>
      </c>
      <c r="AP512" s="183">
        <f>SUM(AA483:AB512)/SUM(AD483:AD512)</f>
        <v>1.7643451365654885</v>
      </c>
      <c r="AQ512" s="184">
        <f>(AP512/AO512)*(SUM(AH483:AH512))</f>
        <v>177.48000000000002</v>
      </c>
      <c r="AZ512" s="88">
        <f t="shared" si="113"/>
        <v>191.02064813134524</v>
      </c>
    </row>
    <row r="513" spans="23:53">
      <c r="W513" s="9" t="str">
        <f t="shared" ca="1" si="104"/>
        <v/>
      </c>
      <c r="X513" s="40">
        <v>45288</v>
      </c>
      <c r="Y513" s="168">
        <f t="shared" si="109"/>
        <v>12</v>
      </c>
      <c r="Z513" s="44" t="s">
        <v>1143</v>
      </c>
      <c r="AA513" s="21"/>
      <c r="AB513" s="21"/>
      <c r="AC513" s="21"/>
      <c r="AF513" s="26"/>
      <c r="AG513" s="9">
        <f>1.7+1.3+2.5+0.45+0.4</f>
        <v>6.3500000000000005</v>
      </c>
      <c r="AH513" s="9">
        <f t="shared" si="110"/>
        <v>6.3500000000000005</v>
      </c>
      <c r="AI513" s="9">
        <f t="shared" si="105"/>
        <v>29512.269999999979</v>
      </c>
      <c r="AJ513" s="14"/>
      <c r="AK513" s="14"/>
      <c r="AL513" s="14"/>
      <c r="AM513" s="14"/>
      <c r="AN513" s="166"/>
      <c r="AO513" s="166"/>
      <c r="AP513" s="14"/>
      <c r="AQ513" s="14"/>
      <c r="AS513" s="14" t="s">
        <v>1207</v>
      </c>
      <c r="AT513" s="14"/>
      <c r="AU513" s="14"/>
      <c r="AV513" s="14"/>
      <c r="AW513" s="14"/>
      <c r="AX513" s="14"/>
      <c r="AZ513" s="88">
        <f t="shared" si="113"/>
        <v>184.67064813134525</v>
      </c>
    </row>
    <row r="514" spans="23:53">
      <c r="W514" s="9" t="str">
        <f t="shared" ca="1" si="104"/>
        <v/>
      </c>
      <c r="X514" s="40">
        <v>45289</v>
      </c>
      <c r="Y514" s="168">
        <f t="shared" si="109"/>
        <v>12</v>
      </c>
      <c r="Z514" s="44" t="s">
        <v>1145</v>
      </c>
      <c r="AA514" s="21"/>
      <c r="AB514" s="21"/>
      <c r="AC514" s="21"/>
      <c r="AF514" s="26"/>
      <c r="AG514" s="9">
        <f>2.1+4.1+2+7.9+41.4+1.1+1.1</f>
        <v>59.7</v>
      </c>
      <c r="AH514" s="9">
        <f t="shared" si="110"/>
        <v>59.7</v>
      </c>
      <c r="AI514" s="9">
        <f t="shared" si="105"/>
        <v>29571.969999999979</v>
      </c>
      <c r="AJ514" s="14"/>
      <c r="AK514" s="14"/>
      <c r="AL514" s="14"/>
      <c r="AM514" s="14"/>
      <c r="AN514" s="166"/>
      <c r="AO514" s="166"/>
      <c r="AP514" s="14"/>
      <c r="AQ514" s="14"/>
      <c r="AS514" s="9" t="s">
        <v>1208</v>
      </c>
      <c r="AT514" s="9" t="s">
        <v>1209</v>
      </c>
      <c r="AW514" s="9" t="s">
        <v>1210</v>
      </c>
      <c r="AX514" s="9" t="s">
        <v>1211</v>
      </c>
      <c r="AZ514" s="88">
        <f t="shared" si="113"/>
        <v>124.97064813134524</v>
      </c>
    </row>
    <row r="515" spans="23:53">
      <c r="W515" s="9" t="str">
        <f t="shared" ca="1" si="104"/>
        <v/>
      </c>
      <c r="X515" s="40">
        <v>45290</v>
      </c>
      <c r="Y515" s="168">
        <f t="shared" si="109"/>
        <v>12</v>
      </c>
      <c r="Z515" s="44" t="s">
        <v>1132</v>
      </c>
      <c r="AA515" s="97">
        <v>25</v>
      </c>
      <c r="AB515" s="97">
        <v>0.62</v>
      </c>
      <c r="AC515" s="97">
        <v>1.6990000000000001</v>
      </c>
      <c r="AD515" s="89">
        <f>AA515/AC515</f>
        <v>14.714537963507945</v>
      </c>
      <c r="AF515" s="26"/>
      <c r="AG515" s="9">
        <f>28+2.8+2.9+1.9+0.8+4.9+8.6+3.7+2.4</f>
        <v>56</v>
      </c>
      <c r="AH515" s="9">
        <f t="shared" si="110"/>
        <v>56</v>
      </c>
      <c r="AI515" s="9">
        <f t="shared" si="105"/>
        <v>29627.969999999979</v>
      </c>
      <c r="AJ515" s="14">
        <f>SUM(AH509:AH515)</f>
        <v>203.65</v>
      </c>
      <c r="AK515" s="14"/>
      <c r="AL515" s="14"/>
      <c r="AM515" s="14"/>
      <c r="AN515" s="166"/>
      <c r="AO515" s="166"/>
      <c r="AP515" s="14"/>
      <c r="AQ515" s="14"/>
      <c r="AS515" s="9">
        <f>AS509+(SUM(AH510:AH515))</f>
        <v>206197.59999999998</v>
      </c>
      <c r="AT515" s="88">
        <f>(AS515-AS509)</f>
        <v>192.85000000000582</v>
      </c>
      <c r="AU515" s="88">
        <f>AT515/AD509</f>
        <v>13.106086000000396</v>
      </c>
      <c r="AV515" s="88">
        <f>100/AU515</f>
        <v>7.6300430197083235</v>
      </c>
      <c r="AW515" s="88">
        <f>((+AD515)*$AX$4)+AX515</f>
        <v>306.59129626269049</v>
      </c>
      <c r="AX515" s="88">
        <f>AZ515</f>
        <v>68.970648131345243</v>
      </c>
      <c r="AZ515" s="88">
        <f t="shared" si="113"/>
        <v>68.970648131345243</v>
      </c>
      <c r="BA515" s="88">
        <f>AW515-AH515</f>
        <v>250.59129626269049</v>
      </c>
    </row>
    <row r="516" spans="23:53">
      <c r="W516" s="9" t="str">
        <f t="shared" ca="1" si="104"/>
        <v/>
      </c>
      <c r="X516" s="40">
        <v>45291</v>
      </c>
      <c r="Y516" s="168">
        <f t="shared" si="109"/>
        <v>12</v>
      </c>
      <c r="Z516" s="44" t="s">
        <v>1134</v>
      </c>
      <c r="AA516" s="97"/>
      <c r="AB516" s="97"/>
      <c r="AC516" s="97"/>
      <c r="AD516" s="89"/>
      <c r="AF516" s="26"/>
      <c r="AG516" s="9">
        <f>10.1+12.9+8.5+5.9</f>
        <v>37.4</v>
      </c>
      <c r="AH516" s="9">
        <f t="shared" si="110"/>
        <v>37.4</v>
      </c>
      <c r="AI516" s="9">
        <f t="shared" si="105"/>
        <v>29665.369999999981</v>
      </c>
      <c r="AJ516" s="14"/>
      <c r="AK516" s="14"/>
      <c r="AL516" s="14"/>
      <c r="AM516" s="14"/>
      <c r="AN516" s="166"/>
      <c r="AO516" s="166"/>
      <c r="AP516" s="14"/>
      <c r="AQ516" s="14"/>
      <c r="BA516" s="88">
        <f>BA515-AH516</f>
        <v>213.19129626269049</v>
      </c>
    </row>
    <row r="517" spans="23:53">
      <c r="W517" s="9" t="str">
        <f t="shared" ca="1" si="104"/>
        <v/>
      </c>
      <c r="X517" s="40">
        <v>45292</v>
      </c>
      <c r="Y517" s="168">
        <f t="shared" si="109"/>
        <v>1</v>
      </c>
      <c r="Z517" s="44" t="s">
        <v>1136</v>
      </c>
      <c r="AA517" s="97"/>
      <c r="AB517" s="97"/>
      <c r="AC517" s="97"/>
      <c r="AD517" s="89"/>
      <c r="AF517" s="26"/>
      <c r="AG517" s="9">
        <f>3.4+3.3</f>
        <v>6.6999999999999993</v>
      </c>
      <c r="AH517" s="9">
        <f t="shared" si="110"/>
        <v>6.6999999999999993</v>
      </c>
      <c r="AI517" s="9">
        <f t="shared" si="105"/>
        <v>29672.069999999982</v>
      </c>
      <c r="AJ517" s="14"/>
      <c r="AK517" s="14"/>
      <c r="AL517" s="14"/>
      <c r="AM517" s="14"/>
      <c r="AN517" s="166"/>
      <c r="AO517" s="166"/>
      <c r="AP517" s="14"/>
      <c r="AQ517" s="14"/>
      <c r="BA517" s="88">
        <f t="shared" ref="BA517:BA521" si="114">BA516-AH517</f>
        <v>206.4912962626905</v>
      </c>
    </row>
    <row r="518" spans="23:53">
      <c r="W518" s="9" t="str">
        <f t="shared" ca="1" si="104"/>
        <v/>
      </c>
      <c r="X518" s="40">
        <v>45293</v>
      </c>
      <c r="Y518" s="168">
        <f t="shared" si="109"/>
        <v>1</v>
      </c>
      <c r="Z518" s="44" t="s">
        <v>1138</v>
      </c>
      <c r="AA518" s="97"/>
      <c r="AB518" s="97"/>
      <c r="AC518" s="97"/>
      <c r="AD518" s="89"/>
      <c r="AF518" s="26"/>
      <c r="AG518" s="9">
        <f>5+3.8+3.7+1.8+0.45+0.55</f>
        <v>15.3</v>
      </c>
      <c r="AH518" s="9">
        <f t="shared" si="110"/>
        <v>15.3</v>
      </c>
      <c r="AI518" s="9">
        <f t="shared" si="105"/>
        <v>29687.369999999981</v>
      </c>
      <c r="AJ518" s="14"/>
      <c r="AK518" s="14"/>
      <c r="AL518" s="14"/>
      <c r="AM518" s="14"/>
      <c r="AN518" s="166"/>
      <c r="AO518" s="166"/>
      <c r="AP518" s="14"/>
      <c r="AQ518" s="14"/>
      <c r="BA518" s="88">
        <f t="shared" si="114"/>
        <v>191.19129626269049</v>
      </c>
    </row>
    <row r="519" spans="23:53">
      <c r="W519" s="9" t="str">
        <f t="shared" ca="1" si="104"/>
        <v/>
      </c>
      <c r="X519" s="40">
        <v>45294</v>
      </c>
      <c r="Y519" s="168">
        <f t="shared" si="109"/>
        <v>1</v>
      </c>
      <c r="Z519" s="44" t="s">
        <v>1140</v>
      </c>
      <c r="AA519" s="97"/>
      <c r="AB519" s="97"/>
      <c r="AC519" s="97"/>
      <c r="AD519" s="89"/>
      <c r="AF519" s="26"/>
      <c r="AG519" s="9">
        <f>3.5+34.4+2+34.3</f>
        <v>74.199999999999989</v>
      </c>
      <c r="AH519" s="9">
        <f t="shared" si="110"/>
        <v>74.199999999999989</v>
      </c>
      <c r="AI519" s="9">
        <f t="shared" si="105"/>
        <v>29761.569999999982</v>
      </c>
      <c r="AJ519" s="14"/>
      <c r="AK519" s="14"/>
      <c r="AL519" s="14"/>
      <c r="AM519" s="14"/>
      <c r="AN519" s="166"/>
      <c r="AO519" s="166"/>
      <c r="AP519" s="14"/>
      <c r="AQ519" s="14"/>
      <c r="AS519" s="14" t="s">
        <v>1207</v>
      </c>
      <c r="AT519" s="14"/>
      <c r="AU519" s="14"/>
      <c r="AV519" s="14"/>
      <c r="AW519" s="14"/>
      <c r="AX519" s="14"/>
      <c r="BA519" s="88">
        <f t="shared" si="114"/>
        <v>116.9912962626905</v>
      </c>
    </row>
    <row r="520" spans="23:53">
      <c r="W520" s="9" t="str">
        <f t="shared" ca="1" si="104"/>
        <v/>
      </c>
      <c r="X520" s="40">
        <v>45295</v>
      </c>
      <c r="Y520" s="168">
        <f t="shared" si="109"/>
        <v>1</v>
      </c>
      <c r="Z520" s="44" t="s">
        <v>1143</v>
      </c>
      <c r="AA520" s="97"/>
      <c r="AB520" s="97"/>
      <c r="AC520" s="97"/>
      <c r="AD520" s="89"/>
      <c r="AF520" s="26"/>
      <c r="AG520" s="9">
        <f>3.3+2.1</f>
        <v>5.4</v>
      </c>
      <c r="AH520" s="9">
        <f t="shared" si="110"/>
        <v>5.4</v>
      </c>
      <c r="AI520" s="9">
        <f t="shared" si="105"/>
        <v>29766.969999999983</v>
      </c>
      <c r="AJ520" s="14"/>
      <c r="AK520" s="14"/>
      <c r="AL520" s="14"/>
      <c r="AM520" s="14"/>
      <c r="AN520" s="166"/>
      <c r="AO520" s="166"/>
      <c r="AP520" s="14"/>
      <c r="AQ520" s="14"/>
      <c r="AS520" s="9" t="s">
        <v>1208</v>
      </c>
      <c r="AT520" s="9" t="s">
        <v>1209</v>
      </c>
      <c r="AW520" s="9" t="s">
        <v>1210</v>
      </c>
      <c r="AX520" s="9" t="s">
        <v>1211</v>
      </c>
      <c r="BA520" s="88">
        <f t="shared" si="114"/>
        <v>111.59129626269049</v>
      </c>
    </row>
    <row r="521" spans="23:53">
      <c r="W521" s="9" t="str">
        <f t="shared" ca="1" si="104"/>
        <v/>
      </c>
      <c r="X521" s="40">
        <v>45296</v>
      </c>
      <c r="Y521" s="168">
        <f t="shared" si="109"/>
        <v>1</v>
      </c>
      <c r="Z521" s="44" t="s">
        <v>1145</v>
      </c>
      <c r="AA521" s="97">
        <v>30</v>
      </c>
      <c r="AB521" s="97">
        <v>0.62</v>
      </c>
      <c r="AC521" s="97">
        <v>1.6990000000000001</v>
      </c>
      <c r="AD521" s="89">
        <f>AA521/AC521</f>
        <v>17.657445556209534</v>
      </c>
      <c r="AF521" s="26"/>
      <c r="AG521" s="9">
        <f>5.6+2.2+37.6+2.3</f>
        <v>47.699999999999996</v>
      </c>
      <c r="AH521" s="9">
        <f t="shared" si="110"/>
        <v>47.699999999999996</v>
      </c>
      <c r="AI521" s="9">
        <f t="shared" si="105"/>
        <v>29814.669999999984</v>
      </c>
      <c r="AJ521" s="14"/>
      <c r="AK521" s="14"/>
      <c r="AL521" s="14"/>
      <c r="AM521" s="14"/>
      <c r="AN521" s="166"/>
      <c r="AO521" s="166"/>
      <c r="AP521" s="14"/>
      <c r="AQ521" s="14"/>
      <c r="AS521" s="9">
        <f>AS515+(SUM(AH516:AH521))</f>
        <v>206384.3</v>
      </c>
      <c r="AT521" s="88">
        <f>(AS521-AS515)</f>
        <v>186.70000000001164</v>
      </c>
      <c r="AU521" s="88">
        <f>AT521/AD515</f>
        <v>12.688132000000792</v>
      </c>
      <c r="AV521" s="88">
        <f>100/AU521</f>
        <v>7.8813808053063887</v>
      </c>
      <c r="AW521" s="88">
        <f>((+AD521)*$AX$4)+AX521</f>
        <v>348.14477775761429</v>
      </c>
      <c r="AX521" s="88">
        <v>63</v>
      </c>
      <c r="AZ521" s="88">
        <f>AW521-AH521</f>
        <v>300.4447777576143</v>
      </c>
      <c r="BA521" s="88">
        <f t="shared" si="114"/>
        <v>63.891296262690496</v>
      </c>
    </row>
    <row r="522" spans="23:53">
      <c r="W522" s="9" t="str">
        <f t="shared" ca="1" si="104"/>
        <v/>
      </c>
      <c r="X522" s="40">
        <v>45297</v>
      </c>
      <c r="Y522" s="168">
        <f t="shared" si="109"/>
        <v>1</v>
      </c>
      <c r="Z522" s="44" t="s">
        <v>1132</v>
      </c>
      <c r="AA522" s="21"/>
      <c r="AB522" s="21"/>
      <c r="AC522" s="21"/>
      <c r="AF522" s="26"/>
      <c r="AG522" s="9">
        <f>35.4+2.6+8.6+0.65+2.7</f>
        <v>49.95</v>
      </c>
      <c r="AH522" s="9">
        <f t="shared" si="110"/>
        <v>49.95</v>
      </c>
      <c r="AI522" s="9">
        <f t="shared" si="105"/>
        <v>29864.619999999984</v>
      </c>
      <c r="AJ522" s="14">
        <f>SUM(AH516:AH522)</f>
        <v>236.64999999999998</v>
      </c>
      <c r="AK522" s="14"/>
      <c r="AL522" s="14"/>
      <c r="AM522" s="14"/>
      <c r="AN522" s="166"/>
      <c r="AO522" s="166"/>
      <c r="AP522" s="14"/>
      <c r="AQ522" s="14"/>
      <c r="AZ522" s="88">
        <f>AZ521-AH522</f>
        <v>250.49477775761432</v>
      </c>
    </row>
    <row r="523" spans="23:53">
      <c r="W523" s="9" t="str">
        <f t="shared" ca="1" si="104"/>
        <v/>
      </c>
      <c r="X523" s="40">
        <v>45298</v>
      </c>
      <c r="Y523" s="168">
        <f t="shared" si="109"/>
        <v>1</v>
      </c>
      <c r="Z523" s="44" t="s">
        <v>1134</v>
      </c>
      <c r="AA523" s="21"/>
      <c r="AB523" s="21"/>
      <c r="AC523" s="21"/>
      <c r="AF523" s="26"/>
      <c r="AG523" s="9">
        <f>10.5+10.5+2.8+2.8</f>
        <v>26.6</v>
      </c>
      <c r="AH523" s="9">
        <f t="shared" si="110"/>
        <v>26.6</v>
      </c>
      <c r="AI523" s="9">
        <f t="shared" si="105"/>
        <v>29891.219999999983</v>
      </c>
      <c r="AJ523" s="14"/>
      <c r="AK523" s="14"/>
      <c r="AL523" s="14"/>
      <c r="AM523" s="14"/>
      <c r="AN523" s="166"/>
      <c r="AO523" s="166"/>
      <c r="AP523" s="14"/>
      <c r="AQ523" s="14"/>
      <c r="AZ523" s="88">
        <f t="shared" ref="AZ523:AZ526" si="115">AZ522-AH523</f>
        <v>223.89477775761432</v>
      </c>
    </row>
    <row r="524" spans="23:53">
      <c r="W524" s="9" t="str">
        <f t="shared" ca="1" si="104"/>
        <v/>
      </c>
      <c r="X524" s="40">
        <v>45299</v>
      </c>
      <c r="Y524" s="168">
        <f t="shared" si="109"/>
        <v>1</v>
      </c>
      <c r="Z524" s="44" t="s">
        <v>1136</v>
      </c>
      <c r="AA524" s="21"/>
      <c r="AB524" s="21"/>
      <c r="AC524" s="21"/>
      <c r="AF524" s="26">
        <f>25.9+24.8</f>
        <v>50.7</v>
      </c>
      <c r="AG524" s="9">
        <f>2.1+2.9</f>
        <v>5</v>
      </c>
      <c r="AH524" s="9">
        <f t="shared" si="110"/>
        <v>55.7</v>
      </c>
      <c r="AI524" s="9">
        <f t="shared" si="105"/>
        <v>29946.919999999984</v>
      </c>
      <c r="AJ524" s="14"/>
      <c r="AK524" s="14"/>
      <c r="AL524" s="14"/>
      <c r="AM524" s="14"/>
      <c r="AN524" s="166"/>
      <c r="AO524" s="166"/>
      <c r="AP524" s="14"/>
      <c r="AQ524" s="14"/>
      <c r="AS524" s="14" t="s">
        <v>1207</v>
      </c>
      <c r="AT524" s="14"/>
      <c r="AU524" s="14"/>
      <c r="AV524" s="14"/>
      <c r="AW524" s="14"/>
      <c r="AX524" s="14"/>
      <c r="AZ524" s="88">
        <f t="shared" si="115"/>
        <v>168.1947777576143</v>
      </c>
    </row>
    <row r="525" spans="23:53">
      <c r="W525" s="9" t="str">
        <f t="shared" ca="1" si="104"/>
        <v/>
      </c>
      <c r="X525" s="40">
        <v>45300</v>
      </c>
      <c r="Y525" s="168">
        <f t="shared" si="109"/>
        <v>1</v>
      </c>
      <c r="Z525" s="44" t="s">
        <v>1138</v>
      </c>
      <c r="AA525" s="21"/>
      <c r="AB525" s="21"/>
      <c r="AC525" s="21"/>
      <c r="AF525" s="26">
        <f>24.5+24.5</f>
        <v>49</v>
      </c>
      <c r="AG525" s="9">
        <f>0.6+0.75</f>
        <v>1.35</v>
      </c>
      <c r="AH525" s="9">
        <f t="shared" si="110"/>
        <v>50.35</v>
      </c>
      <c r="AI525" s="9">
        <f t="shared" si="105"/>
        <v>29997.269999999982</v>
      </c>
      <c r="AJ525" s="14"/>
      <c r="AK525" s="14"/>
      <c r="AL525" s="14"/>
      <c r="AM525" s="14"/>
      <c r="AN525" s="166"/>
      <c r="AO525" s="166"/>
      <c r="AP525" s="14"/>
      <c r="AQ525" s="14"/>
      <c r="AS525" s="9" t="s">
        <v>1208</v>
      </c>
      <c r="AT525" s="9" t="s">
        <v>1209</v>
      </c>
      <c r="AW525" s="9" t="s">
        <v>1210</v>
      </c>
      <c r="AX525" s="9" t="s">
        <v>1211</v>
      </c>
      <c r="AY525" s="9" t="s">
        <v>1215</v>
      </c>
      <c r="AZ525" s="88">
        <f t="shared" si="115"/>
        <v>117.84477775761431</v>
      </c>
    </row>
    <row r="526" spans="23:53">
      <c r="W526" s="9" t="str">
        <f t="shared" ca="1" si="104"/>
        <v/>
      </c>
      <c r="X526" s="40">
        <v>45301</v>
      </c>
      <c r="Y526" s="168">
        <f t="shared" si="109"/>
        <v>1</v>
      </c>
      <c r="Z526" s="44" t="s">
        <v>1140</v>
      </c>
      <c r="AA526" s="97">
        <v>50</v>
      </c>
      <c r="AB526" s="97">
        <v>0.62</v>
      </c>
      <c r="AC526" s="97">
        <v>1.69</v>
      </c>
      <c r="AD526" s="89">
        <f>AA526/AC526</f>
        <v>29.585798816568047</v>
      </c>
      <c r="AF526" s="26">
        <f>28.5+28.5</f>
        <v>57</v>
      </c>
      <c r="AG526" s="9">
        <f>3.1+3.1</f>
        <v>6.2</v>
      </c>
      <c r="AH526" s="9">
        <f t="shared" si="110"/>
        <v>63.2</v>
      </c>
      <c r="AI526" s="9">
        <f t="shared" si="105"/>
        <v>30060.469999999983</v>
      </c>
      <c r="AJ526" s="14"/>
      <c r="AK526" s="14"/>
      <c r="AL526" s="14"/>
      <c r="AM526" s="14"/>
      <c r="AN526" s="166"/>
      <c r="AO526" s="166"/>
      <c r="AP526" s="14"/>
      <c r="AQ526" s="14"/>
      <c r="AS526" s="9">
        <f>AS521+(SUM(AH522:AH526))</f>
        <v>206630.09999999998</v>
      </c>
      <c r="AT526" s="88">
        <f>(AS526-AS521)+AY526</f>
        <v>275.79999999998836</v>
      </c>
      <c r="AU526" s="88">
        <f>AT526/AD521</f>
        <v>15.619473333332675</v>
      </c>
      <c r="AV526" s="88">
        <f>100/AU526</f>
        <v>6.4022645236440461</v>
      </c>
      <c r="AW526" s="88">
        <f>((+AD526)*$AX$4)+AX526</f>
        <v>502.41694482880433</v>
      </c>
      <c r="AX526" s="88">
        <f>AZ526-AY526</f>
        <v>24.644777757614307</v>
      </c>
      <c r="AY526" s="9">
        <v>30</v>
      </c>
      <c r="AZ526" s="88">
        <f t="shared" si="115"/>
        <v>54.644777757614307</v>
      </c>
      <c r="BA526" s="88">
        <f>AW526</f>
        <v>502.41694482880433</v>
      </c>
    </row>
    <row r="527" spans="23:53">
      <c r="W527" s="9" t="str">
        <f t="shared" ca="1" si="104"/>
        <v/>
      </c>
      <c r="X527" s="40">
        <v>45302</v>
      </c>
      <c r="Y527" s="168">
        <f t="shared" si="109"/>
        <v>1</v>
      </c>
      <c r="Z527" s="44" t="s">
        <v>1143</v>
      </c>
      <c r="AA527" s="21"/>
      <c r="AB527" s="21"/>
      <c r="AC527" s="21"/>
      <c r="AF527" s="114">
        <f>22.1+24.9</f>
        <v>47</v>
      </c>
      <c r="AG527" s="105">
        <f>0.45+0.5</f>
        <v>0.95</v>
      </c>
      <c r="AH527" s="9">
        <f t="shared" si="110"/>
        <v>47.95</v>
      </c>
      <c r="AI527" s="9">
        <f t="shared" si="105"/>
        <v>30108.419999999984</v>
      </c>
      <c r="AJ527" s="14"/>
      <c r="AK527" s="14"/>
      <c r="AL527" s="14"/>
      <c r="AM527" s="14"/>
      <c r="AN527" s="166"/>
      <c r="AO527" s="166"/>
      <c r="AP527" s="14"/>
      <c r="AQ527" s="14"/>
      <c r="BA527" s="88">
        <f>BA526-AH527</f>
        <v>454.46694482880434</v>
      </c>
    </row>
    <row r="528" spans="23:53">
      <c r="W528" s="9" t="str">
        <f t="shared" ca="1" si="104"/>
        <v/>
      </c>
      <c r="X528" s="40">
        <v>45303</v>
      </c>
      <c r="Y528" s="168">
        <f t="shared" si="109"/>
        <v>1</v>
      </c>
      <c r="Z528" s="44" t="s">
        <v>1145</v>
      </c>
      <c r="AA528" s="21"/>
      <c r="AB528" s="21"/>
      <c r="AC528" s="21"/>
      <c r="AF528" s="114">
        <f>24.5+19.6</f>
        <v>44.1</v>
      </c>
      <c r="AG528" s="105"/>
      <c r="AH528" s="9">
        <f t="shared" si="110"/>
        <v>44.1</v>
      </c>
      <c r="AI528" s="9">
        <f t="shared" si="105"/>
        <v>30152.519999999982</v>
      </c>
      <c r="AJ528" s="14"/>
      <c r="AK528" s="14"/>
      <c r="AL528" s="14"/>
      <c r="AM528" s="14"/>
      <c r="AN528" s="166"/>
      <c r="AO528" s="166"/>
      <c r="AP528" s="14"/>
      <c r="AQ528" s="14"/>
      <c r="BA528" s="88">
        <f t="shared" ref="BA528:BA533" si="116">BA527-AH528</f>
        <v>410.36694482880432</v>
      </c>
    </row>
    <row r="529" spans="23:53">
      <c r="W529" s="9" t="str">
        <f t="shared" ca="1" si="104"/>
        <v/>
      </c>
      <c r="X529" s="40">
        <v>45304</v>
      </c>
      <c r="Y529" s="168">
        <f t="shared" si="109"/>
        <v>1</v>
      </c>
      <c r="Z529" s="44" t="s">
        <v>1132</v>
      </c>
      <c r="AA529" s="21"/>
      <c r="AB529" s="21"/>
      <c r="AC529" s="21"/>
      <c r="AF529" s="114"/>
      <c r="AG529" s="105">
        <f>32.4+2.2+2+8.6+4.2+2.9+2.5</f>
        <v>54.800000000000004</v>
      </c>
      <c r="AH529" s="9">
        <f t="shared" si="110"/>
        <v>54.800000000000004</v>
      </c>
      <c r="AI529" s="9">
        <f t="shared" si="105"/>
        <v>30207.319999999982</v>
      </c>
      <c r="AJ529" s="14">
        <f>SUM(AH523:AH529)</f>
        <v>342.70000000000005</v>
      </c>
      <c r="AK529" s="14"/>
      <c r="AL529" s="14"/>
      <c r="AM529" s="14"/>
      <c r="AN529" s="166"/>
      <c r="AO529" s="166"/>
      <c r="AP529" s="14"/>
      <c r="AQ529" s="14"/>
      <c r="BA529" s="88">
        <f t="shared" si="116"/>
        <v>355.56694482880431</v>
      </c>
    </row>
    <row r="530" spans="23:53">
      <c r="W530" s="9" t="str">
        <f t="shared" ca="1" si="104"/>
        <v/>
      </c>
      <c r="X530" s="40">
        <v>45305</v>
      </c>
      <c r="Y530" s="168">
        <f t="shared" si="109"/>
        <v>1</v>
      </c>
      <c r="Z530" s="44" t="s">
        <v>1134</v>
      </c>
      <c r="AA530" s="21"/>
      <c r="AB530" s="21"/>
      <c r="AC530" s="21"/>
      <c r="AF530" s="114"/>
      <c r="AG530" s="105">
        <f>30.5+30.8+3.5</f>
        <v>64.8</v>
      </c>
      <c r="AH530" s="9">
        <f t="shared" si="110"/>
        <v>64.8</v>
      </c>
      <c r="AI530" s="9">
        <f t="shared" si="105"/>
        <v>30272.119999999981</v>
      </c>
      <c r="AJ530" s="14"/>
      <c r="AK530" s="14"/>
      <c r="AL530" s="14"/>
      <c r="AM530" s="14"/>
      <c r="AN530" s="166"/>
      <c r="AO530" s="166"/>
      <c r="AP530" s="14"/>
      <c r="AQ530" s="14"/>
      <c r="BA530" s="88">
        <f t="shared" si="116"/>
        <v>290.7669448288043</v>
      </c>
    </row>
    <row r="531" spans="23:53">
      <c r="W531" s="9" t="str">
        <f t="shared" ca="1" si="104"/>
        <v/>
      </c>
      <c r="X531" s="40">
        <v>45306</v>
      </c>
      <c r="Y531" s="168">
        <f t="shared" si="109"/>
        <v>1</v>
      </c>
      <c r="Z531" s="44" t="s">
        <v>1136</v>
      </c>
      <c r="AA531" s="21"/>
      <c r="AB531" s="21"/>
      <c r="AC531" s="21"/>
      <c r="AF531" s="114">
        <f>24.8+25.6</f>
        <v>50.400000000000006</v>
      </c>
      <c r="AG531" s="105">
        <v>6.6</v>
      </c>
      <c r="AH531" s="9">
        <f t="shared" si="110"/>
        <v>57.000000000000007</v>
      </c>
      <c r="AI531" s="9">
        <f t="shared" si="105"/>
        <v>30329.119999999981</v>
      </c>
      <c r="AJ531" s="14"/>
      <c r="AK531" s="14"/>
      <c r="AL531" s="14"/>
      <c r="AM531" s="14"/>
      <c r="AN531" s="166"/>
      <c r="AO531" s="166"/>
      <c r="AP531" s="14"/>
      <c r="AQ531" s="14"/>
      <c r="AS531" s="14" t="s">
        <v>1207</v>
      </c>
      <c r="AT531" s="14"/>
      <c r="AU531" s="14"/>
      <c r="AV531" s="14"/>
      <c r="AW531" s="14"/>
      <c r="AX531" s="14"/>
      <c r="BA531" s="88">
        <f>BA530-AH531</f>
        <v>233.7669448288043</v>
      </c>
    </row>
    <row r="532" spans="23:53">
      <c r="W532" s="9" t="str">
        <f t="shared" ca="1" si="104"/>
        <v/>
      </c>
      <c r="X532" s="40">
        <v>45307</v>
      </c>
      <c r="Y532" s="168">
        <f t="shared" si="109"/>
        <v>1</v>
      </c>
      <c r="Z532" s="44" t="s">
        <v>1138</v>
      </c>
      <c r="AA532" s="21"/>
      <c r="AB532" s="21"/>
      <c r="AC532" s="21"/>
      <c r="AF532" s="114">
        <f>24.7+24.8</f>
        <v>49.5</v>
      </c>
      <c r="AG532" s="227"/>
      <c r="AH532" s="9">
        <f t="shared" si="110"/>
        <v>49.5</v>
      </c>
      <c r="AI532" s="9">
        <f t="shared" si="105"/>
        <v>30378.619999999981</v>
      </c>
      <c r="AJ532" s="14"/>
      <c r="AK532" s="14"/>
      <c r="AL532" s="14"/>
      <c r="AM532" s="14"/>
      <c r="AN532" s="166"/>
      <c r="AO532" s="166"/>
      <c r="AP532" s="14"/>
      <c r="AQ532" s="14"/>
      <c r="AS532" s="9" t="s">
        <v>1208</v>
      </c>
      <c r="AT532" s="9" t="s">
        <v>1209</v>
      </c>
      <c r="AW532" s="9" t="s">
        <v>1210</v>
      </c>
      <c r="AX532" s="9" t="s">
        <v>1211</v>
      </c>
      <c r="AY532" s="9" t="s">
        <v>1215</v>
      </c>
      <c r="BA532" s="88">
        <f t="shared" si="116"/>
        <v>184.2669448288043</v>
      </c>
    </row>
    <row r="533" spans="23:53">
      <c r="W533" s="9" t="str">
        <f t="shared" ca="1" si="104"/>
        <v/>
      </c>
      <c r="X533" s="40">
        <v>45308</v>
      </c>
      <c r="Y533" s="168">
        <f t="shared" si="109"/>
        <v>1</v>
      </c>
      <c r="Z533" s="44" t="s">
        <v>1140</v>
      </c>
      <c r="AA533" s="233">
        <v>65</v>
      </c>
      <c r="AB533" s="233"/>
      <c r="AC533" s="233">
        <v>1.415</v>
      </c>
      <c r="AD533" s="235">
        <f>AA533/AC533</f>
        <v>45.936395759717314</v>
      </c>
      <c r="AF533" s="114">
        <f>24.9+35</f>
        <v>59.9</v>
      </c>
      <c r="AG533" s="105">
        <f>33.6+1.5</f>
        <v>35.1</v>
      </c>
      <c r="AH533" s="9">
        <f t="shared" si="110"/>
        <v>95</v>
      </c>
      <c r="AI533" s="9">
        <f t="shared" si="105"/>
        <v>30473.619999999981</v>
      </c>
      <c r="AJ533" s="14"/>
      <c r="AK533" s="14"/>
      <c r="AL533" s="14"/>
      <c r="AM533" s="14"/>
      <c r="AN533" s="166"/>
      <c r="AO533" s="166"/>
      <c r="AP533" s="14"/>
      <c r="AQ533" s="14"/>
      <c r="AS533" s="9">
        <f>AS526+(SUM(AH527:AH532))+AF533</f>
        <v>207008.14999999997</v>
      </c>
      <c r="AT533" s="9">
        <f>(AS533-AS526)+AY533</f>
        <v>403.04999999998836</v>
      </c>
      <c r="AU533" s="88">
        <f>AT533/AD526</f>
        <v>13.623089999999607</v>
      </c>
      <c r="AV533" s="88">
        <f>100/AU533</f>
        <v>7.3404785551591365</v>
      </c>
      <c r="AW533" s="88">
        <f>((+AD533)*$AX$4)+AX533</f>
        <v>806.07998444393115</v>
      </c>
      <c r="AX533" s="88">
        <f>BA533-AY533</f>
        <v>64.266944828804299</v>
      </c>
      <c r="AY533" s="9">
        <v>25</v>
      </c>
      <c r="AZ533" s="88">
        <f>AW533-AG533</f>
        <v>770.97998444393113</v>
      </c>
      <c r="BA533" s="88">
        <f t="shared" si="116"/>
        <v>89.266944828804299</v>
      </c>
    </row>
    <row r="534" spans="23:53">
      <c r="W534" s="9" t="str">
        <f t="shared" ca="1" si="104"/>
        <v/>
      </c>
      <c r="X534" s="40">
        <v>45309</v>
      </c>
      <c r="Y534" s="168">
        <f t="shared" si="109"/>
        <v>1</v>
      </c>
      <c r="Z534" s="44" t="s">
        <v>1143</v>
      </c>
      <c r="AA534" s="227"/>
      <c r="AB534" s="227"/>
      <c r="AC534" s="227"/>
      <c r="AD534" s="227"/>
      <c r="AF534" s="114">
        <f>22.2+25.4</f>
        <v>47.599999999999994</v>
      </c>
      <c r="AG534" s="227"/>
      <c r="AH534" s="9">
        <f t="shared" si="110"/>
        <v>47.599999999999994</v>
      </c>
      <c r="AI534" s="9">
        <f t="shared" si="105"/>
        <v>30521.219999999979</v>
      </c>
      <c r="AJ534" s="14"/>
      <c r="AK534" s="14"/>
      <c r="AL534" s="14"/>
      <c r="AM534" s="14"/>
      <c r="AN534" s="166"/>
      <c r="AO534" s="166"/>
      <c r="AP534" s="14"/>
      <c r="AQ534" s="14"/>
      <c r="AZ534" s="88">
        <f>AZ533-AH534</f>
        <v>723.37998444393111</v>
      </c>
    </row>
    <row r="535" spans="23:53">
      <c r="W535" s="9" t="str">
        <f t="shared" ca="1" si="104"/>
        <v/>
      </c>
      <c r="X535" s="40">
        <v>45310</v>
      </c>
      <c r="Y535" s="168">
        <f t="shared" si="109"/>
        <v>1</v>
      </c>
      <c r="Z535" s="44" t="s">
        <v>1145</v>
      </c>
      <c r="AA535" s="236"/>
      <c r="AB535" s="236"/>
      <c r="AC535" s="236"/>
      <c r="AD535" s="227"/>
      <c r="AF535" s="114">
        <f>25.1+20</f>
        <v>45.1</v>
      </c>
      <c r="AG535" s="105">
        <f>3.4</f>
        <v>3.4</v>
      </c>
      <c r="AH535" s="9">
        <f t="shared" si="110"/>
        <v>48.5</v>
      </c>
      <c r="AI535" s="9">
        <f t="shared" si="105"/>
        <v>30569.719999999979</v>
      </c>
      <c r="AJ535" s="14"/>
      <c r="AK535" s="14"/>
      <c r="AL535" s="14"/>
      <c r="AM535" s="14"/>
      <c r="AN535" s="166"/>
      <c r="AO535" s="166"/>
      <c r="AP535" s="14"/>
      <c r="AQ535" s="14"/>
      <c r="AZ535" s="88">
        <f t="shared" ref="AZ535:AZ542" si="117">AZ534-AH535</f>
        <v>674.87998444393111</v>
      </c>
    </row>
    <row r="536" spans="23:53">
      <c r="W536" s="9" t="str">
        <f t="shared" ca="1" si="104"/>
        <v/>
      </c>
      <c r="X536" s="40">
        <v>45311</v>
      </c>
      <c r="Y536" s="168">
        <f t="shared" si="109"/>
        <v>1</v>
      </c>
      <c r="Z536" s="44" t="s">
        <v>1132</v>
      </c>
      <c r="AA536" s="236"/>
      <c r="AB536" s="236"/>
      <c r="AC536" s="236"/>
      <c r="AD536" s="227"/>
      <c r="AF536" s="114"/>
      <c r="AG536" s="105">
        <f>2.1+2.2+34+2+3.9+2.5</f>
        <v>46.699999999999996</v>
      </c>
      <c r="AH536" s="9">
        <f t="shared" si="110"/>
        <v>46.699999999999996</v>
      </c>
      <c r="AI536" s="9">
        <f t="shared" si="105"/>
        <v>30616.41999999998</v>
      </c>
      <c r="AJ536" s="14">
        <f>SUM(AH530:AH536)</f>
        <v>409.09999999999997</v>
      </c>
      <c r="AK536" s="14"/>
      <c r="AL536" s="14"/>
      <c r="AM536" s="14"/>
      <c r="AN536" s="166"/>
      <c r="AO536" s="166"/>
      <c r="AP536" s="14"/>
      <c r="AQ536" s="14"/>
      <c r="AZ536" s="88">
        <f t="shared" si="117"/>
        <v>628.17998444393106</v>
      </c>
    </row>
    <row r="537" spans="23:53">
      <c r="W537" s="9" t="str">
        <f t="shared" ca="1" si="104"/>
        <v/>
      </c>
      <c r="X537" s="40">
        <v>45312</v>
      </c>
      <c r="Y537" s="168">
        <f t="shared" si="109"/>
        <v>1</v>
      </c>
      <c r="Z537" s="44" t="s">
        <v>1134</v>
      </c>
      <c r="AA537" s="236"/>
      <c r="AB537" s="236"/>
      <c r="AC537" s="236"/>
      <c r="AD537" s="227"/>
      <c r="AF537" s="26"/>
      <c r="AG537" s="9">
        <f>2.5+1.2+2.9+3.9+30.3</f>
        <v>40.799999999999997</v>
      </c>
      <c r="AH537" s="9">
        <f t="shared" si="110"/>
        <v>40.799999999999997</v>
      </c>
      <c r="AI537" s="9">
        <f t="shared" si="105"/>
        <v>30657.219999999979</v>
      </c>
      <c r="AJ537" s="14"/>
      <c r="AK537" s="14"/>
      <c r="AL537" s="14"/>
      <c r="AM537" s="14"/>
      <c r="AN537" s="166"/>
      <c r="AO537" s="166"/>
      <c r="AP537" s="14"/>
      <c r="AQ537" s="14"/>
      <c r="AZ537" s="88">
        <f t="shared" si="117"/>
        <v>587.37998444393111</v>
      </c>
    </row>
    <row r="538" spans="23:53">
      <c r="W538" s="9" t="str">
        <f t="shared" ref="W538:W601" ca="1" si="118">IF(X538=TODAY(),1,"")</f>
        <v/>
      </c>
      <c r="X538" s="40">
        <v>45313</v>
      </c>
      <c r="Y538" s="168">
        <f t="shared" si="109"/>
        <v>1</v>
      </c>
      <c r="Z538" s="44" t="s">
        <v>1136</v>
      </c>
      <c r="AA538" s="236"/>
      <c r="AB538" s="236"/>
      <c r="AC538" s="236"/>
      <c r="AD538" s="227"/>
      <c r="AF538" s="26">
        <f>25.2+26</f>
        <v>51.2</v>
      </c>
      <c r="AG538" s="9">
        <f>2.2+2.9</f>
        <v>5.0999999999999996</v>
      </c>
      <c r="AH538" s="9">
        <f t="shared" si="110"/>
        <v>56.300000000000004</v>
      </c>
      <c r="AI538" s="9">
        <f t="shared" si="105"/>
        <v>30713.519999999979</v>
      </c>
      <c r="AJ538" s="14"/>
      <c r="AK538" s="14"/>
      <c r="AL538" s="14"/>
      <c r="AM538" s="14"/>
      <c r="AN538" s="166"/>
      <c r="AO538" s="166"/>
      <c r="AP538" s="14"/>
      <c r="AQ538" s="14"/>
      <c r="AZ538" s="88">
        <f t="shared" si="117"/>
        <v>531.07998444393115</v>
      </c>
    </row>
    <row r="539" spans="23:53">
      <c r="W539" s="9" t="str">
        <f t="shared" ca="1" si="118"/>
        <v/>
      </c>
      <c r="X539" s="40">
        <v>45314</v>
      </c>
      <c r="Y539" s="168">
        <f t="shared" si="109"/>
        <v>1</v>
      </c>
      <c r="Z539" s="44" t="s">
        <v>1138</v>
      </c>
      <c r="AA539" s="236"/>
      <c r="AB539" s="236"/>
      <c r="AC539" s="236"/>
      <c r="AD539" s="227"/>
      <c r="AF539" s="26">
        <f>24.8+25.4</f>
        <v>50.2</v>
      </c>
      <c r="AH539" s="9">
        <f t="shared" si="110"/>
        <v>50.2</v>
      </c>
      <c r="AI539" s="9">
        <f t="shared" ref="AI539:AI602" si="119">AI538+AH539</f>
        <v>30763.719999999979</v>
      </c>
      <c r="AJ539" s="14"/>
      <c r="AK539" s="14"/>
      <c r="AL539" s="14"/>
      <c r="AM539" s="14"/>
      <c r="AN539" s="166"/>
      <c r="AO539" s="166"/>
      <c r="AP539" s="14"/>
      <c r="AQ539" s="14"/>
      <c r="AZ539" s="88">
        <f t="shared" si="117"/>
        <v>480.87998444393116</v>
      </c>
    </row>
    <row r="540" spans="23:53">
      <c r="W540" s="9" t="str">
        <f t="shared" ca="1" si="118"/>
        <v/>
      </c>
      <c r="X540" s="40">
        <v>45315</v>
      </c>
      <c r="Y540" s="168">
        <f t="shared" si="109"/>
        <v>1</v>
      </c>
      <c r="Z540" s="44" t="s">
        <v>1140</v>
      </c>
      <c r="AA540" s="236"/>
      <c r="AB540" s="236"/>
      <c r="AC540" s="236"/>
      <c r="AD540" s="227"/>
      <c r="AF540" s="26">
        <f>26.2+18.1</f>
        <v>44.3</v>
      </c>
      <c r="AG540" s="9">
        <f>2.4+1.7+2</f>
        <v>6.1</v>
      </c>
      <c r="AH540" s="9">
        <f t="shared" si="110"/>
        <v>50.4</v>
      </c>
      <c r="AI540" s="9">
        <f t="shared" si="119"/>
        <v>30814.119999999981</v>
      </c>
      <c r="AJ540" s="14"/>
      <c r="AK540" s="14"/>
      <c r="AL540" s="14"/>
      <c r="AM540" s="14"/>
      <c r="AN540" s="166"/>
      <c r="AO540" s="166"/>
      <c r="AP540" s="14"/>
      <c r="AQ540" s="14"/>
      <c r="AZ540" s="88">
        <f>AZ539-AH540</f>
        <v>430.47998444393119</v>
      </c>
    </row>
    <row r="541" spans="23:53">
      <c r="W541" s="9" t="str">
        <f t="shared" ca="1" si="118"/>
        <v/>
      </c>
      <c r="X541" s="40">
        <v>45316</v>
      </c>
      <c r="Y541" s="168">
        <f t="shared" si="109"/>
        <v>1</v>
      </c>
      <c r="Z541" s="44" t="s">
        <v>1143</v>
      </c>
      <c r="AA541" s="236"/>
      <c r="AB541" s="236"/>
      <c r="AC541" s="236"/>
      <c r="AD541" s="227"/>
      <c r="AF541" s="26">
        <f>25.7+26.9</f>
        <v>52.599999999999994</v>
      </c>
      <c r="AG541" s="9">
        <f>3.6+1</f>
        <v>4.5999999999999996</v>
      </c>
      <c r="AH541" s="9">
        <f t="shared" si="110"/>
        <v>57.199999999999996</v>
      </c>
      <c r="AI541" s="9">
        <f t="shared" si="119"/>
        <v>30871.319999999982</v>
      </c>
      <c r="AJ541" s="14"/>
      <c r="AK541" s="14"/>
      <c r="AL541" s="14"/>
      <c r="AM541" s="14"/>
      <c r="AN541" s="166"/>
      <c r="AO541" s="166"/>
      <c r="AP541" s="14"/>
      <c r="AQ541" s="14"/>
      <c r="AZ541" s="88">
        <f t="shared" si="117"/>
        <v>373.2799844439312</v>
      </c>
    </row>
    <row r="542" spans="23:53">
      <c r="X542" s="40">
        <v>45317</v>
      </c>
      <c r="Y542" s="168">
        <f t="shared" si="109"/>
        <v>1</v>
      </c>
      <c r="Z542" s="44" t="s">
        <v>1145</v>
      </c>
      <c r="AF542" s="26">
        <f>27+25.5</f>
        <v>52.5</v>
      </c>
      <c r="AG542" s="9">
        <f>1.8+55+3.1+57.3</f>
        <v>117.19999999999999</v>
      </c>
      <c r="AH542" s="9">
        <f t="shared" si="110"/>
        <v>169.7</v>
      </c>
      <c r="AI542" s="9">
        <f t="shared" si="119"/>
        <v>31041.019999999982</v>
      </c>
      <c r="AJ542" s="14"/>
      <c r="AK542" s="14" t="s">
        <v>1077</v>
      </c>
      <c r="AL542" s="14" t="s">
        <v>1204</v>
      </c>
      <c r="AM542" s="14" t="s">
        <v>1205</v>
      </c>
      <c r="AN542" s="166" t="s">
        <v>1069</v>
      </c>
      <c r="AO542" s="166" t="s">
        <v>1206</v>
      </c>
      <c r="AP542" s="14"/>
      <c r="AQ542" s="14"/>
      <c r="AS542" s="14" t="s">
        <v>1207</v>
      </c>
      <c r="AT542" s="14"/>
      <c r="AU542" s="14"/>
      <c r="AV542" s="14"/>
      <c r="AW542" s="14"/>
      <c r="AX542" s="14"/>
      <c r="AZ542" s="88">
        <f t="shared" si="117"/>
        <v>203.57998444393121</v>
      </c>
    </row>
    <row r="543" spans="23:53">
      <c r="W543" s="9" t="str">
        <f t="shared" ca="1" si="118"/>
        <v/>
      </c>
      <c r="X543" s="39">
        <v>45318</v>
      </c>
      <c r="Y543" s="179">
        <f t="shared" si="109"/>
        <v>1</v>
      </c>
      <c r="Z543" s="107" t="s">
        <v>1132</v>
      </c>
      <c r="AA543" s="228">
        <v>5</v>
      </c>
      <c r="AB543" s="228">
        <v>0.62</v>
      </c>
      <c r="AC543" s="228">
        <v>1.7390000000000001</v>
      </c>
      <c r="AD543" s="180">
        <f>AA543/AC543</f>
        <v>2.8752156411730878</v>
      </c>
      <c r="AE543" s="22"/>
      <c r="AF543" s="115"/>
      <c r="AG543" s="22">
        <f>25.3+10.9+14.6+2.2+0.8+2.8</f>
        <v>56.6</v>
      </c>
      <c r="AH543" s="22">
        <f t="shared" si="110"/>
        <v>56.6</v>
      </c>
      <c r="AI543" s="22">
        <f t="shared" si="119"/>
        <v>31097.619999999981</v>
      </c>
      <c r="AJ543" s="1372">
        <f>SUM(AH537:AH543)</f>
        <v>481.20000000000005</v>
      </c>
      <c r="AK543" s="1372">
        <f>SUM(AH513:AH543)</f>
        <v>1591.7</v>
      </c>
      <c r="AL543" s="1372">
        <f>SUM(AF513:AF543)</f>
        <v>751.1</v>
      </c>
      <c r="AM543" s="1372">
        <f>SUM(AG513:AG543)</f>
        <v>840.6</v>
      </c>
      <c r="AN543" s="219">
        <f>SUM(AD513:AD542)</f>
        <v>107.89417809600285</v>
      </c>
      <c r="AO543" s="182">
        <f>AK543/AN543</f>
        <v>14.752417860616408</v>
      </c>
      <c r="AP543" s="183">
        <f>SUM(AA513:AB543)/SUM(AD513:AD543)</f>
        <v>1.6022476427117518</v>
      </c>
      <c r="AQ543" s="184">
        <f>(AP543/AO543)*(SUM(AH513:AH543))</f>
        <v>172.87319251664249</v>
      </c>
      <c r="AS543" s="9" t="s">
        <v>1208</v>
      </c>
      <c r="AT543" s="9" t="s">
        <v>1209</v>
      </c>
      <c r="AW543" s="9" t="s">
        <v>1210</v>
      </c>
      <c r="AX543" s="9" t="s">
        <v>1211</v>
      </c>
      <c r="AY543" s="9" t="s">
        <v>1215</v>
      </c>
      <c r="AZ543" s="88">
        <f>AZ542-AH543</f>
        <v>146.97998444393122</v>
      </c>
    </row>
    <row r="544" spans="23:53">
      <c r="W544" s="9" t="str">
        <f t="shared" ca="1" si="118"/>
        <v/>
      </c>
      <c r="X544" s="40">
        <v>45319</v>
      </c>
      <c r="Y544" s="168">
        <f t="shared" si="109"/>
        <v>1</v>
      </c>
      <c r="Z544" s="44" t="s">
        <v>1134</v>
      </c>
      <c r="AA544" s="233">
        <f>65</f>
        <v>65</v>
      </c>
      <c r="AB544" s="233"/>
      <c r="AC544" s="233">
        <v>1.415</v>
      </c>
      <c r="AD544" s="235">
        <f>AA544/AC544</f>
        <v>45.936395759717314</v>
      </c>
      <c r="AF544" s="26"/>
      <c r="AG544" s="9">
        <f>2.7+1+1.8+2+3+2.2+31.4+18.9+12.3</f>
        <v>75.3</v>
      </c>
      <c r="AH544" s="9">
        <f t="shared" si="110"/>
        <v>75.3</v>
      </c>
      <c r="AI544" s="9">
        <f t="shared" si="119"/>
        <v>31172.91999999998</v>
      </c>
      <c r="AJ544" s="14"/>
      <c r="AK544" s="14"/>
      <c r="AL544" s="14"/>
      <c r="AM544" s="14"/>
      <c r="AN544" s="166"/>
      <c r="AO544" s="166"/>
      <c r="AP544" s="14"/>
      <c r="AQ544" s="14"/>
      <c r="AS544" s="9">
        <f>AS533+(SUM(AH534:AH543))+AG533+AH544-(31.4+18.9+12.3)</f>
        <v>207679.94999999995</v>
      </c>
      <c r="AT544" s="9">
        <f>(AS544-AS533)+AY544</f>
        <v>766.79999999998836</v>
      </c>
      <c r="AU544" s="88">
        <f>AT544/AD533</f>
        <v>16.692646153845899</v>
      </c>
      <c r="AV544" s="88">
        <f>100/AU544</f>
        <v>5.9906619404953068</v>
      </c>
      <c r="AW544" s="88">
        <f>((+AD544+AD543)*$AX$4)+AX544</f>
        <v>827.52401671865039</v>
      </c>
      <c r="AX544" s="88">
        <f>AZ544-AY544</f>
        <v>39.279984443931227</v>
      </c>
      <c r="AY544" s="9">
        <v>95</v>
      </c>
      <c r="AZ544" s="88">
        <f>AZ543-(AH544-31.4-18.9-12.3)</f>
        <v>134.27998444393123</v>
      </c>
      <c r="BA544" s="88">
        <f>AW544-31.2</f>
        <v>796.32401671865034</v>
      </c>
    </row>
    <row r="545" spans="23:53">
      <c r="W545" s="9" t="str">
        <f t="shared" ca="1" si="118"/>
        <v/>
      </c>
      <c r="X545" s="40">
        <v>45320</v>
      </c>
      <c r="Y545" s="168">
        <f t="shared" si="109"/>
        <v>1</v>
      </c>
      <c r="Z545" s="44" t="s">
        <v>1136</v>
      </c>
      <c r="AA545" s="21"/>
      <c r="AB545" s="21"/>
      <c r="AC545" s="21"/>
      <c r="AF545" s="26">
        <f>25.8+33.2</f>
        <v>59</v>
      </c>
      <c r="AG545" s="9">
        <f>13.8+2.1+2.1</f>
        <v>18</v>
      </c>
      <c r="AH545" s="9">
        <f t="shared" si="110"/>
        <v>77</v>
      </c>
      <c r="AI545" s="9">
        <f t="shared" si="119"/>
        <v>31249.91999999998</v>
      </c>
      <c r="AJ545" s="14"/>
      <c r="AK545" s="14"/>
      <c r="AL545" s="14"/>
      <c r="AM545" s="14"/>
      <c r="AN545" s="166"/>
      <c r="AO545" s="166"/>
      <c r="AP545" s="14"/>
      <c r="AQ545" s="14"/>
      <c r="BA545" s="88">
        <f>BA544-AH545</f>
        <v>719.32401671865034</v>
      </c>
    </row>
    <row r="546" spans="23:53">
      <c r="W546" s="9" t="str">
        <f t="shared" ca="1" si="118"/>
        <v/>
      </c>
      <c r="X546" s="40">
        <v>45321</v>
      </c>
      <c r="Y546" s="168">
        <f t="shared" si="109"/>
        <v>1</v>
      </c>
      <c r="Z546" s="44" t="s">
        <v>1138</v>
      </c>
      <c r="AA546" s="21"/>
      <c r="AB546" s="21"/>
      <c r="AC546" s="21"/>
      <c r="AF546" s="114">
        <f>26.4+24.6</f>
        <v>51</v>
      </c>
      <c r="AH546" s="9">
        <f t="shared" si="110"/>
        <v>51</v>
      </c>
      <c r="AI546" s="9">
        <f t="shared" si="119"/>
        <v>31300.91999999998</v>
      </c>
      <c r="AJ546" s="14"/>
      <c r="AK546" s="14"/>
      <c r="AL546" s="14"/>
      <c r="AM546" s="14"/>
      <c r="AN546" s="166"/>
      <c r="AO546" s="166"/>
      <c r="AP546" s="14"/>
      <c r="AQ546" s="14"/>
      <c r="BA546" s="88">
        <f t="shared" ref="BA546:BA555" si="120">BA545-AH546</f>
        <v>668.32401671865034</v>
      </c>
    </row>
    <row r="547" spans="23:53">
      <c r="W547" s="9" t="str">
        <f t="shared" ca="1" si="118"/>
        <v/>
      </c>
      <c r="X547" s="40">
        <v>45322</v>
      </c>
      <c r="Y547" s="168">
        <f t="shared" si="109"/>
        <v>1</v>
      </c>
      <c r="Z547" s="44" t="s">
        <v>1140</v>
      </c>
      <c r="AA547" s="21"/>
      <c r="AB547" s="21"/>
      <c r="AC547" s="21"/>
      <c r="AF547" s="114">
        <f>25.8+25.8</f>
        <v>51.6</v>
      </c>
      <c r="AH547" s="9">
        <f t="shared" si="110"/>
        <v>51.6</v>
      </c>
      <c r="AI547" s="9">
        <f t="shared" si="119"/>
        <v>31352.519999999979</v>
      </c>
      <c r="AJ547" s="14"/>
      <c r="AK547" s="14"/>
      <c r="AL547" s="14"/>
      <c r="AM547" s="14"/>
      <c r="AN547" s="166"/>
      <c r="AO547" s="166"/>
      <c r="AP547" s="14"/>
      <c r="AQ547" s="14"/>
      <c r="BA547" s="88">
        <f t="shared" si="120"/>
        <v>616.72401671865032</v>
      </c>
    </row>
    <row r="548" spans="23:53">
      <c r="W548" s="9" t="str">
        <f t="shared" ca="1" si="118"/>
        <v/>
      </c>
      <c r="X548" s="40">
        <v>45323</v>
      </c>
      <c r="Y548" s="168">
        <f t="shared" si="109"/>
        <v>2</v>
      </c>
      <c r="Z548" s="44" t="s">
        <v>1143</v>
      </c>
      <c r="AA548" s="21"/>
      <c r="AB548" s="21"/>
      <c r="AC548" s="21"/>
      <c r="AF548" s="114">
        <f>25.8+25.8</f>
        <v>51.6</v>
      </c>
      <c r="AG548" s="9">
        <f>0.28+0.8</f>
        <v>1.08</v>
      </c>
      <c r="AH548" s="9">
        <f t="shared" si="110"/>
        <v>52.68</v>
      </c>
      <c r="AI548" s="9">
        <f t="shared" si="119"/>
        <v>31405.199999999979</v>
      </c>
      <c r="AJ548" s="14"/>
      <c r="AK548" s="14"/>
      <c r="AL548" s="14"/>
      <c r="AM548" s="14"/>
      <c r="AN548" s="166"/>
      <c r="AO548" s="166"/>
      <c r="AP548" s="14"/>
      <c r="AQ548" s="14"/>
      <c r="BA548" s="88">
        <f t="shared" si="120"/>
        <v>564.04401671865037</v>
      </c>
    </row>
    <row r="549" spans="23:53">
      <c r="W549" s="9" t="str">
        <f t="shared" ca="1" si="118"/>
        <v/>
      </c>
      <c r="X549" s="40">
        <v>45324</v>
      </c>
      <c r="Y549" s="168">
        <f t="shared" si="109"/>
        <v>2</v>
      </c>
      <c r="Z549" s="44" t="s">
        <v>1145</v>
      </c>
      <c r="AA549" s="21"/>
      <c r="AB549" s="21"/>
      <c r="AC549" s="21"/>
      <c r="AF549" s="114">
        <f>38.8+25.6</f>
        <v>64.400000000000006</v>
      </c>
      <c r="AG549" s="9">
        <f>2.2+33.8</f>
        <v>36</v>
      </c>
      <c r="AH549" s="9">
        <f t="shared" si="110"/>
        <v>100.4</v>
      </c>
      <c r="AI549" s="9">
        <f t="shared" si="119"/>
        <v>31505.59999999998</v>
      </c>
      <c r="AJ549" s="14"/>
      <c r="AK549" s="14"/>
      <c r="AL549" s="14"/>
      <c r="AM549" s="14"/>
      <c r="AN549" s="166"/>
      <c r="AO549" s="166"/>
      <c r="AP549" s="14"/>
      <c r="AQ549" s="14"/>
      <c r="BA549" s="88">
        <f t="shared" si="120"/>
        <v>463.64401671865039</v>
      </c>
    </row>
    <row r="550" spans="23:53">
      <c r="W550" s="9" t="str">
        <f t="shared" ca="1" si="118"/>
        <v/>
      </c>
      <c r="X550" s="40">
        <v>45325</v>
      </c>
      <c r="Y550" s="168">
        <f t="shared" si="109"/>
        <v>2</v>
      </c>
      <c r="Z550" s="44" t="s">
        <v>1132</v>
      </c>
      <c r="AA550" s="21"/>
      <c r="AB550" s="21"/>
      <c r="AC550" s="21"/>
      <c r="AF550" s="26"/>
      <c r="AG550" s="9">
        <f>33.4+2.1+2.3+2+9.8+9.5+34.6+3.2</f>
        <v>96.899999999999991</v>
      </c>
      <c r="AH550" s="9">
        <f t="shared" si="110"/>
        <v>96.899999999999991</v>
      </c>
      <c r="AI550" s="9">
        <f t="shared" si="119"/>
        <v>31602.499999999982</v>
      </c>
      <c r="AJ550" s="14">
        <f>SUM(AH544:AH550)</f>
        <v>504.88</v>
      </c>
      <c r="AK550" s="14"/>
      <c r="AL550" s="14"/>
      <c r="AM550" s="14"/>
      <c r="AN550" s="166"/>
      <c r="AO550" s="166"/>
      <c r="AP550" s="14"/>
      <c r="AQ550" s="14"/>
      <c r="BA550" s="88">
        <f t="shared" si="120"/>
        <v>366.74401671865041</v>
      </c>
    </row>
    <row r="551" spans="23:53">
      <c r="W551" s="9" t="str">
        <f t="shared" ca="1" si="118"/>
        <v/>
      </c>
      <c r="X551" s="40">
        <v>45326</v>
      </c>
      <c r="Y551" s="168">
        <f t="shared" si="109"/>
        <v>2</v>
      </c>
      <c r="Z551" s="44" t="s">
        <v>1134</v>
      </c>
      <c r="AA551" s="21"/>
      <c r="AB551" s="21"/>
      <c r="AC551" s="21"/>
      <c r="AF551" s="26"/>
      <c r="AG551" s="9">
        <f>20.7+18.2+30.8+3.5</f>
        <v>73.2</v>
      </c>
      <c r="AH551" s="9">
        <f t="shared" si="110"/>
        <v>73.2</v>
      </c>
      <c r="AI551" s="9">
        <f t="shared" si="119"/>
        <v>31675.699999999983</v>
      </c>
      <c r="AJ551" s="14"/>
      <c r="AK551" s="14"/>
      <c r="AL551" s="14"/>
      <c r="AM551" s="14"/>
      <c r="AN551" s="166"/>
      <c r="AO551" s="166"/>
      <c r="AP551" s="14"/>
      <c r="AQ551" s="14"/>
      <c r="BA551" s="88">
        <f t="shared" si="120"/>
        <v>293.54401671865043</v>
      </c>
    </row>
    <row r="552" spans="23:53">
      <c r="W552" s="9" t="str">
        <f t="shared" ca="1" si="118"/>
        <v/>
      </c>
      <c r="X552" s="40">
        <v>45327</v>
      </c>
      <c r="Y552" s="168">
        <f t="shared" si="109"/>
        <v>2</v>
      </c>
      <c r="Z552" s="44" t="s">
        <v>1136</v>
      </c>
      <c r="AA552" s="21"/>
      <c r="AB552" s="21"/>
      <c r="AC552" s="21"/>
      <c r="AF552" s="26">
        <f>23.9+25.8</f>
        <v>49.7</v>
      </c>
      <c r="AG552" s="9">
        <v>2.2000000000000002</v>
      </c>
      <c r="AH552" s="9">
        <f t="shared" si="110"/>
        <v>51.900000000000006</v>
      </c>
      <c r="AI552" s="9">
        <f t="shared" si="119"/>
        <v>31727.599999999984</v>
      </c>
      <c r="AJ552" s="14"/>
      <c r="AK552" s="14"/>
      <c r="AL552" s="14"/>
      <c r="AM552" s="14"/>
      <c r="AN552" s="166"/>
      <c r="AO552" s="166"/>
      <c r="AP552" s="14"/>
      <c r="AQ552" s="14"/>
      <c r="BA552" s="88">
        <f t="shared" si="120"/>
        <v>241.64401671865042</v>
      </c>
    </row>
    <row r="553" spans="23:53">
      <c r="W553" s="9" t="str">
        <f t="shared" ca="1" si="118"/>
        <v/>
      </c>
      <c r="X553" s="40">
        <v>45328</v>
      </c>
      <c r="Y553" s="168">
        <f t="shared" si="109"/>
        <v>2</v>
      </c>
      <c r="Z553" s="44" t="s">
        <v>1138</v>
      </c>
      <c r="AA553" s="21"/>
      <c r="AB553" s="21"/>
      <c r="AC553" s="21"/>
      <c r="AF553" s="26">
        <f>17.4+17.4</f>
        <v>34.799999999999997</v>
      </c>
      <c r="AG553" s="9">
        <f>0.5+0.5</f>
        <v>1</v>
      </c>
      <c r="AH553" s="9">
        <f t="shared" si="110"/>
        <v>35.799999999999997</v>
      </c>
      <c r="AI553" s="9">
        <f t="shared" si="119"/>
        <v>31763.399999999983</v>
      </c>
      <c r="AJ553" s="14"/>
      <c r="AK553" s="14"/>
      <c r="AL553" s="14"/>
      <c r="AM553" s="14"/>
      <c r="AN553" s="166"/>
      <c r="AO553" s="166"/>
      <c r="AP553" s="14"/>
      <c r="AQ553" s="14"/>
      <c r="AS553" s="14" t="s">
        <v>1207</v>
      </c>
      <c r="AT553" s="14"/>
      <c r="AU553" s="14"/>
      <c r="AV553" s="14"/>
      <c r="AW553" s="14"/>
      <c r="AX553" s="14"/>
      <c r="BA553" s="88">
        <f t="shared" si="120"/>
        <v>205.84401671865044</v>
      </c>
    </row>
    <row r="554" spans="23:53">
      <c r="W554" s="9" t="str">
        <f t="shared" ca="1" si="118"/>
        <v/>
      </c>
      <c r="X554" s="40">
        <v>45329</v>
      </c>
      <c r="Y554" s="168">
        <f t="shared" si="109"/>
        <v>2</v>
      </c>
      <c r="Z554" s="44" t="s">
        <v>1140</v>
      </c>
      <c r="AA554" s="97">
        <v>15.24</v>
      </c>
      <c r="AB554" s="97">
        <v>0.62</v>
      </c>
      <c r="AC554" s="97">
        <f>1.959</f>
        <v>1.9590000000000001</v>
      </c>
      <c r="AD554" s="235">
        <f>AA554/AC554</f>
        <v>7.7794793261868298</v>
      </c>
      <c r="AF554" s="26">
        <f>24.7+32.6</f>
        <v>57.3</v>
      </c>
      <c r="AG554" s="9">
        <f>7.5</f>
        <v>7.5</v>
      </c>
      <c r="AH554" s="9">
        <f t="shared" si="110"/>
        <v>64.8</v>
      </c>
      <c r="AI554" s="9">
        <f t="shared" si="119"/>
        <v>31828.199999999983</v>
      </c>
      <c r="AJ554" s="14"/>
      <c r="AK554" s="14"/>
      <c r="AL554" s="14"/>
      <c r="AM554" s="14"/>
      <c r="AN554" s="166"/>
      <c r="AO554" s="166"/>
      <c r="AP554" s="14"/>
      <c r="AQ554" s="14"/>
      <c r="AS554" s="9" t="s">
        <v>1208</v>
      </c>
      <c r="AT554" s="9" t="s">
        <v>1209</v>
      </c>
      <c r="AW554" s="9" t="s">
        <v>1210</v>
      </c>
      <c r="AX554" s="9" t="s">
        <v>1211</v>
      </c>
      <c r="AY554" s="9" t="s">
        <v>1215</v>
      </c>
      <c r="BA554" s="88">
        <f t="shared" si="120"/>
        <v>141.04401671865043</v>
      </c>
    </row>
    <row r="555" spans="23:53">
      <c r="W555" s="9" t="str">
        <f t="shared" ca="1" si="118"/>
        <v/>
      </c>
      <c r="X555" s="40">
        <v>45330</v>
      </c>
      <c r="Y555" s="168">
        <f t="shared" si="109"/>
        <v>2</v>
      </c>
      <c r="Z555" s="44" t="s">
        <v>1143</v>
      </c>
      <c r="AA555" s="97">
        <v>60.01</v>
      </c>
      <c r="AB555" s="97"/>
      <c r="AC555" s="233">
        <v>1.4590000000000001</v>
      </c>
      <c r="AD555" s="235">
        <f>AA555/AC555</f>
        <v>41.130911583276216</v>
      </c>
      <c r="AF555" s="26">
        <f>23.5+24</f>
        <v>47.5</v>
      </c>
      <c r="AG555" s="9">
        <f>14.2+33.5+0.85+0.8+0.8</f>
        <v>50.15</v>
      </c>
      <c r="AH555" s="9">
        <f t="shared" si="110"/>
        <v>97.65</v>
      </c>
      <c r="AI555" s="9">
        <f t="shared" si="119"/>
        <v>31925.849999999984</v>
      </c>
      <c r="AJ555" s="14"/>
      <c r="AK555" s="14"/>
      <c r="AL555" s="14"/>
      <c r="AM555" s="14"/>
      <c r="AN555" s="166"/>
      <c r="AO555" s="166"/>
      <c r="AP555" s="14"/>
      <c r="AQ555" s="14"/>
      <c r="AS555" s="9">
        <f>AS544+(SUM(AH545:AH555))+18.9+12.3</f>
        <v>208464.07999999993</v>
      </c>
      <c r="AT555" s="9">
        <f>(AS555-AS544)+AY555</f>
        <v>784.12999999997555</v>
      </c>
      <c r="AU555" s="88">
        <f>AT555/AD544</f>
        <v>17.069906923076392</v>
      </c>
      <c r="AV555" s="88">
        <f>100/AU555</f>
        <v>5.8582627574150647</v>
      </c>
      <c r="AW555" s="88">
        <f>((+AD555+AD554)*$AX$4)+AX555</f>
        <v>833.23320956907639</v>
      </c>
      <c r="AX555" s="88">
        <f>BA555-AY555</f>
        <v>43.39401671865042</v>
      </c>
      <c r="AY555" s="9">
        <v>0</v>
      </c>
      <c r="AZ555" s="88">
        <f>AW555-(33.5+0.85+0.8+0.8)</f>
        <v>797.28320956907635</v>
      </c>
      <c r="BA555" s="88">
        <f t="shared" si="120"/>
        <v>43.39401671865042</v>
      </c>
    </row>
    <row r="556" spans="23:53">
      <c r="W556" s="9" t="str">
        <f t="shared" ca="1" si="118"/>
        <v/>
      </c>
      <c r="X556" s="40">
        <v>45331</v>
      </c>
      <c r="Y556" s="168">
        <f t="shared" si="109"/>
        <v>2</v>
      </c>
      <c r="Z556" s="44" t="s">
        <v>1145</v>
      </c>
      <c r="AA556" s="21"/>
      <c r="AB556" s="21"/>
      <c r="AC556" s="21"/>
      <c r="AF556" s="26">
        <f>25.1+27.3</f>
        <v>52.400000000000006</v>
      </c>
      <c r="AG556" s="9">
        <f>1.8+4</f>
        <v>5.8</v>
      </c>
      <c r="AH556" s="9">
        <f t="shared" si="110"/>
        <v>58.2</v>
      </c>
      <c r="AI556" s="9">
        <f t="shared" si="119"/>
        <v>31984.049999999985</v>
      </c>
      <c r="AJ556" s="14"/>
      <c r="AK556" s="14"/>
      <c r="AL556" s="14"/>
      <c r="AM556" s="14"/>
      <c r="AN556" s="166"/>
      <c r="AO556" s="166"/>
      <c r="AP556" s="14"/>
      <c r="AQ556" s="14"/>
      <c r="AZ556" s="88">
        <f>AZ555-AH556</f>
        <v>739.0832095690763</v>
      </c>
      <c r="BA556" s="88"/>
    </row>
    <row r="557" spans="23:53">
      <c r="W557" s="9" t="str">
        <f t="shared" ca="1" si="118"/>
        <v/>
      </c>
      <c r="X557" s="40">
        <v>45332</v>
      </c>
      <c r="Y557" s="168">
        <f t="shared" si="109"/>
        <v>2</v>
      </c>
      <c r="Z557" s="44" t="s">
        <v>1132</v>
      </c>
      <c r="AA557" s="21"/>
      <c r="AB557" s="21"/>
      <c r="AC557" s="21"/>
      <c r="AF557" s="26"/>
      <c r="AG557" s="9">
        <f>61+27+6.9+1.7+34.4+1.1+19.3+16.9</f>
        <v>168.3</v>
      </c>
      <c r="AH557" s="9">
        <f t="shared" si="110"/>
        <v>168.3</v>
      </c>
      <c r="AI557" s="9">
        <f t="shared" si="119"/>
        <v>32152.349999999984</v>
      </c>
      <c r="AJ557" s="14">
        <f>SUM(AH551:AH557)</f>
        <v>549.85</v>
      </c>
      <c r="AK557" s="14"/>
      <c r="AL557" s="14"/>
      <c r="AM557" s="14"/>
      <c r="AN557" s="166"/>
      <c r="AO557" s="166"/>
      <c r="AP557" s="14"/>
      <c r="AQ557" s="14"/>
      <c r="AZ557" s="88">
        <f t="shared" ref="AZ557:AZ565" si="121">AZ556-AH557</f>
        <v>570.78320956907623</v>
      </c>
      <c r="BA557" s="88"/>
    </row>
    <row r="558" spans="23:53">
      <c r="W558" s="9" t="str">
        <f t="shared" ca="1" si="118"/>
        <v/>
      </c>
      <c r="X558" s="40">
        <v>45333</v>
      </c>
      <c r="Y558" s="168">
        <f t="shared" si="109"/>
        <v>2</v>
      </c>
      <c r="Z558" s="44" t="s">
        <v>1134</v>
      </c>
      <c r="AA558" s="21"/>
      <c r="AB558" s="21"/>
      <c r="AC558" s="21"/>
      <c r="AF558" s="26"/>
      <c r="AG558" s="9">
        <f>5+4+29.6+3.7</f>
        <v>42.300000000000004</v>
      </c>
      <c r="AH558" s="9">
        <f t="shared" si="110"/>
        <v>42.300000000000004</v>
      </c>
      <c r="AI558" s="9">
        <f t="shared" si="119"/>
        <v>32194.649999999983</v>
      </c>
      <c r="AJ558" s="14"/>
      <c r="AK558" s="14"/>
      <c r="AL558" s="14"/>
      <c r="AM558" s="14"/>
      <c r="AN558" s="166"/>
      <c r="AO558" s="166"/>
      <c r="AP558" s="14"/>
      <c r="AQ558" s="14"/>
      <c r="AZ558" s="88">
        <f t="shared" si="121"/>
        <v>528.48320956907628</v>
      </c>
      <c r="BA558" s="88"/>
    </row>
    <row r="559" spans="23:53">
      <c r="W559" s="9" t="str">
        <f t="shared" ca="1" si="118"/>
        <v/>
      </c>
      <c r="X559" s="40">
        <v>45334</v>
      </c>
      <c r="Y559" s="168">
        <f t="shared" ref="Y559:Y611" si="122">MONTH(X559)</f>
        <v>2</v>
      </c>
      <c r="Z559" s="44" t="s">
        <v>1136</v>
      </c>
      <c r="AA559" s="21"/>
      <c r="AB559" s="21"/>
      <c r="AC559" s="21"/>
      <c r="AF559" s="114">
        <f>26.8+22.4</f>
        <v>49.2</v>
      </c>
      <c r="AG559" s="105">
        <f>1.9+1.9</f>
        <v>3.8</v>
      </c>
      <c r="AH559" s="9">
        <f t="shared" ref="AH559:AH611" si="123">AF559+AG559</f>
        <v>53</v>
      </c>
      <c r="AI559" s="9">
        <f t="shared" si="119"/>
        <v>32247.649999999983</v>
      </c>
      <c r="AJ559" s="14"/>
      <c r="AK559" s="14"/>
      <c r="AL559" s="14"/>
      <c r="AM559" s="14"/>
      <c r="AN559" s="166"/>
      <c r="AO559" s="166"/>
      <c r="AP559" s="14"/>
      <c r="AQ559" s="14"/>
      <c r="AZ559" s="88">
        <f t="shared" si="121"/>
        <v>475.48320956907628</v>
      </c>
    </row>
    <row r="560" spans="23:53">
      <c r="W560" s="9" t="str">
        <f t="shared" ca="1" si="118"/>
        <v/>
      </c>
      <c r="X560" s="40">
        <v>45335</v>
      </c>
      <c r="Y560" s="168">
        <f t="shared" si="122"/>
        <v>2</v>
      </c>
      <c r="Z560" s="44" t="s">
        <v>1138</v>
      </c>
      <c r="AA560" s="21"/>
      <c r="AB560" s="21"/>
      <c r="AC560" s="21"/>
      <c r="AF560" s="114">
        <f>25.1+24.7</f>
        <v>49.8</v>
      </c>
      <c r="AG560" s="227"/>
      <c r="AH560" s="9">
        <f t="shared" si="123"/>
        <v>49.8</v>
      </c>
      <c r="AI560" s="9">
        <f t="shared" si="119"/>
        <v>32297.449999999983</v>
      </c>
      <c r="AJ560" s="14"/>
      <c r="AK560" s="14"/>
      <c r="AL560" s="14"/>
      <c r="AM560" s="14"/>
      <c r="AN560" s="166"/>
      <c r="AO560" s="166"/>
      <c r="AP560" s="14"/>
      <c r="AQ560" s="14"/>
      <c r="AZ560" s="88">
        <f>AZ559-AH560</f>
        <v>425.68320956907627</v>
      </c>
    </row>
    <row r="561" spans="23:58">
      <c r="W561" s="9" t="str">
        <f t="shared" ca="1" si="118"/>
        <v/>
      </c>
      <c r="X561" s="40">
        <v>45336</v>
      </c>
      <c r="Y561" s="168">
        <f t="shared" si="122"/>
        <v>2</v>
      </c>
      <c r="Z561" s="44" t="s">
        <v>1140</v>
      </c>
      <c r="AA561" s="21"/>
      <c r="AB561" s="21"/>
      <c r="AC561" s="21"/>
      <c r="AF561" s="114">
        <f>25.1+25.7</f>
        <v>50.8</v>
      </c>
      <c r="AG561" s="105">
        <f>2.1+1.9</f>
        <v>4</v>
      </c>
      <c r="AH561" s="9">
        <f t="shared" si="123"/>
        <v>54.8</v>
      </c>
      <c r="AI561" s="9">
        <f t="shared" si="119"/>
        <v>32352.249999999982</v>
      </c>
      <c r="AJ561" s="14"/>
      <c r="AK561" s="14"/>
      <c r="AL561" s="14"/>
      <c r="AM561" s="14"/>
      <c r="AN561" s="166"/>
      <c r="AO561" s="166"/>
      <c r="AP561" s="14"/>
      <c r="AQ561" s="14"/>
      <c r="AZ561" s="88">
        <f t="shared" si="121"/>
        <v>370.88320956907626</v>
      </c>
    </row>
    <row r="562" spans="23:58">
      <c r="W562" s="9" t="str">
        <f t="shared" ca="1" si="118"/>
        <v/>
      </c>
      <c r="X562" s="40">
        <v>45337</v>
      </c>
      <c r="Y562" s="168">
        <f t="shared" si="122"/>
        <v>2</v>
      </c>
      <c r="Z562" s="44" t="s">
        <v>1143</v>
      </c>
      <c r="AA562" s="21"/>
      <c r="AB562" s="21"/>
      <c r="AC562" s="21"/>
      <c r="AF562" s="114">
        <f>25.3+25.3</f>
        <v>50.6</v>
      </c>
      <c r="AG562" s="227"/>
      <c r="AH562" s="9">
        <f t="shared" si="123"/>
        <v>50.6</v>
      </c>
      <c r="AI562" s="9">
        <f t="shared" si="119"/>
        <v>32402.84999999998</v>
      </c>
      <c r="AJ562" s="14"/>
      <c r="AK562" s="14"/>
      <c r="AL562" s="14"/>
      <c r="AM562" s="14"/>
      <c r="AN562" s="166"/>
      <c r="AO562" s="166"/>
      <c r="AP562" s="14"/>
      <c r="AQ562" s="14"/>
      <c r="AZ562" s="88">
        <f t="shared" si="121"/>
        <v>320.28320956907623</v>
      </c>
    </row>
    <row r="563" spans="23:58">
      <c r="W563" s="9" t="str">
        <f t="shared" ca="1" si="118"/>
        <v/>
      </c>
      <c r="X563" s="40">
        <v>45338</v>
      </c>
      <c r="Y563" s="168">
        <f t="shared" si="122"/>
        <v>2</v>
      </c>
      <c r="Z563" s="44" t="s">
        <v>1145</v>
      </c>
      <c r="AA563" s="21"/>
      <c r="AB563" s="21"/>
      <c r="AC563" s="21"/>
      <c r="AF563" s="114">
        <f>25.8+25.4</f>
        <v>51.2</v>
      </c>
      <c r="AG563" s="105">
        <f>35.2</f>
        <v>35.200000000000003</v>
      </c>
      <c r="AH563" s="9">
        <f t="shared" si="123"/>
        <v>86.4</v>
      </c>
      <c r="AI563" s="9">
        <f t="shared" si="119"/>
        <v>32489.249999999982</v>
      </c>
      <c r="AJ563" s="14"/>
      <c r="AK563" s="14"/>
      <c r="AL563" s="14"/>
      <c r="AM563" s="14"/>
      <c r="AN563" s="166"/>
      <c r="AO563" s="166"/>
      <c r="AP563" s="14"/>
      <c r="AQ563" s="14"/>
      <c r="AS563" s="14" t="s">
        <v>1207</v>
      </c>
      <c r="AT563" s="14"/>
      <c r="AU563" s="14"/>
      <c r="AV563" s="14"/>
      <c r="AW563" s="14"/>
      <c r="AX563" s="14"/>
      <c r="AZ563" s="88">
        <f t="shared" si="121"/>
        <v>233.88320956907623</v>
      </c>
    </row>
    <row r="564" spans="23:58">
      <c r="W564" s="9" t="str">
        <f t="shared" ca="1" si="118"/>
        <v/>
      </c>
      <c r="X564" s="40">
        <v>45339</v>
      </c>
      <c r="Y564" s="168">
        <f t="shared" si="122"/>
        <v>2</v>
      </c>
      <c r="Z564" s="44" t="s">
        <v>1132</v>
      </c>
      <c r="AA564" s="21"/>
      <c r="AB564" s="21"/>
      <c r="AC564" s="21"/>
      <c r="AF564" s="26"/>
      <c r="AG564" s="9">
        <f>30.2+4.4+1.5+2.4+7.5+9.4+12.3</f>
        <v>67.7</v>
      </c>
      <c r="AH564" s="9">
        <f t="shared" si="123"/>
        <v>67.7</v>
      </c>
      <c r="AI564" s="9">
        <f t="shared" si="119"/>
        <v>32556.949999999983</v>
      </c>
      <c r="AJ564" s="14">
        <f>SUM(AH558:AH564)</f>
        <v>404.6</v>
      </c>
      <c r="AK564" s="14"/>
      <c r="AL564" s="14"/>
      <c r="AM564" s="14"/>
      <c r="AN564" s="166"/>
      <c r="AO564" s="166"/>
      <c r="AP564" s="14"/>
      <c r="AQ564" s="14"/>
      <c r="AS564" s="9" t="s">
        <v>1208</v>
      </c>
      <c r="AT564" s="9" t="s">
        <v>1209</v>
      </c>
      <c r="AW564" s="9" t="s">
        <v>1210</v>
      </c>
      <c r="AX564" s="9" t="s">
        <v>1211</v>
      </c>
      <c r="AY564" s="9" t="s">
        <v>1215</v>
      </c>
      <c r="AZ564" s="88">
        <f t="shared" si="121"/>
        <v>166.18320956907621</v>
      </c>
    </row>
    <row r="565" spans="23:58">
      <c r="W565" s="9" t="str">
        <f t="shared" ca="1" si="118"/>
        <v/>
      </c>
      <c r="X565" s="40">
        <v>45340</v>
      </c>
      <c r="Y565" s="168">
        <f t="shared" si="122"/>
        <v>2</v>
      </c>
      <c r="Z565" s="44" t="s">
        <v>1134</v>
      </c>
      <c r="AA565" s="97">
        <v>60</v>
      </c>
      <c r="AB565" s="97"/>
      <c r="AC565" s="233">
        <v>1.498</v>
      </c>
      <c r="AD565" s="235">
        <f>AA565/AC565</f>
        <v>40.053404539385845</v>
      </c>
      <c r="AF565" s="26"/>
      <c r="AG565" s="9">
        <f>4+34.8+6+23.7</f>
        <v>68.5</v>
      </c>
      <c r="AH565" s="9">
        <f t="shared" si="123"/>
        <v>68.5</v>
      </c>
      <c r="AI565" s="9">
        <f t="shared" si="119"/>
        <v>32625.449999999983</v>
      </c>
      <c r="AJ565" s="14"/>
      <c r="AK565" s="14"/>
      <c r="AL565" s="14"/>
      <c r="AM565" s="14"/>
      <c r="AN565" s="166"/>
      <c r="AO565" s="166"/>
      <c r="AP565" s="14"/>
      <c r="AQ565" s="14"/>
      <c r="AS565" s="9">
        <f>AS555+(SUM(AH556:AH565))+4+34.8</f>
        <v>209202.47999999992</v>
      </c>
      <c r="AT565" s="9">
        <f>(AS565-AS555)+AY565</f>
        <v>738.39999999999418</v>
      </c>
      <c r="AU565" s="88">
        <f>AT565/AD555</f>
        <v>17.952434594234152</v>
      </c>
      <c r="AV565" s="88">
        <f>100/AU565</f>
        <v>5.5702751331631291</v>
      </c>
      <c r="AW565" s="88">
        <f>((+AD565)*$AX$4)+AX565</f>
        <v>744.49359329429205</v>
      </c>
      <c r="AX565" s="88">
        <f>AZ565-AY565</f>
        <v>97.683209569076212</v>
      </c>
      <c r="AY565" s="9">
        <v>0</v>
      </c>
      <c r="AZ565" s="88">
        <f t="shared" si="121"/>
        <v>97.683209569076212</v>
      </c>
      <c r="BA565" s="88">
        <f>AW565-(6+23.7)</f>
        <v>714.79359329429201</v>
      </c>
    </row>
    <row r="566" spans="23:58">
      <c r="W566" s="9" t="str">
        <f t="shared" ca="1" si="118"/>
        <v/>
      </c>
      <c r="X566" s="40">
        <v>45341</v>
      </c>
      <c r="Y566" s="168">
        <f t="shared" si="122"/>
        <v>2</v>
      </c>
      <c r="Z566" s="44" t="s">
        <v>1136</v>
      </c>
      <c r="AF566" s="26">
        <f>25.4+25.9</f>
        <v>51.3</v>
      </c>
      <c r="AG566" s="9">
        <f>2+2</f>
        <v>4</v>
      </c>
      <c r="AH566" s="9">
        <f t="shared" si="123"/>
        <v>55.3</v>
      </c>
      <c r="AI566" s="9">
        <f t="shared" si="119"/>
        <v>32680.749999999982</v>
      </c>
      <c r="AJ566" s="14"/>
      <c r="AK566" s="14"/>
      <c r="AL566" s="14"/>
      <c r="AM566" s="14"/>
      <c r="AN566" s="166"/>
      <c r="AO566" s="166"/>
      <c r="AP566" s="14"/>
      <c r="AQ566" s="14"/>
      <c r="AZ566" s="88"/>
      <c r="BA566" s="88">
        <f>BA565-AH566</f>
        <v>659.49359329429205</v>
      </c>
    </row>
    <row r="567" spans="23:58">
      <c r="W567" s="9" t="str">
        <f t="shared" ca="1" si="118"/>
        <v/>
      </c>
      <c r="X567" s="40">
        <v>45342</v>
      </c>
      <c r="Y567" s="168">
        <f t="shared" si="122"/>
        <v>2</v>
      </c>
      <c r="Z567" s="44" t="s">
        <v>1138</v>
      </c>
      <c r="AA567" s="21"/>
      <c r="AB567" s="21"/>
      <c r="AC567" s="21"/>
      <c r="AF567" s="114">
        <f>25.5+25.5</f>
        <v>51</v>
      </c>
      <c r="AG567" s="9">
        <f>0.45+0.45</f>
        <v>0.9</v>
      </c>
      <c r="AH567" s="9">
        <f t="shared" si="123"/>
        <v>51.9</v>
      </c>
      <c r="AI567" s="9">
        <f t="shared" si="119"/>
        <v>32732.649999999983</v>
      </c>
      <c r="AJ567" s="14"/>
      <c r="AK567" s="14"/>
      <c r="AL567" s="14"/>
      <c r="AM567" s="14"/>
      <c r="AN567" s="166"/>
      <c r="AO567" s="166"/>
      <c r="AP567" s="14"/>
      <c r="AQ567" s="14"/>
      <c r="BA567" s="88">
        <f t="shared" ref="BA567:BA575" si="124">BA566-AH567</f>
        <v>607.59359329429208</v>
      </c>
    </row>
    <row r="568" spans="23:58">
      <c r="W568" s="9" t="str">
        <f t="shared" ca="1" si="118"/>
        <v/>
      </c>
      <c r="X568" s="40">
        <v>45343</v>
      </c>
      <c r="Y568" s="168">
        <f t="shared" si="122"/>
        <v>2</v>
      </c>
      <c r="Z568" s="44" t="s">
        <v>1140</v>
      </c>
      <c r="AA568" s="21"/>
      <c r="AB568" s="21"/>
      <c r="AC568" s="21"/>
      <c r="AF568" s="114">
        <f>24.8+27.9</f>
        <v>52.7</v>
      </c>
      <c r="AH568" s="9">
        <f t="shared" si="123"/>
        <v>52.7</v>
      </c>
      <c r="AI568" s="9">
        <f t="shared" si="119"/>
        <v>32785.349999999984</v>
      </c>
      <c r="AJ568" s="14"/>
      <c r="AK568" s="14"/>
      <c r="AL568" s="14"/>
      <c r="AM568" s="14"/>
      <c r="AN568" s="166"/>
      <c r="AO568" s="166"/>
      <c r="AP568" s="14"/>
      <c r="AQ568" s="14"/>
      <c r="BA568" s="88">
        <f t="shared" si="124"/>
        <v>554.89359329429203</v>
      </c>
    </row>
    <row r="569" spans="23:58">
      <c r="W569" s="9" t="str">
        <f t="shared" ca="1" si="118"/>
        <v/>
      </c>
      <c r="X569" s="40">
        <v>45344</v>
      </c>
      <c r="Y569" s="168">
        <f t="shared" si="122"/>
        <v>2</v>
      </c>
      <c r="Z569" s="44" t="s">
        <v>1143</v>
      </c>
      <c r="AA569" s="21"/>
      <c r="AB569" s="21"/>
      <c r="AC569" s="21"/>
      <c r="AF569" s="114">
        <f>26.2+25.5</f>
        <v>51.7</v>
      </c>
      <c r="AG569" s="9">
        <f>1.4+2.3+0.35</f>
        <v>4.05</v>
      </c>
      <c r="AH569" s="9">
        <f t="shared" si="123"/>
        <v>55.75</v>
      </c>
      <c r="AI569" s="9">
        <f t="shared" si="119"/>
        <v>32841.099999999984</v>
      </c>
      <c r="AJ569" s="14"/>
      <c r="AK569" s="14"/>
      <c r="AL569" s="14"/>
      <c r="AM569" s="14"/>
      <c r="AN569" s="166"/>
      <c r="AO569" s="166"/>
      <c r="AP569" s="14"/>
      <c r="AQ569" s="14"/>
      <c r="BA569" s="88">
        <f t="shared" si="124"/>
        <v>499.14359329429203</v>
      </c>
    </row>
    <row r="570" spans="23:58">
      <c r="W570" s="9" t="str">
        <f t="shared" ca="1" si="118"/>
        <v/>
      </c>
      <c r="X570" s="40">
        <v>45345</v>
      </c>
      <c r="Y570" s="168">
        <f t="shared" si="122"/>
        <v>2</v>
      </c>
      <c r="Z570" s="44" t="s">
        <v>1145</v>
      </c>
      <c r="AA570" s="21"/>
      <c r="AB570" s="21"/>
      <c r="AC570" s="21"/>
      <c r="AF570" s="114">
        <f>25.3+25.3</f>
        <v>50.6</v>
      </c>
      <c r="AG570" s="105">
        <f>0.55+2.2</f>
        <v>2.75</v>
      </c>
      <c r="AH570" s="9">
        <f t="shared" si="123"/>
        <v>53.35</v>
      </c>
      <c r="AI570" s="9">
        <f t="shared" si="119"/>
        <v>32894.449999999983</v>
      </c>
      <c r="AJ570" s="14"/>
      <c r="AK570" s="14"/>
      <c r="AL570" s="14"/>
      <c r="AM570" s="14"/>
      <c r="AN570" s="166"/>
      <c r="AO570" s="166"/>
      <c r="AP570" s="14"/>
      <c r="AQ570" s="14"/>
      <c r="BA570" s="88">
        <f t="shared" si="124"/>
        <v>445.79359329429201</v>
      </c>
    </row>
    <row r="571" spans="23:58">
      <c r="W571" s="9" t="str">
        <f t="shared" ca="1" si="118"/>
        <v/>
      </c>
      <c r="X571" s="40">
        <v>45346</v>
      </c>
      <c r="Y571" s="168">
        <f t="shared" si="122"/>
        <v>2</v>
      </c>
      <c r="Z571" s="44" t="s">
        <v>1132</v>
      </c>
      <c r="AA571" s="21"/>
      <c r="AB571" s="21"/>
      <c r="AC571" s="21"/>
      <c r="AF571" s="230"/>
      <c r="AG571" s="105">
        <f>2.5+4.5+2.4+1.9+33.3</f>
        <v>44.599999999999994</v>
      </c>
      <c r="AH571" s="9">
        <f>AF571+AG571</f>
        <v>44.599999999999994</v>
      </c>
      <c r="AI571" s="9">
        <f t="shared" si="119"/>
        <v>32939.049999999981</v>
      </c>
      <c r="AJ571" s="14">
        <f>SUM(AH565:AH571)</f>
        <v>382.1</v>
      </c>
      <c r="AK571" s="14"/>
      <c r="AL571" s="14"/>
      <c r="AM571" s="14"/>
      <c r="AN571" s="166"/>
      <c r="AO571" s="166"/>
      <c r="AP571" s="14"/>
      <c r="AQ571" s="14"/>
      <c r="BA571" s="88">
        <f t="shared" si="124"/>
        <v>401.19359329429199</v>
      </c>
    </row>
    <row r="572" spans="23:58">
      <c r="W572" s="9" t="str">
        <f t="shared" ca="1" si="118"/>
        <v/>
      </c>
      <c r="X572" s="40">
        <v>45347</v>
      </c>
      <c r="Y572" s="168">
        <f t="shared" si="122"/>
        <v>2</v>
      </c>
      <c r="Z572" s="44" t="s">
        <v>1134</v>
      </c>
      <c r="AA572" s="21"/>
      <c r="AB572" s="21"/>
      <c r="AC572" s="21"/>
      <c r="AF572" s="230"/>
      <c r="AG572" s="105">
        <f>4.5+3.9+29.6+3.4</f>
        <v>41.4</v>
      </c>
      <c r="AH572" s="9">
        <f>AF572+AG572</f>
        <v>41.4</v>
      </c>
      <c r="AI572" s="9">
        <f t="shared" si="119"/>
        <v>32980.449999999983</v>
      </c>
      <c r="AJ572" s="14"/>
      <c r="AK572" s="14"/>
      <c r="AL572" s="14"/>
      <c r="AM572" s="14"/>
      <c r="AN572" s="166"/>
      <c r="AO572" s="166"/>
      <c r="AP572" s="14"/>
      <c r="AQ572" s="14"/>
      <c r="BA572" s="88">
        <f t="shared" si="124"/>
        <v>359.79359329429201</v>
      </c>
    </row>
    <row r="573" spans="23:58">
      <c r="W573" s="9" t="str">
        <f t="shared" ca="1" si="118"/>
        <v/>
      </c>
      <c r="X573" s="40">
        <v>45348</v>
      </c>
      <c r="Y573" s="168">
        <f t="shared" si="122"/>
        <v>2</v>
      </c>
      <c r="Z573" s="44" t="s">
        <v>1136</v>
      </c>
      <c r="AA573" s="21"/>
      <c r="AB573" s="21"/>
      <c r="AC573" s="21"/>
      <c r="AF573" s="114">
        <f>26.5+26.5</f>
        <v>53</v>
      </c>
      <c r="AG573" s="105">
        <f>1.2+2.2</f>
        <v>3.4000000000000004</v>
      </c>
      <c r="AH573" s="9">
        <f t="shared" si="123"/>
        <v>56.4</v>
      </c>
      <c r="AI573" s="9">
        <f t="shared" si="119"/>
        <v>33036.849999999984</v>
      </c>
      <c r="AJ573" s="14"/>
      <c r="AK573" s="14" t="s">
        <v>1077</v>
      </c>
      <c r="AL573" s="14" t="s">
        <v>1204</v>
      </c>
      <c r="AM573" s="14" t="s">
        <v>1205</v>
      </c>
      <c r="AN573" s="166" t="s">
        <v>1069</v>
      </c>
      <c r="AO573" s="166" t="s">
        <v>1206</v>
      </c>
      <c r="AP573" s="14"/>
      <c r="AQ573" s="14"/>
      <c r="AS573" s="14" t="s">
        <v>1207</v>
      </c>
      <c r="AT573" s="14"/>
      <c r="AU573" s="14"/>
      <c r="AV573" s="14"/>
      <c r="AW573" s="14"/>
      <c r="AX573" s="14"/>
      <c r="BA573" s="88">
        <f t="shared" si="124"/>
        <v>303.39359329429203</v>
      </c>
    </row>
    <row r="574" spans="23:58">
      <c r="W574" s="9" t="str">
        <f t="shared" ca="1" si="118"/>
        <v/>
      </c>
      <c r="X574" s="39">
        <v>45349</v>
      </c>
      <c r="Y574" s="179">
        <f t="shared" si="122"/>
        <v>2</v>
      </c>
      <c r="Z574" s="107" t="s">
        <v>1138</v>
      </c>
      <c r="AA574" s="68"/>
      <c r="AB574" s="68"/>
      <c r="AC574" s="68"/>
      <c r="AD574" s="22"/>
      <c r="AE574" s="22"/>
      <c r="AF574" s="116">
        <f>25.7+25.7</f>
        <v>51.4</v>
      </c>
      <c r="AG574" s="106">
        <f>0.45+0.45</f>
        <v>0.9</v>
      </c>
      <c r="AH574" s="22">
        <f t="shared" si="123"/>
        <v>52.3</v>
      </c>
      <c r="AI574" s="22">
        <f t="shared" si="119"/>
        <v>33089.149999999987</v>
      </c>
      <c r="AJ574" s="22"/>
      <c r="AK574" s="1372">
        <f>SUM(AH544:AH574)</f>
        <v>1991.53</v>
      </c>
      <c r="AL574" s="1372">
        <f>SUM(AF544:AF574)</f>
        <v>1132.6000000000001</v>
      </c>
      <c r="AM574" s="1372">
        <f>SUM(AG544:AG574)</f>
        <v>858.92999999999984</v>
      </c>
      <c r="AN574" s="219">
        <f>SUM(AD544:AD574)</f>
        <v>134.90019120856621</v>
      </c>
      <c r="AO574" s="182">
        <f>AK574/AN574</f>
        <v>14.762988711564828</v>
      </c>
      <c r="AP574" s="183">
        <f>SUM(AA544:AB574)/SUM(AD544:AD574)</f>
        <v>1.489026799742925</v>
      </c>
      <c r="AQ574" s="184">
        <f>(AP574/AO574)*(SUM(AH544:AH574))</f>
        <v>200.87</v>
      </c>
      <c r="AS574" s="9" t="s">
        <v>1208</v>
      </c>
      <c r="AT574" s="9" t="s">
        <v>1209</v>
      </c>
      <c r="AW574" s="9" t="s">
        <v>1210</v>
      </c>
      <c r="AX574" s="9" t="s">
        <v>1211</v>
      </c>
      <c r="AY574" s="9" t="s">
        <v>1215</v>
      </c>
      <c r="BA574" s="88">
        <f t="shared" si="124"/>
        <v>251.09359329429202</v>
      </c>
    </row>
    <row r="575" spans="23:58">
      <c r="W575" s="9" t="str">
        <f t="shared" ca="1" si="118"/>
        <v/>
      </c>
      <c r="X575" s="40">
        <v>45350</v>
      </c>
      <c r="Y575" s="168">
        <f t="shared" si="122"/>
        <v>2</v>
      </c>
      <c r="Z575" s="44" t="s">
        <v>1140</v>
      </c>
      <c r="AA575" s="233">
        <v>65</v>
      </c>
      <c r="AB575" s="233"/>
      <c r="AC575" s="233">
        <v>1.5229999999999999</v>
      </c>
      <c r="AD575" s="235">
        <f>AA575/AC575</f>
        <v>42.67892317793828</v>
      </c>
      <c r="AF575" s="114">
        <f>25.7+36.3</f>
        <v>62</v>
      </c>
      <c r="AG575" s="105">
        <f>27.4+3.8+26.4+30.6</f>
        <v>88.199999999999989</v>
      </c>
      <c r="AH575" s="9">
        <f t="shared" si="123"/>
        <v>150.19999999999999</v>
      </c>
      <c r="AI575" s="9">
        <f t="shared" si="119"/>
        <v>33239.349999999984</v>
      </c>
      <c r="AJ575" s="14"/>
      <c r="AK575" s="14"/>
      <c r="AL575" s="14"/>
      <c r="AM575" s="14"/>
      <c r="AN575" s="166"/>
      <c r="AO575" s="166"/>
      <c r="AP575" s="14"/>
      <c r="AQ575" s="14"/>
      <c r="AS575" s="9">
        <f>AS565+(SUM(AH565:AH574))+AF575</f>
        <v>209796.67999999993</v>
      </c>
      <c r="AT575" s="9">
        <f>(AS575-AS565)+AY575</f>
        <v>669.20000000001164</v>
      </c>
      <c r="AU575" s="88">
        <f>AT575/AD565</f>
        <v>16.707693333333626</v>
      </c>
      <c r="AV575" s="88">
        <f>100/AU575</f>
        <v>5.9852666675710022</v>
      </c>
      <c r="AW575" s="88">
        <f>((+AD575)*$AX$4)+AX575</f>
        <v>715.10268788090048</v>
      </c>
      <c r="AX575" s="88">
        <f>BA575-AY575</f>
        <v>25.893593294292032</v>
      </c>
      <c r="AY575" s="9">
        <v>75</v>
      </c>
      <c r="AZ575" s="88">
        <f>AW575-(AG575)</f>
        <v>626.90268788090043</v>
      </c>
      <c r="BA575" s="88">
        <f t="shared" si="124"/>
        <v>100.89359329429203</v>
      </c>
      <c r="BE575" s="37">
        <f>SUM(AA543:AB574)</f>
        <v>206.49</v>
      </c>
      <c r="BF575" s="37">
        <f>BE575/SUM(AD543:AD574)</f>
        <v>1.4987435328367587</v>
      </c>
    </row>
    <row r="576" spans="23:58">
      <c r="W576" s="9" t="str">
        <f t="shared" ca="1" si="118"/>
        <v/>
      </c>
      <c r="X576" s="40">
        <v>45351</v>
      </c>
      <c r="Y576" s="168">
        <f t="shared" si="122"/>
        <v>2</v>
      </c>
      <c r="Z576" s="44" t="s">
        <v>1143</v>
      </c>
      <c r="AA576" s="236"/>
      <c r="AB576" s="236"/>
      <c r="AC576" s="236"/>
      <c r="AD576" s="227"/>
      <c r="AF576" s="114">
        <v>51.4</v>
      </c>
      <c r="AH576" s="9">
        <f t="shared" si="123"/>
        <v>51.4</v>
      </c>
      <c r="AI576" s="9">
        <f t="shared" si="119"/>
        <v>33290.749999999985</v>
      </c>
      <c r="AJ576" s="14"/>
      <c r="AK576" s="14"/>
      <c r="AL576" s="14"/>
      <c r="AM576" s="14"/>
      <c r="AN576" s="166"/>
      <c r="AO576" s="166"/>
      <c r="AP576" s="14"/>
      <c r="AQ576" s="14"/>
      <c r="AZ576" s="88">
        <f>AZ575-AH576</f>
        <v>575.50268788090045</v>
      </c>
    </row>
    <row r="577" spans="23:53">
      <c r="W577" s="9" t="str">
        <f t="shared" ca="1" si="118"/>
        <v/>
      </c>
      <c r="X577" s="40">
        <v>45352</v>
      </c>
      <c r="Y577" s="168">
        <f t="shared" si="122"/>
        <v>3</v>
      </c>
      <c r="Z577" s="44" t="s">
        <v>1145</v>
      </c>
      <c r="AA577" s="236"/>
      <c r="AB577" s="236"/>
      <c r="AC577" s="236"/>
      <c r="AD577" s="227"/>
      <c r="AF577" s="114">
        <v>50.6</v>
      </c>
      <c r="AG577" s="9">
        <f>35.5</f>
        <v>35.5</v>
      </c>
      <c r="AH577" s="9">
        <f t="shared" si="123"/>
        <v>86.1</v>
      </c>
      <c r="AI577" s="9">
        <f t="shared" si="119"/>
        <v>33376.849999999984</v>
      </c>
      <c r="AJ577" s="14"/>
      <c r="AK577" s="14"/>
      <c r="AL577" s="14"/>
      <c r="AM577" s="14"/>
      <c r="AN577" s="166"/>
      <c r="AO577" s="166"/>
      <c r="AP577" s="14"/>
      <c r="AQ577" s="14"/>
      <c r="AZ577" s="88">
        <f t="shared" ref="AZ577:AZ584" si="125">AZ576-AH577</f>
        <v>489.40268788090043</v>
      </c>
    </row>
    <row r="578" spans="23:53">
      <c r="W578" s="9" t="str">
        <f t="shared" ca="1" si="118"/>
        <v/>
      </c>
      <c r="X578" s="40">
        <v>45353</v>
      </c>
      <c r="Y578" s="168">
        <f t="shared" si="122"/>
        <v>3</v>
      </c>
      <c r="Z578" s="44" t="s">
        <v>1132</v>
      </c>
      <c r="AA578" s="236"/>
      <c r="AB578" s="236"/>
      <c r="AC578" s="236"/>
      <c r="AD578" s="227"/>
      <c r="AF578" s="26"/>
      <c r="AG578" s="9">
        <f>30.2+4.3+1.7+14.4+14.1+5.2</f>
        <v>69.900000000000006</v>
      </c>
      <c r="AH578" s="9">
        <f t="shared" si="123"/>
        <v>69.900000000000006</v>
      </c>
      <c r="AI578" s="9">
        <f t="shared" si="119"/>
        <v>33446.749999999985</v>
      </c>
      <c r="AJ578" s="14">
        <f>SUM(AH572:AH578)</f>
        <v>507.69999999999993</v>
      </c>
      <c r="AK578" s="14"/>
      <c r="AL578" s="14"/>
      <c r="AM578" s="14"/>
      <c r="AN578" s="166"/>
      <c r="AO578" s="166"/>
      <c r="AP578" s="14"/>
      <c r="AQ578" s="14"/>
      <c r="AZ578" s="88">
        <f t="shared" si="125"/>
        <v>419.50268788090045</v>
      </c>
    </row>
    <row r="579" spans="23:53">
      <c r="W579" s="9" t="str">
        <f t="shared" ca="1" si="118"/>
        <v/>
      </c>
      <c r="X579" s="40">
        <v>45354</v>
      </c>
      <c r="Y579" s="168">
        <f t="shared" si="122"/>
        <v>3</v>
      </c>
      <c r="Z579" s="44" t="s">
        <v>1134</v>
      </c>
      <c r="AA579" s="236"/>
      <c r="AB579" s="236"/>
      <c r="AC579" s="236"/>
      <c r="AD579" s="227"/>
      <c r="AF579" s="26"/>
      <c r="AG579" s="9">
        <f>22.9+1.9+12.6+16.9+3.4+1.4</f>
        <v>59.099999999999994</v>
      </c>
      <c r="AH579" s="9">
        <f t="shared" si="123"/>
        <v>59.099999999999994</v>
      </c>
      <c r="AI579" s="9">
        <f t="shared" si="119"/>
        <v>33505.849999999984</v>
      </c>
      <c r="AJ579" s="14"/>
      <c r="AK579" s="14"/>
      <c r="AL579" s="14"/>
      <c r="AM579" s="14"/>
      <c r="AN579" s="166"/>
      <c r="AO579" s="166"/>
      <c r="AP579" s="14"/>
      <c r="AQ579" s="14"/>
      <c r="AZ579" s="88">
        <f t="shared" si="125"/>
        <v>360.40268788090043</v>
      </c>
    </row>
    <row r="580" spans="23:53">
      <c r="W580" s="9" t="str">
        <f t="shared" ca="1" si="118"/>
        <v/>
      </c>
      <c r="X580" s="40">
        <v>45355</v>
      </c>
      <c r="Y580" s="168">
        <f t="shared" si="122"/>
        <v>3</v>
      </c>
      <c r="Z580" s="44" t="s">
        <v>1136</v>
      </c>
      <c r="AA580" s="236"/>
      <c r="AB580" s="236"/>
      <c r="AC580" s="236"/>
      <c r="AD580" s="227"/>
      <c r="AF580" s="114">
        <f>28.2+27.2</f>
        <v>55.4</v>
      </c>
      <c r="AG580" s="9">
        <f>3.5+1.7</f>
        <v>5.2</v>
      </c>
      <c r="AH580" s="9">
        <f t="shared" si="123"/>
        <v>60.6</v>
      </c>
      <c r="AI580" s="9">
        <f t="shared" si="119"/>
        <v>33566.449999999983</v>
      </c>
      <c r="AJ580" s="14"/>
      <c r="AK580" s="14"/>
      <c r="AL580" s="14"/>
      <c r="AM580" s="14"/>
      <c r="AN580" s="166"/>
      <c r="AO580" s="166"/>
      <c r="AP580" s="14"/>
      <c r="AQ580" s="14"/>
      <c r="AZ580" s="88">
        <f t="shared" si="125"/>
        <v>299.80268788090041</v>
      </c>
    </row>
    <row r="581" spans="23:53">
      <c r="W581" s="9" t="str">
        <f t="shared" ca="1" si="118"/>
        <v/>
      </c>
      <c r="X581" s="40">
        <v>45356</v>
      </c>
      <c r="Y581" s="168">
        <f t="shared" si="122"/>
        <v>3</v>
      </c>
      <c r="Z581" s="44" t="s">
        <v>1138</v>
      </c>
      <c r="AA581" s="236"/>
      <c r="AB581" s="236"/>
      <c r="AC581" s="236"/>
      <c r="AD581" s="227"/>
      <c r="AF581" s="114">
        <f>55</f>
        <v>55</v>
      </c>
      <c r="AH581" s="9">
        <f t="shared" si="123"/>
        <v>55</v>
      </c>
      <c r="AI581" s="9">
        <f t="shared" si="119"/>
        <v>33621.449999999983</v>
      </c>
      <c r="AJ581" s="14"/>
      <c r="AK581" s="14"/>
      <c r="AL581" s="14"/>
      <c r="AM581" s="14"/>
      <c r="AN581" s="166"/>
      <c r="AO581" s="166"/>
      <c r="AP581" s="14"/>
      <c r="AQ581" s="14"/>
      <c r="AZ581" s="88">
        <f t="shared" si="125"/>
        <v>244.80268788090041</v>
      </c>
    </row>
    <row r="582" spans="23:53">
      <c r="W582" s="9" t="str">
        <f t="shared" ca="1" si="118"/>
        <v/>
      </c>
      <c r="X582" s="40">
        <v>45357</v>
      </c>
      <c r="Y582" s="168">
        <f t="shared" si="122"/>
        <v>3</v>
      </c>
      <c r="Z582" s="44" t="s">
        <v>1140</v>
      </c>
      <c r="AA582" s="236"/>
      <c r="AB582" s="236"/>
      <c r="AC582" s="236"/>
      <c r="AD582" s="227"/>
      <c r="AF582" s="114">
        <f>55</f>
        <v>55</v>
      </c>
      <c r="AG582" s="9">
        <f>2.6</f>
        <v>2.6</v>
      </c>
      <c r="AH582" s="9">
        <f t="shared" si="123"/>
        <v>57.6</v>
      </c>
      <c r="AI582" s="9">
        <f t="shared" si="119"/>
        <v>33679.049999999981</v>
      </c>
      <c r="AJ582" s="14"/>
      <c r="AK582" s="14"/>
      <c r="AL582" s="14"/>
      <c r="AM582" s="14"/>
      <c r="AN582" s="166"/>
      <c r="AO582" s="166"/>
      <c r="AP582" s="14"/>
      <c r="AQ582" s="14"/>
      <c r="AZ582" s="88">
        <f t="shared" si="125"/>
        <v>187.20268788090041</v>
      </c>
    </row>
    <row r="583" spans="23:53">
      <c r="W583" s="9" t="str">
        <f t="shared" ca="1" si="118"/>
        <v/>
      </c>
      <c r="X583" s="40">
        <v>45358</v>
      </c>
      <c r="Y583" s="168">
        <f t="shared" si="122"/>
        <v>3</v>
      </c>
      <c r="Z583" s="44" t="s">
        <v>1143</v>
      </c>
      <c r="AA583" s="236"/>
      <c r="AB583" s="236"/>
      <c r="AC583" s="236"/>
      <c r="AD583" s="227"/>
      <c r="AF583" s="114">
        <f>55</f>
        <v>55</v>
      </c>
      <c r="AG583" s="9">
        <f>1.5</f>
        <v>1.5</v>
      </c>
      <c r="AH583" s="9">
        <f t="shared" si="123"/>
        <v>56.5</v>
      </c>
      <c r="AI583" s="9">
        <f t="shared" si="119"/>
        <v>33735.549999999981</v>
      </c>
      <c r="AJ583" s="14"/>
      <c r="AK583" s="14"/>
      <c r="AL583" s="14"/>
      <c r="AM583" s="14"/>
      <c r="AN583" s="166"/>
      <c r="AO583" s="166"/>
      <c r="AP583" s="14"/>
      <c r="AQ583" s="14"/>
      <c r="AS583" s="14" t="s">
        <v>1207</v>
      </c>
      <c r="AT583" s="14"/>
      <c r="AU583" s="14"/>
      <c r="AV583" s="14"/>
      <c r="AW583" s="14"/>
      <c r="AX583" s="14"/>
      <c r="AZ583" s="88">
        <f t="shared" si="125"/>
        <v>130.70268788090041</v>
      </c>
    </row>
    <row r="584" spans="23:53">
      <c r="W584" s="9" t="str">
        <f t="shared" ca="1" si="118"/>
        <v/>
      </c>
      <c r="X584" s="40">
        <v>45359</v>
      </c>
      <c r="Y584" s="168">
        <f t="shared" si="122"/>
        <v>3</v>
      </c>
      <c r="Z584" s="44" t="s">
        <v>1145</v>
      </c>
      <c r="AA584" s="236"/>
      <c r="AB584" s="236"/>
      <c r="AC584" s="236"/>
      <c r="AD584" s="227"/>
      <c r="AF584" s="114">
        <f>55</f>
        <v>55</v>
      </c>
      <c r="AG584" s="9">
        <f>5.1+5.1</f>
        <v>10.199999999999999</v>
      </c>
      <c r="AH584" s="9">
        <f t="shared" si="123"/>
        <v>65.2</v>
      </c>
      <c r="AI584" s="9">
        <f t="shared" si="119"/>
        <v>33800.749999999978</v>
      </c>
      <c r="AJ584" s="14"/>
      <c r="AK584" s="14"/>
      <c r="AL584" s="14"/>
      <c r="AM584" s="14"/>
      <c r="AN584" s="166"/>
      <c r="AO584" s="166"/>
      <c r="AP584" s="14"/>
      <c r="AQ584" s="14"/>
      <c r="AS584" s="9" t="s">
        <v>1208</v>
      </c>
      <c r="AT584" s="9" t="s">
        <v>1209</v>
      </c>
      <c r="AW584" s="9" t="s">
        <v>1210</v>
      </c>
      <c r="AX584" s="9" t="s">
        <v>1211</v>
      </c>
      <c r="AY584" s="9" t="s">
        <v>1215</v>
      </c>
      <c r="AZ584" s="88">
        <f t="shared" si="125"/>
        <v>65.50268788090041</v>
      </c>
    </row>
    <row r="585" spans="23:53">
      <c r="W585" s="9" t="str">
        <f t="shared" ca="1" si="118"/>
        <v/>
      </c>
      <c r="X585" s="40">
        <v>45360</v>
      </c>
      <c r="Y585" s="168">
        <f t="shared" si="122"/>
        <v>3</v>
      </c>
      <c r="Z585" s="44" t="s">
        <v>1132</v>
      </c>
      <c r="AA585" s="233">
        <v>65.02</v>
      </c>
      <c r="AB585" s="233"/>
      <c r="AC585" s="233">
        <v>1.5229999999999999</v>
      </c>
      <c r="AD585" s="234">
        <f t="shared" ref="AD585:AD595" si="126">AA585/AC585</f>
        <v>42.692055154300725</v>
      </c>
      <c r="AF585" s="26"/>
      <c r="AG585" s="9">
        <f>30.3+29.2+27.1+21.2+3.1+12.9+2.5</f>
        <v>126.3</v>
      </c>
      <c r="AH585" s="9">
        <f t="shared" si="123"/>
        <v>126.3</v>
      </c>
      <c r="AI585" s="9">
        <f t="shared" si="119"/>
        <v>33927.049999999981</v>
      </c>
      <c r="AJ585" s="14">
        <f>SUM(AH579:AH585)</f>
        <v>480.29999999999995</v>
      </c>
      <c r="AK585" s="14"/>
      <c r="AL585" s="14"/>
      <c r="AM585" s="14"/>
      <c r="AN585" s="166"/>
      <c r="AO585" s="166"/>
      <c r="AP585" s="14"/>
      <c r="AQ585" s="14"/>
      <c r="AS585" s="9">
        <f>AS575+(SUM(AH576:AH584))+AG585-30.3</f>
        <v>210454.07999999993</v>
      </c>
      <c r="AT585" s="9">
        <f>AS585-AS575+AY585</f>
        <v>707.39999999999418</v>
      </c>
      <c r="AU585" s="88">
        <f>AT585/AD575</f>
        <v>16.574926153846018</v>
      </c>
      <c r="AV585" s="88">
        <f>100/AU585</f>
        <v>6.0332093833670664</v>
      </c>
      <c r="AW585" s="88">
        <f>((+AD585)*$AX$4)+AX585</f>
        <v>674.62384680430466</v>
      </c>
      <c r="AX585" s="88">
        <f>AZ585-AY585</f>
        <v>-14.797312119099587</v>
      </c>
      <c r="AY585" s="9">
        <v>50</v>
      </c>
      <c r="AZ585" s="88">
        <f>AZ584-30.3</f>
        <v>35.202687880900413</v>
      </c>
      <c r="BA585" s="88">
        <f>AW585-(6+23.7)</f>
        <v>644.92384680430462</v>
      </c>
    </row>
    <row r="586" spans="23:53">
      <c r="W586" s="9" t="str">
        <f t="shared" ca="1" si="118"/>
        <v/>
      </c>
      <c r="X586" s="40">
        <v>45361</v>
      </c>
      <c r="Y586" s="168">
        <f t="shared" si="122"/>
        <v>3</v>
      </c>
      <c r="Z586" s="44" t="s">
        <v>1134</v>
      </c>
      <c r="AA586" s="236"/>
      <c r="AB586" s="236"/>
      <c r="AC586" s="236"/>
      <c r="AD586" s="227"/>
      <c r="AF586" s="230"/>
      <c r="AG586" s="9">
        <f>9.6+14+3.4</f>
        <v>27</v>
      </c>
      <c r="AH586" s="9">
        <f t="shared" si="123"/>
        <v>27</v>
      </c>
      <c r="AI586" s="9">
        <f t="shared" si="119"/>
        <v>33954.049999999981</v>
      </c>
      <c r="AJ586" s="14"/>
      <c r="AK586" s="14"/>
      <c r="AL586" s="14"/>
      <c r="AM586" s="14"/>
      <c r="AN586" s="166"/>
      <c r="AO586" s="166"/>
      <c r="AP586" s="14"/>
      <c r="AQ586" s="14"/>
      <c r="AZ586" s="88"/>
      <c r="BA586" s="88">
        <f>BA585-AH586</f>
        <v>617.92384680430462</v>
      </c>
    </row>
    <row r="587" spans="23:53">
      <c r="W587" s="9" t="str">
        <f t="shared" ca="1" si="118"/>
        <v/>
      </c>
      <c r="X587" s="40">
        <v>45362</v>
      </c>
      <c r="Y587" s="168">
        <f t="shared" si="122"/>
        <v>3</v>
      </c>
      <c r="Z587" s="44" t="s">
        <v>1136</v>
      </c>
      <c r="AA587" s="236"/>
      <c r="AB587" s="236"/>
      <c r="AC587" s="236"/>
      <c r="AD587" s="227"/>
      <c r="AF587" s="114">
        <f>26.1+31.4</f>
        <v>57.5</v>
      </c>
      <c r="AG587" s="105">
        <f>14.7+1.9</f>
        <v>16.599999999999998</v>
      </c>
      <c r="AH587" s="9">
        <f t="shared" si="123"/>
        <v>74.099999999999994</v>
      </c>
      <c r="AI587" s="9">
        <f t="shared" si="119"/>
        <v>34028.14999999998</v>
      </c>
      <c r="AJ587" s="14"/>
      <c r="AK587" s="14"/>
      <c r="AL587" s="14"/>
      <c r="AM587" s="14"/>
      <c r="AN587" s="166"/>
      <c r="AO587" s="166"/>
      <c r="AP587" s="14"/>
      <c r="AQ587" s="14"/>
      <c r="AZ587" s="88"/>
      <c r="BA587" s="88">
        <f t="shared" ref="BA587:BA594" si="127">BA586-AH587</f>
        <v>543.82384680430459</v>
      </c>
    </row>
    <row r="588" spans="23:53">
      <c r="W588" s="9" t="str">
        <f t="shared" ca="1" si="118"/>
        <v/>
      </c>
      <c r="X588" s="40">
        <v>45363</v>
      </c>
      <c r="Y588" s="168">
        <f t="shared" si="122"/>
        <v>3</v>
      </c>
      <c r="Z588" s="44" t="s">
        <v>1138</v>
      </c>
      <c r="AA588" s="236"/>
      <c r="AB588" s="236"/>
      <c r="AC588" s="236"/>
      <c r="AD588" s="227"/>
      <c r="AF588" s="114">
        <f>23.6+24.6</f>
        <v>48.2</v>
      </c>
      <c r="AG588" s="105">
        <f>34.5</f>
        <v>34.5</v>
      </c>
      <c r="AH588" s="9">
        <f t="shared" si="123"/>
        <v>82.7</v>
      </c>
      <c r="AI588" s="9">
        <f t="shared" si="119"/>
        <v>34110.849999999977</v>
      </c>
      <c r="AJ588" s="14"/>
      <c r="AK588" s="14"/>
      <c r="AL588" s="14"/>
      <c r="AM588" s="14"/>
      <c r="AN588" s="166"/>
      <c r="AO588" s="166"/>
      <c r="AP588" s="14"/>
      <c r="AQ588" s="14"/>
      <c r="AZ588" s="88"/>
      <c r="BA588" s="88">
        <f t="shared" si="127"/>
        <v>461.12384680430461</v>
      </c>
    </row>
    <row r="589" spans="23:53">
      <c r="W589" s="9" t="str">
        <f t="shared" ca="1" si="118"/>
        <v/>
      </c>
      <c r="X589" s="40">
        <v>45364</v>
      </c>
      <c r="Y589" s="168">
        <f t="shared" si="122"/>
        <v>3</v>
      </c>
      <c r="Z589" s="44" t="s">
        <v>1140</v>
      </c>
      <c r="AA589" s="236"/>
      <c r="AB589" s="236"/>
      <c r="AC589" s="236"/>
      <c r="AD589" s="227"/>
      <c r="AF589" s="230"/>
      <c r="AG589" s="227"/>
      <c r="AH589" s="9">
        <f t="shared" si="123"/>
        <v>0</v>
      </c>
      <c r="AI589" s="9">
        <f t="shared" si="119"/>
        <v>34110.849999999977</v>
      </c>
      <c r="AJ589" s="14"/>
      <c r="AK589" s="14"/>
      <c r="AL589" s="14"/>
      <c r="AM589" s="14"/>
      <c r="AN589" s="166"/>
      <c r="AO589" s="166"/>
      <c r="AP589" s="14"/>
      <c r="AQ589" s="14"/>
      <c r="BA589" s="88">
        <f t="shared" si="127"/>
        <v>461.12384680430461</v>
      </c>
    </row>
    <row r="590" spans="23:53">
      <c r="W590" s="9" t="str">
        <f t="shared" ca="1" si="118"/>
        <v/>
      </c>
      <c r="X590" s="40">
        <v>45365</v>
      </c>
      <c r="Y590" s="168">
        <f t="shared" si="122"/>
        <v>3</v>
      </c>
      <c r="Z590" s="44" t="s">
        <v>1143</v>
      </c>
      <c r="AA590" s="236"/>
      <c r="AB590" s="236"/>
      <c r="AC590" s="236"/>
      <c r="AD590" s="227"/>
      <c r="AF590" s="230"/>
      <c r="AG590" s="105">
        <v>41.8</v>
      </c>
      <c r="AH590" s="9">
        <f t="shared" si="123"/>
        <v>41.8</v>
      </c>
      <c r="AI590" s="9">
        <f t="shared" si="119"/>
        <v>34152.64999999998</v>
      </c>
      <c r="AJ590" s="14"/>
      <c r="AK590" s="14"/>
      <c r="AL590" s="14"/>
      <c r="AM590" s="14"/>
      <c r="AN590" s="166"/>
      <c r="AO590" s="166"/>
      <c r="AP590" s="14"/>
      <c r="AQ590" s="14"/>
      <c r="BA590" s="88">
        <f t="shared" si="127"/>
        <v>419.32384680430459</v>
      </c>
    </row>
    <row r="591" spans="23:53">
      <c r="W591" s="9" t="str">
        <f t="shared" ca="1" si="118"/>
        <v/>
      </c>
      <c r="X591" s="40">
        <v>45366</v>
      </c>
      <c r="Y591" s="168">
        <f t="shared" si="122"/>
        <v>3</v>
      </c>
      <c r="Z591" s="44" t="s">
        <v>1145</v>
      </c>
      <c r="AA591" s="236"/>
      <c r="AB591" s="236"/>
      <c r="AC591" s="236"/>
      <c r="AD591" s="227"/>
      <c r="AF591" s="114">
        <f>24.5+23.6</f>
        <v>48.1</v>
      </c>
      <c r="AG591" s="105">
        <f>2+35.1</f>
        <v>37.1</v>
      </c>
      <c r="AH591" s="9">
        <f t="shared" si="123"/>
        <v>85.2</v>
      </c>
      <c r="AI591" s="9">
        <f t="shared" si="119"/>
        <v>34237.849999999977</v>
      </c>
      <c r="AJ591" s="14"/>
      <c r="AK591" s="14"/>
      <c r="AL591" s="14"/>
      <c r="AM591" s="14"/>
      <c r="AN591" s="166"/>
      <c r="AO591" s="166"/>
      <c r="AP591" s="14"/>
      <c r="AQ591" s="14"/>
      <c r="BA591" s="88">
        <f t="shared" si="127"/>
        <v>334.12384680430461</v>
      </c>
    </row>
    <row r="592" spans="23:53">
      <c r="W592" s="9" t="str">
        <f t="shared" ca="1" si="118"/>
        <v/>
      </c>
      <c r="X592" s="40">
        <v>45367</v>
      </c>
      <c r="Y592" s="168">
        <f t="shared" si="122"/>
        <v>3</v>
      </c>
      <c r="Z592" s="44" t="s">
        <v>1132</v>
      </c>
      <c r="AA592" s="236"/>
      <c r="AB592" s="236"/>
      <c r="AC592" s="236"/>
      <c r="AD592" s="227"/>
      <c r="AF592" s="230"/>
      <c r="AG592" s="105">
        <f>1.2+42.4+7.1+3+2.6+5.8+9.1</f>
        <v>71.2</v>
      </c>
      <c r="AH592" s="9">
        <f t="shared" si="123"/>
        <v>71.2</v>
      </c>
      <c r="AI592" s="9">
        <f t="shared" si="119"/>
        <v>34309.049999999974</v>
      </c>
      <c r="AJ592" s="14">
        <f>SUM(AH586:AH592)</f>
        <v>382</v>
      </c>
      <c r="AK592" s="14"/>
      <c r="AL592" s="14"/>
      <c r="AM592" s="14"/>
      <c r="AN592" s="166"/>
      <c r="AO592" s="166"/>
      <c r="AP592" s="14"/>
      <c r="AQ592" s="14"/>
      <c r="BA592" s="88">
        <f t="shared" si="127"/>
        <v>262.92384680430462</v>
      </c>
    </row>
    <row r="593" spans="23:53">
      <c r="W593" s="9" t="str">
        <f t="shared" ca="1" si="118"/>
        <v/>
      </c>
      <c r="X593" s="40">
        <v>45368</v>
      </c>
      <c r="Y593" s="168">
        <f t="shared" si="122"/>
        <v>3</v>
      </c>
      <c r="Z593" s="44" t="s">
        <v>1134</v>
      </c>
      <c r="AA593" s="236"/>
      <c r="AB593" s="236"/>
      <c r="AC593" s="236"/>
      <c r="AD593" s="227"/>
      <c r="AF593" s="230"/>
      <c r="AG593" s="105">
        <f>15.1+4.1+3.5+3.4+12.5</f>
        <v>38.599999999999994</v>
      </c>
      <c r="AH593" s="9">
        <f t="shared" si="123"/>
        <v>38.599999999999994</v>
      </c>
      <c r="AI593" s="9">
        <f t="shared" si="119"/>
        <v>34347.649999999972</v>
      </c>
      <c r="AJ593" s="14"/>
      <c r="AK593" s="14"/>
      <c r="AL593" s="14"/>
      <c r="AM593" s="14"/>
      <c r="AN593" s="166"/>
      <c r="AO593" s="166"/>
      <c r="AP593" s="14"/>
      <c r="AQ593" s="14"/>
      <c r="AS593" s="14" t="s">
        <v>1207</v>
      </c>
      <c r="AT593" s="14"/>
      <c r="AU593" s="14"/>
      <c r="AV593" s="14"/>
      <c r="AW593" s="14"/>
      <c r="AX593" s="14"/>
      <c r="BA593" s="88">
        <f t="shared" si="127"/>
        <v>224.32384680430462</v>
      </c>
    </row>
    <row r="594" spans="23:53">
      <c r="W594" s="9" t="str">
        <f t="shared" ca="1" si="118"/>
        <v/>
      </c>
      <c r="X594" s="40">
        <v>45369</v>
      </c>
      <c r="Y594" s="168">
        <f t="shared" si="122"/>
        <v>3</v>
      </c>
      <c r="Z594" s="44" t="s">
        <v>1136</v>
      </c>
      <c r="AA594" s="236"/>
      <c r="AB594" s="236"/>
      <c r="AC594" s="236"/>
      <c r="AD594" s="227"/>
      <c r="AF594" s="26">
        <f>27.5+27.5</f>
        <v>55</v>
      </c>
      <c r="AG594" s="9">
        <f>1.7+0.6</f>
        <v>2.2999999999999998</v>
      </c>
      <c r="AH594" s="9">
        <f t="shared" si="123"/>
        <v>57.3</v>
      </c>
      <c r="AI594" s="9">
        <f t="shared" si="119"/>
        <v>34404.949999999975</v>
      </c>
      <c r="AJ594" s="14"/>
      <c r="AK594" s="14"/>
      <c r="AL594" s="14"/>
      <c r="AM594" s="14"/>
      <c r="AN594" s="166"/>
      <c r="AO594" s="166"/>
      <c r="AP594" s="14"/>
      <c r="AQ594" s="14"/>
      <c r="AS594" s="9" t="s">
        <v>1208</v>
      </c>
      <c r="AT594" s="9" t="s">
        <v>1209</v>
      </c>
      <c r="AW594" s="9" t="s">
        <v>1210</v>
      </c>
      <c r="AX594" s="9" t="s">
        <v>1211</v>
      </c>
      <c r="AY594" s="9" t="s">
        <v>1215</v>
      </c>
      <c r="BA594" s="88">
        <f t="shared" si="127"/>
        <v>167.02384680430464</v>
      </c>
    </row>
    <row r="595" spans="23:53">
      <c r="W595" s="9" t="str">
        <f t="shared" ca="1" si="118"/>
        <v/>
      </c>
      <c r="X595" s="40">
        <v>45370</v>
      </c>
      <c r="Y595" s="168">
        <f t="shared" si="122"/>
        <v>3</v>
      </c>
      <c r="Z595" s="44" t="s">
        <v>1138</v>
      </c>
      <c r="AA595" s="233">
        <v>65</v>
      </c>
      <c r="AB595" s="233"/>
      <c r="AC595" s="233">
        <v>1.5229999999999999</v>
      </c>
      <c r="AD595" s="234">
        <f t="shared" si="126"/>
        <v>42.67892317793828</v>
      </c>
      <c r="AF595" s="26">
        <f>25+31.1</f>
        <v>56.1</v>
      </c>
      <c r="AG595" s="9">
        <f>30.9+0.6+0.6</f>
        <v>32.1</v>
      </c>
      <c r="AH595" s="9">
        <f t="shared" si="123"/>
        <v>88.2</v>
      </c>
      <c r="AI595" s="9">
        <f t="shared" si="119"/>
        <v>34493.149999999972</v>
      </c>
      <c r="AJ595" s="14"/>
      <c r="AK595" s="14"/>
      <c r="AL595" s="14"/>
      <c r="AM595" s="14"/>
      <c r="AN595" s="166"/>
      <c r="AO595" s="166"/>
      <c r="AP595" s="14"/>
      <c r="AQ595" s="14"/>
      <c r="AS595" s="9">
        <f>AS585+(SUM(AH586:AH595))+(29.2+27.1+21.2+3.1+12.9+2.5)</f>
        <v>211116.17999999993</v>
      </c>
      <c r="AT595" s="9">
        <f>AS595-AS585+AY595</f>
        <v>742.10000000000582</v>
      </c>
      <c r="AU595" s="88">
        <f>AT595/AD585</f>
        <v>17.382625346047504</v>
      </c>
      <c r="AV595" s="88">
        <f>100/AU595</f>
        <v>5.7528709276782637</v>
      </c>
      <c r="AW595" s="88">
        <f>((+AD595)*$AX$4)+AX595</f>
        <v>688.03294139091304</v>
      </c>
      <c r="AX595" s="88">
        <f>BA595-AY595</f>
        <v>-1.1761531956953633</v>
      </c>
      <c r="AY595" s="9">
        <v>80</v>
      </c>
      <c r="AZ595" s="88">
        <f>AW595</f>
        <v>688.03294139091304</v>
      </c>
      <c r="BA595" s="88">
        <f>BA594-AH595</f>
        <v>78.823846804304637</v>
      </c>
    </row>
    <row r="596" spans="23:53">
      <c r="W596" s="9" t="str">
        <f t="shared" ca="1" si="118"/>
        <v/>
      </c>
      <c r="X596" s="40">
        <v>45371</v>
      </c>
      <c r="Y596" s="168">
        <f t="shared" si="122"/>
        <v>3</v>
      </c>
      <c r="Z596" s="44" t="s">
        <v>1140</v>
      </c>
      <c r="AA596" s="21"/>
      <c r="AB596" s="21"/>
      <c r="AC596" s="21"/>
      <c r="AF596" s="26">
        <f>27.5+27.5</f>
        <v>55</v>
      </c>
      <c r="AG596" s="9">
        <f>3.9+1.7</f>
        <v>5.6</v>
      </c>
      <c r="AH596" s="9">
        <f t="shared" si="123"/>
        <v>60.6</v>
      </c>
      <c r="AI596" s="9">
        <f t="shared" si="119"/>
        <v>34553.749999999971</v>
      </c>
      <c r="AJ596" s="14"/>
      <c r="AK596" s="14"/>
      <c r="AL596" s="14"/>
      <c r="AM596" s="14"/>
      <c r="AN596" s="166"/>
      <c r="AO596" s="166"/>
      <c r="AP596" s="14"/>
      <c r="AQ596" s="14"/>
      <c r="AZ596" s="88">
        <f>AZ595-AH596</f>
        <v>627.43294139091302</v>
      </c>
    </row>
    <row r="597" spans="23:53">
      <c r="W597" s="9" t="str">
        <f t="shared" ca="1" si="118"/>
        <v/>
      </c>
      <c r="X597" s="40">
        <v>45372</v>
      </c>
      <c r="Y597" s="168">
        <f t="shared" si="122"/>
        <v>3</v>
      </c>
      <c r="Z597" s="44" t="s">
        <v>1143</v>
      </c>
      <c r="AA597" s="21"/>
      <c r="AB597" s="21"/>
      <c r="AC597" s="21"/>
      <c r="AF597" s="26">
        <f>27.5+27.5</f>
        <v>55</v>
      </c>
      <c r="AG597" s="9">
        <f>8.1+8.1</f>
        <v>16.2</v>
      </c>
      <c r="AH597" s="9">
        <f t="shared" si="123"/>
        <v>71.2</v>
      </c>
      <c r="AI597" s="9">
        <f t="shared" si="119"/>
        <v>34624.949999999968</v>
      </c>
      <c r="AJ597" s="14"/>
      <c r="AK597" s="14"/>
      <c r="AL597" s="14"/>
      <c r="AM597" s="14"/>
      <c r="AN597" s="166"/>
      <c r="AO597" s="166"/>
      <c r="AP597" s="14"/>
      <c r="AQ597" s="14"/>
      <c r="AZ597" s="88">
        <f t="shared" ref="AZ597:AZ603" si="128">AZ596-AH597</f>
        <v>556.23294139091297</v>
      </c>
    </row>
    <row r="598" spans="23:53">
      <c r="W598" s="9" t="str">
        <f t="shared" ca="1" si="118"/>
        <v/>
      </c>
      <c r="X598" s="40">
        <v>45373</v>
      </c>
      <c r="Y598" s="168">
        <f t="shared" si="122"/>
        <v>3</v>
      </c>
      <c r="Z598" s="44" t="s">
        <v>1145</v>
      </c>
      <c r="AA598" s="21"/>
      <c r="AB598" s="21"/>
      <c r="AC598" s="21"/>
      <c r="AF598" s="26">
        <f>27.5+27.5</f>
        <v>55</v>
      </c>
      <c r="AG598" s="9">
        <f>7.3+7+1.2</f>
        <v>15.5</v>
      </c>
      <c r="AH598" s="9">
        <f t="shared" si="123"/>
        <v>70.5</v>
      </c>
      <c r="AI598" s="9">
        <f t="shared" si="119"/>
        <v>34695.449999999968</v>
      </c>
      <c r="AJ598" s="14"/>
      <c r="AK598" s="14"/>
      <c r="AL598" s="14"/>
      <c r="AM598" s="14"/>
      <c r="AN598" s="166"/>
      <c r="AO598" s="166"/>
      <c r="AP598" s="14"/>
      <c r="AQ598" s="14"/>
      <c r="AZ598" s="88">
        <f t="shared" si="128"/>
        <v>485.73294139091297</v>
      </c>
    </row>
    <row r="599" spans="23:53">
      <c r="W599" s="9" t="str">
        <f t="shared" ca="1" si="118"/>
        <v/>
      </c>
      <c r="X599" s="40">
        <v>45374</v>
      </c>
      <c r="Y599" s="168">
        <f t="shared" si="122"/>
        <v>3</v>
      </c>
      <c r="Z599" s="44" t="s">
        <v>1132</v>
      </c>
      <c r="AA599" s="21"/>
      <c r="AB599" s="21"/>
      <c r="AC599" s="21"/>
      <c r="AF599" s="26"/>
      <c r="AG599" s="9">
        <f>2+1.9+33+0.75+1</f>
        <v>38.65</v>
      </c>
      <c r="AH599" s="9">
        <f t="shared" si="123"/>
        <v>38.65</v>
      </c>
      <c r="AI599" s="9">
        <f t="shared" si="119"/>
        <v>34734.099999999969</v>
      </c>
      <c r="AJ599" s="14">
        <f>SUM(AH593:AH599)</f>
        <v>425.04999999999995</v>
      </c>
      <c r="AK599" s="14"/>
      <c r="AL599" s="14"/>
      <c r="AM599" s="14"/>
      <c r="AN599" s="166"/>
      <c r="AO599" s="166"/>
      <c r="AP599" s="14"/>
      <c r="AQ599" s="14"/>
      <c r="AZ599" s="88">
        <f t="shared" si="128"/>
        <v>447.08294139091299</v>
      </c>
    </row>
    <row r="600" spans="23:53">
      <c r="W600" s="9" t="str">
        <f t="shared" ca="1" si="118"/>
        <v/>
      </c>
      <c r="X600" s="40">
        <v>45375</v>
      </c>
      <c r="Y600" s="168">
        <f t="shared" si="122"/>
        <v>3</v>
      </c>
      <c r="Z600" s="44" t="s">
        <v>1134</v>
      </c>
      <c r="AA600" s="21"/>
      <c r="AB600" s="21"/>
      <c r="AC600" s="21"/>
      <c r="AF600" s="26"/>
      <c r="AG600" s="9">
        <f>30.4+3.3</f>
        <v>33.699999999999996</v>
      </c>
      <c r="AH600" s="9">
        <f t="shared" si="123"/>
        <v>33.699999999999996</v>
      </c>
      <c r="AI600" s="9">
        <f t="shared" si="119"/>
        <v>34767.799999999967</v>
      </c>
      <c r="AJ600" s="14"/>
      <c r="AK600" s="14"/>
      <c r="AL600" s="14"/>
      <c r="AM600" s="14"/>
      <c r="AN600" s="166"/>
      <c r="AO600" s="166"/>
      <c r="AP600" s="14"/>
      <c r="AQ600" s="14"/>
      <c r="AZ600" s="88">
        <f t="shared" si="128"/>
        <v>413.382941390913</v>
      </c>
    </row>
    <row r="601" spans="23:53">
      <c r="W601" s="9" t="str">
        <f t="shared" ca="1" si="118"/>
        <v/>
      </c>
      <c r="X601" s="40">
        <v>45376</v>
      </c>
      <c r="Y601" s="168">
        <f t="shared" si="122"/>
        <v>3</v>
      </c>
      <c r="Z601" s="44" t="s">
        <v>1136</v>
      </c>
      <c r="AA601" s="21"/>
      <c r="AB601" s="21"/>
      <c r="AC601" s="21"/>
      <c r="AF601" s="26">
        <f>27.5+27.5</f>
        <v>55</v>
      </c>
      <c r="AG601" s="9">
        <f>1.2+1.8</f>
        <v>3</v>
      </c>
      <c r="AH601" s="9">
        <f t="shared" si="123"/>
        <v>58</v>
      </c>
      <c r="AI601" s="9">
        <f t="shared" si="119"/>
        <v>34825.799999999967</v>
      </c>
      <c r="AJ601" s="14"/>
      <c r="AK601" s="14"/>
      <c r="AL601" s="14"/>
      <c r="AM601" s="14"/>
      <c r="AN601" s="166"/>
      <c r="AO601" s="166"/>
      <c r="AP601" s="14"/>
      <c r="AQ601" s="14"/>
      <c r="AZ601" s="88">
        <f t="shared" si="128"/>
        <v>355.382941390913</v>
      </c>
    </row>
    <row r="602" spans="23:53">
      <c r="W602" s="9" t="str">
        <f t="shared" ref="W602:W611" ca="1" si="129">IF(X602=TODAY(),1,"")</f>
        <v/>
      </c>
      <c r="X602" s="40">
        <v>45377</v>
      </c>
      <c r="Y602" s="168">
        <f t="shared" si="122"/>
        <v>3</v>
      </c>
      <c r="Z602" s="44" t="s">
        <v>1138</v>
      </c>
      <c r="AA602" s="21"/>
      <c r="AB602" s="21"/>
      <c r="AC602" s="21"/>
      <c r="AF602" s="26">
        <v>27.5</v>
      </c>
      <c r="AH602" s="9">
        <f t="shared" si="123"/>
        <v>27.5</v>
      </c>
      <c r="AI602" s="9">
        <f t="shared" si="119"/>
        <v>34853.299999999967</v>
      </c>
      <c r="AJ602" s="14"/>
      <c r="AK602" s="14" t="s">
        <v>1077</v>
      </c>
      <c r="AL602" s="14" t="s">
        <v>1204</v>
      </c>
      <c r="AM602" s="14" t="s">
        <v>1205</v>
      </c>
      <c r="AN602" s="166" t="s">
        <v>1069</v>
      </c>
      <c r="AO602" s="166" t="s">
        <v>1206</v>
      </c>
      <c r="AP602" s="14"/>
      <c r="AQ602" s="14"/>
      <c r="AV602" s="14"/>
      <c r="AW602" s="14"/>
      <c r="AX602" s="14"/>
      <c r="AZ602" s="88">
        <f t="shared" si="128"/>
        <v>327.882941390913</v>
      </c>
    </row>
    <row r="603" spans="23:53">
      <c r="W603" s="9" t="str">
        <f t="shared" ca="1" si="129"/>
        <v/>
      </c>
      <c r="X603" s="39">
        <v>45378</v>
      </c>
      <c r="Y603" s="179">
        <f t="shared" si="122"/>
        <v>3</v>
      </c>
      <c r="Z603" s="107" t="s">
        <v>1140</v>
      </c>
      <c r="AA603" s="68"/>
      <c r="AB603" s="68"/>
      <c r="AC603" s="68"/>
      <c r="AD603" s="22"/>
      <c r="AE603" s="22"/>
      <c r="AF603" s="116">
        <v>27.5</v>
      </c>
      <c r="AG603" s="22">
        <f>73.3+4.1+66.9</f>
        <v>144.30000000000001</v>
      </c>
      <c r="AH603" s="22">
        <f t="shared" si="123"/>
        <v>171.8</v>
      </c>
      <c r="AI603" s="22">
        <f t="shared" ref="AI603:AI611" si="130">AI602+AH603</f>
        <v>35025.099999999969</v>
      </c>
      <c r="AJ603" s="1372"/>
      <c r="AK603" s="1372">
        <f>SUM(AH575:AH603)</f>
        <v>1935.9500000000003</v>
      </c>
      <c r="AL603" s="1372">
        <f>SUM(AF575:AF603)</f>
        <v>979.30000000000007</v>
      </c>
      <c r="AM603" s="1372">
        <f>SUM(AG575:AG603)</f>
        <v>956.65000000000009</v>
      </c>
      <c r="AN603" s="219">
        <f>SUM(AD575:AD603)</f>
        <v>128.04990151017728</v>
      </c>
      <c r="AO603" s="182">
        <f>AK603/AN603</f>
        <v>15.118715259973339</v>
      </c>
      <c r="AP603" s="183">
        <f>SUM(AA575:AB603)/SUM(AD575:AD603)</f>
        <v>1.5229999999999999</v>
      </c>
      <c r="AQ603" s="184">
        <f>(AP603/AO603)*(SUM(AH572:AH603))</f>
        <v>210.14048451664556</v>
      </c>
      <c r="AS603" s="14" t="s">
        <v>1207</v>
      </c>
      <c r="AT603" s="14"/>
      <c r="AU603" s="14"/>
      <c r="AZ603" s="88">
        <f t="shared" si="128"/>
        <v>156.08294139091299</v>
      </c>
    </row>
    <row r="604" spans="23:53">
      <c r="W604" s="9" t="str">
        <f t="shared" ca="1" si="129"/>
        <v/>
      </c>
      <c r="X604" s="40">
        <v>45379</v>
      </c>
      <c r="Y604" s="168">
        <f t="shared" si="122"/>
        <v>3</v>
      </c>
      <c r="Z604" s="44" t="s">
        <v>1143</v>
      </c>
      <c r="AA604" s="236"/>
      <c r="AB604" s="236"/>
      <c r="AC604" s="236"/>
      <c r="AD604" s="232"/>
      <c r="AF604" s="114">
        <f>27.5+27.5</f>
        <v>55</v>
      </c>
      <c r="AG604" s="9">
        <f>8+7.2+6.9+6.9</f>
        <v>29</v>
      </c>
      <c r="AH604" s="9">
        <f t="shared" si="123"/>
        <v>84</v>
      </c>
      <c r="AI604" s="9">
        <f t="shared" si="130"/>
        <v>35109.099999999969</v>
      </c>
      <c r="AJ604" s="14"/>
      <c r="AK604" s="14"/>
      <c r="AL604" s="14"/>
      <c r="AM604" s="14"/>
      <c r="AN604" s="166"/>
      <c r="AO604" s="166"/>
      <c r="AP604" s="14"/>
      <c r="AQ604" s="14"/>
      <c r="AS604" s="9" t="s">
        <v>1208</v>
      </c>
      <c r="AT604" s="9" t="s">
        <v>1209</v>
      </c>
      <c r="AW604" s="9" t="s">
        <v>1210</v>
      </c>
      <c r="AX604" s="9" t="s">
        <v>1211</v>
      </c>
      <c r="AY604" s="9" t="s">
        <v>1215</v>
      </c>
      <c r="AZ604" s="88">
        <f>AZ603-AH604</f>
        <v>72.082941390912993</v>
      </c>
    </row>
    <row r="605" spans="23:53">
      <c r="W605" s="9" t="str">
        <f t="shared" ca="1" si="129"/>
        <v/>
      </c>
      <c r="X605" s="40">
        <v>45380</v>
      </c>
      <c r="Y605" s="168">
        <f t="shared" si="122"/>
        <v>3</v>
      </c>
      <c r="Z605" s="44" t="s">
        <v>1145</v>
      </c>
      <c r="AA605" s="233">
        <v>35</v>
      </c>
      <c r="AB605" s="233">
        <v>0.62</v>
      </c>
      <c r="AC605" s="233">
        <v>1.7689999999999999</v>
      </c>
      <c r="AD605" s="234">
        <f>AA605/AC605</f>
        <v>19.785189372526851</v>
      </c>
      <c r="AF605" s="26">
        <f>27.5+4+25</f>
        <v>56.5</v>
      </c>
      <c r="AG605" s="9">
        <f>1.7+1+0.9+2.8</f>
        <v>6.4</v>
      </c>
      <c r="AH605" s="9">
        <f t="shared" si="123"/>
        <v>62.9</v>
      </c>
      <c r="AI605" s="9">
        <f t="shared" si="130"/>
        <v>35171.999999999971</v>
      </c>
      <c r="AJ605" s="14"/>
      <c r="AK605" s="14"/>
      <c r="AL605" s="14"/>
      <c r="AM605" s="14"/>
      <c r="AN605" s="166"/>
      <c r="AO605" s="166"/>
      <c r="AP605" s="14"/>
      <c r="AQ605" s="14"/>
      <c r="AS605" s="9">
        <f>AS595+(SUM(AH596:AH604)+AG595)+AF605</f>
        <v>211820.72999999992</v>
      </c>
      <c r="AT605" s="9">
        <f>AS605-AS595+AY605</f>
        <v>704.54999999998836</v>
      </c>
      <c r="AU605" s="88">
        <f>AT605/AD595</f>
        <v>16.508148461538187</v>
      </c>
      <c r="AV605" s="88">
        <f>100/AU605</f>
        <v>6.0576145309685598</v>
      </c>
      <c r="AW605" s="88">
        <f>((+AD605)*$AX$4)+AX605</f>
        <v>391.5880141129129</v>
      </c>
      <c r="AX605" s="88">
        <f>AZ604-AY605</f>
        <v>72.082941390912993</v>
      </c>
      <c r="AY605" s="9">
        <v>0</v>
      </c>
      <c r="AZ605" s="88">
        <f>AZ604-AH605</f>
        <v>9.182941390912994</v>
      </c>
      <c r="BA605" s="88">
        <f>AW605-AH605</f>
        <v>328.68801411291292</v>
      </c>
    </row>
    <row r="606" spans="23:53">
      <c r="W606" s="9" t="str">
        <f t="shared" ca="1" si="129"/>
        <v/>
      </c>
      <c r="X606" s="40">
        <v>45381</v>
      </c>
      <c r="Y606" s="168">
        <f t="shared" si="122"/>
        <v>3</v>
      </c>
      <c r="Z606" s="44" t="s">
        <v>1132</v>
      </c>
      <c r="AA606" s="21"/>
      <c r="AB606" s="21"/>
      <c r="AC606" s="21"/>
      <c r="AF606" s="26"/>
      <c r="AG606" s="9">
        <f>1.2+2.7+13.7+17.6+13.9</f>
        <v>49.1</v>
      </c>
      <c r="AH606" s="9">
        <f t="shared" si="123"/>
        <v>49.1</v>
      </c>
      <c r="AI606" s="9">
        <f t="shared" si="130"/>
        <v>35221.099999999969</v>
      </c>
      <c r="AJ606" s="14">
        <f>SUM(AH600:AH606)</f>
        <v>487</v>
      </c>
      <c r="AK606" s="14"/>
      <c r="AL606" s="14"/>
      <c r="AM606" s="14"/>
      <c r="AN606" s="166"/>
      <c r="AO606" s="166"/>
      <c r="AP606" s="14"/>
      <c r="AQ606" s="14"/>
      <c r="BA606" s="88">
        <f>BA605-AH606</f>
        <v>279.5880141129129</v>
      </c>
    </row>
    <row r="607" spans="23:53">
      <c r="W607" s="9" t="str">
        <f t="shared" ca="1" si="129"/>
        <v/>
      </c>
      <c r="X607" s="40">
        <v>45382</v>
      </c>
      <c r="Y607" s="168">
        <f t="shared" si="122"/>
        <v>3</v>
      </c>
      <c r="Z607" s="44" t="s">
        <v>1134</v>
      </c>
      <c r="AA607" s="21"/>
      <c r="AB607" s="21"/>
      <c r="AC607" s="21"/>
      <c r="AF607" s="26"/>
      <c r="AG607" s="9">
        <f>1.7+1.8+5.2</f>
        <v>8.6999999999999993</v>
      </c>
      <c r="AH607" s="9">
        <f t="shared" si="123"/>
        <v>8.6999999999999993</v>
      </c>
      <c r="AI607" s="9">
        <f t="shared" si="130"/>
        <v>35229.799999999967</v>
      </c>
      <c r="AJ607" s="14"/>
      <c r="AK607" s="14"/>
      <c r="AL607" s="14"/>
      <c r="AM607" s="14"/>
      <c r="AN607" s="166"/>
      <c r="AO607" s="166"/>
      <c r="AP607" s="14"/>
      <c r="AQ607" s="14"/>
      <c r="BA607" s="88">
        <f t="shared" ref="BA607:BA610" si="131">BA606-AH607</f>
        <v>270.88801411291291</v>
      </c>
    </row>
    <row r="608" spans="23:53">
      <c r="W608" s="9" t="str">
        <f t="shared" ca="1" si="129"/>
        <v/>
      </c>
      <c r="X608" s="40">
        <v>45383</v>
      </c>
      <c r="Y608" s="168">
        <f t="shared" si="122"/>
        <v>4</v>
      </c>
      <c r="Z608" s="44" t="s">
        <v>1136</v>
      </c>
      <c r="AA608" s="21"/>
      <c r="AB608" s="21"/>
      <c r="AC608" s="21"/>
      <c r="AF608" s="26"/>
      <c r="AG608" s="9">
        <f>3+3</f>
        <v>6</v>
      </c>
      <c r="AH608" s="9">
        <f t="shared" si="123"/>
        <v>6</v>
      </c>
      <c r="AI608" s="9">
        <f t="shared" si="130"/>
        <v>35235.799999999967</v>
      </c>
      <c r="AJ608" s="14"/>
      <c r="AK608" s="14"/>
      <c r="AL608" s="14"/>
      <c r="AM608" s="14"/>
      <c r="AN608" s="166"/>
      <c r="AO608" s="166"/>
      <c r="AP608" s="14"/>
      <c r="AQ608" s="14"/>
      <c r="BA608" s="88">
        <f t="shared" si="131"/>
        <v>264.88801411291291</v>
      </c>
    </row>
    <row r="609" spans="23:53">
      <c r="W609" s="9" t="str">
        <f t="shared" ca="1" si="129"/>
        <v/>
      </c>
      <c r="X609" s="40">
        <v>45384</v>
      </c>
      <c r="Y609" s="168">
        <f t="shared" si="122"/>
        <v>4</v>
      </c>
      <c r="Z609" s="44" t="s">
        <v>1138</v>
      </c>
      <c r="AA609" s="21"/>
      <c r="AB609" s="21"/>
      <c r="AC609" s="21"/>
      <c r="AF609" s="26">
        <f>27.5*2</f>
        <v>55</v>
      </c>
      <c r="AG609" s="9">
        <f>0.5+0.5</f>
        <v>1</v>
      </c>
      <c r="AH609" s="9">
        <f t="shared" si="123"/>
        <v>56</v>
      </c>
      <c r="AI609" s="9">
        <f t="shared" si="130"/>
        <v>35291.799999999967</v>
      </c>
      <c r="AJ609" s="14"/>
      <c r="AK609" s="14"/>
      <c r="AL609" s="14"/>
      <c r="AM609" s="14"/>
      <c r="AN609" s="166"/>
      <c r="AO609" s="166"/>
      <c r="AP609" s="14"/>
      <c r="AQ609" s="14"/>
      <c r="BA609" s="88">
        <f t="shared" si="131"/>
        <v>208.88801411291291</v>
      </c>
    </row>
    <row r="610" spans="23:53">
      <c r="W610" s="9" t="str">
        <f t="shared" ca="1" si="129"/>
        <v/>
      </c>
      <c r="X610" s="40">
        <v>45385</v>
      </c>
      <c r="Y610" s="168">
        <f t="shared" si="122"/>
        <v>4</v>
      </c>
      <c r="Z610" s="44" t="s">
        <v>1140</v>
      </c>
      <c r="AA610" s="21"/>
      <c r="AB610" s="21"/>
      <c r="AC610" s="21"/>
      <c r="AF610" s="26">
        <f>27.5*2</f>
        <v>55</v>
      </c>
      <c r="AG610" s="9">
        <f>5.7+1.8+0.8</f>
        <v>8.3000000000000007</v>
      </c>
      <c r="AH610" s="9">
        <f t="shared" si="123"/>
        <v>63.3</v>
      </c>
      <c r="AI610" s="9">
        <f t="shared" si="130"/>
        <v>35355.099999999969</v>
      </c>
      <c r="AJ610" s="14"/>
      <c r="AK610" s="14"/>
      <c r="AL610" s="14"/>
      <c r="AM610" s="14"/>
      <c r="AN610" s="166"/>
      <c r="AO610" s="166"/>
      <c r="AP610" s="14"/>
      <c r="AQ610" s="14"/>
      <c r="AS610" s="14" t="s">
        <v>1207</v>
      </c>
      <c r="AT610" s="14"/>
      <c r="AU610" s="14"/>
      <c r="BA610" s="88">
        <f t="shared" si="131"/>
        <v>145.5880141129129</v>
      </c>
    </row>
    <row r="611" spans="23:53">
      <c r="W611" s="9" t="str">
        <f t="shared" ca="1" si="129"/>
        <v/>
      </c>
      <c r="X611" s="40">
        <v>45386</v>
      </c>
      <c r="Y611" s="168">
        <f t="shared" si="122"/>
        <v>4</v>
      </c>
      <c r="Z611" s="44" t="s">
        <v>1143</v>
      </c>
      <c r="AA611" s="236"/>
      <c r="AB611" s="236"/>
      <c r="AC611" s="236"/>
      <c r="AD611" s="232"/>
      <c r="AF611" s="26">
        <f>27.5*2</f>
        <v>55</v>
      </c>
      <c r="AG611" s="9">
        <f>0.45+0.45</f>
        <v>0.9</v>
      </c>
      <c r="AH611" s="9">
        <f t="shared" si="123"/>
        <v>55.9</v>
      </c>
      <c r="AI611" s="9">
        <f t="shared" si="130"/>
        <v>35410.999999999971</v>
      </c>
      <c r="AJ611" s="14"/>
      <c r="AK611" s="14"/>
      <c r="AL611" s="14"/>
      <c r="AM611" s="14"/>
      <c r="AN611" s="166"/>
      <c r="AO611" s="166"/>
      <c r="AP611" s="14"/>
      <c r="AQ611" s="14"/>
      <c r="AS611" s="9" t="s">
        <v>1208</v>
      </c>
      <c r="AT611" s="9" t="s">
        <v>1209</v>
      </c>
      <c r="AW611" s="9" t="s">
        <v>1210</v>
      </c>
      <c r="AX611" s="9" t="s">
        <v>1211</v>
      </c>
      <c r="AY611" s="9" t="s">
        <v>1215</v>
      </c>
      <c r="BA611" s="88">
        <f>BA610-AH611</f>
        <v>89.688014112912896</v>
      </c>
    </row>
    <row r="612" spans="23:53">
      <c r="X612" s="40">
        <v>45387</v>
      </c>
      <c r="Y612" s="168">
        <f t="shared" ref="Y612:Y675" si="132">MONTH(X612)</f>
        <v>4</v>
      </c>
      <c r="Z612" s="44" t="s">
        <v>1145</v>
      </c>
      <c r="AA612" s="97">
        <v>40.01</v>
      </c>
      <c r="AB612" s="97">
        <v>0.62</v>
      </c>
      <c r="AC612" s="97">
        <v>1.7589999999999999</v>
      </c>
      <c r="AD612" s="88">
        <f>AA612/AC612</f>
        <v>22.745878339965891</v>
      </c>
      <c r="AF612" s="26">
        <v>55</v>
      </c>
      <c r="AG612" s="9">
        <f>2.7+2.8+2.5+2.9</f>
        <v>10.9</v>
      </c>
      <c r="AH612" s="9">
        <f t="shared" ref="AH612:AH675" si="133">AF612+AG612</f>
        <v>65.900000000000006</v>
      </c>
      <c r="AI612" s="9">
        <f t="shared" ref="AI612:AI675" si="134">AI611+AH612</f>
        <v>35476.899999999972</v>
      </c>
      <c r="AJ612" s="14"/>
      <c r="AK612" s="14"/>
      <c r="AL612" s="14"/>
      <c r="AM612" s="14"/>
      <c r="AN612" s="166"/>
      <c r="AO612" s="166"/>
      <c r="AP612" s="14"/>
      <c r="AQ612" s="14"/>
      <c r="AS612" s="9">
        <f>AS605+(SUM(AH606:AH612)+AG605)</f>
        <v>212132.02999999991</v>
      </c>
      <c r="AT612" s="9">
        <f>AS612-AS605+AY612</f>
        <v>311.29999999998836</v>
      </c>
      <c r="AU612" s="88">
        <f>AT612/AD605</f>
        <v>15.733991428570841</v>
      </c>
      <c r="AV612" s="88">
        <f>100/AU612</f>
        <v>6.3556663580236394</v>
      </c>
      <c r="AW612" s="88">
        <f>((+AD612)*$AX$4)+AX612</f>
        <v>391.10436253401525</v>
      </c>
      <c r="AX612" s="88">
        <f>BA612-AY612</f>
        <v>23.78801411291289</v>
      </c>
      <c r="AZ612" s="88">
        <f>AW612</f>
        <v>391.10436253401525</v>
      </c>
      <c r="BA612" s="88">
        <f t="shared" ref="BA612" si="135">BA611-AH612</f>
        <v>23.78801411291289</v>
      </c>
    </row>
    <row r="613" spans="23:53">
      <c r="X613" s="40">
        <v>45388</v>
      </c>
      <c r="Y613" s="168">
        <f t="shared" si="132"/>
        <v>4</v>
      </c>
      <c r="Z613" s="44" t="s">
        <v>1132</v>
      </c>
      <c r="AF613" s="26"/>
      <c r="AG613" s="9">
        <f>2.2+1.8+33+62.5+20.3+100</f>
        <v>219.8</v>
      </c>
      <c r="AH613" s="9">
        <f t="shared" si="133"/>
        <v>219.8</v>
      </c>
      <c r="AI613" s="9">
        <f t="shared" si="134"/>
        <v>35696.699999999975</v>
      </c>
      <c r="AJ613" s="14">
        <f>SUM(AH607:AH613)</f>
        <v>475.6</v>
      </c>
      <c r="AK613" s="14"/>
      <c r="AL613" s="14"/>
      <c r="AM613" s="14"/>
      <c r="AN613" s="166"/>
      <c r="AO613" s="166"/>
      <c r="AP613" s="14"/>
      <c r="AQ613" s="14"/>
      <c r="AZ613" s="88">
        <f>AZ612-AH613</f>
        <v>171.30436253401524</v>
      </c>
      <c r="BA613" s="88"/>
    </row>
    <row r="614" spans="23:53">
      <c r="X614" s="40">
        <v>45389</v>
      </c>
      <c r="Y614" s="168">
        <f t="shared" si="132"/>
        <v>4</v>
      </c>
      <c r="Z614" s="44" t="s">
        <v>1134</v>
      </c>
      <c r="AA614" s="233">
        <v>60</v>
      </c>
      <c r="AB614" s="233"/>
      <c r="AC614" s="233">
        <v>1.5269999999999999</v>
      </c>
      <c r="AD614" s="234">
        <f>AA614/AC614</f>
        <v>39.292730844793716</v>
      </c>
      <c r="AF614" s="230"/>
      <c r="AG614" s="9">
        <f>7+6.8+27.7+4+12+26+3.3+3.7</f>
        <v>90.5</v>
      </c>
      <c r="AH614" s="9">
        <f t="shared" si="133"/>
        <v>90.5</v>
      </c>
      <c r="AI614" s="9">
        <f t="shared" si="134"/>
        <v>35787.199999999975</v>
      </c>
      <c r="AJ614" s="14"/>
      <c r="AK614" s="14"/>
      <c r="AL614" s="14"/>
      <c r="AM614" s="14"/>
      <c r="AN614" s="166"/>
      <c r="AO614" s="166"/>
      <c r="AP614" s="14"/>
      <c r="AQ614" s="14"/>
      <c r="AS614" s="9">
        <f>AH613+AS612</f>
        <v>212351.8299999999</v>
      </c>
      <c r="AT614" s="9">
        <f>AS614-AS612+AY614</f>
        <v>219.79999999998836</v>
      </c>
      <c r="AU614" s="88">
        <f>AT614/AD612</f>
        <v>9.663289177705062</v>
      </c>
      <c r="AV614" s="88">
        <f>100/AU614</f>
        <v>10.348443284789397</v>
      </c>
      <c r="AW614" s="88">
        <f>((+AD614)*$AX$4)+AX614</f>
        <v>764.33085554015372</v>
      </c>
      <c r="AX614" s="88">
        <f>AZ614-AY614</f>
        <v>129.80436253401524</v>
      </c>
      <c r="AZ614" s="88">
        <f>AZ613-(7+6.8+27.7)</f>
        <v>129.80436253401524</v>
      </c>
      <c r="BA614" s="88">
        <f>AW614-(4+12+26+3.3+3.7)</f>
        <v>715.33085554015372</v>
      </c>
    </row>
    <row r="615" spans="23:53">
      <c r="X615" s="40">
        <v>45390</v>
      </c>
      <c r="Y615" s="168">
        <f t="shared" si="132"/>
        <v>4</v>
      </c>
      <c r="Z615" s="44" t="s">
        <v>1136</v>
      </c>
      <c r="AA615" s="21"/>
      <c r="AB615" s="21"/>
      <c r="AC615" s="21"/>
      <c r="AF615" s="114">
        <v>55</v>
      </c>
      <c r="AG615" s="9">
        <f>2+2</f>
        <v>4</v>
      </c>
      <c r="AH615" s="9">
        <f t="shared" si="133"/>
        <v>59</v>
      </c>
      <c r="AI615" s="9">
        <f t="shared" si="134"/>
        <v>35846.199999999975</v>
      </c>
      <c r="AJ615" s="14"/>
      <c r="AK615" s="14"/>
      <c r="AL615" s="14"/>
      <c r="AM615" s="14"/>
      <c r="AN615" s="166"/>
      <c r="AO615" s="166"/>
      <c r="AP615" s="14"/>
      <c r="AQ615" s="14"/>
      <c r="AZ615" s="88"/>
      <c r="BA615" s="88">
        <f>BA614-AH615</f>
        <v>656.33085554015372</v>
      </c>
    </row>
    <row r="616" spans="23:53">
      <c r="X616" s="40">
        <v>45391</v>
      </c>
      <c r="Y616" s="168">
        <f t="shared" si="132"/>
        <v>4</v>
      </c>
      <c r="Z616" s="44" t="s">
        <v>1138</v>
      </c>
      <c r="AA616" s="21"/>
      <c r="AB616" s="21"/>
      <c r="AC616" s="21"/>
      <c r="AF616" s="114">
        <v>55</v>
      </c>
      <c r="AG616" s="227"/>
      <c r="AH616" s="9">
        <f t="shared" si="133"/>
        <v>55</v>
      </c>
      <c r="AI616" s="9">
        <f t="shared" si="134"/>
        <v>35901.199999999975</v>
      </c>
      <c r="AJ616" s="14"/>
      <c r="AK616" s="14"/>
      <c r="AL616" s="14"/>
      <c r="AM616" s="14"/>
      <c r="AN616" s="166"/>
      <c r="AO616" s="166"/>
      <c r="AP616" s="14"/>
      <c r="AQ616" s="14"/>
      <c r="AZ616" s="88"/>
      <c r="BA616" s="88">
        <f t="shared" ref="BA616:BA628" si="136">BA615-AH616</f>
        <v>601.33085554015372</v>
      </c>
    </row>
    <row r="617" spans="23:53">
      <c r="X617" s="40">
        <v>45392</v>
      </c>
      <c r="Y617" s="168">
        <f t="shared" si="132"/>
        <v>4</v>
      </c>
      <c r="Z617" s="44" t="s">
        <v>1140</v>
      </c>
      <c r="AA617" s="21"/>
      <c r="AB617" s="21"/>
      <c r="AC617" s="21"/>
      <c r="AF617" s="114">
        <v>55</v>
      </c>
      <c r="AG617" s="9">
        <f>2+2</f>
        <v>4</v>
      </c>
      <c r="AH617" s="9">
        <f t="shared" si="133"/>
        <v>59</v>
      </c>
      <c r="AI617" s="9">
        <f t="shared" si="134"/>
        <v>35960.199999999975</v>
      </c>
      <c r="AJ617" s="14"/>
      <c r="AK617" s="14"/>
      <c r="AL617" s="14"/>
      <c r="AM617" s="14"/>
      <c r="AN617" s="166"/>
      <c r="AO617" s="166"/>
      <c r="AP617" s="14"/>
      <c r="AQ617" s="14"/>
      <c r="AZ617" s="88"/>
      <c r="BA617" s="88">
        <f t="shared" si="136"/>
        <v>542.33085554015372</v>
      </c>
    </row>
    <row r="618" spans="23:53">
      <c r="X618" s="40">
        <v>45393</v>
      </c>
      <c r="Y618" s="168">
        <f t="shared" si="132"/>
        <v>4</v>
      </c>
      <c r="Z618" s="44" t="s">
        <v>1143</v>
      </c>
      <c r="AA618" s="21"/>
      <c r="AB618" s="21"/>
      <c r="AC618" s="21"/>
      <c r="AF618" s="114">
        <v>55</v>
      </c>
      <c r="AG618" s="227"/>
      <c r="AH618" s="9">
        <f t="shared" si="133"/>
        <v>55</v>
      </c>
      <c r="AI618" s="9">
        <f t="shared" si="134"/>
        <v>36015.199999999975</v>
      </c>
      <c r="AJ618" s="14"/>
      <c r="AK618" s="14"/>
      <c r="AL618" s="14"/>
      <c r="AM618" s="14"/>
      <c r="AN618" s="166"/>
      <c r="AO618" s="166"/>
      <c r="AP618" s="14"/>
      <c r="AQ618" s="14"/>
      <c r="AZ618" s="88"/>
      <c r="BA618" s="88">
        <f t="shared" si="136"/>
        <v>487.33085554015372</v>
      </c>
    </row>
    <row r="619" spans="23:53">
      <c r="X619" s="40">
        <v>45394</v>
      </c>
      <c r="Y619" s="168">
        <f t="shared" si="132"/>
        <v>4</v>
      </c>
      <c r="Z619" s="44" t="s">
        <v>1145</v>
      </c>
      <c r="AA619" s="21"/>
      <c r="AB619" s="21"/>
      <c r="AC619" s="21"/>
      <c r="AF619" s="114">
        <f>27.5</f>
        <v>27.5</v>
      </c>
      <c r="AG619" s="105">
        <f>17.3+10.6+1.3+0.9+2.7</f>
        <v>32.799999999999997</v>
      </c>
      <c r="AH619" s="9">
        <f t="shared" si="133"/>
        <v>60.3</v>
      </c>
      <c r="AI619" s="9">
        <f t="shared" si="134"/>
        <v>36075.499999999978</v>
      </c>
      <c r="AJ619" s="14"/>
      <c r="AK619" s="14"/>
      <c r="AL619" s="14"/>
      <c r="AM619" s="14"/>
      <c r="AN619" s="166"/>
      <c r="AO619" s="166"/>
      <c r="AP619" s="14"/>
      <c r="AQ619" s="14"/>
      <c r="AZ619" s="88"/>
      <c r="BA619" s="88">
        <f t="shared" si="136"/>
        <v>427.03085554015371</v>
      </c>
    </row>
    <row r="620" spans="23:53">
      <c r="X620" s="40">
        <v>45395</v>
      </c>
      <c r="Y620" s="168">
        <f t="shared" si="132"/>
        <v>4</v>
      </c>
      <c r="Z620" s="44" t="s">
        <v>1132</v>
      </c>
      <c r="AA620" s="21"/>
      <c r="AB620" s="21"/>
      <c r="AC620" s="21"/>
      <c r="AF620" s="230"/>
      <c r="AG620" s="105">
        <f>8.7+5.3+11.3+4.8+2.5+2.5</f>
        <v>35.1</v>
      </c>
      <c r="AH620" s="9">
        <f t="shared" si="133"/>
        <v>35.1</v>
      </c>
      <c r="AI620" s="9">
        <f t="shared" si="134"/>
        <v>36110.599999999977</v>
      </c>
      <c r="AJ620" s="14">
        <f>SUM(AH614:AH620)</f>
        <v>413.90000000000003</v>
      </c>
      <c r="AK620" s="14"/>
      <c r="AL620" s="14"/>
      <c r="AM620" s="14"/>
      <c r="AN620" s="166"/>
      <c r="AO620" s="166"/>
      <c r="AP620" s="14"/>
      <c r="AQ620" s="14"/>
      <c r="AZ620" s="88"/>
      <c r="BA620" s="88">
        <f t="shared" si="136"/>
        <v>391.93085554015369</v>
      </c>
    </row>
    <row r="621" spans="23:53">
      <c r="X621" s="40">
        <v>45396</v>
      </c>
      <c r="Y621" s="168">
        <f t="shared" si="132"/>
        <v>4</v>
      </c>
      <c r="Z621" s="44" t="s">
        <v>1134</v>
      </c>
      <c r="AA621" s="21"/>
      <c r="AB621" s="21"/>
      <c r="AC621" s="21"/>
      <c r="AF621" s="230"/>
      <c r="AG621" s="105">
        <f>16.1+18.9+0.95+5.4+1.9</f>
        <v>43.25</v>
      </c>
      <c r="AH621" s="9">
        <f t="shared" si="133"/>
        <v>43.25</v>
      </c>
      <c r="AI621" s="9">
        <f t="shared" si="134"/>
        <v>36153.849999999977</v>
      </c>
      <c r="AJ621" s="14"/>
      <c r="AK621" s="14"/>
      <c r="AL621" s="14"/>
      <c r="AM621" s="14"/>
      <c r="AN621" s="166"/>
      <c r="AO621" s="166"/>
      <c r="AP621" s="14"/>
      <c r="AQ621" s="14"/>
      <c r="AZ621" s="88"/>
      <c r="BA621" s="88">
        <f t="shared" si="136"/>
        <v>348.68085554015369</v>
      </c>
    </row>
    <row r="622" spans="23:53">
      <c r="X622" s="40">
        <v>45397</v>
      </c>
      <c r="Y622" s="168">
        <f t="shared" si="132"/>
        <v>4</v>
      </c>
      <c r="Z622" s="44" t="s">
        <v>1136</v>
      </c>
      <c r="AA622" s="21"/>
      <c r="AB622" s="21"/>
      <c r="AC622" s="21"/>
      <c r="AF622" s="114">
        <v>55</v>
      </c>
      <c r="AG622" s="227"/>
      <c r="AH622" s="9">
        <f t="shared" si="133"/>
        <v>55</v>
      </c>
      <c r="AI622" s="9">
        <f t="shared" si="134"/>
        <v>36208.849999999977</v>
      </c>
      <c r="AJ622" s="14"/>
      <c r="AK622" s="14"/>
      <c r="AL622" s="14"/>
      <c r="AM622" s="14"/>
      <c r="AN622" s="166"/>
      <c r="AO622" s="166"/>
      <c r="AP622" s="14"/>
      <c r="AQ622" s="14"/>
      <c r="AZ622" s="88"/>
      <c r="BA622" s="88">
        <f t="shared" si="136"/>
        <v>293.68085554015369</v>
      </c>
    </row>
    <row r="623" spans="23:53">
      <c r="X623" s="40">
        <v>45398</v>
      </c>
      <c r="Y623" s="168">
        <f t="shared" si="132"/>
        <v>4</v>
      </c>
      <c r="Z623" s="44" t="s">
        <v>1138</v>
      </c>
      <c r="AA623" s="21"/>
      <c r="AB623" s="21"/>
      <c r="AC623" s="21"/>
      <c r="AF623" s="114">
        <v>55</v>
      </c>
      <c r="AG623" s="227"/>
      <c r="AH623" s="9">
        <f t="shared" si="133"/>
        <v>55</v>
      </c>
      <c r="AI623" s="9">
        <f t="shared" si="134"/>
        <v>36263.849999999977</v>
      </c>
      <c r="AJ623" s="14"/>
      <c r="AK623" s="14"/>
      <c r="AL623" s="14"/>
      <c r="AM623" s="14"/>
      <c r="AN623" s="166"/>
      <c r="AO623" s="166"/>
      <c r="AP623" s="14"/>
      <c r="AQ623" s="14"/>
      <c r="AZ623" s="88"/>
      <c r="BA623" s="88">
        <f t="shared" si="136"/>
        <v>238.68085554015369</v>
      </c>
    </row>
    <row r="624" spans="23:53">
      <c r="X624" s="40">
        <v>45399</v>
      </c>
      <c r="Y624" s="168">
        <f t="shared" si="132"/>
        <v>4</v>
      </c>
      <c r="Z624" s="44" t="s">
        <v>1140</v>
      </c>
      <c r="AA624" s="236"/>
      <c r="AB624" s="236"/>
      <c r="AD624" s="232"/>
      <c r="AF624" s="114">
        <v>55</v>
      </c>
      <c r="AG624" s="105">
        <f>3.2+2</f>
        <v>5.2</v>
      </c>
      <c r="AH624" s="9">
        <f t="shared" si="133"/>
        <v>60.2</v>
      </c>
      <c r="AI624" s="9">
        <f t="shared" si="134"/>
        <v>36324.049999999974</v>
      </c>
      <c r="AJ624" s="14"/>
      <c r="AK624" s="14"/>
      <c r="AL624" s="14"/>
      <c r="AM624" s="14"/>
      <c r="AN624" s="166"/>
      <c r="AO624" s="166"/>
      <c r="AP624" s="14"/>
      <c r="AQ624" s="14"/>
      <c r="AZ624" s="88"/>
      <c r="BA624" s="88">
        <f t="shared" si="136"/>
        <v>178.4808555401537</v>
      </c>
    </row>
    <row r="625" spans="24:53">
      <c r="X625" s="40">
        <v>45400</v>
      </c>
      <c r="Y625" s="168">
        <f t="shared" si="132"/>
        <v>4</v>
      </c>
      <c r="Z625" s="44" t="s">
        <v>1143</v>
      </c>
      <c r="AA625" s="21"/>
      <c r="AB625" s="21"/>
      <c r="AC625" s="21"/>
      <c r="AF625" s="114">
        <v>55</v>
      </c>
      <c r="AG625" s="105">
        <f>3.8+0.45</f>
        <v>4.25</v>
      </c>
      <c r="AH625" s="9">
        <f>AF625+AG625</f>
        <v>59.25</v>
      </c>
      <c r="AI625" s="9">
        <f t="shared" si="134"/>
        <v>36383.299999999974</v>
      </c>
      <c r="AJ625" s="14"/>
      <c r="AK625" s="14"/>
      <c r="AL625" s="14"/>
      <c r="AM625" s="14"/>
      <c r="AN625" s="166"/>
      <c r="AO625" s="166"/>
      <c r="AP625" s="14"/>
      <c r="AQ625" s="14"/>
      <c r="AZ625" s="88"/>
      <c r="BA625" s="88">
        <f>BA624-AH625</f>
        <v>119.2308555401537</v>
      </c>
    </row>
    <row r="626" spans="24:53">
      <c r="X626" s="40">
        <v>45401</v>
      </c>
      <c r="Y626" s="168">
        <f t="shared" si="132"/>
        <v>4</v>
      </c>
      <c r="Z626" s="44" t="s">
        <v>1145</v>
      </c>
      <c r="AA626" s="97">
        <v>30</v>
      </c>
      <c r="AB626" s="97">
        <v>0.62</v>
      </c>
      <c r="AC626" s="97">
        <v>1.7589999999999999</v>
      </c>
      <c r="AD626" s="234">
        <f>AA626/AC626</f>
        <v>17.055144968732236</v>
      </c>
      <c r="AF626" s="230">
        <v>55</v>
      </c>
      <c r="AG626" s="227"/>
      <c r="AH626" s="9">
        <f>AF626+AG626</f>
        <v>55</v>
      </c>
      <c r="AI626" s="9">
        <f t="shared" si="134"/>
        <v>36438.299999999974</v>
      </c>
      <c r="AJ626" s="14"/>
      <c r="AK626" s="14"/>
      <c r="AL626" s="14"/>
      <c r="AM626" s="14"/>
      <c r="AN626" s="166"/>
      <c r="AO626" s="166"/>
      <c r="AP626" s="14"/>
      <c r="AQ626" s="14"/>
      <c r="BA626" s="88">
        <f t="shared" si="136"/>
        <v>64.230855540153698</v>
      </c>
    </row>
    <row r="627" spans="24:53">
      <c r="X627" s="40">
        <v>45402</v>
      </c>
      <c r="Y627" s="168">
        <f t="shared" si="132"/>
        <v>4</v>
      </c>
      <c r="Z627" s="44" t="s">
        <v>1132</v>
      </c>
      <c r="AA627" s="21"/>
      <c r="AB627" s="21"/>
      <c r="AC627" s="21"/>
      <c r="AF627" s="230"/>
      <c r="AG627" s="227"/>
      <c r="AH627" s="9">
        <f t="shared" si="133"/>
        <v>0</v>
      </c>
      <c r="AI627" s="9">
        <f t="shared" si="134"/>
        <v>36438.299999999974</v>
      </c>
      <c r="AJ627" s="14">
        <f>SUM(AH621:AH627)</f>
        <v>327.7</v>
      </c>
      <c r="AK627" s="14"/>
      <c r="AL627" s="14"/>
      <c r="AM627" s="14"/>
      <c r="AN627" s="166"/>
      <c r="AO627" s="166"/>
      <c r="AP627" s="14"/>
      <c r="AQ627" s="14"/>
      <c r="BA627" s="88">
        <f t="shared" si="136"/>
        <v>64.230855540153698</v>
      </c>
    </row>
    <row r="628" spans="24:53">
      <c r="X628" s="40">
        <v>45403</v>
      </c>
      <c r="Y628" s="168">
        <f t="shared" si="132"/>
        <v>4</v>
      </c>
      <c r="Z628" s="44" t="s">
        <v>1134</v>
      </c>
      <c r="AA628" s="21"/>
      <c r="AB628" s="21"/>
      <c r="AC628" s="21"/>
      <c r="AF628" s="230"/>
      <c r="AG628" s="227"/>
      <c r="AH628" s="9">
        <f t="shared" si="133"/>
        <v>0</v>
      </c>
      <c r="AI628" s="9">
        <f t="shared" si="134"/>
        <v>36438.299999999974</v>
      </c>
      <c r="AJ628" s="14"/>
      <c r="AK628" s="14"/>
      <c r="AL628" s="14"/>
      <c r="AM628" s="14"/>
      <c r="AN628" s="166"/>
      <c r="AO628" s="166"/>
      <c r="AP628" s="14"/>
      <c r="AQ628" s="14"/>
      <c r="BA628" s="88">
        <f t="shared" si="136"/>
        <v>64.230855540153698</v>
      </c>
    </row>
    <row r="629" spans="24:53">
      <c r="X629" s="40">
        <v>45404</v>
      </c>
      <c r="Y629" s="168">
        <f t="shared" si="132"/>
        <v>4</v>
      </c>
      <c r="Z629" s="44" t="s">
        <v>1136</v>
      </c>
      <c r="AA629" s="21"/>
      <c r="AB629" s="21"/>
      <c r="AC629" s="21"/>
      <c r="AF629" s="230">
        <v>55</v>
      </c>
      <c r="AG629" s="227"/>
      <c r="AH629" s="9">
        <f t="shared" si="133"/>
        <v>55</v>
      </c>
      <c r="AI629" s="9">
        <f t="shared" si="134"/>
        <v>36493.299999999974</v>
      </c>
      <c r="AJ629" s="14"/>
      <c r="AK629" s="14"/>
      <c r="AL629" s="14"/>
      <c r="AM629" s="14"/>
      <c r="AN629" s="166"/>
      <c r="AO629" s="166"/>
      <c r="AP629" s="14"/>
      <c r="AQ629" s="14"/>
    </row>
    <row r="630" spans="24:53">
      <c r="X630" s="40">
        <v>45405</v>
      </c>
      <c r="Y630" s="168">
        <f t="shared" si="132"/>
        <v>4</v>
      </c>
      <c r="Z630" s="44" t="s">
        <v>1138</v>
      </c>
      <c r="AA630" s="97">
        <v>30</v>
      </c>
      <c r="AB630" s="97">
        <v>0.62</v>
      </c>
      <c r="AC630" s="97">
        <v>1.7589999999999999</v>
      </c>
      <c r="AD630" s="234">
        <f>AA630/AC630</f>
        <v>17.055144968732236</v>
      </c>
      <c r="AF630" s="230">
        <v>55</v>
      </c>
      <c r="AG630" s="227"/>
      <c r="AH630" s="9">
        <f t="shared" si="133"/>
        <v>55</v>
      </c>
      <c r="AI630" s="9">
        <f t="shared" si="134"/>
        <v>36548.299999999974</v>
      </c>
      <c r="AJ630" s="14"/>
      <c r="AK630" s="14"/>
      <c r="AL630" s="14"/>
      <c r="AM630" s="14"/>
      <c r="AN630" s="166"/>
      <c r="AO630" s="166"/>
      <c r="AP630" s="14"/>
      <c r="AQ630" s="14"/>
    </row>
    <row r="631" spans="24:53">
      <c r="X631" s="40">
        <v>45406</v>
      </c>
      <c r="Y631" s="168">
        <f t="shared" si="132"/>
        <v>4</v>
      </c>
      <c r="Z631" s="44" t="s">
        <v>1140</v>
      </c>
      <c r="AA631" s="21"/>
      <c r="AB631" s="21"/>
      <c r="AC631" s="21"/>
      <c r="AF631" s="230">
        <v>55</v>
      </c>
      <c r="AG631" s="227"/>
      <c r="AH631" s="9">
        <f t="shared" si="133"/>
        <v>55</v>
      </c>
      <c r="AI631" s="9">
        <f t="shared" si="134"/>
        <v>36603.299999999974</v>
      </c>
      <c r="AJ631" s="14"/>
      <c r="AK631" s="14"/>
      <c r="AL631" s="14"/>
      <c r="AM631" s="14"/>
      <c r="AN631" s="166"/>
      <c r="AO631" s="166"/>
      <c r="AP631" s="14"/>
      <c r="AQ631" s="14"/>
    </row>
    <row r="632" spans="24:53">
      <c r="X632" s="40">
        <v>45407</v>
      </c>
      <c r="Y632" s="168">
        <f t="shared" si="132"/>
        <v>4</v>
      </c>
      <c r="Z632" s="44" t="s">
        <v>1143</v>
      </c>
      <c r="AA632" s="21"/>
      <c r="AB632" s="21"/>
      <c r="AC632" s="21"/>
      <c r="AF632" s="230"/>
      <c r="AG632" s="227"/>
      <c r="AH632" s="9">
        <f t="shared" si="133"/>
        <v>0</v>
      </c>
      <c r="AI632" s="9">
        <f t="shared" si="134"/>
        <v>36603.299999999974</v>
      </c>
      <c r="AJ632" s="14"/>
      <c r="AK632" s="14" t="s">
        <v>1077</v>
      </c>
      <c r="AL632" s="14" t="s">
        <v>1204</v>
      </c>
      <c r="AM632" s="14" t="s">
        <v>1205</v>
      </c>
      <c r="AN632" s="166" t="s">
        <v>1069</v>
      </c>
      <c r="AO632" s="166" t="s">
        <v>1206</v>
      </c>
      <c r="AP632" s="14"/>
      <c r="AQ632" s="14"/>
    </row>
    <row r="633" spans="24:53">
      <c r="X633" s="39">
        <v>45408</v>
      </c>
      <c r="Y633" s="179">
        <f t="shared" si="132"/>
        <v>4</v>
      </c>
      <c r="Z633" s="107" t="s">
        <v>1145</v>
      </c>
      <c r="AA633" s="68"/>
      <c r="AB633" s="68"/>
      <c r="AC633" s="68"/>
      <c r="AD633" s="22"/>
      <c r="AE633" s="22"/>
      <c r="AF633" s="115"/>
      <c r="AG633" s="22"/>
      <c r="AH633" s="22">
        <f t="shared" si="133"/>
        <v>0</v>
      </c>
      <c r="AI633" s="22">
        <f t="shared" si="134"/>
        <v>36603.299999999974</v>
      </c>
      <c r="AJ633" s="1372">
        <f>SUM(AH627:AH633)</f>
        <v>165</v>
      </c>
      <c r="AK633" s="1372">
        <f>SUM(AH605:AH633)</f>
        <v>1494.2</v>
      </c>
      <c r="AL633" s="1372">
        <f>SUM(AF605:AF633)</f>
        <v>964</v>
      </c>
      <c r="AM633" s="1372">
        <f>SUM(AG605:AG633)</f>
        <v>530.20000000000005</v>
      </c>
      <c r="AN633" s="219">
        <f>SUM(AD605:AD633)</f>
        <v>115.93408849475094</v>
      </c>
      <c r="AO633" s="182">
        <f>AK633/AN633</f>
        <v>12.888357681508419</v>
      </c>
      <c r="AP633" s="183">
        <f>SUM(AA605:AB633)/SUM(AD605:AD633)</f>
        <v>1.703467914951879</v>
      </c>
      <c r="AQ633" s="184">
        <f>(AP633/AO633)*(SUM(AH602:AH633))</f>
        <v>234.93406170526029</v>
      </c>
    </row>
    <row r="634" spans="24:53">
      <c r="X634" s="40">
        <v>45409</v>
      </c>
      <c r="Y634" s="168">
        <f t="shared" si="132"/>
        <v>4</v>
      </c>
      <c r="Z634" s="44" t="s">
        <v>1132</v>
      </c>
      <c r="AA634" s="97">
        <v>45</v>
      </c>
      <c r="AB634" s="98">
        <v>0.62</v>
      </c>
      <c r="AC634" s="97">
        <v>1.7589999999999999</v>
      </c>
      <c r="AD634" s="234">
        <f>AA634/AC634</f>
        <v>25.582717453098354</v>
      </c>
      <c r="AF634" s="26"/>
      <c r="AH634" s="9">
        <f t="shared" si="133"/>
        <v>0</v>
      </c>
      <c r="AI634" s="9">
        <f t="shared" si="134"/>
        <v>36603.299999999974</v>
      </c>
      <c r="AJ634" s="14"/>
      <c r="AK634" s="14"/>
      <c r="AL634" s="14"/>
      <c r="AM634" s="14"/>
      <c r="AN634" s="166"/>
      <c r="AO634" s="166"/>
      <c r="AP634" s="69"/>
      <c r="AQ634" s="75"/>
    </row>
    <row r="635" spans="24:53">
      <c r="X635" s="40">
        <v>45410</v>
      </c>
      <c r="Y635" s="168">
        <f t="shared" si="132"/>
        <v>4</v>
      </c>
      <c r="Z635" s="44" t="s">
        <v>1134</v>
      </c>
      <c r="AA635" s="97">
        <v>45.01</v>
      </c>
      <c r="AB635" s="97">
        <v>0.62</v>
      </c>
      <c r="AC635" s="97">
        <v>1.7589999999999999</v>
      </c>
      <c r="AD635" s="88">
        <f>AA635/AC635</f>
        <v>25.588402501421264</v>
      </c>
      <c r="AF635" s="26"/>
      <c r="AH635" s="9">
        <f t="shared" si="133"/>
        <v>0</v>
      </c>
      <c r="AI635" s="9">
        <f t="shared" si="134"/>
        <v>36603.299999999974</v>
      </c>
      <c r="AJ635" s="14"/>
      <c r="AK635" s="14"/>
      <c r="AL635" s="14"/>
      <c r="AM635" s="14"/>
      <c r="AN635" s="166"/>
      <c r="AO635" s="166"/>
      <c r="AP635" s="14"/>
      <c r="AQ635" s="14"/>
    </row>
    <row r="636" spans="24:53">
      <c r="X636" s="40">
        <v>45411</v>
      </c>
      <c r="Y636" s="168">
        <f t="shared" si="132"/>
        <v>4</v>
      </c>
      <c r="Z636" s="44" t="s">
        <v>1136</v>
      </c>
      <c r="AA636" s="21"/>
      <c r="AB636" s="21"/>
      <c r="AC636" s="21"/>
      <c r="AD636" s="88"/>
      <c r="AF636" s="26"/>
      <c r="AH636" s="9">
        <f t="shared" si="133"/>
        <v>0</v>
      </c>
      <c r="AI636" s="9">
        <f t="shared" si="134"/>
        <v>36603.299999999974</v>
      </c>
      <c r="AJ636" s="14"/>
      <c r="AK636" s="14"/>
      <c r="AL636" s="14"/>
      <c r="AM636" s="14"/>
      <c r="AN636" s="166"/>
      <c r="AO636" s="166"/>
      <c r="AP636" s="14"/>
      <c r="AQ636" s="14"/>
    </row>
    <row r="637" spans="24:53">
      <c r="X637" s="40">
        <v>45412</v>
      </c>
      <c r="Y637" s="168">
        <f t="shared" si="132"/>
        <v>4</v>
      </c>
      <c r="Z637" s="44" t="s">
        <v>1138</v>
      </c>
      <c r="AA637" s="21"/>
      <c r="AB637" s="21"/>
      <c r="AC637" s="21"/>
      <c r="AD637" s="88"/>
      <c r="AF637" s="26"/>
      <c r="AH637" s="9">
        <f t="shared" si="133"/>
        <v>0</v>
      </c>
      <c r="AI637" s="9">
        <f t="shared" si="134"/>
        <v>36603.299999999974</v>
      </c>
      <c r="AJ637" s="14"/>
      <c r="AK637" s="14"/>
      <c r="AL637" s="14"/>
      <c r="AM637" s="14"/>
      <c r="AN637" s="166"/>
      <c r="AO637" s="166"/>
      <c r="AP637" s="14"/>
      <c r="AQ637" s="14"/>
    </row>
    <row r="638" spans="24:53">
      <c r="X638" s="40">
        <v>45413</v>
      </c>
      <c r="Y638" s="168">
        <f t="shared" si="132"/>
        <v>5</v>
      </c>
      <c r="Z638" s="44" t="s">
        <v>1140</v>
      </c>
      <c r="AA638" s="21"/>
      <c r="AB638" s="21"/>
      <c r="AC638" s="21"/>
      <c r="AD638" s="88"/>
      <c r="AF638" s="26"/>
      <c r="AH638" s="9">
        <f t="shared" si="133"/>
        <v>0</v>
      </c>
      <c r="AI638" s="9">
        <f t="shared" si="134"/>
        <v>36603.299999999974</v>
      </c>
      <c r="AJ638" s="14"/>
      <c r="AK638" s="14"/>
      <c r="AL638" s="14"/>
      <c r="AM638" s="14"/>
      <c r="AN638" s="166"/>
      <c r="AO638" s="166"/>
      <c r="AP638" s="14"/>
      <c r="AQ638" s="14"/>
    </row>
    <row r="639" spans="24:53">
      <c r="X639" s="40">
        <v>45414</v>
      </c>
      <c r="Y639" s="168">
        <f t="shared" si="132"/>
        <v>5</v>
      </c>
      <c r="Z639" s="44" t="s">
        <v>1143</v>
      </c>
      <c r="AA639" s="21"/>
      <c r="AB639" s="21"/>
      <c r="AC639" s="21"/>
      <c r="AD639" s="88"/>
      <c r="AF639" s="26"/>
      <c r="AH639" s="9">
        <f t="shared" si="133"/>
        <v>0</v>
      </c>
      <c r="AI639" s="9">
        <f t="shared" si="134"/>
        <v>36603.299999999974</v>
      </c>
      <c r="AJ639" s="14"/>
      <c r="AK639" s="14"/>
      <c r="AL639" s="14"/>
      <c r="AM639" s="14"/>
      <c r="AN639" s="166"/>
      <c r="AO639" s="166"/>
      <c r="AP639" s="14"/>
      <c r="AQ639" s="14"/>
    </row>
    <row r="640" spans="24:53">
      <c r="X640" s="40">
        <v>45415</v>
      </c>
      <c r="Y640" s="168">
        <f t="shared" si="132"/>
        <v>5</v>
      </c>
      <c r="Z640" s="44" t="s">
        <v>1145</v>
      </c>
      <c r="AA640" s="97">
        <v>40</v>
      </c>
      <c r="AB640" s="97">
        <v>0.62</v>
      </c>
      <c r="AC640" s="97">
        <v>1.7589999999999999</v>
      </c>
      <c r="AD640" s="88">
        <f>AA640/AC640</f>
        <v>22.740193291642981</v>
      </c>
      <c r="AF640" s="26"/>
      <c r="AH640" s="9">
        <f t="shared" si="133"/>
        <v>0</v>
      </c>
      <c r="AI640" s="9">
        <f t="shared" si="134"/>
        <v>36603.299999999974</v>
      </c>
      <c r="AJ640" s="14"/>
      <c r="AK640" s="14"/>
      <c r="AL640" s="14"/>
      <c r="AM640" s="14"/>
      <c r="AN640" s="166"/>
      <c r="AO640" s="166"/>
      <c r="AP640" s="14"/>
      <c r="AQ640" s="14"/>
    </row>
    <row r="641" spans="24:43">
      <c r="X641" s="40">
        <v>45416</v>
      </c>
      <c r="Y641" s="168">
        <f t="shared" si="132"/>
        <v>5</v>
      </c>
      <c r="Z641" s="44" t="s">
        <v>1132</v>
      </c>
      <c r="AA641" s="21"/>
      <c r="AB641" s="21"/>
      <c r="AC641" s="21"/>
      <c r="AF641" s="26"/>
      <c r="AH641" s="9">
        <f t="shared" si="133"/>
        <v>0</v>
      </c>
      <c r="AI641" s="9">
        <f t="shared" si="134"/>
        <v>36603.299999999974</v>
      </c>
      <c r="AJ641" s="14"/>
      <c r="AK641" s="14"/>
      <c r="AL641" s="14"/>
      <c r="AM641" s="14"/>
      <c r="AN641" s="166"/>
      <c r="AO641" s="166"/>
      <c r="AP641" s="14"/>
      <c r="AQ641" s="14"/>
    </row>
    <row r="642" spans="24:43">
      <c r="X642" s="40">
        <v>45417</v>
      </c>
      <c r="Y642" s="168">
        <f t="shared" si="132"/>
        <v>5</v>
      </c>
      <c r="Z642" s="44" t="s">
        <v>1134</v>
      </c>
      <c r="AA642" s="21"/>
      <c r="AB642" s="21"/>
      <c r="AC642" s="21"/>
      <c r="AF642" s="26"/>
      <c r="AH642" s="9">
        <f t="shared" si="133"/>
        <v>0</v>
      </c>
      <c r="AI642" s="9">
        <f t="shared" si="134"/>
        <v>36603.299999999974</v>
      </c>
      <c r="AJ642" s="14"/>
      <c r="AK642" s="14"/>
      <c r="AL642" s="14"/>
      <c r="AM642" s="14"/>
      <c r="AN642" s="166"/>
      <c r="AO642" s="166"/>
      <c r="AP642" s="14"/>
      <c r="AQ642" s="14"/>
    </row>
    <row r="643" spans="24:43">
      <c r="X643" s="40">
        <v>45418</v>
      </c>
      <c r="Y643" s="168">
        <f t="shared" si="132"/>
        <v>5</v>
      </c>
      <c r="Z643" s="44" t="s">
        <v>1136</v>
      </c>
      <c r="AA643" s="21"/>
      <c r="AB643" s="21"/>
      <c r="AC643" s="21"/>
      <c r="AF643" s="26"/>
      <c r="AH643" s="9">
        <f t="shared" si="133"/>
        <v>0</v>
      </c>
      <c r="AI643" s="9">
        <f t="shared" si="134"/>
        <v>36603.299999999974</v>
      </c>
      <c r="AJ643" s="14"/>
      <c r="AK643" s="14"/>
      <c r="AL643" s="14"/>
      <c r="AM643" s="14"/>
      <c r="AN643" s="166"/>
      <c r="AO643" s="166"/>
      <c r="AP643" s="14"/>
      <c r="AQ643" s="14"/>
    </row>
    <row r="644" spans="24:43">
      <c r="X644" s="40">
        <v>45419</v>
      </c>
      <c r="Y644" s="168">
        <f t="shared" si="132"/>
        <v>5</v>
      </c>
      <c r="Z644" s="44" t="s">
        <v>1138</v>
      </c>
      <c r="AA644" s="21"/>
      <c r="AB644" s="21"/>
      <c r="AC644" s="21"/>
      <c r="AF644" s="26"/>
      <c r="AH644" s="9">
        <f t="shared" si="133"/>
        <v>0</v>
      </c>
      <c r="AI644" s="9">
        <f t="shared" si="134"/>
        <v>36603.299999999974</v>
      </c>
      <c r="AJ644" s="14"/>
      <c r="AK644" s="14"/>
      <c r="AL644" s="14"/>
      <c r="AM644" s="14"/>
      <c r="AN644" s="166"/>
      <c r="AO644" s="166"/>
      <c r="AP644" s="14"/>
      <c r="AQ644" s="14"/>
    </row>
    <row r="645" spans="24:43">
      <c r="X645" s="40">
        <v>45420</v>
      </c>
      <c r="Y645" s="168">
        <f t="shared" si="132"/>
        <v>5</v>
      </c>
      <c r="Z645" s="44" t="s">
        <v>1140</v>
      </c>
      <c r="AA645" s="21"/>
      <c r="AB645" s="21"/>
      <c r="AC645" s="21"/>
      <c r="AF645" s="26"/>
      <c r="AH645" s="9">
        <f t="shared" si="133"/>
        <v>0</v>
      </c>
      <c r="AI645" s="9">
        <f t="shared" si="134"/>
        <v>36603.299999999974</v>
      </c>
      <c r="AJ645" s="14"/>
      <c r="AK645" s="14"/>
      <c r="AL645" s="14"/>
      <c r="AM645" s="14"/>
      <c r="AN645" s="166"/>
      <c r="AO645" s="166"/>
      <c r="AP645" s="14"/>
      <c r="AQ645" s="14"/>
    </row>
    <row r="646" spans="24:43">
      <c r="X646" s="40">
        <v>45421</v>
      </c>
      <c r="Y646" s="168">
        <f t="shared" si="132"/>
        <v>5</v>
      </c>
      <c r="Z646" s="44" t="s">
        <v>1143</v>
      </c>
      <c r="AA646" s="21"/>
      <c r="AB646" s="21"/>
      <c r="AC646" s="21"/>
      <c r="AF646" s="26"/>
      <c r="AH646" s="9">
        <f t="shared" si="133"/>
        <v>0</v>
      </c>
      <c r="AI646" s="9">
        <f t="shared" si="134"/>
        <v>36603.299999999974</v>
      </c>
      <c r="AJ646" s="14"/>
      <c r="AK646" s="14"/>
      <c r="AL646" s="14"/>
      <c r="AM646" s="14"/>
      <c r="AN646" s="166"/>
      <c r="AO646" s="166"/>
      <c r="AP646" s="14"/>
      <c r="AQ646" s="14"/>
    </row>
    <row r="647" spans="24:43">
      <c r="X647" s="40">
        <v>45422</v>
      </c>
      <c r="Y647" s="168">
        <f t="shared" si="132"/>
        <v>5</v>
      </c>
      <c r="Z647" s="44" t="s">
        <v>1145</v>
      </c>
      <c r="AA647" s="97">
        <v>40</v>
      </c>
      <c r="AB647" s="97">
        <v>0.62</v>
      </c>
      <c r="AC647" s="97">
        <v>1.7589999999999999</v>
      </c>
      <c r="AD647" s="88">
        <f>AA647/AC647</f>
        <v>22.740193291642981</v>
      </c>
      <c r="AF647" s="26"/>
      <c r="AH647" s="9">
        <f t="shared" si="133"/>
        <v>0</v>
      </c>
      <c r="AI647" s="9">
        <f t="shared" si="134"/>
        <v>36603.299999999974</v>
      </c>
      <c r="AJ647" s="14"/>
      <c r="AK647" s="14"/>
      <c r="AL647" s="14"/>
      <c r="AM647" s="14"/>
      <c r="AN647" s="166"/>
      <c r="AO647" s="166"/>
      <c r="AP647" s="14"/>
      <c r="AQ647" s="14"/>
    </row>
    <row r="648" spans="24:43">
      <c r="X648" s="40">
        <v>45423</v>
      </c>
      <c r="Y648" s="168">
        <f t="shared" si="132"/>
        <v>5</v>
      </c>
      <c r="Z648" s="44" t="s">
        <v>1132</v>
      </c>
      <c r="AA648" s="21"/>
      <c r="AB648" s="21"/>
      <c r="AC648" s="21"/>
      <c r="AF648" s="26"/>
      <c r="AH648" s="9">
        <f t="shared" si="133"/>
        <v>0</v>
      </c>
      <c r="AI648" s="9">
        <f t="shared" si="134"/>
        <v>36603.299999999974</v>
      </c>
      <c r="AJ648" s="14"/>
      <c r="AK648" s="14"/>
      <c r="AL648" s="14"/>
      <c r="AM648" s="14"/>
      <c r="AN648" s="166"/>
      <c r="AO648" s="166"/>
      <c r="AP648" s="14"/>
      <c r="AQ648" s="14"/>
    </row>
    <row r="649" spans="24:43">
      <c r="X649" s="40">
        <v>45424</v>
      </c>
      <c r="Y649" s="168">
        <f t="shared" si="132"/>
        <v>5</v>
      </c>
      <c r="Z649" s="44" t="s">
        <v>1134</v>
      </c>
      <c r="AA649" s="21"/>
      <c r="AB649" s="21"/>
      <c r="AC649" s="21"/>
      <c r="AF649" s="26"/>
      <c r="AH649" s="9">
        <f t="shared" si="133"/>
        <v>0</v>
      </c>
      <c r="AI649" s="9">
        <f t="shared" si="134"/>
        <v>36603.299999999974</v>
      </c>
      <c r="AJ649" s="14"/>
      <c r="AK649" s="14"/>
      <c r="AL649" s="14"/>
      <c r="AM649" s="14"/>
      <c r="AN649" s="166"/>
      <c r="AO649" s="166"/>
      <c r="AP649" s="14"/>
      <c r="AQ649" s="14"/>
    </row>
    <row r="650" spans="24:43">
      <c r="X650" s="40">
        <v>45425</v>
      </c>
      <c r="Y650" s="168">
        <f t="shared" si="132"/>
        <v>5</v>
      </c>
      <c r="Z650" s="44" t="s">
        <v>1136</v>
      </c>
      <c r="AA650" s="21"/>
      <c r="AB650" s="21"/>
      <c r="AC650" s="21"/>
      <c r="AF650" s="26"/>
      <c r="AH650" s="9">
        <f t="shared" si="133"/>
        <v>0</v>
      </c>
      <c r="AI650" s="9">
        <f t="shared" si="134"/>
        <v>36603.299999999974</v>
      </c>
      <c r="AJ650" s="14"/>
      <c r="AK650" s="14"/>
      <c r="AL650" s="14"/>
      <c r="AM650" s="14"/>
      <c r="AN650" s="166"/>
      <c r="AO650" s="166"/>
      <c r="AP650" s="14"/>
      <c r="AQ650" s="14"/>
    </row>
    <row r="651" spans="24:43">
      <c r="X651" s="40">
        <v>45426</v>
      </c>
      <c r="Y651" s="168">
        <f t="shared" si="132"/>
        <v>5</v>
      </c>
      <c r="Z651" s="44" t="s">
        <v>1138</v>
      </c>
      <c r="AA651" s="21"/>
      <c r="AB651" s="21"/>
      <c r="AC651" s="21"/>
      <c r="AF651" s="26"/>
      <c r="AH651" s="9">
        <f t="shared" si="133"/>
        <v>0</v>
      </c>
      <c r="AI651" s="9">
        <f t="shared" si="134"/>
        <v>36603.299999999974</v>
      </c>
      <c r="AJ651" s="14"/>
      <c r="AK651" s="14"/>
      <c r="AL651" s="14"/>
      <c r="AM651" s="14"/>
      <c r="AN651" s="166"/>
      <c r="AO651" s="166"/>
      <c r="AP651" s="14"/>
      <c r="AQ651" s="14"/>
    </row>
    <row r="652" spans="24:43">
      <c r="X652" s="40">
        <v>45427</v>
      </c>
      <c r="Y652" s="168">
        <f t="shared" si="132"/>
        <v>5</v>
      </c>
      <c r="Z652" s="44" t="s">
        <v>1140</v>
      </c>
      <c r="AA652" s="21"/>
      <c r="AB652" s="21"/>
      <c r="AC652" s="21"/>
      <c r="AF652" s="26"/>
      <c r="AH652" s="9">
        <f t="shared" si="133"/>
        <v>0</v>
      </c>
      <c r="AI652" s="9">
        <f t="shared" si="134"/>
        <v>36603.299999999974</v>
      </c>
      <c r="AJ652" s="14"/>
      <c r="AK652" s="14"/>
      <c r="AL652" s="14"/>
      <c r="AM652" s="14"/>
      <c r="AN652" s="166"/>
      <c r="AO652" s="166"/>
      <c r="AP652" s="14"/>
      <c r="AQ652" s="14"/>
    </row>
    <row r="653" spans="24:43">
      <c r="X653" s="40">
        <v>45428</v>
      </c>
      <c r="Y653" s="168">
        <f t="shared" si="132"/>
        <v>5</v>
      </c>
      <c r="Z653" s="44" t="s">
        <v>1143</v>
      </c>
      <c r="AA653" s="21"/>
      <c r="AB653" s="21"/>
      <c r="AC653" s="21"/>
      <c r="AF653" s="26"/>
      <c r="AH653" s="9">
        <f t="shared" si="133"/>
        <v>0</v>
      </c>
      <c r="AI653" s="9">
        <f t="shared" si="134"/>
        <v>36603.299999999974</v>
      </c>
      <c r="AJ653" s="14"/>
      <c r="AK653" s="14"/>
      <c r="AL653" s="14"/>
      <c r="AM653" s="14"/>
      <c r="AN653" s="166"/>
      <c r="AO653" s="166"/>
      <c r="AP653" s="14"/>
      <c r="AQ653" s="14"/>
    </row>
    <row r="654" spans="24:43">
      <c r="X654" s="40">
        <v>45429</v>
      </c>
      <c r="Y654" s="168">
        <f t="shared" si="132"/>
        <v>5</v>
      </c>
      <c r="Z654" s="44" t="s">
        <v>1145</v>
      </c>
      <c r="AA654" s="21"/>
      <c r="AB654" s="21"/>
      <c r="AC654" s="21"/>
      <c r="AF654" s="26"/>
      <c r="AH654" s="9">
        <f t="shared" si="133"/>
        <v>0</v>
      </c>
      <c r="AI654" s="9">
        <f t="shared" si="134"/>
        <v>36603.299999999974</v>
      </c>
      <c r="AJ654" s="14"/>
      <c r="AK654" s="14"/>
      <c r="AL654" s="14"/>
      <c r="AM654" s="14"/>
      <c r="AN654" s="166"/>
      <c r="AO654" s="166"/>
      <c r="AP654" s="14"/>
      <c r="AQ654" s="14"/>
    </row>
    <row r="655" spans="24:43">
      <c r="X655" s="40">
        <v>45430</v>
      </c>
      <c r="Y655" s="168">
        <f t="shared" si="132"/>
        <v>5</v>
      </c>
      <c r="Z655" s="44" t="s">
        <v>1132</v>
      </c>
      <c r="AA655" s="21"/>
      <c r="AB655" s="21"/>
      <c r="AC655" s="21"/>
      <c r="AF655" s="26"/>
      <c r="AH655" s="9">
        <f t="shared" si="133"/>
        <v>0</v>
      </c>
      <c r="AI655" s="9">
        <f t="shared" si="134"/>
        <v>36603.299999999974</v>
      </c>
      <c r="AJ655" s="14"/>
      <c r="AK655" s="14"/>
      <c r="AL655" s="14"/>
      <c r="AM655" s="14"/>
      <c r="AN655" s="166"/>
      <c r="AO655" s="166"/>
      <c r="AP655" s="14"/>
      <c r="AQ655" s="14"/>
    </row>
    <row r="656" spans="24:43">
      <c r="X656" s="40">
        <v>45431</v>
      </c>
      <c r="Y656" s="168">
        <f t="shared" si="132"/>
        <v>5</v>
      </c>
      <c r="Z656" s="44" t="s">
        <v>1134</v>
      </c>
      <c r="AA656" s="97">
        <v>40.020000000000003</v>
      </c>
      <c r="AB656" s="97">
        <v>0.62</v>
      </c>
      <c r="AC656" s="97">
        <v>1.7589999999999999</v>
      </c>
      <c r="AD656" s="88">
        <f>AA656/AC656</f>
        <v>22.751563388288805</v>
      </c>
      <c r="AF656" s="26"/>
      <c r="AH656" s="9">
        <f t="shared" si="133"/>
        <v>0</v>
      </c>
      <c r="AI656" s="9">
        <f t="shared" si="134"/>
        <v>36603.299999999974</v>
      </c>
      <c r="AJ656" s="14"/>
      <c r="AK656" s="14"/>
      <c r="AL656" s="14"/>
      <c r="AM656" s="14"/>
      <c r="AN656" s="166"/>
      <c r="AO656" s="166"/>
      <c r="AP656" s="14"/>
      <c r="AQ656" s="14"/>
    </row>
    <row r="657" spans="24:43">
      <c r="X657" s="40">
        <v>45432</v>
      </c>
      <c r="Y657" s="168">
        <f t="shared" si="132"/>
        <v>5</v>
      </c>
      <c r="Z657" s="44" t="s">
        <v>1136</v>
      </c>
      <c r="AA657" s="97"/>
      <c r="AB657" s="21"/>
      <c r="AC657" s="21"/>
      <c r="AF657" s="26"/>
      <c r="AH657" s="9">
        <f t="shared" si="133"/>
        <v>0</v>
      </c>
      <c r="AI657" s="9">
        <f t="shared" si="134"/>
        <v>36603.299999999974</v>
      </c>
      <c r="AJ657" s="14"/>
      <c r="AK657" s="14"/>
      <c r="AL657" s="14"/>
      <c r="AM657" s="14"/>
      <c r="AN657" s="166"/>
      <c r="AO657" s="166"/>
      <c r="AP657" s="14"/>
      <c r="AQ657" s="14"/>
    </row>
    <row r="658" spans="24:43">
      <c r="X658" s="40">
        <v>45433</v>
      </c>
      <c r="Y658" s="168">
        <f t="shared" si="132"/>
        <v>5</v>
      </c>
      <c r="Z658" s="44" t="s">
        <v>1138</v>
      </c>
      <c r="AA658" s="21"/>
      <c r="AB658" s="21"/>
      <c r="AC658" s="21"/>
      <c r="AF658" s="26"/>
      <c r="AH658" s="9">
        <f t="shared" si="133"/>
        <v>0</v>
      </c>
      <c r="AI658" s="9">
        <f t="shared" si="134"/>
        <v>36603.299999999974</v>
      </c>
      <c r="AJ658" s="14"/>
      <c r="AK658" s="14"/>
      <c r="AL658" s="14"/>
      <c r="AM658" s="14"/>
      <c r="AN658" s="166"/>
      <c r="AO658" s="166"/>
      <c r="AP658" s="14"/>
      <c r="AQ658" s="14"/>
    </row>
    <row r="659" spans="24:43">
      <c r="X659" s="40">
        <v>45434</v>
      </c>
      <c r="Y659" s="168">
        <f t="shared" si="132"/>
        <v>5</v>
      </c>
      <c r="Z659" s="44" t="s">
        <v>1140</v>
      </c>
      <c r="AA659" s="21"/>
      <c r="AB659" s="21"/>
      <c r="AC659" s="21"/>
      <c r="AF659" s="26"/>
      <c r="AH659" s="9">
        <f t="shared" si="133"/>
        <v>0</v>
      </c>
      <c r="AI659" s="9">
        <f t="shared" si="134"/>
        <v>36603.299999999974</v>
      </c>
      <c r="AJ659" s="14"/>
      <c r="AK659" s="14"/>
      <c r="AL659" s="14"/>
      <c r="AM659" s="14"/>
      <c r="AN659" s="166"/>
      <c r="AO659" s="166"/>
      <c r="AP659" s="14"/>
      <c r="AQ659" s="14"/>
    </row>
    <row r="660" spans="24:43">
      <c r="X660" s="40">
        <v>45435</v>
      </c>
      <c r="Y660" s="168">
        <f t="shared" si="132"/>
        <v>5</v>
      </c>
      <c r="Z660" s="44" t="s">
        <v>1143</v>
      </c>
      <c r="AA660" s="21"/>
      <c r="AB660" s="21"/>
      <c r="AC660" s="21"/>
      <c r="AF660" s="26"/>
      <c r="AH660" s="9">
        <f t="shared" si="133"/>
        <v>0</v>
      </c>
      <c r="AI660" s="9">
        <f t="shared" si="134"/>
        <v>36603.299999999974</v>
      </c>
      <c r="AJ660" s="14"/>
      <c r="AK660" s="14"/>
      <c r="AL660" s="14"/>
      <c r="AM660" s="14"/>
      <c r="AN660" s="166"/>
      <c r="AO660" s="166"/>
      <c r="AP660" s="14"/>
      <c r="AQ660" s="14"/>
    </row>
    <row r="661" spans="24:43">
      <c r="X661" s="40">
        <v>45436</v>
      </c>
      <c r="Y661" s="168">
        <f t="shared" si="132"/>
        <v>5</v>
      </c>
      <c r="Z661" s="44" t="s">
        <v>1145</v>
      </c>
      <c r="AA661" s="97">
        <v>50</v>
      </c>
      <c r="AB661" s="97">
        <v>0.62</v>
      </c>
      <c r="AC661" s="97">
        <v>1.859</v>
      </c>
      <c r="AD661" s="88">
        <f>AA661/AC661</f>
        <v>26.89618074233459</v>
      </c>
      <c r="AF661" s="26"/>
      <c r="AH661" s="9">
        <f t="shared" si="133"/>
        <v>0</v>
      </c>
      <c r="AI661" s="9">
        <f t="shared" si="134"/>
        <v>36603.299999999974</v>
      </c>
      <c r="AJ661" s="14"/>
      <c r="AK661" s="14"/>
      <c r="AL661" s="14"/>
      <c r="AM661" s="14"/>
      <c r="AN661" s="166"/>
      <c r="AO661" s="166"/>
      <c r="AP661" s="14"/>
      <c r="AQ661" s="14"/>
    </row>
    <row r="662" spans="24:43">
      <c r="X662" s="40">
        <v>45437</v>
      </c>
      <c r="Y662" s="168">
        <f t="shared" si="132"/>
        <v>5</v>
      </c>
      <c r="Z662" s="44" t="s">
        <v>1132</v>
      </c>
      <c r="AA662" s="21"/>
      <c r="AB662" s="21"/>
      <c r="AC662" s="21"/>
      <c r="AF662" s="26"/>
      <c r="AH662" s="9">
        <f t="shared" si="133"/>
        <v>0</v>
      </c>
      <c r="AI662" s="9">
        <f t="shared" si="134"/>
        <v>36603.299999999974</v>
      </c>
      <c r="AJ662" s="14"/>
      <c r="AK662" s="14"/>
      <c r="AL662" s="14"/>
      <c r="AM662" s="14"/>
      <c r="AN662" s="166"/>
      <c r="AO662" s="166"/>
      <c r="AP662" s="14"/>
      <c r="AQ662" s="14"/>
    </row>
    <row r="663" spans="24:43">
      <c r="X663" s="40">
        <v>45438</v>
      </c>
      <c r="Y663" s="168">
        <f t="shared" si="132"/>
        <v>5</v>
      </c>
      <c r="Z663" s="44" t="s">
        <v>1134</v>
      </c>
      <c r="AA663" s="21"/>
      <c r="AB663" s="21"/>
      <c r="AC663" s="21"/>
      <c r="AF663" s="26"/>
      <c r="AH663" s="9">
        <f t="shared" si="133"/>
        <v>0</v>
      </c>
      <c r="AI663" s="9">
        <f t="shared" si="134"/>
        <v>36603.299999999974</v>
      </c>
      <c r="AJ663" s="14"/>
      <c r="AK663" s="14"/>
      <c r="AL663" s="14"/>
      <c r="AM663" s="14"/>
      <c r="AN663" s="166"/>
      <c r="AO663" s="166"/>
      <c r="AP663" s="14"/>
      <c r="AQ663" s="14"/>
    </row>
    <row r="664" spans="24:43">
      <c r="X664" s="39">
        <v>45439</v>
      </c>
      <c r="Y664" s="179">
        <f t="shared" si="132"/>
        <v>5</v>
      </c>
      <c r="Z664" s="107" t="s">
        <v>1136</v>
      </c>
      <c r="AA664" s="68"/>
      <c r="AB664" s="68"/>
      <c r="AC664" s="68"/>
      <c r="AD664" s="22"/>
      <c r="AE664" s="22"/>
      <c r="AF664" s="115"/>
      <c r="AG664" s="22"/>
      <c r="AH664" s="22">
        <f t="shared" si="133"/>
        <v>0</v>
      </c>
      <c r="AI664" s="22">
        <f t="shared" si="134"/>
        <v>36603.299999999974</v>
      </c>
      <c r="AJ664" s="1372"/>
      <c r="AK664" s="1372"/>
      <c r="AL664" s="1372"/>
      <c r="AM664" s="1372"/>
      <c r="AN664" s="218"/>
      <c r="AO664" s="218"/>
      <c r="AP664" s="1372"/>
      <c r="AQ664" s="1372"/>
    </row>
    <row r="665" spans="24:43">
      <c r="X665" s="40">
        <v>45440</v>
      </c>
      <c r="Y665" s="168">
        <f t="shared" si="132"/>
        <v>5</v>
      </c>
      <c r="Z665" s="44" t="s">
        <v>1138</v>
      </c>
      <c r="AA665" s="21"/>
      <c r="AB665" s="21"/>
      <c r="AC665" s="21"/>
      <c r="AF665" s="26"/>
      <c r="AH665" s="9">
        <f t="shared" si="133"/>
        <v>0</v>
      </c>
      <c r="AI665" s="9">
        <f t="shared" si="134"/>
        <v>36603.299999999974</v>
      </c>
      <c r="AJ665" s="14"/>
      <c r="AK665" s="14"/>
      <c r="AL665" s="14"/>
      <c r="AM665" s="14"/>
      <c r="AN665" s="166"/>
      <c r="AO665" s="166"/>
      <c r="AP665" s="14"/>
      <c r="AQ665" s="14"/>
    </row>
    <row r="666" spans="24:43">
      <c r="X666" s="40">
        <v>45441</v>
      </c>
      <c r="Y666" s="168">
        <f t="shared" si="132"/>
        <v>5</v>
      </c>
      <c r="Z666" s="44" t="s">
        <v>1140</v>
      </c>
      <c r="AA666" s="21"/>
      <c r="AB666" s="21"/>
      <c r="AC666" s="21"/>
      <c r="AF666" s="26"/>
      <c r="AH666" s="9">
        <f t="shared" si="133"/>
        <v>0</v>
      </c>
      <c r="AI666" s="9">
        <f t="shared" si="134"/>
        <v>36603.299999999974</v>
      </c>
      <c r="AJ666" s="14"/>
      <c r="AK666" s="14"/>
      <c r="AL666" s="14"/>
      <c r="AM666" s="14"/>
      <c r="AN666" s="166"/>
      <c r="AO666" s="166"/>
      <c r="AP666" s="14"/>
      <c r="AQ666" s="14"/>
    </row>
    <row r="667" spans="24:43">
      <c r="X667" s="40">
        <v>45442</v>
      </c>
      <c r="Y667" s="168">
        <f t="shared" si="132"/>
        <v>5</v>
      </c>
      <c r="Z667" s="44" t="s">
        <v>1143</v>
      </c>
      <c r="AA667" s="21"/>
      <c r="AB667" s="21"/>
      <c r="AC667" s="21"/>
      <c r="AF667" s="26"/>
      <c r="AH667" s="9">
        <f t="shared" si="133"/>
        <v>0</v>
      </c>
      <c r="AI667" s="9">
        <f t="shared" si="134"/>
        <v>36603.299999999974</v>
      </c>
      <c r="AJ667" s="14"/>
      <c r="AK667" s="14"/>
      <c r="AL667" s="14"/>
      <c r="AM667" s="14"/>
      <c r="AN667" s="166"/>
      <c r="AO667" s="166"/>
      <c r="AP667" s="14"/>
      <c r="AQ667" s="14"/>
    </row>
    <row r="668" spans="24:43">
      <c r="X668" s="40">
        <v>45443</v>
      </c>
      <c r="Y668" s="168">
        <f t="shared" si="132"/>
        <v>5</v>
      </c>
      <c r="Z668" s="44" t="s">
        <v>1145</v>
      </c>
      <c r="AA668" s="21"/>
      <c r="AB668" s="21"/>
      <c r="AC668" s="21"/>
      <c r="AF668" s="26"/>
      <c r="AH668" s="9">
        <f t="shared" si="133"/>
        <v>0</v>
      </c>
      <c r="AI668" s="9">
        <f t="shared" si="134"/>
        <v>36603.299999999974</v>
      </c>
      <c r="AJ668" s="14"/>
      <c r="AK668" s="14"/>
      <c r="AL668" s="14"/>
      <c r="AM668" s="14"/>
      <c r="AN668" s="166"/>
      <c r="AO668" s="166"/>
      <c r="AP668" s="14"/>
      <c r="AQ668" s="14"/>
    </row>
    <row r="669" spans="24:43">
      <c r="X669" s="40">
        <v>45444</v>
      </c>
      <c r="Y669" s="168">
        <f t="shared" si="132"/>
        <v>6</v>
      </c>
      <c r="Z669" s="44" t="s">
        <v>1132</v>
      </c>
      <c r="AA669" s="21"/>
      <c r="AB669" s="21"/>
      <c r="AC669" s="21"/>
      <c r="AF669" s="26"/>
      <c r="AH669" s="9">
        <f t="shared" si="133"/>
        <v>0</v>
      </c>
      <c r="AI669" s="9">
        <f t="shared" si="134"/>
        <v>36603.299999999974</v>
      </c>
      <c r="AJ669" s="14"/>
      <c r="AK669" s="14"/>
      <c r="AL669" s="14"/>
      <c r="AM669" s="14"/>
      <c r="AN669" s="166"/>
      <c r="AO669" s="166"/>
      <c r="AP669" s="14"/>
      <c r="AQ669" s="14"/>
    </row>
    <row r="670" spans="24:43">
      <c r="X670" s="40">
        <v>45445</v>
      </c>
      <c r="Y670" s="168">
        <f t="shared" si="132"/>
        <v>6</v>
      </c>
      <c r="Z670" s="44" t="s">
        <v>1134</v>
      </c>
      <c r="AA670" s="21"/>
      <c r="AB670" s="21"/>
      <c r="AC670" s="21"/>
      <c r="AF670" s="26"/>
      <c r="AH670" s="9">
        <f t="shared" si="133"/>
        <v>0</v>
      </c>
      <c r="AI670" s="9">
        <f t="shared" si="134"/>
        <v>36603.299999999974</v>
      </c>
      <c r="AJ670" s="14"/>
      <c r="AK670" s="14"/>
      <c r="AL670" s="14"/>
      <c r="AM670" s="14"/>
      <c r="AN670" s="166"/>
      <c r="AO670" s="166"/>
      <c r="AP670" s="14"/>
      <c r="AQ670" s="14"/>
    </row>
    <row r="671" spans="24:43">
      <c r="X671" s="40">
        <v>45446</v>
      </c>
      <c r="Y671" s="168">
        <f t="shared" si="132"/>
        <v>6</v>
      </c>
      <c r="Z671" s="44" t="s">
        <v>1136</v>
      </c>
      <c r="AA671" s="21"/>
      <c r="AB671" s="21"/>
      <c r="AC671" s="21"/>
      <c r="AF671" s="26"/>
      <c r="AH671" s="9">
        <f t="shared" si="133"/>
        <v>0</v>
      </c>
      <c r="AI671" s="9">
        <f t="shared" si="134"/>
        <v>36603.299999999974</v>
      </c>
      <c r="AJ671" s="14"/>
      <c r="AK671" s="14"/>
      <c r="AL671" s="14"/>
      <c r="AM671" s="14"/>
      <c r="AN671" s="166"/>
      <c r="AO671" s="166"/>
      <c r="AP671" s="14"/>
      <c r="AQ671" s="14"/>
    </row>
    <row r="672" spans="24:43">
      <c r="X672" s="40">
        <v>45447</v>
      </c>
      <c r="Y672" s="168">
        <f t="shared" si="132"/>
        <v>6</v>
      </c>
      <c r="Z672" s="44" t="s">
        <v>1138</v>
      </c>
      <c r="AA672" s="21"/>
      <c r="AB672" s="21"/>
      <c r="AC672" s="21"/>
      <c r="AF672" s="26"/>
      <c r="AH672" s="9">
        <f t="shared" si="133"/>
        <v>0</v>
      </c>
      <c r="AI672" s="9">
        <f t="shared" si="134"/>
        <v>36603.299999999974</v>
      </c>
      <c r="AJ672" s="14"/>
      <c r="AK672" s="14"/>
      <c r="AL672" s="14"/>
      <c r="AM672" s="14"/>
      <c r="AN672" s="166"/>
      <c r="AO672" s="166"/>
      <c r="AP672" s="14"/>
      <c r="AQ672" s="14"/>
    </row>
    <row r="673" spans="24:43">
      <c r="X673" s="40">
        <v>45448</v>
      </c>
      <c r="Y673" s="168">
        <f t="shared" si="132"/>
        <v>6</v>
      </c>
      <c r="Z673" s="44" t="s">
        <v>1140</v>
      </c>
      <c r="AA673" s="21"/>
      <c r="AB673" s="21"/>
      <c r="AC673" s="21"/>
      <c r="AF673" s="26"/>
      <c r="AH673" s="9">
        <f t="shared" si="133"/>
        <v>0</v>
      </c>
      <c r="AI673" s="9">
        <f t="shared" si="134"/>
        <v>36603.299999999974</v>
      </c>
      <c r="AJ673" s="14"/>
      <c r="AK673" s="14"/>
      <c r="AL673" s="14"/>
      <c r="AM673" s="14"/>
      <c r="AN673" s="166"/>
      <c r="AO673" s="166"/>
      <c r="AP673" s="14"/>
      <c r="AQ673" s="14"/>
    </row>
    <row r="674" spans="24:43">
      <c r="X674" s="40">
        <v>45449</v>
      </c>
      <c r="Y674" s="168">
        <f t="shared" si="132"/>
        <v>6</v>
      </c>
      <c r="Z674" s="44" t="s">
        <v>1143</v>
      </c>
      <c r="AA674" s="21"/>
      <c r="AB674" s="21"/>
      <c r="AC674" s="21"/>
      <c r="AF674" s="26"/>
      <c r="AH674" s="9">
        <f t="shared" si="133"/>
        <v>0</v>
      </c>
      <c r="AI674" s="9">
        <f t="shared" si="134"/>
        <v>36603.299999999974</v>
      </c>
      <c r="AJ674" s="14"/>
      <c r="AK674" s="14"/>
      <c r="AL674" s="14"/>
      <c r="AM674" s="14"/>
      <c r="AN674" s="166"/>
      <c r="AO674" s="166"/>
      <c r="AP674" s="14"/>
      <c r="AQ674" s="14"/>
    </row>
    <row r="675" spans="24:43">
      <c r="X675" s="40">
        <v>45450</v>
      </c>
      <c r="Y675" s="168">
        <f t="shared" si="132"/>
        <v>6</v>
      </c>
      <c r="Z675" s="44" t="s">
        <v>1145</v>
      </c>
      <c r="AA675" s="21"/>
      <c r="AB675" s="21"/>
      <c r="AC675" s="21"/>
      <c r="AF675" s="26"/>
      <c r="AH675" s="9">
        <f t="shared" si="133"/>
        <v>0</v>
      </c>
      <c r="AI675" s="9">
        <f t="shared" si="134"/>
        <v>36603.299999999974</v>
      </c>
      <c r="AJ675" s="14"/>
      <c r="AK675" s="14"/>
      <c r="AL675" s="14"/>
      <c r="AM675" s="14"/>
      <c r="AN675" s="166"/>
      <c r="AO675" s="166"/>
      <c r="AP675" s="14"/>
      <c r="AQ675" s="14"/>
    </row>
    <row r="676" spans="24:43">
      <c r="X676" s="40">
        <v>45451</v>
      </c>
      <c r="Y676" s="168">
        <f t="shared" ref="Y676:Y739" si="137">MONTH(X676)</f>
        <v>6</v>
      </c>
      <c r="Z676" s="44" t="s">
        <v>1132</v>
      </c>
      <c r="AA676" s="21"/>
      <c r="AB676" s="21"/>
      <c r="AC676" s="21"/>
      <c r="AF676" s="26"/>
      <c r="AH676" s="9">
        <f t="shared" ref="AH676:AH739" si="138">AF676+AG676</f>
        <v>0</v>
      </c>
      <c r="AI676" s="9">
        <f t="shared" ref="AI676:AI739" si="139">AI675+AH676</f>
        <v>36603.299999999974</v>
      </c>
      <c r="AJ676" s="14"/>
      <c r="AK676" s="14"/>
      <c r="AL676" s="14"/>
      <c r="AM676" s="14"/>
      <c r="AN676" s="166"/>
      <c r="AO676" s="166"/>
      <c r="AP676" s="14"/>
      <c r="AQ676" s="14"/>
    </row>
    <row r="677" spans="24:43">
      <c r="X677" s="40">
        <v>45452</v>
      </c>
      <c r="Y677" s="168">
        <f t="shared" si="137"/>
        <v>6</v>
      </c>
      <c r="Z677" s="44" t="s">
        <v>1134</v>
      </c>
      <c r="AA677" s="21"/>
      <c r="AB677" s="21"/>
      <c r="AC677" s="21"/>
      <c r="AF677" s="26"/>
      <c r="AH677" s="9">
        <f t="shared" si="138"/>
        <v>0</v>
      </c>
      <c r="AI677" s="9">
        <f t="shared" si="139"/>
        <v>36603.299999999974</v>
      </c>
      <c r="AJ677" s="14"/>
      <c r="AK677" s="14"/>
      <c r="AL677" s="14"/>
      <c r="AM677" s="14"/>
      <c r="AN677" s="166"/>
      <c r="AO677" s="166"/>
      <c r="AP677" s="14"/>
      <c r="AQ677" s="14"/>
    </row>
    <row r="678" spans="24:43">
      <c r="X678" s="40">
        <v>45453</v>
      </c>
      <c r="Y678" s="168">
        <f t="shared" si="137"/>
        <v>6</v>
      </c>
      <c r="Z678" s="44" t="s">
        <v>1136</v>
      </c>
      <c r="AA678" s="21"/>
      <c r="AB678" s="21"/>
      <c r="AC678" s="21"/>
      <c r="AF678" s="26"/>
      <c r="AH678" s="9">
        <f t="shared" si="138"/>
        <v>0</v>
      </c>
      <c r="AI678" s="9">
        <f t="shared" si="139"/>
        <v>36603.299999999974</v>
      </c>
      <c r="AJ678" s="14"/>
      <c r="AK678" s="14"/>
      <c r="AL678" s="14"/>
      <c r="AM678" s="14"/>
      <c r="AN678" s="166"/>
      <c r="AO678" s="166"/>
      <c r="AP678" s="14"/>
      <c r="AQ678" s="14"/>
    </row>
    <row r="679" spans="24:43">
      <c r="X679" s="40">
        <v>45454</v>
      </c>
      <c r="Y679" s="168">
        <f t="shared" si="137"/>
        <v>6</v>
      </c>
      <c r="Z679" s="44" t="s">
        <v>1138</v>
      </c>
      <c r="AA679" s="21"/>
      <c r="AB679" s="21"/>
      <c r="AC679" s="21"/>
      <c r="AF679" s="26"/>
      <c r="AH679" s="9">
        <f t="shared" si="138"/>
        <v>0</v>
      </c>
      <c r="AI679" s="9">
        <f t="shared" si="139"/>
        <v>36603.299999999974</v>
      </c>
      <c r="AJ679" s="14"/>
      <c r="AK679" s="14"/>
      <c r="AL679" s="14"/>
      <c r="AM679" s="14"/>
      <c r="AN679" s="166"/>
      <c r="AO679" s="166"/>
      <c r="AP679" s="14"/>
      <c r="AQ679" s="14"/>
    </row>
    <row r="680" spans="24:43">
      <c r="X680" s="40">
        <v>45455</v>
      </c>
      <c r="Y680" s="168">
        <f t="shared" si="137"/>
        <v>6</v>
      </c>
      <c r="Z680" s="44" t="s">
        <v>1140</v>
      </c>
      <c r="AA680" s="21"/>
      <c r="AB680" s="21"/>
      <c r="AC680" s="21"/>
      <c r="AF680" s="26"/>
      <c r="AH680" s="9">
        <f t="shared" si="138"/>
        <v>0</v>
      </c>
      <c r="AI680" s="9">
        <f t="shared" si="139"/>
        <v>36603.299999999974</v>
      </c>
      <c r="AJ680" s="14"/>
      <c r="AK680" s="14"/>
      <c r="AL680" s="14"/>
      <c r="AM680" s="14"/>
      <c r="AN680" s="166"/>
      <c r="AO680" s="166"/>
      <c r="AP680" s="14"/>
      <c r="AQ680" s="14"/>
    </row>
    <row r="681" spans="24:43">
      <c r="X681" s="40">
        <v>45456</v>
      </c>
      <c r="Y681" s="168">
        <f t="shared" si="137"/>
        <v>6</v>
      </c>
      <c r="Z681" s="44" t="s">
        <v>1143</v>
      </c>
      <c r="AA681" s="21"/>
      <c r="AB681" s="21"/>
      <c r="AC681" s="21"/>
      <c r="AF681" s="26"/>
      <c r="AH681" s="9">
        <f t="shared" si="138"/>
        <v>0</v>
      </c>
      <c r="AI681" s="9">
        <f t="shared" si="139"/>
        <v>36603.299999999974</v>
      </c>
      <c r="AJ681" s="14"/>
      <c r="AK681" s="14"/>
      <c r="AL681" s="14"/>
      <c r="AM681" s="14"/>
      <c r="AN681" s="166"/>
      <c r="AO681" s="166"/>
      <c r="AP681" s="14"/>
      <c r="AQ681" s="14"/>
    </row>
    <row r="682" spans="24:43">
      <c r="X682" s="40">
        <v>45457</v>
      </c>
      <c r="Y682" s="168">
        <f t="shared" si="137"/>
        <v>6</v>
      </c>
      <c r="Z682" s="44" t="s">
        <v>1145</v>
      </c>
      <c r="AA682" s="21"/>
      <c r="AB682" s="21"/>
      <c r="AC682" s="21"/>
      <c r="AF682" s="26"/>
      <c r="AH682" s="9">
        <f t="shared" si="138"/>
        <v>0</v>
      </c>
      <c r="AI682" s="9">
        <f t="shared" si="139"/>
        <v>36603.299999999974</v>
      </c>
      <c r="AJ682" s="14"/>
      <c r="AK682" s="14"/>
      <c r="AL682" s="14"/>
      <c r="AM682" s="14"/>
      <c r="AN682" s="166"/>
      <c r="AO682" s="166"/>
      <c r="AP682" s="14"/>
      <c r="AQ682" s="14"/>
    </row>
    <row r="683" spans="24:43">
      <c r="X683" s="40">
        <v>45458</v>
      </c>
      <c r="Y683" s="168">
        <f t="shared" si="137"/>
        <v>6</v>
      </c>
      <c r="Z683" s="44" t="s">
        <v>1132</v>
      </c>
      <c r="AA683" s="21"/>
      <c r="AB683" s="21"/>
      <c r="AC683" s="21"/>
      <c r="AF683" s="26"/>
      <c r="AH683" s="9">
        <f t="shared" si="138"/>
        <v>0</v>
      </c>
      <c r="AI683" s="9">
        <f t="shared" si="139"/>
        <v>36603.299999999974</v>
      </c>
      <c r="AJ683" s="14"/>
      <c r="AK683" s="14"/>
      <c r="AL683" s="14"/>
      <c r="AM683" s="14"/>
      <c r="AN683" s="166"/>
      <c r="AO683" s="166"/>
      <c r="AP683" s="14"/>
      <c r="AQ683" s="14"/>
    </row>
    <row r="684" spans="24:43">
      <c r="X684" s="40">
        <v>45459</v>
      </c>
      <c r="Y684" s="168">
        <f t="shared" si="137"/>
        <v>6</v>
      </c>
      <c r="Z684" s="44" t="s">
        <v>1134</v>
      </c>
      <c r="AA684" s="21"/>
      <c r="AB684" s="21"/>
      <c r="AC684" s="21"/>
      <c r="AF684" s="26"/>
      <c r="AH684" s="9">
        <f t="shared" si="138"/>
        <v>0</v>
      </c>
      <c r="AI684" s="9">
        <f t="shared" si="139"/>
        <v>36603.299999999974</v>
      </c>
      <c r="AJ684" s="14"/>
      <c r="AK684" s="14"/>
      <c r="AL684" s="14"/>
      <c r="AM684" s="14"/>
      <c r="AN684" s="166"/>
      <c r="AO684" s="166"/>
      <c r="AP684" s="14"/>
      <c r="AQ684" s="14"/>
    </row>
    <row r="685" spans="24:43">
      <c r="X685" s="40">
        <v>45460</v>
      </c>
      <c r="Y685" s="168">
        <f t="shared" si="137"/>
        <v>6</v>
      </c>
      <c r="Z685" s="44" t="s">
        <v>1136</v>
      </c>
      <c r="AA685" s="21"/>
      <c r="AB685" s="21"/>
      <c r="AC685" s="21"/>
      <c r="AF685" s="26"/>
      <c r="AH685" s="9">
        <f t="shared" si="138"/>
        <v>0</v>
      </c>
      <c r="AI685" s="9">
        <f t="shared" si="139"/>
        <v>36603.299999999974</v>
      </c>
      <c r="AJ685" s="14"/>
      <c r="AK685" s="14"/>
      <c r="AL685" s="14"/>
      <c r="AM685" s="14"/>
      <c r="AN685" s="166"/>
      <c r="AO685" s="166"/>
      <c r="AP685" s="14"/>
      <c r="AQ685" s="14"/>
    </row>
    <row r="686" spans="24:43">
      <c r="X686" s="40">
        <v>45461</v>
      </c>
      <c r="Y686" s="168">
        <f t="shared" si="137"/>
        <v>6</v>
      </c>
      <c r="Z686" s="44" t="s">
        <v>1138</v>
      </c>
      <c r="AA686" s="21"/>
      <c r="AB686" s="21"/>
      <c r="AC686" s="21"/>
      <c r="AF686" s="26"/>
      <c r="AH686" s="9">
        <f t="shared" si="138"/>
        <v>0</v>
      </c>
      <c r="AI686" s="9">
        <f t="shared" si="139"/>
        <v>36603.299999999974</v>
      </c>
      <c r="AJ686" s="14"/>
      <c r="AK686" s="14"/>
      <c r="AL686" s="14"/>
      <c r="AM686" s="14"/>
      <c r="AN686" s="166"/>
      <c r="AO686" s="166"/>
      <c r="AP686" s="14"/>
      <c r="AQ686" s="14"/>
    </row>
    <row r="687" spans="24:43">
      <c r="X687" s="40">
        <v>45462</v>
      </c>
      <c r="Y687" s="168">
        <f t="shared" si="137"/>
        <v>6</v>
      </c>
      <c r="Z687" s="44" t="s">
        <v>1140</v>
      </c>
      <c r="AA687" s="21"/>
      <c r="AB687" s="21"/>
      <c r="AC687" s="21"/>
      <c r="AF687" s="26"/>
      <c r="AH687" s="9">
        <f t="shared" si="138"/>
        <v>0</v>
      </c>
      <c r="AI687" s="9">
        <f t="shared" si="139"/>
        <v>36603.299999999974</v>
      </c>
      <c r="AJ687" s="14"/>
      <c r="AK687" s="14"/>
      <c r="AL687" s="14"/>
      <c r="AM687" s="14"/>
      <c r="AN687" s="166"/>
      <c r="AO687" s="166"/>
      <c r="AP687" s="14"/>
      <c r="AQ687" s="14"/>
    </row>
    <row r="688" spans="24:43">
      <c r="X688" s="40">
        <v>45463</v>
      </c>
      <c r="Y688" s="168">
        <f t="shared" si="137"/>
        <v>6</v>
      </c>
      <c r="Z688" s="44" t="s">
        <v>1143</v>
      </c>
      <c r="AA688" s="21"/>
      <c r="AB688" s="21"/>
      <c r="AC688" s="21"/>
      <c r="AF688" s="26"/>
      <c r="AH688" s="9">
        <f t="shared" si="138"/>
        <v>0</v>
      </c>
      <c r="AI688" s="9">
        <f t="shared" si="139"/>
        <v>36603.299999999974</v>
      </c>
      <c r="AJ688" s="14"/>
      <c r="AK688" s="14"/>
      <c r="AL688" s="14"/>
      <c r="AM688" s="14"/>
      <c r="AN688" s="166"/>
      <c r="AO688" s="166"/>
      <c r="AP688" s="14"/>
      <c r="AQ688" s="14"/>
    </row>
    <row r="689" spans="24:43">
      <c r="X689" s="40">
        <v>45464</v>
      </c>
      <c r="Y689" s="168">
        <f t="shared" si="137"/>
        <v>6</v>
      </c>
      <c r="Z689" s="44" t="s">
        <v>1145</v>
      </c>
      <c r="AA689" s="21"/>
      <c r="AB689" s="21"/>
      <c r="AC689" s="21"/>
      <c r="AF689" s="26"/>
      <c r="AH689" s="9">
        <f t="shared" si="138"/>
        <v>0</v>
      </c>
      <c r="AI689" s="9">
        <f t="shared" si="139"/>
        <v>36603.299999999974</v>
      </c>
      <c r="AJ689" s="14"/>
      <c r="AK689" s="14"/>
      <c r="AL689" s="14"/>
      <c r="AM689" s="14"/>
      <c r="AN689" s="166"/>
      <c r="AO689" s="166"/>
      <c r="AP689" s="14"/>
      <c r="AQ689" s="14"/>
    </row>
    <row r="690" spans="24:43">
      <c r="X690" s="40">
        <v>45465</v>
      </c>
      <c r="Y690" s="168">
        <f t="shared" si="137"/>
        <v>6</v>
      </c>
      <c r="Z690" s="44" t="s">
        <v>1132</v>
      </c>
      <c r="AA690" s="21"/>
      <c r="AB690" s="21"/>
      <c r="AC690" s="21"/>
      <c r="AF690" s="26"/>
      <c r="AH690" s="9">
        <f t="shared" si="138"/>
        <v>0</v>
      </c>
      <c r="AI690" s="9">
        <f t="shared" si="139"/>
        <v>36603.299999999974</v>
      </c>
      <c r="AJ690" s="14"/>
      <c r="AK690" s="14"/>
      <c r="AL690" s="14"/>
      <c r="AM690" s="14"/>
      <c r="AN690" s="166"/>
      <c r="AO690" s="166"/>
      <c r="AP690" s="14"/>
      <c r="AQ690" s="14"/>
    </row>
    <row r="691" spans="24:43">
      <c r="X691" s="40">
        <v>45466</v>
      </c>
      <c r="Y691" s="168">
        <f t="shared" si="137"/>
        <v>6</v>
      </c>
      <c r="Z691" s="44" t="s">
        <v>1134</v>
      </c>
      <c r="AA691" s="21"/>
      <c r="AB691" s="21"/>
      <c r="AC691" s="21"/>
      <c r="AF691" s="26"/>
      <c r="AH691" s="9">
        <f t="shared" si="138"/>
        <v>0</v>
      </c>
      <c r="AI691" s="9">
        <f t="shared" si="139"/>
        <v>36603.299999999974</v>
      </c>
      <c r="AJ691" s="14"/>
      <c r="AK691" s="14"/>
      <c r="AL691" s="14"/>
      <c r="AM691" s="14"/>
      <c r="AN691" s="166"/>
      <c r="AO691" s="166"/>
      <c r="AP691" s="14"/>
      <c r="AQ691" s="14"/>
    </row>
    <row r="692" spans="24:43">
      <c r="X692" s="40">
        <v>45467</v>
      </c>
      <c r="Y692" s="168">
        <f t="shared" si="137"/>
        <v>6</v>
      </c>
      <c r="Z692" s="44" t="s">
        <v>1136</v>
      </c>
      <c r="AA692" s="21"/>
      <c r="AB692" s="21"/>
      <c r="AC692" s="21"/>
      <c r="AF692" s="26"/>
      <c r="AH692" s="9">
        <f t="shared" si="138"/>
        <v>0</v>
      </c>
      <c r="AI692" s="9">
        <f t="shared" si="139"/>
        <v>36603.299999999974</v>
      </c>
      <c r="AJ692" s="14"/>
      <c r="AK692" s="14"/>
      <c r="AL692" s="14"/>
      <c r="AM692" s="14"/>
      <c r="AN692" s="166"/>
      <c r="AO692" s="166"/>
      <c r="AP692" s="14"/>
      <c r="AQ692" s="14"/>
    </row>
    <row r="693" spans="24:43">
      <c r="X693" s="40">
        <v>45468</v>
      </c>
      <c r="Y693" s="168">
        <f t="shared" si="137"/>
        <v>6</v>
      </c>
      <c r="Z693" s="44" t="s">
        <v>1138</v>
      </c>
      <c r="AA693" s="21"/>
      <c r="AB693" s="21"/>
      <c r="AC693" s="21"/>
      <c r="AF693" s="26"/>
      <c r="AH693" s="9">
        <f t="shared" si="138"/>
        <v>0</v>
      </c>
      <c r="AI693" s="9">
        <f t="shared" si="139"/>
        <v>36603.299999999974</v>
      </c>
      <c r="AJ693" s="14"/>
      <c r="AK693" s="14"/>
      <c r="AL693" s="14"/>
      <c r="AM693" s="14"/>
      <c r="AN693" s="166"/>
      <c r="AO693" s="166"/>
      <c r="AP693" s="14"/>
      <c r="AQ693" s="14"/>
    </row>
    <row r="694" spans="24:43">
      <c r="X694" s="40">
        <v>45469</v>
      </c>
      <c r="Y694" s="168">
        <f t="shared" si="137"/>
        <v>6</v>
      </c>
      <c r="Z694" s="44" t="s">
        <v>1140</v>
      </c>
      <c r="AA694" s="21"/>
      <c r="AB694" s="21"/>
      <c r="AC694" s="21"/>
      <c r="AF694" s="26"/>
      <c r="AH694" s="9">
        <f t="shared" si="138"/>
        <v>0</v>
      </c>
      <c r="AI694" s="9">
        <f t="shared" si="139"/>
        <v>36603.299999999974</v>
      </c>
      <c r="AJ694" s="14"/>
      <c r="AK694" s="14"/>
      <c r="AL694" s="14"/>
      <c r="AM694" s="14"/>
      <c r="AN694" s="166"/>
      <c r="AO694" s="166"/>
      <c r="AP694" s="14"/>
      <c r="AQ694" s="14"/>
    </row>
    <row r="695" spans="24:43">
      <c r="X695" s="40">
        <v>45470</v>
      </c>
      <c r="Y695" s="168">
        <f t="shared" si="137"/>
        <v>6</v>
      </c>
      <c r="Z695" s="44" t="s">
        <v>1143</v>
      </c>
      <c r="AA695" s="21"/>
      <c r="AB695" s="21"/>
      <c r="AC695" s="21"/>
      <c r="AF695" s="26"/>
      <c r="AH695" s="9">
        <f t="shared" si="138"/>
        <v>0</v>
      </c>
      <c r="AI695" s="9">
        <f t="shared" si="139"/>
        <v>36603.299999999974</v>
      </c>
      <c r="AJ695" s="14"/>
      <c r="AK695" s="14"/>
      <c r="AL695" s="14"/>
      <c r="AM695" s="14"/>
      <c r="AN695" s="166"/>
      <c r="AO695" s="166"/>
      <c r="AP695" s="14"/>
      <c r="AQ695" s="14"/>
    </row>
    <row r="696" spans="24:43">
      <c r="X696" s="40">
        <v>45471</v>
      </c>
      <c r="Y696" s="168">
        <f t="shared" si="137"/>
        <v>6</v>
      </c>
      <c r="Z696" s="44" t="s">
        <v>1145</v>
      </c>
      <c r="AA696" s="21"/>
      <c r="AB696" s="21"/>
      <c r="AC696" s="21"/>
      <c r="AF696" s="26"/>
      <c r="AH696" s="9">
        <f t="shared" si="138"/>
        <v>0</v>
      </c>
      <c r="AI696" s="9">
        <f t="shared" si="139"/>
        <v>36603.299999999974</v>
      </c>
      <c r="AJ696" s="14"/>
      <c r="AK696" s="14"/>
      <c r="AL696" s="14"/>
      <c r="AM696" s="14"/>
      <c r="AN696" s="166"/>
      <c r="AO696" s="166"/>
      <c r="AP696" s="14"/>
      <c r="AQ696" s="14"/>
    </row>
    <row r="697" spans="24:43">
      <c r="X697" s="40">
        <v>45472</v>
      </c>
      <c r="Y697" s="168">
        <f t="shared" si="137"/>
        <v>6</v>
      </c>
      <c r="Z697" s="44" t="s">
        <v>1132</v>
      </c>
      <c r="AA697" s="21"/>
      <c r="AB697" s="21"/>
      <c r="AC697" s="21"/>
      <c r="AF697" s="26"/>
      <c r="AH697" s="9">
        <f t="shared" si="138"/>
        <v>0</v>
      </c>
      <c r="AI697" s="9">
        <f t="shared" si="139"/>
        <v>36603.299999999974</v>
      </c>
      <c r="AJ697" s="14"/>
      <c r="AK697" s="14"/>
      <c r="AL697" s="14"/>
      <c r="AM697" s="14"/>
      <c r="AN697" s="166"/>
      <c r="AO697" s="166"/>
      <c r="AP697" s="14"/>
      <c r="AQ697" s="14"/>
    </row>
    <row r="698" spans="24:43">
      <c r="X698" s="40">
        <v>45473</v>
      </c>
      <c r="Y698" s="168">
        <f t="shared" si="137"/>
        <v>6</v>
      </c>
      <c r="Z698" s="44" t="s">
        <v>1134</v>
      </c>
      <c r="AA698" s="21"/>
      <c r="AB698" s="21"/>
      <c r="AC698" s="21"/>
      <c r="AF698" s="26"/>
      <c r="AH698" s="9">
        <f t="shared" si="138"/>
        <v>0</v>
      </c>
      <c r="AI698" s="9">
        <f t="shared" si="139"/>
        <v>36603.299999999974</v>
      </c>
      <c r="AJ698" s="14"/>
      <c r="AK698" s="14"/>
      <c r="AL698" s="14"/>
      <c r="AM698" s="14"/>
      <c r="AN698" s="166"/>
      <c r="AO698" s="166"/>
      <c r="AP698" s="14"/>
      <c r="AQ698" s="14"/>
    </row>
    <row r="699" spans="24:43">
      <c r="X699" s="40">
        <v>45474</v>
      </c>
      <c r="Y699" s="168">
        <f t="shared" si="137"/>
        <v>7</v>
      </c>
      <c r="Z699" s="44" t="s">
        <v>1136</v>
      </c>
      <c r="AA699" s="21"/>
      <c r="AB699" s="21"/>
      <c r="AC699" s="21"/>
      <c r="AF699" s="26"/>
      <c r="AH699" s="9">
        <f t="shared" si="138"/>
        <v>0</v>
      </c>
      <c r="AI699" s="9">
        <f t="shared" si="139"/>
        <v>36603.299999999974</v>
      </c>
      <c r="AJ699" s="14"/>
      <c r="AK699" s="14"/>
      <c r="AL699" s="14"/>
      <c r="AM699" s="14"/>
      <c r="AN699" s="166"/>
      <c r="AO699" s="166"/>
      <c r="AP699" s="14"/>
      <c r="AQ699" s="14"/>
    </row>
    <row r="700" spans="24:43">
      <c r="X700" s="40">
        <v>45475</v>
      </c>
      <c r="Y700" s="168">
        <f t="shared" si="137"/>
        <v>7</v>
      </c>
      <c r="Z700" s="44" t="s">
        <v>1138</v>
      </c>
      <c r="AA700" s="21"/>
      <c r="AB700" s="21"/>
      <c r="AC700" s="21"/>
      <c r="AF700" s="26"/>
      <c r="AH700" s="9">
        <f t="shared" si="138"/>
        <v>0</v>
      </c>
      <c r="AI700" s="9">
        <f t="shared" si="139"/>
        <v>36603.299999999974</v>
      </c>
      <c r="AJ700" s="14"/>
      <c r="AK700" s="14"/>
      <c r="AL700" s="14"/>
      <c r="AM700" s="14"/>
      <c r="AN700" s="166"/>
      <c r="AO700" s="166"/>
      <c r="AP700" s="14"/>
      <c r="AQ700" s="14"/>
    </row>
    <row r="701" spans="24:43">
      <c r="X701" s="40">
        <v>45476</v>
      </c>
      <c r="Y701" s="168">
        <f t="shared" si="137"/>
        <v>7</v>
      </c>
      <c r="Z701" s="44" t="s">
        <v>1140</v>
      </c>
      <c r="AA701" s="21"/>
      <c r="AB701" s="21"/>
      <c r="AC701" s="21"/>
      <c r="AF701" s="26"/>
      <c r="AH701" s="9">
        <f t="shared" si="138"/>
        <v>0</v>
      </c>
      <c r="AI701" s="9">
        <f t="shared" si="139"/>
        <v>36603.299999999974</v>
      </c>
      <c r="AJ701" s="14"/>
      <c r="AK701" s="14"/>
      <c r="AL701" s="14"/>
      <c r="AM701" s="14"/>
      <c r="AN701" s="166"/>
      <c r="AO701" s="166"/>
      <c r="AP701" s="14"/>
      <c r="AQ701" s="14"/>
    </row>
    <row r="702" spans="24:43">
      <c r="X702" s="40">
        <v>45477</v>
      </c>
      <c r="Y702" s="168">
        <f t="shared" si="137"/>
        <v>7</v>
      </c>
      <c r="Z702" s="44" t="s">
        <v>1143</v>
      </c>
      <c r="AA702" s="21"/>
      <c r="AB702" s="21"/>
      <c r="AC702" s="21"/>
      <c r="AF702" s="26"/>
      <c r="AH702" s="9">
        <f t="shared" si="138"/>
        <v>0</v>
      </c>
      <c r="AI702" s="9">
        <f t="shared" si="139"/>
        <v>36603.299999999974</v>
      </c>
      <c r="AJ702" s="14"/>
      <c r="AK702" s="14"/>
      <c r="AL702" s="14"/>
      <c r="AM702" s="14"/>
      <c r="AN702" s="166"/>
      <c r="AO702" s="166"/>
      <c r="AP702" s="14"/>
      <c r="AQ702" s="14"/>
    </row>
    <row r="703" spans="24:43">
      <c r="X703" s="40">
        <v>45478</v>
      </c>
      <c r="Y703" s="168">
        <f t="shared" si="137"/>
        <v>7</v>
      </c>
      <c r="Z703" s="44" t="s">
        <v>1145</v>
      </c>
      <c r="AA703" s="21"/>
      <c r="AB703" s="21"/>
      <c r="AC703" s="21"/>
      <c r="AF703" s="26"/>
      <c r="AH703" s="9">
        <f t="shared" si="138"/>
        <v>0</v>
      </c>
      <c r="AI703" s="9">
        <f t="shared" si="139"/>
        <v>36603.299999999974</v>
      </c>
      <c r="AJ703" s="14"/>
      <c r="AK703" s="14"/>
      <c r="AL703" s="14"/>
      <c r="AM703" s="14"/>
      <c r="AN703" s="166"/>
      <c r="AO703" s="166"/>
      <c r="AP703" s="14"/>
      <c r="AQ703" s="14"/>
    </row>
    <row r="704" spans="24:43">
      <c r="X704" s="40">
        <v>45479</v>
      </c>
      <c r="Y704" s="168">
        <f t="shared" si="137"/>
        <v>7</v>
      </c>
      <c r="Z704" s="44" t="s">
        <v>1132</v>
      </c>
      <c r="AA704" s="21"/>
      <c r="AB704" s="21"/>
      <c r="AC704" s="21"/>
      <c r="AF704" s="26"/>
      <c r="AH704" s="9">
        <f t="shared" si="138"/>
        <v>0</v>
      </c>
      <c r="AI704" s="9">
        <f t="shared" si="139"/>
        <v>36603.299999999974</v>
      </c>
      <c r="AJ704" s="14"/>
      <c r="AK704" s="14"/>
      <c r="AL704" s="14"/>
      <c r="AM704" s="14"/>
      <c r="AN704" s="166"/>
      <c r="AO704" s="166"/>
      <c r="AP704" s="14"/>
      <c r="AQ704" s="14"/>
    </row>
    <row r="705" spans="24:43">
      <c r="X705" s="40">
        <v>45480</v>
      </c>
      <c r="Y705" s="168">
        <f t="shared" si="137"/>
        <v>7</v>
      </c>
      <c r="Z705" s="44" t="s">
        <v>1134</v>
      </c>
      <c r="AA705" s="21"/>
      <c r="AB705" s="21"/>
      <c r="AC705" s="21"/>
      <c r="AF705" s="26"/>
      <c r="AH705" s="9">
        <f t="shared" si="138"/>
        <v>0</v>
      </c>
      <c r="AI705" s="9">
        <f t="shared" si="139"/>
        <v>36603.299999999974</v>
      </c>
      <c r="AJ705" s="14"/>
      <c r="AK705" s="14"/>
      <c r="AL705" s="14"/>
      <c r="AM705" s="14"/>
      <c r="AN705" s="166"/>
      <c r="AO705" s="166"/>
      <c r="AP705" s="14"/>
      <c r="AQ705" s="14"/>
    </row>
    <row r="706" spans="24:43">
      <c r="X706" s="40">
        <v>45481</v>
      </c>
      <c r="Y706" s="168">
        <f t="shared" si="137"/>
        <v>7</v>
      </c>
      <c r="Z706" s="44" t="s">
        <v>1136</v>
      </c>
      <c r="AA706" s="21"/>
      <c r="AB706" s="21"/>
      <c r="AC706" s="21"/>
      <c r="AF706" s="26"/>
      <c r="AH706" s="9">
        <f t="shared" si="138"/>
        <v>0</v>
      </c>
      <c r="AI706" s="9">
        <f t="shared" si="139"/>
        <v>36603.299999999974</v>
      </c>
      <c r="AJ706" s="14"/>
      <c r="AK706" s="14"/>
      <c r="AL706" s="14"/>
      <c r="AM706" s="14"/>
      <c r="AN706" s="166"/>
      <c r="AO706" s="166"/>
      <c r="AP706" s="14"/>
      <c r="AQ706" s="14"/>
    </row>
    <row r="707" spans="24:43">
      <c r="X707" s="40">
        <v>45482</v>
      </c>
      <c r="Y707" s="168">
        <f t="shared" si="137"/>
        <v>7</v>
      </c>
      <c r="Z707" s="44" t="s">
        <v>1138</v>
      </c>
      <c r="AA707" s="21"/>
      <c r="AB707" s="21"/>
      <c r="AC707" s="21"/>
      <c r="AF707" s="26"/>
      <c r="AH707" s="9">
        <f t="shared" si="138"/>
        <v>0</v>
      </c>
      <c r="AI707" s="9">
        <f t="shared" si="139"/>
        <v>36603.299999999974</v>
      </c>
      <c r="AJ707" s="14"/>
      <c r="AK707" s="14"/>
      <c r="AL707" s="14"/>
      <c r="AM707" s="14"/>
      <c r="AN707" s="166"/>
      <c r="AO707" s="166"/>
      <c r="AP707" s="14"/>
      <c r="AQ707" s="14"/>
    </row>
    <row r="708" spans="24:43">
      <c r="X708" s="40">
        <v>45483</v>
      </c>
      <c r="Y708" s="168">
        <f t="shared" si="137"/>
        <v>7</v>
      </c>
      <c r="Z708" s="44" t="s">
        <v>1140</v>
      </c>
      <c r="AA708" s="21"/>
      <c r="AB708" s="21"/>
      <c r="AC708" s="21"/>
      <c r="AF708" s="26"/>
      <c r="AH708" s="9">
        <f t="shared" si="138"/>
        <v>0</v>
      </c>
      <c r="AI708" s="9">
        <f t="shared" si="139"/>
        <v>36603.299999999974</v>
      </c>
      <c r="AJ708" s="14"/>
      <c r="AK708" s="14"/>
      <c r="AL708" s="14"/>
      <c r="AM708" s="14"/>
      <c r="AN708" s="166"/>
      <c r="AO708" s="166"/>
      <c r="AP708" s="14"/>
      <c r="AQ708" s="14"/>
    </row>
    <row r="709" spans="24:43">
      <c r="X709" s="40">
        <v>45484</v>
      </c>
      <c r="Y709" s="168">
        <f t="shared" si="137"/>
        <v>7</v>
      </c>
      <c r="Z709" s="44" t="s">
        <v>1143</v>
      </c>
      <c r="AA709" s="21"/>
      <c r="AB709" s="21"/>
      <c r="AC709" s="21"/>
      <c r="AF709" s="26"/>
      <c r="AH709" s="9">
        <f t="shared" si="138"/>
        <v>0</v>
      </c>
      <c r="AI709" s="9">
        <f t="shared" si="139"/>
        <v>36603.299999999974</v>
      </c>
      <c r="AJ709" s="14"/>
      <c r="AK709" s="14"/>
      <c r="AL709" s="14"/>
      <c r="AM709" s="14"/>
      <c r="AN709" s="166"/>
      <c r="AO709" s="166"/>
      <c r="AP709" s="14"/>
      <c r="AQ709" s="14"/>
    </row>
    <row r="710" spans="24:43">
      <c r="X710" s="40">
        <v>45485</v>
      </c>
      <c r="Y710" s="168">
        <f t="shared" si="137"/>
        <v>7</v>
      </c>
      <c r="Z710" s="44" t="s">
        <v>1145</v>
      </c>
      <c r="AA710" s="21"/>
      <c r="AB710" s="21"/>
      <c r="AC710" s="21"/>
      <c r="AF710" s="26"/>
      <c r="AH710" s="9">
        <f t="shared" si="138"/>
        <v>0</v>
      </c>
      <c r="AI710" s="9">
        <f t="shared" si="139"/>
        <v>36603.299999999974</v>
      </c>
      <c r="AJ710" s="14"/>
      <c r="AK710" s="14"/>
      <c r="AL710" s="14"/>
      <c r="AM710" s="14"/>
      <c r="AN710" s="166"/>
      <c r="AO710" s="166"/>
      <c r="AP710" s="14"/>
      <c r="AQ710" s="14"/>
    </row>
    <row r="711" spans="24:43">
      <c r="X711" s="40">
        <v>45486</v>
      </c>
      <c r="Y711" s="168">
        <f t="shared" si="137"/>
        <v>7</v>
      </c>
      <c r="Z711" s="44" t="s">
        <v>1132</v>
      </c>
      <c r="AA711" s="21"/>
      <c r="AB711" s="21"/>
      <c r="AC711" s="21"/>
      <c r="AF711" s="26"/>
      <c r="AH711" s="9">
        <f t="shared" si="138"/>
        <v>0</v>
      </c>
      <c r="AI711" s="9">
        <f t="shared" si="139"/>
        <v>36603.299999999974</v>
      </c>
      <c r="AJ711" s="14"/>
      <c r="AK711" s="14"/>
      <c r="AL711" s="14"/>
      <c r="AM711" s="14"/>
      <c r="AN711" s="166"/>
      <c r="AO711" s="166"/>
      <c r="AP711" s="14"/>
      <c r="AQ711" s="14"/>
    </row>
    <row r="712" spans="24:43">
      <c r="X712" s="40">
        <v>45487</v>
      </c>
      <c r="Y712" s="168">
        <f t="shared" si="137"/>
        <v>7</v>
      </c>
      <c r="Z712" s="44" t="s">
        <v>1134</v>
      </c>
      <c r="AA712" s="21"/>
      <c r="AB712" s="21"/>
      <c r="AC712" s="21"/>
      <c r="AF712" s="26"/>
      <c r="AH712" s="9">
        <f t="shared" si="138"/>
        <v>0</v>
      </c>
      <c r="AI712" s="9">
        <f t="shared" si="139"/>
        <v>36603.299999999974</v>
      </c>
      <c r="AJ712" s="14"/>
      <c r="AK712" s="14"/>
      <c r="AL712" s="14"/>
      <c r="AM712" s="14"/>
      <c r="AN712" s="166"/>
      <c r="AO712" s="166"/>
      <c r="AP712" s="14"/>
      <c r="AQ712" s="14"/>
    </row>
    <row r="713" spans="24:43">
      <c r="X713" s="40">
        <v>45488</v>
      </c>
      <c r="Y713" s="168">
        <f t="shared" si="137"/>
        <v>7</v>
      </c>
      <c r="Z713" s="44" t="s">
        <v>1136</v>
      </c>
      <c r="AA713" s="21"/>
      <c r="AB713" s="21"/>
      <c r="AC713" s="21"/>
      <c r="AF713" s="26"/>
      <c r="AH713" s="9">
        <f t="shared" si="138"/>
        <v>0</v>
      </c>
      <c r="AI713" s="9">
        <f t="shared" si="139"/>
        <v>36603.299999999974</v>
      </c>
      <c r="AJ713" s="14"/>
      <c r="AK713" s="14"/>
      <c r="AL713" s="14"/>
      <c r="AM713" s="14"/>
      <c r="AN713" s="166"/>
      <c r="AO713" s="166"/>
      <c r="AP713" s="14"/>
      <c r="AQ713" s="14"/>
    </row>
    <row r="714" spans="24:43">
      <c r="X714" s="40">
        <v>45489</v>
      </c>
      <c r="Y714" s="168">
        <f t="shared" si="137"/>
        <v>7</v>
      </c>
      <c r="Z714" s="44" t="s">
        <v>1138</v>
      </c>
      <c r="AA714" s="21"/>
      <c r="AB714" s="21"/>
      <c r="AC714" s="21"/>
      <c r="AF714" s="26"/>
      <c r="AH714" s="9">
        <f t="shared" si="138"/>
        <v>0</v>
      </c>
      <c r="AI714" s="9">
        <f t="shared" si="139"/>
        <v>36603.299999999974</v>
      </c>
      <c r="AJ714" s="14"/>
      <c r="AK714" s="14"/>
      <c r="AL714" s="14"/>
      <c r="AM714" s="14"/>
      <c r="AN714" s="166"/>
      <c r="AO714" s="166"/>
      <c r="AP714" s="14"/>
      <c r="AQ714" s="14"/>
    </row>
    <row r="715" spans="24:43">
      <c r="X715" s="40">
        <v>45490</v>
      </c>
      <c r="Y715" s="168">
        <f t="shared" si="137"/>
        <v>7</v>
      </c>
      <c r="Z715" s="44" t="s">
        <v>1140</v>
      </c>
      <c r="AA715" s="21"/>
      <c r="AB715" s="21"/>
      <c r="AC715" s="21"/>
      <c r="AF715" s="26"/>
      <c r="AH715" s="9">
        <f t="shared" si="138"/>
        <v>0</v>
      </c>
      <c r="AI715" s="9">
        <f t="shared" si="139"/>
        <v>36603.299999999974</v>
      </c>
      <c r="AJ715" s="14"/>
      <c r="AK715" s="14"/>
      <c r="AL715" s="14"/>
      <c r="AM715" s="14"/>
      <c r="AN715" s="166"/>
      <c r="AO715" s="166"/>
      <c r="AP715" s="14"/>
      <c r="AQ715" s="14"/>
    </row>
    <row r="716" spans="24:43">
      <c r="X716" s="40">
        <v>45491</v>
      </c>
      <c r="Y716" s="168">
        <f t="shared" si="137"/>
        <v>7</v>
      </c>
      <c r="Z716" s="44" t="s">
        <v>1143</v>
      </c>
      <c r="AA716" s="21"/>
      <c r="AB716" s="21"/>
      <c r="AC716" s="21"/>
      <c r="AF716" s="26"/>
      <c r="AH716" s="9">
        <f t="shared" si="138"/>
        <v>0</v>
      </c>
      <c r="AI716" s="9">
        <f t="shared" si="139"/>
        <v>36603.299999999974</v>
      </c>
      <c r="AJ716" s="14"/>
      <c r="AK716" s="14"/>
      <c r="AL716" s="14"/>
      <c r="AM716" s="14"/>
      <c r="AN716" s="166"/>
      <c r="AO716" s="166"/>
      <c r="AP716" s="14"/>
      <c r="AQ716" s="14"/>
    </row>
    <row r="717" spans="24:43">
      <c r="X717" s="40">
        <v>45492</v>
      </c>
      <c r="Y717" s="168">
        <f t="shared" si="137"/>
        <v>7</v>
      </c>
      <c r="Z717" s="44" t="s">
        <v>1145</v>
      </c>
      <c r="AA717" s="21"/>
      <c r="AB717" s="21"/>
      <c r="AC717" s="21"/>
      <c r="AF717" s="26"/>
      <c r="AH717" s="9">
        <f t="shared" si="138"/>
        <v>0</v>
      </c>
      <c r="AI717" s="9">
        <f t="shared" si="139"/>
        <v>36603.299999999974</v>
      </c>
      <c r="AJ717" s="14"/>
      <c r="AK717" s="14"/>
      <c r="AL717" s="14"/>
      <c r="AM717" s="14"/>
      <c r="AN717" s="166"/>
      <c r="AO717" s="166"/>
      <c r="AP717" s="14"/>
      <c r="AQ717" s="14"/>
    </row>
    <row r="718" spans="24:43">
      <c r="X718" s="40">
        <v>45493</v>
      </c>
      <c r="Y718" s="168">
        <f t="shared" si="137"/>
        <v>7</v>
      </c>
      <c r="Z718" s="44" t="s">
        <v>1132</v>
      </c>
      <c r="AA718" s="21"/>
      <c r="AB718" s="21"/>
      <c r="AC718" s="21"/>
      <c r="AF718" s="26"/>
      <c r="AH718" s="9">
        <f t="shared" si="138"/>
        <v>0</v>
      </c>
      <c r="AI718" s="9">
        <f t="shared" si="139"/>
        <v>36603.299999999974</v>
      </c>
      <c r="AJ718" s="14"/>
      <c r="AK718" s="14"/>
      <c r="AL718" s="14"/>
      <c r="AM718" s="14"/>
      <c r="AN718" s="166"/>
      <c r="AO718" s="166"/>
      <c r="AP718" s="14"/>
      <c r="AQ718" s="14"/>
    </row>
    <row r="719" spans="24:43">
      <c r="X719" s="40">
        <v>45494</v>
      </c>
      <c r="Y719" s="168">
        <f t="shared" si="137"/>
        <v>7</v>
      </c>
      <c r="Z719" s="44" t="s">
        <v>1134</v>
      </c>
      <c r="AA719" s="21"/>
      <c r="AB719" s="21"/>
      <c r="AC719" s="21"/>
      <c r="AF719" s="26"/>
      <c r="AH719" s="9">
        <f t="shared" si="138"/>
        <v>0</v>
      </c>
      <c r="AI719" s="9">
        <f t="shared" si="139"/>
        <v>36603.299999999974</v>
      </c>
      <c r="AJ719" s="14"/>
      <c r="AK719" s="14"/>
      <c r="AL719" s="14"/>
      <c r="AM719" s="14"/>
      <c r="AN719" s="166"/>
      <c r="AO719" s="166"/>
      <c r="AP719" s="14"/>
      <c r="AQ719" s="14"/>
    </row>
    <row r="720" spans="24:43">
      <c r="X720" s="40">
        <v>45495</v>
      </c>
      <c r="Y720" s="168">
        <f t="shared" si="137"/>
        <v>7</v>
      </c>
      <c r="Z720" s="44" t="s">
        <v>1136</v>
      </c>
      <c r="AA720" s="21"/>
      <c r="AB720" s="21"/>
      <c r="AC720" s="21"/>
      <c r="AF720" s="26"/>
      <c r="AH720" s="9">
        <f t="shared" si="138"/>
        <v>0</v>
      </c>
      <c r="AI720" s="9">
        <f t="shared" si="139"/>
        <v>36603.299999999974</v>
      </c>
      <c r="AJ720" s="14"/>
      <c r="AK720" s="14"/>
      <c r="AL720" s="14"/>
      <c r="AM720" s="14"/>
      <c r="AN720" s="166"/>
      <c r="AO720" s="166"/>
      <c r="AP720" s="14"/>
      <c r="AQ720" s="14"/>
    </row>
    <row r="721" spans="24:43">
      <c r="X721" s="40">
        <v>45496</v>
      </c>
      <c r="Y721" s="168">
        <f t="shared" si="137"/>
        <v>7</v>
      </c>
      <c r="Z721" s="44" t="s">
        <v>1138</v>
      </c>
      <c r="AA721" s="21"/>
      <c r="AB721" s="21"/>
      <c r="AC721" s="21"/>
      <c r="AF721" s="26"/>
      <c r="AH721" s="9">
        <f t="shared" si="138"/>
        <v>0</v>
      </c>
      <c r="AI721" s="9">
        <f t="shared" si="139"/>
        <v>36603.299999999974</v>
      </c>
      <c r="AJ721" s="14"/>
      <c r="AK721" s="14"/>
      <c r="AL721" s="14"/>
      <c r="AM721" s="14"/>
      <c r="AN721" s="166"/>
      <c r="AO721" s="166"/>
      <c r="AP721" s="14"/>
      <c r="AQ721" s="14"/>
    </row>
    <row r="722" spans="24:43">
      <c r="X722" s="40">
        <v>45497</v>
      </c>
      <c r="Y722" s="168">
        <f t="shared" si="137"/>
        <v>7</v>
      </c>
      <c r="Z722" s="44" t="s">
        <v>1140</v>
      </c>
      <c r="AA722" s="21"/>
      <c r="AB722" s="21"/>
      <c r="AC722" s="21"/>
      <c r="AF722" s="26"/>
      <c r="AH722" s="9">
        <f t="shared" si="138"/>
        <v>0</v>
      </c>
      <c r="AI722" s="9">
        <f t="shared" si="139"/>
        <v>36603.299999999974</v>
      </c>
      <c r="AJ722" s="14"/>
      <c r="AK722" s="14"/>
      <c r="AL722" s="14"/>
      <c r="AM722" s="14"/>
      <c r="AN722" s="166"/>
      <c r="AO722" s="166"/>
      <c r="AP722" s="14"/>
      <c r="AQ722" s="14"/>
    </row>
    <row r="723" spans="24:43">
      <c r="X723" s="40">
        <v>45498</v>
      </c>
      <c r="Y723" s="168">
        <f t="shared" si="137"/>
        <v>7</v>
      </c>
      <c r="Z723" s="44" t="s">
        <v>1143</v>
      </c>
      <c r="AA723" s="21"/>
      <c r="AB723" s="21"/>
      <c r="AC723" s="21"/>
      <c r="AF723" s="26"/>
      <c r="AH723" s="9">
        <f t="shared" si="138"/>
        <v>0</v>
      </c>
      <c r="AI723" s="9">
        <f t="shared" si="139"/>
        <v>36603.299999999974</v>
      </c>
      <c r="AJ723" s="14"/>
      <c r="AK723" s="14"/>
      <c r="AL723" s="14"/>
      <c r="AM723" s="14"/>
      <c r="AN723" s="166"/>
      <c r="AO723" s="166"/>
      <c r="AP723" s="14"/>
      <c r="AQ723" s="14"/>
    </row>
    <row r="724" spans="24:43">
      <c r="X724" s="40">
        <v>45499</v>
      </c>
      <c r="Y724" s="168">
        <f t="shared" si="137"/>
        <v>7</v>
      </c>
      <c r="Z724" s="44" t="s">
        <v>1145</v>
      </c>
      <c r="AA724" s="21"/>
      <c r="AB724" s="21"/>
      <c r="AC724" s="21"/>
      <c r="AF724" s="26"/>
      <c r="AH724" s="9">
        <f t="shared" si="138"/>
        <v>0</v>
      </c>
      <c r="AI724" s="9">
        <f t="shared" si="139"/>
        <v>36603.299999999974</v>
      </c>
      <c r="AJ724" s="14"/>
      <c r="AK724" s="14"/>
      <c r="AL724" s="14"/>
      <c r="AM724" s="14"/>
      <c r="AN724" s="166"/>
      <c r="AO724" s="166"/>
      <c r="AP724" s="14"/>
      <c r="AQ724" s="14"/>
    </row>
    <row r="725" spans="24:43">
      <c r="X725" s="40">
        <v>45500</v>
      </c>
      <c r="Y725" s="168">
        <f t="shared" si="137"/>
        <v>7</v>
      </c>
      <c r="Z725" s="44" t="s">
        <v>1132</v>
      </c>
      <c r="AA725" s="21"/>
      <c r="AB725" s="21"/>
      <c r="AC725" s="21"/>
      <c r="AF725" s="26"/>
      <c r="AH725" s="9">
        <f t="shared" si="138"/>
        <v>0</v>
      </c>
      <c r="AI725" s="9">
        <f t="shared" si="139"/>
        <v>36603.299999999974</v>
      </c>
      <c r="AJ725" s="14"/>
      <c r="AK725" s="14"/>
      <c r="AL725" s="14"/>
      <c r="AM725" s="14"/>
      <c r="AN725" s="166"/>
      <c r="AO725" s="166"/>
      <c r="AP725" s="14"/>
      <c r="AQ725" s="14"/>
    </row>
    <row r="726" spans="24:43">
      <c r="X726" s="40">
        <v>45501</v>
      </c>
      <c r="Y726" s="168">
        <f t="shared" si="137"/>
        <v>7</v>
      </c>
      <c r="Z726" s="44" t="s">
        <v>1134</v>
      </c>
      <c r="AA726" s="21"/>
      <c r="AB726" s="21"/>
      <c r="AC726" s="21"/>
      <c r="AF726" s="26"/>
      <c r="AH726" s="9">
        <f t="shared" si="138"/>
        <v>0</v>
      </c>
      <c r="AI726" s="9">
        <f t="shared" si="139"/>
        <v>36603.299999999974</v>
      </c>
      <c r="AJ726" s="14"/>
      <c r="AK726" s="14"/>
      <c r="AL726" s="14"/>
      <c r="AM726" s="14"/>
      <c r="AN726" s="166"/>
      <c r="AO726" s="166"/>
      <c r="AP726" s="14"/>
      <c r="AQ726" s="14"/>
    </row>
    <row r="727" spans="24:43">
      <c r="X727" s="40">
        <v>45502</v>
      </c>
      <c r="Y727" s="168">
        <f t="shared" si="137"/>
        <v>7</v>
      </c>
      <c r="Z727" s="44" t="s">
        <v>1136</v>
      </c>
      <c r="AA727" s="21"/>
      <c r="AB727" s="21"/>
      <c r="AC727" s="21"/>
      <c r="AF727" s="26"/>
      <c r="AH727" s="9">
        <f t="shared" si="138"/>
        <v>0</v>
      </c>
      <c r="AI727" s="9">
        <f t="shared" si="139"/>
        <v>36603.299999999974</v>
      </c>
      <c r="AJ727" s="14"/>
      <c r="AK727" s="14"/>
      <c r="AL727" s="14"/>
      <c r="AM727" s="14"/>
      <c r="AN727" s="166"/>
      <c r="AO727" s="166"/>
      <c r="AP727" s="14"/>
      <c r="AQ727" s="14"/>
    </row>
    <row r="728" spans="24:43">
      <c r="X728" s="40">
        <v>45503</v>
      </c>
      <c r="Y728" s="168">
        <f t="shared" si="137"/>
        <v>7</v>
      </c>
      <c r="Z728" s="44" t="s">
        <v>1138</v>
      </c>
      <c r="AA728" s="21"/>
      <c r="AB728" s="21"/>
      <c r="AC728" s="21"/>
      <c r="AF728" s="26"/>
      <c r="AH728" s="9">
        <f t="shared" si="138"/>
        <v>0</v>
      </c>
      <c r="AI728" s="9">
        <f t="shared" si="139"/>
        <v>36603.299999999974</v>
      </c>
      <c r="AJ728" s="14"/>
      <c r="AK728" s="14"/>
      <c r="AL728" s="14"/>
      <c r="AM728" s="14"/>
      <c r="AN728" s="166"/>
      <c r="AO728" s="166"/>
      <c r="AP728" s="14"/>
      <c r="AQ728" s="14"/>
    </row>
    <row r="729" spans="24:43">
      <c r="X729" s="40">
        <v>45504</v>
      </c>
      <c r="Y729" s="168">
        <f t="shared" si="137"/>
        <v>7</v>
      </c>
      <c r="Z729" s="44" t="s">
        <v>1140</v>
      </c>
      <c r="AA729" s="21"/>
      <c r="AB729" s="21"/>
      <c r="AC729" s="21"/>
      <c r="AF729" s="26"/>
      <c r="AH729" s="9">
        <f t="shared" si="138"/>
        <v>0</v>
      </c>
      <c r="AI729" s="9">
        <f t="shared" si="139"/>
        <v>36603.299999999974</v>
      </c>
      <c r="AJ729" s="14"/>
      <c r="AK729" s="14"/>
      <c r="AL729" s="14"/>
      <c r="AM729" s="14"/>
      <c r="AN729" s="166"/>
      <c r="AO729" s="166"/>
      <c r="AP729" s="14"/>
      <c r="AQ729" s="14"/>
    </row>
    <row r="730" spans="24:43">
      <c r="X730" s="40">
        <v>45505</v>
      </c>
      <c r="Y730" s="168">
        <f t="shared" si="137"/>
        <v>8</v>
      </c>
      <c r="Z730" s="44" t="s">
        <v>1143</v>
      </c>
      <c r="AA730" s="21"/>
      <c r="AB730" s="21"/>
      <c r="AC730" s="21"/>
      <c r="AF730" s="26"/>
      <c r="AH730" s="9">
        <f t="shared" si="138"/>
        <v>0</v>
      </c>
      <c r="AI730" s="9">
        <f t="shared" si="139"/>
        <v>36603.299999999974</v>
      </c>
      <c r="AJ730" s="14"/>
      <c r="AK730" s="14"/>
      <c r="AL730" s="14"/>
      <c r="AM730" s="14"/>
      <c r="AN730" s="166"/>
      <c r="AO730" s="166"/>
      <c r="AP730" s="14"/>
      <c r="AQ730" s="14"/>
    </row>
    <row r="731" spans="24:43">
      <c r="X731" s="40">
        <v>45506</v>
      </c>
      <c r="Y731" s="168">
        <f t="shared" si="137"/>
        <v>8</v>
      </c>
      <c r="Z731" s="44" t="s">
        <v>1145</v>
      </c>
      <c r="AA731" s="21"/>
      <c r="AB731" s="21"/>
      <c r="AC731" s="21"/>
      <c r="AF731" s="26"/>
      <c r="AH731" s="9">
        <f t="shared" si="138"/>
        <v>0</v>
      </c>
      <c r="AI731" s="9">
        <f t="shared" si="139"/>
        <v>36603.299999999974</v>
      </c>
      <c r="AJ731" s="14"/>
      <c r="AK731" s="14"/>
      <c r="AL731" s="14"/>
      <c r="AM731" s="14"/>
      <c r="AN731" s="166"/>
      <c r="AO731" s="166"/>
      <c r="AP731" s="14"/>
      <c r="AQ731" s="14"/>
    </row>
    <row r="732" spans="24:43">
      <c r="X732" s="40">
        <v>45507</v>
      </c>
      <c r="Y732" s="168">
        <f t="shared" si="137"/>
        <v>8</v>
      </c>
      <c r="Z732" s="44" t="s">
        <v>1132</v>
      </c>
      <c r="AA732" s="21"/>
      <c r="AB732" s="21"/>
      <c r="AC732" s="21"/>
      <c r="AF732" s="26"/>
      <c r="AH732" s="9">
        <f t="shared" si="138"/>
        <v>0</v>
      </c>
      <c r="AI732" s="9">
        <f t="shared" si="139"/>
        <v>36603.299999999974</v>
      </c>
      <c r="AJ732" s="14"/>
      <c r="AK732" s="14"/>
      <c r="AL732" s="14"/>
      <c r="AM732" s="14"/>
      <c r="AN732" s="166"/>
      <c r="AO732" s="166"/>
      <c r="AP732" s="14"/>
      <c r="AQ732" s="14"/>
    </row>
    <row r="733" spans="24:43">
      <c r="X733" s="40">
        <v>45508</v>
      </c>
      <c r="Y733" s="168">
        <f t="shared" si="137"/>
        <v>8</v>
      </c>
      <c r="Z733" s="44" t="s">
        <v>1134</v>
      </c>
      <c r="AA733" s="21"/>
      <c r="AB733" s="21"/>
      <c r="AC733" s="21"/>
      <c r="AF733" s="26"/>
      <c r="AH733" s="9">
        <f t="shared" si="138"/>
        <v>0</v>
      </c>
      <c r="AI733" s="9">
        <f t="shared" si="139"/>
        <v>36603.299999999974</v>
      </c>
      <c r="AJ733" s="14"/>
      <c r="AK733" s="14"/>
      <c r="AL733" s="14"/>
      <c r="AM733" s="14"/>
      <c r="AN733" s="166"/>
      <c r="AO733" s="166"/>
      <c r="AP733" s="14"/>
      <c r="AQ733" s="14"/>
    </row>
    <row r="734" spans="24:43">
      <c r="X734" s="40">
        <v>45509</v>
      </c>
      <c r="Y734" s="168">
        <f t="shared" si="137"/>
        <v>8</v>
      </c>
      <c r="Z734" s="44" t="s">
        <v>1136</v>
      </c>
      <c r="AA734" s="21"/>
      <c r="AB734" s="21"/>
      <c r="AC734" s="21"/>
      <c r="AF734" s="26"/>
      <c r="AH734" s="9">
        <f t="shared" si="138"/>
        <v>0</v>
      </c>
      <c r="AI734" s="9">
        <f t="shared" si="139"/>
        <v>36603.299999999974</v>
      </c>
      <c r="AJ734" s="14"/>
      <c r="AK734" s="14"/>
      <c r="AL734" s="14"/>
      <c r="AM734" s="14"/>
      <c r="AN734" s="166"/>
      <c r="AO734" s="166"/>
      <c r="AP734" s="14"/>
      <c r="AQ734" s="14"/>
    </row>
    <row r="735" spans="24:43">
      <c r="X735" s="40">
        <v>45510</v>
      </c>
      <c r="Y735" s="168">
        <f t="shared" si="137"/>
        <v>8</v>
      </c>
      <c r="Z735" s="44" t="s">
        <v>1138</v>
      </c>
      <c r="AA735" s="21"/>
      <c r="AB735" s="21"/>
      <c r="AC735" s="21"/>
      <c r="AF735" s="26"/>
      <c r="AH735" s="9">
        <f t="shared" si="138"/>
        <v>0</v>
      </c>
      <c r="AI735" s="9">
        <f t="shared" si="139"/>
        <v>36603.299999999974</v>
      </c>
      <c r="AJ735" s="14"/>
      <c r="AK735" s="14"/>
      <c r="AL735" s="14"/>
      <c r="AM735" s="14"/>
      <c r="AN735" s="166"/>
      <c r="AO735" s="166"/>
      <c r="AP735" s="14"/>
      <c r="AQ735" s="14"/>
    </row>
    <row r="736" spans="24:43">
      <c r="X736" s="40">
        <v>45511</v>
      </c>
      <c r="Y736" s="168">
        <f t="shared" si="137"/>
        <v>8</v>
      </c>
      <c r="Z736" s="44" t="s">
        <v>1140</v>
      </c>
      <c r="AA736" s="21"/>
      <c r="AB736" s="21"/>
      <c r="AC736" s="21"/>
      <c r="AF736" s="26"/>
      <c r="AH736" s="9">
        <f t="shared" si="138"/>
        <v>0</v>
      </c>
      <c r="AI736" s="9">
        <f t="shared" si="139"/>
        <v>36603.299999999974</v>
      </c>
      <c r="AJ736" s="14"/>
      <c r="AK736" s="14"/>
      <c r="AL736" s="14"/>
      <c r="AM736" s="14"/>
      <c r="AN736" s="166"/>
      <c r="AO736" s="166"/>
      <c r="AP736" s="14"/>
      <c r="AQ736" s="14"/>
    </row>
    <row r="737" spans="24:43">
      <c r="X737" s="40">
        <v>45512</v>
      </c>
      <c r="Y737" s="168">
        <f t="shared" si="137"/>
        <v>8</v>
      </c>
      <c r="Z737" s="44" t="s">
        <v>1143</v>
      </c>
      <c r="AA737" s="21"/>
      <c r="AB737" s="21"/>
      <c r="AC737" s="21"/>
      <c r="AF737" s="26"/>
      <c r="AH737" s="9">
        <f t="shared" si="138"/>
        <v>0</v>
      </c>
      <c r="AI737" s="9">
        <f t="shared" si="139"/>
        <v>36603.299999999974</v>
      </c>
      <c r="AJ737" s="14"/>
      <c r="AK737" s="14"/>
      <c r="AL737" s="14"/>
      <c r="AM737" s="14"/>
      <c r="AN737" s="166"/>
      <c r="AO737" s="166"/>
      <c r="AP737" s="14"/>
      <c r="AQ737" s="14"/>
    </row>
    <row r="738" spans="24:43">
      <c r="X738" s="40">
        <v>45513</v>
      </c>
      <c r="Y738" s="168">
        <f t="shared" si="137"/>
        <v>8</v>
      </c>
      <c r="Z738" s="44" t="s">
        <v>1145</v>
      </c>
      <c r="AA738" s="21"/>
      <c r="AB738" s="21"/>
      <c r="AC738" s="21"/>
      <c r="AF738" s="26"/>
      <c r="AH738" s="9">
        <f t="shared" si="138"/>
        <v>0</v>
      </c>
      <c r="AI738" s="9">
        <f t="shared" si="139"/>
        <v>36603.299999999974</v>
      </c>
      <c r="AJ738" s="14"/>
      <c r="AK738" s="14"/>
      <c r="AL738" s="14"/>
      <c r="AM738" s="14"/>
      <c r="AN738" s="166"/>
      <c r="AO738" s="166"/>
      <c r="AP738" s="14"/>
      <c r="AQ738" s="14"/>
    </row>
    <row r="739" spans="24:43">
      <c r="X739" s="40">
        <v>45514</v>
      </c>
      <c r="Y739" s="168">
        <f t="shared" si="137"/>
        <v>8</v>
      </c>
      <c r="Z739" s="44" t="s">
        <v>1132</v>
      </c>
      <c r="AA739" s="21"/>
      <c r="AB739" s="21"/>
      <c r="AC739" s="21"/>
      <c r="AF739" s="26"/>
      <c r="AH739" s="9">
        <f t="shared" si="138"/>
        <v>0</v>
      </c>
      <c r="AI739" s="9">
        <f t="shared" si="139"/>
        <v>36603.299999999974</v>
      </c>
      <c r="AJ739" s="14"/>
      <c r="AK739" s="14"/>
      <c r="AL739" s="14"/>
      <c r="AM739" s="14"/>
      <c r="AN739" s="166"/>
      <c r="AO739" s="166"/>
      <c r="AP739" s="14"/>
      <c r="AQ739" s="14"/>
    </row>
    <row r="740" spans="24:43">
      <c r="X740" s="40">
        <v>45515</v>
      </c>
      <c r="Y740" s="168">
        <f t="shared" ref="Y740:Y803" si="140">MONTH(X740)</f>
        <v>8</v>
      </c>
      <c r="Z740" s="44" t="s">
        <v>1134</v>
      </c>
      <c r="AA740" s="21"/>
      <c r="AB740" s="21"/>
      <c r="AC740" s="21"/>
      <c r="AF740" s="26"/>
      <c r="AH740" s="9">
        <f t="shared" ref="AH740:AH803" si="141">AF740+AG740</f>
        <v>0</v>
      </c>
      <c r="AI740" s="9">
        <f t="shared" ref="AI740:AI803" si="142">AI739+AH740</f>
        <v>36603.299999999974</v>
      </c>
      <c r="AJ740" s="14"/>
      <c r="AK740" s="14"/>
      <c r="AL740" s="14"/>
      <c r="AM740" s="14"/>
      <c r="AN740" s="166"/>
      <c r="AO740" s="166"/>
      <c r="AP740" s="14"/>
      <c r="AQ740" s="14"/>
    </row>
    <row r="741" spans="24:43">
      <c r="X741" s="40">
        <v>45516</v>
      </c>
      <c r="Y741" s="168">
        <f t="shared" si="140"/>
        <v>8</v>
      </c>
      <c r="Z741" s="44" t="s">
        <v>1136</v>
      </c>
      <c r="AA741" s="21"/>
      <c r="AB741" s="21"/>
      <c r="AC741" s="21"/>
      <c r="AF741" s="26"/>
      <c r="AH741" s="9">
        <f t="shared" si="141"/>
        <v>0</v>
      </c>
      <c r="AI741" s="9">
        <f t="shared" si="142"/>
        <v>36603.299999999974</v>
      </c>
      <c r="AJ741" s="14"/>
      <c r="AK741" s="14"/>
      <c r="AL741" s="14"/>
      <c r="AM741" s="14"/>
      <c r="AN741" s="166"/>
      <c r="AO741" s="166"/>
      <c r="AP741" s="14"/>
      <c r="AQ741" s="14"/>
    </row>
    <row r="742" spans="24:43">
      <c r="X742" s="40">
        <v>45517</v>
      </c>
      <c r="Y742" s="168">
        <f t="shared" si="140"/>
        <v>8</v>
      </c>
      <c r="Z742" s="44" t="s">
        <v>1138</v>
      </c>
      <c r="AA742" s="21"/>
      <c r="AB742" s="21"/>
      <c r="AC742" s="21"/>
      <c r="AF742" s="26"/>
      <c r="AH742" s="9">
        <f t="shared" si="141"/>
        <v>0</v>
      </c>
      <c r="AI742" s="9">
        <f t="shared" si="142"/>
        <v>36603.299999999974</v>
      </c>
      <c r="AJ742" s="14"/>
      <c r="AK742" s="14"/>
      <c r="AL742" s="14"/>
      <c r="AM742" s="14"/>
      <c r="AN742" s="166"/>
      <c r="AO742" s="166"/>
      <c r="AP742" s="14"/>
      <c r="AQ742" s="14"/>
    </row>
    <row r="743" spans="24:43">
      <c r="X743" s="40">
        <v>45518</v>
      </c>
      <c r="Y743" s="168">
        <f t="shared" si="140"/>
        <v>8</v>
      </c>
      <c r="Z743" s="44" t="s">
        <v>1140</v>
      </c>
      <c r="AA743" s="21"/>
      <c r="AB743" s="21"/>
      <c r="AC743" s="21"/>
      <c r="AF743" s="26"/>
      <c r="AH743" s="9">
        <f t="shared" si="141"/>
        <v>0</v>
      </c>
      <c r="AI743" s="9">
        <f t="shared" si="142"/>
        <v>36603.299999999974</v>
      </c>
      <c r="AJ743" s="14"/>
      <c r="AK743" s="14"/>
      <c r="AL743" s="14"/>
      <c r="AM743" s="14"/>
      <c r="AN743" s="166"/>
      <c r="AO743" s="166"/>
      <c r="AP743" s="14"/>
      <c r="AQ743" s="14"/>
    </row>
    <row r="744" spans="24:43">
      <c r="X744" s="40">
        <v>45519</v>
      </c>
      <c r="Y744" s="168">
        <f t="shared" si="140"/>
        <v>8</v>
      </c>
      <c r="Z744" s="44" t="s">
        <v>1143</v>
      </c>
      <c r="AA744" s="21"/>
      <c r="AB744" s="21"/>
      <c r="AC744" s="21"/>
      <c r="AF744" s="26"/>
      <c r="AH744" s="9">
        <f t="shared" si="141"/>
        <v>0</v>
      </c>
      <c r="AI744" s="9">
        <f t="shared" si="142"/>
        <v>36603.299999999974</v>
      </c>
      <c r="AJ744" s="14"/>
      <c r="AK744" s="14"/>
      <c r="AL744" s="14"/>
      <c r="AM744" s="14"/>
      <c r="AN744" s="166"/>
      <c r="AO744" s="166"/>
      <c r="AP744" s="14"/>
      <c r="AQ744" s="14"/>
    </row>
    <row r="745" spans="24:43">
      <c r="X745" s="40">
        <v>45520</v>
      </c>
      <c r="Y745" s="168">
        <f t="shared" si="140"/>
        <v>8</v>
      </c>
      <c r="Z745" s="44" t="s">
        <v>1145</v>
      </c>
      <c r="AA745" s="21"/>
      <c r="AB745" s="21"/>
      <c r="AC745" s="21"/>
      <c r="AF745" s="26"/>
      <c r="AH745" s="9">
        <f t="shared" si="141"/>
        <v>0</v>
      </c>
      <c r="AI745" s="9">
        <f t="shared" si="142"/>
        <v>36603.299999999974</v>
      </c>
      <c r="AJ745" s="14"/>
      <c r="AK745" s="14"/>
      <c r="AL745" s="14"/>
      <c r="AM745" s="14"/>
      <c r="AN745" s="166"/>
      <c r="AO745" s="166"/>
      <c r="AP745" s="14"/>
      <c r="AQ745" s="14"/>
    </row>
    <row r="746" spans="24:43">
      <c r="X746" s="40">
        <v>45521</v>
      </c>
      <c r="Y746" s="168">
        <f t="shared" si="140"/>
        <v>8</v>
      </c>
      <c r="Z746" s="44" t="s">
        <v>1132</v>
      </c>
      <c r="AA746" s="21"/>
      <c r="AB746" s="21"/>
      <c r="AC746" s="21"/>
      <c r="AF746" s="26"/>
      <c r="AH746" s="9">
        <f t="shared" si="141"/>
        <v>0</v>
      </c>
      <c r="AI746" s="9">
        <f t="shared" si="142"/>
        <v>36603.299999999974</v>
      </c>
      <c r="AJ746" s="14"/>
      <c r="AK746" s="14"/>
      <c r="AL746" s="14"/>
      <c r="AM746" s="14"/>
      <c r="AN746" s="166"/>
      <c r="AO746" s="166"/>
      <c r="AP746" s="14"/>
      <c r="AQ746" s="14"/>
    </row>
    <row r="747" spans="24:43">
      <c r="X747" s="40">
        <v>45522</v>
      </c>
      <c r="Y747" s="168">
        <f t="shared" si="140"/>
        <v>8</v>
      </c>
      <c r="Z747" s="44" t="s">
        <v>1134</v>
      </c>
      <c r="AA747" s="21"/>
      <c r="AB747" s="21"/>
      <c r="AC747" s="21"/>
      <c r="AF747" s="26"/>
      <c r="AH747" s="9">
        <f t="shared" si="141"/>
        <v>0</v>
      </c>
      <c r="AI747" s="9">
        <f t="shared" si="142"/>
        <v>36603.299999999974</v>
      </c>
      <c r="AJ747" s="14"/>
      <c r="AK747" s="14"/>
      <c r="AL747" s="14"/>
      <c r="AM747" s="14"/>
      <c r="AN747" s="166"/>
      <c r="AO747" s="166"/>
      <c r="AP747" s="14"/>
      <c r="AQ747" s="14"/>
    </row>
    <row r="748" spans="24:43">
      <c r="X748" s="40">
        <v>45523</v>
      </c>
      <c r="Y748" s="168">
        <f t="shared" si="140"/>
        <v>8</v>
      </c>
      <c r="Z748" s="44" t="s">
        <v>1136</v>
      </c>
      <c r="AA748" s="21"/>
      <c r="AB748" s="21"/>
      <c r="AC748" s="21"/>
      <c r="AF748" s="26"/>
      <c r="AH748" s="9">
        <f t="shared" si="141"/>
        <v>0</v>
      </c>
      <c r="AI748" s="9">
        <f t="shared" si="142"/>
        <v>36603.299999999974</v>
      </c>
      <c r="AJ748" s="14"/>
      <c r="AK748" s="14"/>
      <c r="AL748" s="14"/>
      <c r="AM748" s="14"/>
      <c r="AN748" s="166"/>
      <c r="AO748" s="166"/>
      <c r="AP748" s="14"/>
      <c r="AQ748" s="14"/>
    </row>
    <row r="749" spans="24:43">
      <c r="X749" s="40">
        <v>45524</v>
      </c>
      <c r="Y749" s="168">
        <f t="shared" si="140"/>
        <v>8</v>
      </c>
      <c r="Z749" s="44" t="s">
        <v>1138</v>
      </c>
      <c r="AA749" s="21"/>
      <c r="AB749" s="21"/>
      <c r="AC749" s="21"/>
      <c r="AF749" s="26"/>
      <c r="AH749" s="9">
        <f t="shared" si="141"/>
        <v>0</v>
      </c>
      <c r="AI749" s="9">
        <f t="shared" si="142"/>
        <v>36603.299999999974</v>
      </c>
      <c r="AJ749" s="14"/>
      <c r="AK749" s="14"/>
      <c r="AL749" s="14"/>
      <c r="AM749" s="14"/>
      <c r="AN749" s="166"/>
      <c r="AO749" s="166"/>
      <c r="AP749" s="14"/>
      <c r="AQ749" s="14"/>
    </row>
    <row r="750" spans="24:43">
      <c r="X750" s="40">
        <v>45525</v>
      </c>
      <c r="Y750" s="168">
        <f t="shared" si="140"/>
        <v>8</v>
      </c>
      <c r="Z750" s="44" t="s">
        <v>1140</v>
      </c>
      <c r="AA750" s="21"/>
      <c r="AB750" s="21"/>
      <c r="AC750" s="21"/>
      <c r="AF750" s="26"/>
      <c r="AH750" s="9">
        <f t="shared" si="141"/>
        <v>0</v>
      </c>
      <c r="AI750" s="9">
        <f t="shared" si="142"/>
        <v>36603.299999999974</v>
      </c>
      <c r="AJ750" s="14"/>
      <c r="AK750" s="14"/>
      <c r="AL750" s="14"/>
      <c r="AM750" s="14"/>
      <c r="AN750" s="166"/>
      <c r="AO750" s="166"/>
      <c r="AP750" s="14"/>
      <c r="AQ750" s="14"/>
    </row>
    <row r="751" spans="24:43">
      <c r="X751" s="40">
        <v>45526</v>
      </c>
      <c r="Y751" s="168">
        <f t="shared" si="140"/>
        <v>8</v>
      </c>
      <c r="Z751" s="44" t="s">
        <v>1143</v>
      </c>
      <c r="AA751" s="21"/>
      <c r="AB751" s="21"/>
      <c r="AC751" s="21"/>
      <c r="AF751" s="26"/>
      <c r="AH751" s="9">
        <f t="shared" si="141"/>
        <v>0</v>
      </c>
      <c r="AI751" s="9">
        <f t="shared" si="142"/>
        <v>36603.299999999974</v>
      </c>
      <c r="AJ751" s="14"/>
      <c r="AK751" s="14"/>
      <c r="AL751" s="14"/>
      <c r="AM751" s="14"/>
      <c r="AN751" s="166"/>
      <c r="AO751" s="166"/>
      <c r="AP751" s="14"/>
      <c r="AQ751" s="14"/>
    </row>
    <row r="752" spans="24:43">
      <c r="X752" s="40">
        <v>45527</v>
      </c>
      <c r="Y752" s="168">
        <f t="shared" si="140"/>
        <v>8</v>
      </c>
      <c r="Z752" s="44" t="s">
        <v>1145</v>
      </c>
      <c r="AA752" s="21"/>
      <c r="AB752" s="21"/>
      <c r="AC752" s="21"/>
      <c r="AF752" s="26"/>
      <c r="AH752" s="9">
        <f t="shared" si="141"/>
        <v>0</v>
      </c>
      <c r="AI752" s="9">
        <f t="shared" si="142"/>
        <v>36603.299999999974</v>
      </c>
      <c r="AJ752" s="14"/>
      <c r="AK752" s="14"/>
      <c r="AL752" s="14"/>
      <c r="AM752" s="14"/>
      <c r="AN752" s="166"/>
      <c r="AO752" s="166"/>
      <c r="AP752" s="14"/>
      <c r="AQ752" s="14"/>
    </row>
    <row r="753" spans="24:43">
      <c r="X753" s="40">
        <v>45528</v>
      </c>
      <c r="Y753" s="168">
        <f t="shared" si="140"/>
        <v>8</v>
      </c>
      <c r="Z753" s="44" t="s">
        <v>1132</v>
      </c>
      <c r="AA753" s="21"/>
      <c r="AB753" s="21"/>
      <c r="AC753" s="21"/>
      <c r="AF753" s="26"/>
      <c r="AH753" s="9">
        <f t="shared" si="141"/>
        <v>0</v>
      </c>
      <c r="AI753" s="9">
        <f t="shared" si="142"/>
        <v>36603.299999999974</v>
      </c>
      <c r="AJ753" s="14"/>
      <c r="AK753" s="14"/>
      <c r="AL753" s="14"/>
      <c r="AM753" s="14"/>
      <c r="AN753" s="166"/>
      <c r="AO753" s="166"/>
      <c r="AP753" s="14"/>
      <c r="AQ753" s="14"/>
    </row>
    <row r="754" spans="24:43">
      <c r="X754" s="40">
        <v>45529</v>
      </c>
      <c r="Y754" s="168">
        <f t="shared" si="140"/>
        <v>8</v>
      </c>
      <c r="Z754" s="44" t="s">
        <v>1134</v>
      </c>
      <c r="AA754" s="21"/>
      <c r="AB754" s="21"/>
      <c r="AC754" s="21"/>
      <c r="AF754" s="26"/>
      <c r="AH754" s="9">
        <f t="shared" si="141"/>
        <v>0</v>
      </c>
      <c r="AI754" s="9">
        <f t="shared" si="142"/>
        <v>36603.299999999974</v>
      </c>
      <c r="AJ754" s="14"/>
      <c r="AK754" s="14"/>
      <c r="AL754" s="14"/>
      <c r="AM754" s="14"/>
      <c r="AN754" s="166"/>
      <c r="AO754" s="166"/>
      <c r="AP754" s="14"/>
      <c r="AQ754" s="14"/>
    </row>
    <row r="755" spans="24:43">
      <c r="X755" s="40">
        <v>45530</v>
      </c>
      <c r="Y755" s="168">
        <f t="shared" si="140"/>
        <v>8</v>
      </c>
      <c r="Z755" s="44" t="s">
        <v>1136</v>
      </c>
      <c r="AA755" s="21"/>
      <c r="AB755" s="21"/>
      <c r="AC755" s="21"/>
      <c r="AF755" s="26"/>
      <c r="AH755" s="9">
        <f t="shared" si="141"/>
        <v>0</v>
      </c>
      <c r="AI755" s="9">
        <f t="shared" si="142"/>
        <v>36603.299999999974</v>
      </c>
      <c r="AJ755" s="14"/>
      <c r="AK755" s="14"/>
      <c r="AL755" s="14"/>
      <c r="AM755" s="14"/>
      <c r="AN755" s="166"/>
      <c r="AO755" s="166"/>
      <c r="AP755" s="14"/>
      <c r="AQ755" s="14"/>
    </row>
    <row r="756" spans="24:43">
      <c r="X756" s="40">
        <v>45531</v>
      </c>
      <c r="Y756" s="168">
        <f t="shared" si="140"/>
        <v>8</v>
      </c>
      <c r="Z756" s="44" t="s">
        <v>1138</v>
      </c>
      <c r="AA756" s="21"/>
      <c r="AB756" s="21"/>
      <c r="AC756" s="21"/>
      <c r="AF756" s="26"/>
      <c r="AH756" s="9">
        <f t="shared" si="141"/>
        <v>0</v>
      </c>
      <c r="AI756" s="9">
        <f t="shared" si="142"/>
        <v>36603.299999999974</v>
      </c>
      <c r="AJ756" s="14"/>
      <c r="AK756" s="14"/>
      <c r="AL756" s="14"/>
      <c r="AM756" s="14"/>
      <c r="AN756" s="166"/>
      <c r="AO756" s="166"/>
      <c r="AP756" s="14"/>
      <c r="AQ756" s="14"/>
    </row>
    <row r="757" spans="24:43">
      <c r="X757" s="40">
        <v>45532</v>
      </c>
      <c r="Y757" s="168">
        <f t="shared" si="140"/>
        <v>8</v>
      </c>
      <c r="Z757" s="44" t="s">
        <v>1140</v>
      </c>
      <c r="AA757" s="21"/>
      <c r="AB757" s="21"/>
      <c r="AC757" s="21"/>
      <c r="AF757" s="26"/>
      <c r="AH757" s="9">
        <f t="shared" si="141"/>
        <v>0</v>
      </c>
      <c r="AI757" s="9">
        <f t="shared" si="142"/>
        <v>36603.299999999974</v>
      </c>
      <c r="AJ757" s="14"/>
      <c r="AK757" s="14"/>
      <c r="AL757" s="14"/>
      <c r="AM757" s="14"/>
      <c r="AN757" s="166"/>
      <c r="AO757" s="166"/>
      <c r="AP757" s="14"/>
      <c r="AQ757" s="14"/>
    </row>
    <row r="758" spans="24:43">
      <c r="X758" s="40">
        <v>45533</v>
      </c>
      <c r="Y758" s="168">
        <f t="shared" si="140"/>
        <v>8</v>
      </c>
      <c r="Z758" s="44" t="s">
        <v>1143</v>
      </c>
      <c r="AA758" s="21"/>
      <c r="AB758" s="21"/>
      <c r="AC758" s="21"/>
      <c r="AF758" s="26"/>
      <c r="AH758" s="9">
        <f t="shared" si="141"/>
        <v>0</v>
      </c>
      <c r="AI758" s="9">
        <f t="shared" si="142"/>
        <v>36603.299999999974</v>
      </c>
      <c r="AJ758" s="14"/>
      <c r="AK758" s="14"/>
      <c r="AL758" s="14"/>
      <c r="AM758" s="14"/>
      <c r="AN758" s="166"/>
      <c r="AO758" s="166"/>
      <c r="AP758" s="14"/>
      <c r="AQ758" s="14"/>
    </row>
    <row r="759" spans="24:43">
      <c r="X759" s="40">
        <v>45534</v>
      </c>
      <c r="Y759" s="168">
        <f t="shared" si="140"/>
        <v>8</v>
      </c>
      <c r="Z759" s="44" t="s">
        <v>1145</v>
      </c>
      <c r="AA759" s="21"/>
      <c r="AB759" s="21"/>
      <c r="AC759" s="21"/>
      <c r="AF759" s="26"/>
      <c r="AH759" s="9">
        <f t="shared" si="141"/>
        <v>0</v>
      </c>
      <c r="AI759" s="9">
        <f t="shared" si="142"/>
        <v>36603.299999999974</v>
      </c>
      <c r="AJ759" s="14"/>
      <c r="AK759" s="14"/>
      <c r="AL759" s="14"/>
      <c r="AM759" s="14"/>
      <c r="AN759" s="166"/>
      <c r="AO759" s="166"/>
      <c r="AP759" s="14"/>
      <c r="AQ759" s="14"/>
    </row>
    <row r="760" spans="24:43">
      <c r="X760" s="40">
        <v>45535</v>
      </c>
      <c r="Y760" s="168">
        <f t="shared" si="140"/>
        <v>8</v>
      </c>
      <c r="Z760" s="44" t="s">
        <v>1132</v>
      </c>
      <c r="AA760" s="21"/>
      <c r="AB760" s="21"/>
      <c r="AC760" s="21"/>
      <c r="AF760" s="26"/>
      <c r="AH760" s="9">
        <f t="shared" si="141"/>
        <v>0</v>
      </c>
      <c r="AI760" s="9">
        <f t="shared" si="142"/>
        <v>36603.299999999974</v>
      </c>
      <c r="AJ760" s="14"/>
      <c r="AK760" s="14"/>
      <c r="AL760" s="14"/>
      <c r="AM760" s="14"/>
      <c r="AN760" s="166"/>
      <c r="AO760" s="166"/>
      <c r="AP760" s="14"/>
      <c r="AQ760" s="14"/>
    </row>
    <row r="761" spans="24:43">
      <c r="X761" s="40">
        <v>45536</v>
      </c>
      <c r="Y761" s="168">
        <f t="shared" si="140"/>
        <v>9</v>
      </c>
      <c r="Z761" s="44" t="s">
        <v>1134</v>
      </c>
      <c r="AA761" s="21"/>
      <c r="AB761" s="21"/>
      <c r="AC761" s="21"/>
      <c r="AF761" s="26"/>
      <c r="AH761" s="9">
        <f t="shared" si="141"/>
        <v>0</v>
      </c>
      <c r="AI761" s="9">
        <f t="shared" si="142"/>
        <v>36603.299999999974</v>
      </c>
      <c r="AJ761" s="14"/>
      <c r="AK761" s="14"/>
      <c r="AL761" s="14"/>
      <c r="AM761" s="14"/>
      <c r="AN761" s="166"/>
      <c r="AO761" s="166"/>
      <c r="AP761" s="14"/>
      <c r="AQ761" s="14"/>
    </row>
    <row r="762" spans="24:43">
      <c r="X762" s="40">
        <v>45537</v>
      </c>
      <c r="Y762" s="168">
        <f t="shared" si="140"/>
        <v>9</v>
      </c>
      <c r="Z762" s="44" t="s">
        <v>1136</v>
      </c>
      <c r="AA762" s="21"/>
      <c r="AB762" s="21"/>
      <c r="AC762" s="21"/>
      <c r="AF762" s="26"/>
      <c r="AH762" s="9">
        <f t="shared" si="141"/>
        <v>0</v>
      </c>
      <c r="AI762" s="9">
        <f t="shared" si="142"/>
        <v>36603.299999999974</v>
      </c>
      <c r="AJ762" s="14"/>
      <c r="AK762" s="14"/>
      <c r="AL762" s="14"/>
      <c r="AM762" s="14"/>
      <c r="AN762" s="166"/>
      <c r="AO762" s="166"/>
      <c r="AP762" s="14"/>
      <c r="AQ762" s="14"/>
    </row>
    <row r="763" spans="24:43">
      <c r="X763" s="40">
        <v>45538</v>
      </c>
      <c r="Y763" s="168">
        <f t="shared" si="140"/>
        <v>9</v>
      </c>
      <c r="Z763" s="44" t="s">
        <v>1138</v>
      </c>
      <c r="AA763" s="21"/>
      <c r="AB763" s="21"/>
      <c r="AC763" s="21"/>
      <c r="AF763" s="26"/>
      <c r="AH763" s="9">
        <f t="shared" si="141"/>
        <v>0</v>
      </c>
      <c r="AI763" s="9">
        <f t="shared" si="142"/>
        <v>36603.299999999974</v>
      </c>
      <c r="AJ763" s="14"/>
      <c r="AK763" s="14"/>
      <c r="AL763" s="14"/>
      <c r="AM763" s="14"/>
      <c r="AN763" s="166"/>
      <c r="AO763" s="166"/>
      <c r="AP763" s="14"/>
      <c r="AQ763" s="14"/>
    </row>
    <row r="764" spans="24:43">
      <c r="X764" s="40">
        <v>45539</v>
      </c>
      <c r="Y764" s="168">
        <f t="shared" si="140"/>
        <v>9</v>
      </c>
      <c r="Z764" s="44" t="s">
        <v>1140</v>
      </c>
      <c r="AA764" s="21"/>
      <c r="AB764" s="21"/>
      <c r="AC764" s="21"/>
      <c r="AF764" s="26"/>
      <c r="AH764" s="9">
        <f t="shared" si="141"/>
        <v>0</v>
      </c>
      <c r="AI764" s="9">
        <f t="shared" si="142"/>
        <v>36603.299999999974</v>
      </c>
      <c r="AJ764" s="14"/>
      <c r="AK764" s="14"/>
      <c r="AL764" s="14"/>
      <c r="AM764" s="14"/>
      <c r="AN764" s="166"/>
      <c r="AO764" s="166"/>
      <c r="AP764" s="14"/>
      <c r="AQ764" s="14"/>
    </row>
    <row r="765" spans="24:43">
      <c r="X765" s="40">
        <v>45540</v>
      </c>
      <c r="Y765" s="168">
        <f t="shared" si="140"/>
        <v>9</v>
      </c>
      <c r="Z765" s="44" t="s">
        <v>1143</v>
      </c>
      <c r="AA765" s="21"/>
      <c r="AB765" s="21"/>
      <c r="AC765" s="21"/>
      <c r="AF765" s="26"/>
      <c r="AH765" s="9">
        <f t="shared" si="141"/>
        <v>0</v>
      </c>
      <c r="AI765" s="9">
        <f t="shared" si="142"/>
        <v>36603.299999999974</v>
      </c>
      <c r="AJ765" s="14"/>
      <c r="AK765" s="14"/>
      <c r="AL765" s="14"/>
      <c r="AM765" s="14"/>
      <c r="AN765" s="166"/>
      <c r="AO765" s="166"/>
      <c r="AP765" s="14"/>
      <c r="AQ765" s="14"/>
    </row>
    <row r="766" spans="24:43">
      <c r="X766" s="40">
        <v>45541</v>
      </c>
      <c r="Y766" s="168">
        <f t="shared" si="140"/>
        <v>9</v>
      </c>
      <c r="Z766" s="44" t="s">
        <v>1145</v>
      </c>
      <c r="AA766" s="21"/>
      <c r="AB766" s="21"/>
      <c r="AC766" s="21"/>
      <c r="AF766" s="26"/>
      <c r="AH766" s="9">
        <f t="shared" si="141"/>
        <v>0</v>
      </c>
      <c r="AI766" s="9">
        <f t="shared" si="142"/>
        <v>36603.299999999974</v>
      </c>
      <c r="AJ766" s="14"/>
      <c r="AK766" s="14"/>
      <c r="AL766" s="14"/>
      <c r="AM766" s="14"/>
      <c r="AN766" s="166"/>
      <c r="AO766" s="166"/>
      <c r="AP766" s="14"/>
      <c r="AQ766" s="14"/>
    </row>
    <row r="767" spans="24:43">
      <c r="X767" s="40">
        <v>45542</v>
      </c>
      <c r="Y767" s="168">
        <f t="shared" si="140"/>
        <v>9</v>
      </c>
      <c r="Z767" s="44" t="s">
        <v>1132</v>
      </c>
      <c r="AA767" s="21"/>
      <c r="AB767" s="21"/>
      <c r="AC767" s="21"/>
      <c r="AF767" s="26"/>
      <c r="AH767" s="9">
        <f t="shared" si="141"/>
        <v>0</v>
      </c>
      <c r="AI767" s="9">
        <f t="shared" si="142"/>
        <v>36603.299999999974</v>
      </c>
      <c r="AJ767" s="14"/>
      <c r="AK767" s="14"/>
      <c r="AL767" s="14"/>
      <c r="AM767" s="14"/>
      <c r="AN767" s="166"/>
      <c r="AO767" s="166"/>
      <c r="AP767" s="14"/>
      <c r="AQ767" s="14"/>
    </row>
    <row r="768" spans="24:43">
      <c r="X768" s="40">
        <v>45543</v>
      </c>
      <c r="Y768" s="168">
        <f t="shared" si="140"/>
        <v>9</v>
      </c>
      <c r="Z768" s="44" t="s">
        <v>1134</v>
      </c>
      <c r="AA768" s="21"/>
      <c r="AB768" s="21"/>
      <c r="AC768" s="21"/>
      <c r="AF768" s="26"/>
      <c r="AH768" s="9">
        <f t="shared" si="141"/>
        <v>0</v>
      </c>
      <c r="AI768" s="9">
        <f t="shared" si="142"/>
        <v>36603.299999999974</v>
      </c>
      <c r="AJ768" s="14"/>
      <c r="AK768" s="14"/>
      <c r="AL768" s="14"/>
      <c r="AM768" s="14"/>
      <c r="AN768" s="166"/>
      <c r="AO768" s="166"/>
      <c r="AP768" s="14"/>
      <c r="AQ768" s="14"/>
    </row>
    <row r="769" spans="24:43">
      <c r="X769" s="40">
        <v>45544</v>
      </c>
      <c r="Y769" s="168">
        <f t="shared" si="140"/>
        <v>9</v>
      </c>
      <c r="Z769" s="44" t="s">
        <v>1136</v>
      </c>
      <c r="AA769" s="21"/>
      <c r="AB769" s="21"/>
      <c r="AC769" s="21"/>
      <c r="AF769" s="26"/>
      <c r="AH769" s="9">
        <f t="shared" si="141"/>
        <v>0</v>
      </c>
      <c r="AI769" s="9">
        <f t="shared" si="142"/>
        <v>36603.299999999974</v>
      </c>
      <c r="AJ769" s="14"/>
      <c r="AK769" s="14"/>
      <c r="AL769" s="14"/>
      <c r="AM769" s="14"/>
      <c r="AN769" s="166"/>
      <c r="AO769" s="166"/>
      <c r="AP769" s="14"/>
      <c r="AQ769" s="14"/>
    </row>
    <row r="770" spans="24:43">
      <c r="X770" s="40">
        <v>45545</v>
      </c>
      <c r="Y770" s="168">
        <f t="shared" si="140"/>
        <v>9</v>
      </c>
      <c r="Z770" s="44" t="s">
        <v>1138</v>
      </c>
      <c r="AA770" s="21"/>
      <c r="AB770" s="21"/>
      <c r="AC770" s="21"/>
      <c r="AF770" s="26"/>
      <c r="AH770" s="9">
        <f t="shared" si="141"/>
        <v>0</v>
      </c>
      <c r="AI770" s="9">
        <f t="shared" si="142"/>
        <v>36603.299999999974</v>
      </c>
      <c r="AJ770" s="14"/>
      <c r="AK770" s="14"/>
      <c r="AL770" s="14"/>
      <c r="AM770" s="14"/>
      <c r="AN770" s="166"/>
      <c r="AO770" s="166"/>
      <c r="AP770" s="14"/>
      <c r="AQ770" s="14"/>
    </row>
    <row r="771" spans="24:43">
      <c r="X771" s="40">
        <v>45546</v>
      </c>
      <c r="Y771" s="168">
        <f t="shared" si="140"/>
        <v>9</v>
      </c>
      <c r="Z771" s="44" t="s">
        <v>1140</v>
      </c>
      <c r="AA771" s="21"/>
      <c r="AB771" s="21"/>
      <c r="AC771" s="21"/>
      <c r="AF771" s="26"/>
      <c r="AH771" s="9">
        <f t="shared" si="141"/>
        <v>0</v>
      </c>
      <c r="AI771" s="9">
        <f t="shared" si="142"/>
        <v>36603.299999999974</v>
      </c>
      <c r="AJ771" s="14"/>
      <c r="AK771" s="14"/>
      <c r="AL771" s="14"/>
      <c r="AM771" s="14"/>
      <c r="AN771" s="166"/>
      <c r="AO771" s="166"/>
      <c r="AP771" s="14"/>
      <c r="AQ771" s="14"/>
    </row>
    <row r="772" spans="24:43">
      <c r="X772" s="40">
        <v>45547</v>
      </c>
      <c r="Y772" s="168">
        <f t="shared" si="140"/>
        <v>9</v>
      </c>
      <c r="Z772" s="44" t="s">
        <v>1143</v>
      </c>
      <c r="AA772" s="21"/>
      <c r="AB772" s="21"/>
      <c r="AC772" s="21"/>
      <c r="AF772" s="26"/>
      <c r="AH772" s="9">
        <f t="shared" si="141"/>
        <v>0</v>
      </c>
      <c r="AI772" s="9">
        <f t="shared" si="142"/>
        <v>36603.299999999974</v>
      </c>
      <c r="AJ772" s="14"/>
      <c r="AK772" s="14"/>
      <c r="AL772" s="14"/>
      <c r="AM772" s="14"/>
      <c r="AN772" s="166"/>
      <c r="AO772" s="166"/>
      <c r="AP772" s="14"/>
      <c r="AQ772" s="14"/>
    </row>
    <row r="773" spans="24:43">
      <c r="X773" s="40">
        <v>45548</v>
      </c>
      <c r="Y773" s="168">
        <f t="shared" si="140"/>
        <v>9</v>
      </c>
      <c r="Z773" s="44" t="s">
        <v>1145</v>
      </c>
      <c r="AA773" s="21"/>
      <c r="AB773" s="21"/>
      <c r="AC773" s="21"/>
      <c r="AF773" s="26"/>
      <c r="AH773" s="9">
        <f t="shared" si="141"/>
        <v>0</v>
      </c>
      <c r="AI773" s="9">
        <f t="shared" si="142"/>
        <v>36603.299999999974</v>
      </c>
      <c r="AJ773" s="14"/>
      <c r="AK773" s="14"/>
      <c r="AL773" s="14"/>
      <c r="AM773" s="14"/>
      <c r="AN773" s="166"/>
      <c r="AO773" s="166"/>
      <c r="AP773" s="14"/>
      <c r="AQ773" s="14"/>
    </row>
    <row r="774" spans="24:43">
      <c r="X774" s="40">
        <v>45549</v>
      </c>
      <c r="Y774" s="168">
        <f t="shared" si="140"/>
        <v>9</v>
      </c>
      <c r="Z774" s="44" t="s">
        <v>1132</v>
      </c>
      <c r="AA774" s="21"/>
      <c r="AB774" s="21"/>
      <c r="AC774" s="21"/>
      <c r="AF774" s="26"/>
      <c r="AH774" s="9">
        <f t="shared" si="141"/>
        <v>0</v>
      </c>
      <c r="AI774" s="9">
        <f t="shared" si="142"/>
        <v>36603.299999999974</v>
      </c>
      <c r="AJ774" s="14"/>
      <c r="AK774" s="14"/>
      <c r="AL774" s="14"/>
      <c r="AM774" s="14"/>
      <c r="AN774" s="166"/>
      <c r="AO774" s="166"/>
      <c r="AP774" s="14"/>
      <c r="AQ774" s="14"/>
    </row>
    <row r="775" spans="24:43">
      <c r="X775" s="40">
        <v>45550</v>
      </c>
      <c r="Y775" s="168">
        <f t="shared" si="140"/>
        <v>9</v>
      </c>
      <c r="Z775" s="44" t="s">
        <v>1134</v>
      </c>
      <c r="AA775" s="21"/>
      <c r="AB775" s="21"/>
      <c r="AC775" s="21"/>
      <c r="AF775" s="26"/>
      <c r="AH775" s="9">
        <f t="shared" si="141"/>
        <v>0</v>
      </c>
      <c r="AI775" s="9">
        <f t="shared" si="142"/>
        <v>36603.299999999974</v>
      </c>
      <c r="AJ775" s="14"/>
      <c r="AK775" s="14"/>
      <c r="AL775" s="14"/>
      <c r="AM775" s="14"/>
      <c r="AN775" s="166"/>
      <c r="AO775" s="166"/>
      <c r="AP775" s="14"/>
      <c r="AQ775" s="14"/>
    </row>
    <row r="776" spans="24:43">
      <c r="X776" s="40">
        <v>45551</v>
      </c>
      <c r="Y776" s="168">
        <f t="shared" si="140"/>
        <v>9</v>
      </c>
      <c r="Z776" s="44" t="s">
        <v>1136</v>
      </c>
      <c r="AA776" s="21"/>
      <c r="AB776" s="21"/>
      <c r="AC776" s="21"/>
      <c r="AF776" s="26"/>
      <c r="AH776" s="9">
        <f t="shared" si="141"/>
        <v>0</v>
      </c>
      <c r="AI776" s="9">
        <f t="shared" si="142"/>
        <v>36603.299999999974</v>
      </c>
      <c r="AJ776" s="14"/>
      <c r="AK776" s="14"/>
      <c r="AL776" s="14"/>
      <c r="AM776" s="14"/>
      <c r="AN776" s="166"/>
      <c r="AO776" s="166"/>
      <c r="AP776" s="14"/>
      <c r="AQ776" s="14"/>
    </row>
    <row r="777" spans="24:43">
      <c r="X777" s="40">
        <v>45552</v>
      </c>
      <c r="Y777" s="168">
        <f t="shared" si="140"/>
        <v>9</v>
      </c>
      <c r="Z777" s="44" t="s">
        <v>1138</v>
      </c>
      <c r="AA777" s="21"/>
      <c r="AB777" s="21"/>
      <c r="AC777" s="21"/>
      <c r="AF777" s="26"/>
      <c r="AH777" s="9">
        <f t="shared" si="141"/>
        <v>0</v>
      </c>
      <c r="AI777" s="9">
        <f t="shared" si="142"/>
        <v>36603.299999999974</v>
      </c>
      <c r="AJ777" s="14"/>
      <c r="AK777" s="14"/>
      <c r="AL777" s="14"/>
      <c r="AM777" s="14"/>
      <c r="AN777" s="166"/>
      <c r="AO777" s="166"/>
      <c r="AP777" s="14"/>
      <c r="AQ777" s="14"/>
    </row>
    <row r="778" spans="24:43">
      <c r="X778" s="40">
        <v>45553</v>
      </c>
      <c r="Y778" s="168">
        <f t="shared" si="140"/>
        <v>9</v>
      </c>
      <c r="Z778" s="44" t="s">
        <v>1140</v>
      </c>
      <c r="AA778" s="21"/>
      <c r="AB778" s="21"/>
      <c r="AC778" s="21"/>
      <c r="AF778" s="26"/>
      <c r="AH778" s="9">
        <f t="shared" si="141"/>
        <v>0</v>
      </c>
      <c r="AI778" s="9">
        <f t="shared" si="142"/>
        <v>36603.299999999974</v>
      </c>
      <c r="AJ778" s="14"/>
      <c r="AK778" s="14"/>
      <c r="AL778" s="14"/>
      <c r="AM778" s="14"/>
      <c r="AN778" s="166"/>
      <c r="AO778" s="166"/>
      <c r="AP778" s="14"/>
      <c r="AQ778" s="14"/>
    </row>
    <row r="779" spans="24:43">
      <c r="X779" s="40">
        <v>45554</v>
      </c>
      <c r="Y779" s="168">
        <f t="shared" si="140"/>
        <v>9</v>
      </c>
      <c r="Z779" s="44" t="s">
        <v>1143</v>
      </c>
      <c r="AA779" s="21"/>
      <c r="AB779" s="21"/>
      <c r="AC779" s="21"/>
      <c r="AF779" s="26"/>
      <c r="AH779" s="9">
        <f t="shared" si="141"/>
        <v>0</v>
      </c>
      <c r="AI779" s="9">
        <f t="shared" si="142"/>
        <v>36603.299999999974</v>
      </c>
      <c r="AJ779" s="14"/>
      <c r="AK779" s="14"/>
      <c r="AL779" s="14"/>
      <c r="AM779" s="14"/>
      <c r="AN779" s="166"/>
      <c r="AO779" s="166"/>
      <c r="AP779" s="14"/>
      <c r="AQ779" s="14"/>
    </row>
    <row r="780" spans="24:43">
      <c r="X780" s="40">
        <v>45555</v>
      </c>
      <c r="Y780" s="168">
        <f t="shared" si="140"/>
        <v>9</v>
      </c>
      <c r="Z780" s="44" t="s">
        <v>1145</v>
      </c>
      <c r="AA780" s="21"/>
      <c r="AB780" s="21"/>
      <c r="AC780" s="21"/>
      <c r="AF780" s="26"/>
      <c r="AH780" s="9">
        <f t="shared" si="141"/>
        <v>0</v>
      </c>
      <c r="AI780" s="9">
        <f t="shared" si="142"/>
        <v>36603.299999999974</v>
      </c>
      <c r="AJ780" s="14"/>
      <c r="AK780" s="14"/>
      <c r="AL780" s="14"/>
      <c r="AM780" s="14"/>
      <c r="AN780" s="166"/>
      <c r="AO780" s="166"/>
      <c r="AP780" s="14"/>
      <c r="AQ780" s="14"/>
    </row>
    <row r="781" spans="24:43">
      <c r="X781" s="40">
        <v>45556</v>
      </c>
      <c r="Y781" s="168">
        <f t="shared" si="140"/>
        <v>9</v>
      </c>
      <c r="Z781" s="44" t="s">
        <v>1132</v>
      </c>
      <c r="AA781" s="21"/>
      <c r="AB781" s="21"/>
      <c r="AC781" s="21"/>
      <c r="AF781" s="26"/>
      <c r="AH781" s="9">
        <f t="shared" si="141"/>
        <v>0</v>
      </c>
      <c r="AI781" s="9">
        <f t="shared" si="142"/>
        <v>36603.299999999974</v>
      </c>
      <c r="AJ781" s="14"/>
      <c r="AK781" s="14"/>
      <c r="AL781" s="14"/>
      <c r="AM781" s="14"/>
      <c r="AN781" s="166"/>
      <c r="AO781" s="166"/>
      <c r="AP781" s="14"/>
      <c r="AQ781" s="14"/>
    </row>
    <row r="782" spans="24:43">
      <c r="X782" s="40">
        <v>45557</v>
      </c>
      <c r="Y782" s="168">
        <f t="shared" si="140"/>
        <v>9</v>
      </c>
      <c r="Z782" s="44" t="s">
        <v>1134</v>
      </c>
      <c r="AA782" s="21"/>
      <c r="AB782" s="21"/>
      <c r="AC782" s="21"/>
      <c r="AF782" s="26"/>
      <c r="AH782" s="9">
        <f t="shared" si="141"/>
        <v>0</v>
      </c>
      <c r="AI782" s="9">
        <f t="shared" si="142"/>
        <v>36603.299999999974</v>
      </c>
      <c r="AJ782" s="14"/>
      <c r="AK782" s="14"/>
      <c r="AL782" s="14"/>
      <c r="AM782" s="14"/>
      <c r="AN782" s="166"/>
      <c r="AO782" s="166"/>
      <c r="AP782" s="14"/>
      <c r="AQ782" s="14"/>
    </row>
    <row r="783" spans="24:43">
      <c r="X783" s="40">
        <v>45558</v>
      </c>
      <c r="Y783" s="168">
        <f t="shared" si="140"/>
        <v>9</v>
      </c>
      <c r="Z783" s="44" t="s">
        <v>1136</v>
      </c>
      <c r="AA783" s="21"/>
      <c r="AB783" s="21"/>
      <c r="AC783" s="21"/>
      <c r="AF783" s="26"/>
      <c r="AH783" s="9">
        <f t="shared" si="141"/>
        <v>0</v>
      </c>
      <c r="AI783" s="9">
        <f t="shared" si="142"/>
        <v>36603.299999999974</v>
      </c>
      <c r="AJ783" s="14"/>
      <c r="AK783" s="14"/>
      <c r="AL783" s="14"/>
      <c r="AM783" s="14"/>
      <c r="AN783" s="166"/>
      <c r="AO783" s="166"/>
      <c r="AP783" s="14"/>
      <c r="AQ783" s="14"/>
    </row>
    <row r="784" spans="24:43">
      <c r="X784" s="40">
        <v>45559</v>
      </c>
      <c r="Y784" s="168">
        <f t="shared" si="140"/>
        <v>9</v>
      </c>
      <c r="Z784" s="44" t="s">
        <v>1138</v>
      </c>
      <c r="AA784" s="21"/>
      <c r="AB784" s="21"/>
      <c r="AC784" s="21"/>
      <c r="AF784" s="26"/>
      <c r="AH784" s="9">
        <f t="shared" si="141"/>
        <v>0</v>
      </c>
      <c r="AI784" s="9">
        <f t="shared" si="142"/>
        <v>36603.299999999974</v>
      </c>
      <c r="AJ784" s="14"/>
      <c r="AK784" s="14"/>
      <c r="AL784" s="14"/>
      <c r="AM784" s="14"/>
      <c r="AN784" s="166"/>
      <c r="AO784" s="166"/>
      <c r="AP784" s="14"/>
      <c r="AQ784" s="14"/>
    </row>
    <row r="785" spans="24:43">
      <c r="X785" s="40">
        <v>45560</v>
      </c>
      <c r="Y785" s="168">
        <f t="shared" si="140"/>
        <v>9</v>
      </c>
      <c r="Z785" s="44" t="s">
        <v>1140</v>
      </c>
      <c r="AA785" s="21"/>
      <c r="AB785" s="21"/>
      <c r="AC785" s="21"/>
      <c r="AF785" s="26"/>
      <c r="AH785" s="9">
        <f t="shared" si="141"/>
        <v>0</v>
      </c>
      <c r="AI785" s="9">
        <f t="shared" si="142"/>
        <v>36603.299999999974</v>
      </c>
      <c r="AJ785" s="14"/>
      <c r="AK785" s="14"/>
      <c r="AL785" s="14"/>
      <c r="AM785" s="14"/>
      <c r="AN785" s="166"/>
      <c r="AO785" s="166"/>
      <c r="AP785" s="14"/>
      <c r="AQ785" s="14"/>
    </row>
    <row r="786" spans="24:43">
      <c r="X786" s="40">
        <v>45561</v>
      </c>
      <c r="Y786" s="168">
        <f t="shared" si="140"/>
        <v>9</v>
      </c>
      <c r="Z786" s="44" t="s">
        <v>1143</v>
      </c>
      <c r="AA786" s="21"/>
      <c r="AB786" s="21"/>
      <c r="AC786" s="21"/>
      <c r="AF786" s="26"/>
      <c r="AH786" s="9">
        <f t="shared" si="141"/>
        <v>0</v>
      </c>
      <c r="AI786" s="9">
        <f t="shared" si="142"/>
        <v>36603.299999999974</v>
      </c>
      <c r="AJ786" s="14"/>
      <c r="AK786" s="14"/>
      <c r="AL786" s="14"/>
      <c r="AM786" s="14"/>
      <c r="AN786" s="166"/>
      <c r="AO786" s="166"/>
      <c r="AP786" s="14"/>
      <c r="AQ786" s="14"/>
    </row>
    <row r="787" spans="24:43">
      <c r="X787" s="40">
        <v>45562</v>
      </c>
      <c r="Y787" s="168">
        <f t="shared" si="140"/>
        <v>9</v>
      </c>
      <c r="Z787" s="44" t="s">
        <v>1145</v>
      </c>
      <c r="AA787" s="21"/>
      <c r="AB787" s="21"/>
      <c r="AC787" s="21"/>
      <c r="AF787" s="26"/>
      <c r="AH787" s="9">
        <f t="shared" si="141"/>
        <v>0</v>
      </c>
      <c r="AI787" s="9">
        <f t="shared" si="142"/>
        <v>36603.299999999974</v>
      </c>
      <c r="AJ787" s="14"/>
      <c r="AK787" s="14"/>
      <c r="AL787" s="14"/>
      <c r="AM787" s="14"/>
      <c r="AN787" s="166"/>
      <c r="AO787" s="166"/>
      <c r="AP787" s="14"/>
      <c r="AQ787" s="14"/>
    </row>
    <row r="788" spans="24:43">
      <c r="X788" s="40">
        <v>45563</v>
      </c>
      <c r="Y788" s="168">
        <f t="shared" si="140"/>
        <v>9</v>
      </c>
      <c r="Z788" s="44" t="s">
        <v>1132</v>
      </c>
      <c r="AA788" s="21"/>
      <c r="AB788" s="21"/>
      <c r="AC788" s="21"/>
      <c r="AF788" s="26"/>
      <c r="AH788" s="9">
        <f t="shared" si="141"/>
        <v>0</v>
      </c>
      <c r="AI788" s="9">
        <f t="shared" si="142"/>
        <v>36603.299999999974</v>
      </c>
      <c r="AJ788" s="14"/>
      <c r="AK788" s="14"/>
      <c r="AL788" s="14"/>
      <c r="AM788" s="14"/>
      <c r="AN788" s="166"/>
      <c r="AO788" s="166"/>
      <c r="AP788" s="14"/>
      <c r="AQ788" s="14"/>
    </row>
    <row r="789" spans="24:43">
      <c r="X789" s="40">
        <v>45564</v>
      </c>
      <c r="Y789" s="168">
        <f t="shared" si="140"/>
        <v>9</v>
      </c>
      <c r="Z789" s="44" t="s">
        <v>1134</v>
      </c>
      <c r="AA789" s="21"/>
      <c r="AB789" s="21"/>
      <c r="AC789" s="21"/>
      <c r="AF789" s="26"/>
      <c r="AH789" s="9">
        <f t="shared" si="141"/>
        <v>0</v>
      </c>
      <c r="AI789" s="9">
        <f t="shared" si="142"/>
        <v>36603.299999999974</v>
      </c>
      <c r="AJ789" s="14"/>
      <c r="AK789" s="14"/>
      <c r="AL789" s="14"/>
      <c r="AM789" s="14"/>
      <c r="AN789" s="166"/>
      <c r="AO789" s="166"/>
      <c r="AP789" s="14"/>
      <c r="AQ789" s="14"/>
    </row>
    <row r="790" spans="24:43">
      <c r="X790" s="40">
        <v>45565</v>
      </c>
      <c r="Y790" s="168">
        <f t="shared" si="140"/>
        <v>9</v>
      </c>
      <c r="Z790" s="44" t="s">
        <v>1136</v>
      </c>
      <c r="AA790" s="21"/>
      <c r="AB790" s="21"/>
      <c r="AC790" s="21"/>
      <c r="AF790" s="26"/>
      <c r="AH790" s="9">
        <f t="shared" si="141"/>
        <v>0</v>
      </c>
      <c r="AI790" s="9">
        <f t="shared" si="142"/>
        <v>36603.299999999974</v>
      </c>
      <c r="AJ790" s="14"/>
      <c r="AK790" s="14"/>
      <c r="AL790" s="14"/>
      <c r="AM790" s="14"/>
      <c r="AN790" s="166"/>
      <c r="AO790" s="166"/>
      <c r="AP790" s="14"/>
      <c r="AQ790" s="14"/>
    </row>
    <row r="791" spans="24:43">
      <c r="X791" s="40">
        <v>45566</v>
      </c>
      <c r="Y791" s="168">
        <f t="shared" si="140"/>
        <v>10</v>
      </c>
      <c r="Z791" s="44" t="s">
        <v>1138</v>
      </c>
      <c r="AA791" s="21"/>
      <c r="AB791" s="21"/>
      <c r="AC791" s="21"/>
      <c r="AF791" s="26"/>
      <c r="AH791" s="9">
        <f t="shared" si="141"/>
        <v>0</v>
      </c>
      <c r="AI791" s="9">
        <f t="shared" si="142"/>
        <v>36603.299999999974</v>
      </c>
      <c r="AJ791" s="14"/>
      <c r="AK791" s="14"/>
      <c r="AL791" s="14"/>
      <c r="AM791" s="14"/>
      <c r="AN791" s="166"/>
      <c r="AO791" s="166"/>
      <c r="AP791" s="14"/>
      <c r="AQ791" s="14"/>
    </row>
    <row r="792" spans="24:43">
      <c r="X792" s="40">
        <v>45567</v>
      </c>
      <c r="Y792" s="168">
        <f t="shared" si="140"/>
        <v>10</v>
      </c>
      <c r="Z792" s="44" t="s">
        <v>1140</v>
      </c>
      <c r="AA792" s="21"/>
      <c r="AB792" s="21"/>
      <c r="AC792" s="21"/>
      <c r="AF792" s="26"/>
      <c r="AH792" s="9">
        <f t="shared" si="141"/>
        <v>0</v>
      </c>
      <c r="AI792" s="9">
        <f t="shared" si="142"/>
        <v>36603.299999999974</v>
      </c>
      <c r="AJ792" s="14"/>
      <c r="AK792" s="14"/>
      <c r="AL792" s="14"/>
      <c r="AM792" s="14"/>
      <c r="AN792" s="166"/>
      <c r="AO792" s="166"/>
      <c r="AP792" s="14"/>
      <c r="AQ792" s="14"/>
    </row>
    <row r="793" spans="24:43">
      <c r="X793" s="40">
        <v>45568</v>
      </c>
      <c r="Y793" s="168">
        <f t="shared" si="140"/>
        <v>10</v>
      </c>
      <c r="Z793" s="44" t="s">
        <v>1143</v>
      </c>
      <c r="AA793" s="21"/>
      <c r="AB793" s="21"/>
      <c r="AC793" s="21"/>
      <c r="AF793" s="26"/>
      <c r="AH793" s="9">
        <f t="shared" si="141"/>
        <v>0</v>
      </c>
      <c r="AI793" s="9">
        <f t="shared" si="142"/>
        <v>36603.299999999974</v>
      </c>
      <c r="AJ793" s="14"/>
      <c r="AK793" s="14"/>
      <c r="AL793" s="14"/>
      <c r="AM793" s="14"/>
      <c r="AN793" s="166"/>
      <c r="AO793" s="166"/>
      <c r="AP793" s="14"/>
      <c r="AQ793" s="14"/>
    </row>
    <row r="794" spans="24:43">
      <c r="X794" s="40">
        <v>45569</v>
      </c>
      <c r="Y794" s="168">
        <f t="shared" si="140"/>
        <v>10</v>
      </c>
      <c r="Z794" s="44" t="s">
        <v>1145</v>
      </c>
      <c r="AA794" s="21"/>
      <c r="AB794" s="21"/>
      <c r="AC794" s="21"/>
      <c r="AF794" s="26"/>
      <c r="AH794" s="9">
        <f t="shared" si="141"/>
        <v>0</v>
      </c>
      <c r="AI794" s="9">
        <f t="shared" si="142"/>
        <v>36603.299999999974</v>
      </c>
      <c r="AJ794" s="14"/>
      <c r="AK794" s="14"/>
      <c r="AL794" s="14"/>
      <c r="AM794" s="14"/>
      <c r="AN794" s="166"/>
      <c r="AO794" s="166"/>
      <c r="AP794" s="14"/>
      <c r="AQ794" s="14"/>
    </row>
    <row r="795" spans="24:43">
      <c r="X795" s="40">
        <v>45570</v>
      </c>
      <c r="Y795" s="168">
        <f t="shared" si="140"/>
        <v>10</v>
      </c>
      <c r="Z795" s="44" t="s">
        <v>1132</v>
      </c>
      <c r="AA795" s="21"/>
      <c r="AB795" s="21"/>
      <c r="AC795" s="21"/>
      <c r="AF795" s="26"/>
      <c r="AH795" s="9">
        <f t="shared" si="141"/>
        <v>0</v>
      </c>
      <c r="AI795" s="9">
        <f t="shared" si="142"/>
        <v>36603.299999999974</v>
      </c>
      <c r="AJ795" s="14"/>
      <c r="AK795" s="14"/>
      <c r="AL795" s="14"/>
      <c r="AM795" s="14"/>
      <c r="AN795" s="166"/>
      <c r="AO795" s="166"/>
      <c r="AP795" s="14"/>
      <c r="AQ795" s="14"/>
    </row>
    <row r="796" spans="24:43">
      <c r="X796" s="40">
        <v>45571</v>
      </c>
      <c r="Y796" s="168">
        <f t="shared" si="140"/>
        <v>10</v>
      </c>
      <c r="Z796" s="44" t="s">
        <v>1134</v>
      </c>
      <c r="AA796" s="21"/>
      <c r="AB796" s="21"/>
      <c r="AC796" s="21"/>
      <c r="AF796" s="26"/>
      <c r="AH796" s="9">
        <f t="shared" si="141"/>
        <v>0</v>
      </c>
      <c r="AI796" s="9">
        <f t="shared" si="142"/>
        <v>36603.299999999974</v>
      </c>
      <c r="AJ796" s="14"/>
      <c r="AK796" s="14"/>
      <c r="AL796" s="14"/>
      <c r="AM796" s="14"/>
      <c r="AN796" s="166"/>
      <c r="AO796" s="166"/>
      <c r="AP796" s="14"/>
      <c r="AQ796" s="14"/>
    </row>
    <row r="797" spans="24:43">
      <c r="X797" s="40">
        <v>45572</v>
      </c>
      <c r="Y797" s="168">
        <f t="shared" si="140"/>
        <v>10</v>
      </c>
      <c r="Z797" s="44" t="s">
        <v>1136</v>
      </c>
      <c r="AA797" s="21"/>
      <c r="AB797" s="21"/>
      <c r="AC797" s="21"/>
      <c r="AF797" s="26"/>
      <c r="AH797" s="9">
        <f t="shared" si="141"/>
        <v>0</v>
      </c>
      <c r="AI797" s="9">
        <f t="shared" si="142"/>
        <v>36603.299999999974</v>
      </c>
      <c r="AJ797" s="14"/>
      <c r="AK797" s="14"/>
      <c r="AL797" s="14"/>
      <c r="AM797" s="14"/>
      <c r="AN797" s="166"/>
      <c r="AO797" s="166"/>
      <c r="AP797" s="14"/>
      <c r="AQ797" s="14"/>
    </row>
    <row r="798" spans="24:43">
      <c r="X798" s="40">
        <v>45573</v>
      </c>
      <c r="Y798" s="168">
        <f t="shared" si="140"/>
        <v>10</v>
      </c>
      <c r="Z798" s="44" t="s">
        <v>1138</v>
      </c>
      <c r="AA798" s="21"/>
      <c r="AB798" s="21"/>
      <c r="AC798" s="21"/>
      <c r="AF798" s="26"/>
      <c r="AH798" s="9">
        <f t="shared" si="141"/>
        <v>0</v>
      </c>
      <c r="AI798" s="9">
        <f t="shared" si="142"/>
        <v>36603.299999999974</v>
      </c>
      <c r="AJ798" s="14"/>
      <c r="AK798" s="14"/>
      <c r="AL798" s="14"/>
      <c r="AM798" s="14"/>
      <c r="AN798" s="166"/>
      <c r="AO798" s="166"/>
      <c r="AP798" s="14"/>
      <c r="AQ798" s="14"/>
    </row>
    <row r="799" spans="24:43">
      <c r="X799" s="40">
        <v>45574</v>
      </c>
      <c r="Y799" s="168">
        <f t="shared" si="140"/>
        <v>10</v>
      </c>
      <c r="Z799" s="44" t="s">
        <v>1140</v>
      </c>
      <c r="AA799" s="21"/>
      <c r="AB799" s="21"/>
      <c r="AC799" s="21"/>
      <c r="AF799" s="26"/>
      <c r="AH799" s="9">
        <f t="shared" si="141"/>
        <v>0</v>
      </c>
      <c r="AI799" s="9">
        <f t="shared" si="142"/>
        <v>36603.299999999974</v>
      </c>
      <c r="AJ799" s="14"/>
      <c r="AK799" s="14"/>
      <c r="AL799" s="14"/>
      <c r="AM799" s="14"/>
      <c r="AN799" s="166"/>
      <c r="AO799" s="166"/>
      <c r="AP799" s="14"/>
      <c r="AQ799" s="14"/>
    </row>
    <row r="800" spans="24:43">
      <c r="X800" s="40">
        <v>45575</v>
      </c>
      <c r="Y800" s="168">
        <f t="shared" si="140"/>
        <v>10</v>
      </c>
      <c r="Z800" s="44" t="s">
        <v>1143</v>
      </c>
      <c r="AA800" s="21"/>
      <c r="AB800" s="21"/>
      <c r="AC800" s="21"/>
      <c r="AF800" s="26"/>
      <c r="AH800" s="9">
        <f t="shared" si="141"/>
        <v>0</v>
      </c>
      <c r="AI800" s="9">
        <f t="shared" si="142"/>
        <v>36603.299999999974</v>
      </c>
      <c r="AJ800" s="14"/>
      <c r="AK800" s="14"/>
      <c r="AL800" s="14"/>
      <c r="AM800" s="14"/>
      <c r="AN800" s="166"/>
      <c r="AO800" s="166"/>
      <c r="AP800" s="14"/>
      <c r="AQ800" s="14"/>
    </row>
    <row r="801" spans="24:43">
      <c r="X801" s="40">
        <v>45576</v>
      </c>
      <c r="Y801" s="168">
        <f t="shared" si="140"/>
        <v>10</v>
      </c>
      <c r="Z801" s="44" t="s">
        <v>1145</v>
      </c>
      <c r="AA801" s="21"/>
      <c r="AB801" s="21"/>
      <c r="AC801" s="21"/>
      <c r="AF801" s="26"/>
      <c r="AH801" s="9">
        <f t="shared" si="141"/>
        <v>0</v>
      </c>
      <c r="AI801" s="9">
        <f t="shared" si="142"/>
        <v>36603.299999999974</v>
      </c>
      <c r="AJ801" s="14"/>
      <c r="AK801" s="14"/>
      <c r="AL801" s="14"/>
      <c r="AM801" s="14"/>
      <c r="AN801" s="166"/>
      <c r="AO801" s="166"/>
      <c r="AP801" s="14"/>
      <c r="AQ801" s="14"/>
    </row>
    <row r="802" spans="24:43">
      <c r="X802" s="40">
        <v>45577</v>
      </c>
      <c r="Y802" s="168">
        <f t="shared" si="140"/>
        <v>10</v>
      </c>
      <c r="Z802" s="44" t="s">
        <v>1132</v>
      </c>
      <c r="AA802" s="21"/>
      <c r="AB802" s="21"/>
      <c r="AC802" s="21"/>
      <c r="AF802" s="26"/>
      <c r="AH802" s="9">
        <f t="shared" si="141"/>
        <v>0</v>
      </c>
      <c r="AI802" s="9">
        <f t="shared" si="142"/>
        <v>36603.299999999974</v>
      </c>
      <c r="AJ802" s="14"/>
      <c r="AK802" s="14"/>
      <c r="AL802" s="14"/>
      <c r="AM802" s="14"/>
      <c r="AN802" s="166"/>
      <c r="AO802" s="166"/>
      <c r="AP802" s="14"/>
      <c r="AQ802" s="14"/>
    </row>
    <row r="803" spans="24:43">
      <c r="X803" s="40">
        <v>45578</v>
      </c>
      <c r="Y803" s="168">
        <f t="shared" si="140"/>
        <v>10</v>
      </c>
      <c r="Z803" s="44" t="s">
        <v>1134</v>
      </c>
      <c r="AA803" s="21"/>
      <c r="AB803" s="21"/>
      <c r="AC803" s="21"/>
      <c r="AF803" s="26"/>
      <c r="AH803" s="9">
        <f t="shared" si="141"/>
        <v>0</v>
      </c>
      <c r="AI803" s="9">
        <f t="shared" si="142"/>
        <v>36603.299999999974</v>
      </c>
      <c r="AJ803" s="14"/>
      <c r="AK803" s="14"/>
      <c r="AL803" s="14"/>
      <c r="AM803" s="14"/>
      <c r="AN803" s="166"/>
      <c r="AO803" s="166"/>
      <c r="AP803" s="14"/>
      <c r="AQ803" s="14"/>
    </row>
    <row r="804" spans="24:43">
      <c r="X804" s="40">
        <v>45579</v>
      </c>
      <c r="Y804" s="168">
        <f t="shared" ref="Y804:Y867" si="143">MONTH(X804)</f>
        <v>10</v>
      </c>
      <c r="Z804" s="44" t="s">
        <v>1136</v>
      </c>
      <c r="AA804" s="21"/>
      <c r="AB804" s="21"/>
      <c r="AC804" s="21"/>
      <c r="AF804" s="26"/>
      <c r="AH804" s="9">
        <f t="shared" ref="AH804:AH867" si="144">AF804+AG804</f>
        <v>0</v>
      </c>
      <c r="AI804" s="9">
        <f t="shared" ref="AI804:AI867" si="145">AI803+AH804</f>
        <v>36603.299999999974</v>
      </c>
      <c r="AJ804" s="14"/>
      <c r="AK804" s="14"/>
      <c r="AL804" s="14"/>
      <c r="AM804" s="14"/>
      <c r="AN804" s="166"/>
      <c r="AO804" s="166"/>
      <c r="AP804" s="14"/>
      <c r="AQ804" s="14"/>
    </row>
    <row r="805" spans="24:43">
      <c r="X805" s="40">
        <v>45580</v>
      </c>
      <c r="Y805" s="168">
        <f t="shared" si="143"/>
        <v>10</v>
      </c>
      <c r="Z805" s="44" t="s">
        <v>1138</v>
      </c>
      <c r="AA805" s="21"/>
      <c r="AB805" s="21"/>
      <c r="AC805" s="21"/>
      <c r="AF805" s="26"/>
      <c r="AH805" s="9">
        <f t="shared" si="144"/>
        <v>0</v>
      </c>
      <c r="AI805" s="9">
        <f t="shared" si="145"/>
        <v>36603.299999999974</v>
      </c>
      <c r="AJ805" s="14"/>
      <c r="AK805" s="14"/>
      <c r="AL805" s="14"/>
      <c r="AM805" s="14"/>
      <c r="AN805" s="166"/>
      <c r="AO805" s="166"/>
      <c r="AP805" s="14"/>
      <c r="AQ805" s="14"/>
    </row>
    <row r="806" spans="24:43">
      <c r="X806" s="40">
        <v>45581</v>
      </c>
      <c r="Y806" s="168">
        <f t="shared" si="143"/>
        <v>10</v>
      </c>
      <c r="Z806" s="44" t="s">
        <v>1140</v>
      </c>
      <c r="AA806" s="21"/>
      <c r="AB806" s="21"/>
      <c r="AC806" s="21"/>
      <c r="AF806" s="26"/>
      <c r="AH806" s="9">
        <f t="shared" si="144"/>
        <v>0</v>
      </c>
      <c r="AI806" s="9">
        <f t="shared" si="145"/>
        <v>36603.299999999974</v>
      </c>
      <c r="AJ806" s="14"/>
      <c r="AK806" s="14"/>
      <c r="AL806" s="14"/>
      <c r="AM806" s="14"/>
      <c r="AN806" s="166"/>
      <c r="AO806" s="166"/>
      <c r="AP806" s="14"/>
      <c r="AQ806" s="14"/>
    </row>
    <row r="807" spans="24:43">
      <c r="X807" s="40">
        <v>45582</v>
      </c>
      <c r="Y807" s="168">
        <f t="shared" si="143"/>
        <v>10</v>
      </c>
      <c r="Z807" s="44" t="s">
        <v>1143</v>
      </c>
      <c r="AA807" s="21"/>
      <c r="AB807" s="21"/>
      <c r="AC807" s="21"/>
      <c r="AF807" s="26"/>
      <c r="AH807" s="9">
        <f t="shared" si="144"/>
        <v>0</v>
      </c>
      <c r="AI807" s="9">
        <f t="shared" si="145"/>
        <v>36603.299999999974</v>
      </c>
      <c r="AJ807" s="14"/>
      <c r="AK807" s="14"/>
      <c r="AL807" s="14"/>
      <c r="AM807" s="14"/>
      <c r="AN807" s="166"/>
      <c r="AO807" s="166"/>
      <c r="AP807" s="14"/>
      <c r="AQ807" s="14"/>
    </row>
    <row r="808" spans="24:43">
      <c r="X808" s="40">
        <v>45583</v>
      </c>
      <c r="Y808" s="168">
        <f t="shared" si="143"/>
        <v>10</v>
      </c>
      <c r="Z808" s="44" t="s">
        <v>1145</v>
      </c>
      <c r="AA808" s="21"/>
      <c r="AB808" s="21"/>
      <c r="AC808" s="21"/>
      <c r="AF808" s="26"/>
      <c r="AH808" s="9">
        <f t="shared" si="144"/>
        <v>0</v>
      </c>
      <c r="AI808" s="9">
        <f t="shared" si="145"/>
        <v>36603.299999999974</v>
      </c>
      <c r="AJ808" s="14"/>
      <c r="AK808" s="14"/>
      <c r="AL808" s="14"/>
      <c r="AM808" s="14"/>
      <c r="AN808" s="166"/>
      <c r="AO808" s="166"/>
      <c r="AP808" s="14"/>
      <c r="AQ808" s="14"/>
    </row>
    <row r="809" spans="24:43">
      <c r="X809" s="40">
        <v>45584</v>
      </c>
      <c r="Y809" s="168">
        <f t="shared" si="143"/>
        <v>10</v>
      </c>
      <c r="Z809" s="44" t="s">
        <v>1132</v>
      </c>
      <c r="AA809" s="21"/>
      <c r="AB809" s="21"/>
      <c r="AC809" s="21"/>
      <c r="AF809" s="26"/>
      <c r="AH809" s="9">
        <f t="shared" si="144"/>
        <v>0</v>
      </c>
      <c r="AI809" s="9">
        <f t="shared" si="145"/>
        <v>36603.299999999974</v>
      </c>
      <c r="AJ809" s="14"/>
      <c r="AK809" s="14"/>
      <c r="AL809" s="14"/>
      <c r="AM809" s="14"/>
      <c r="AN809" s="166"/>
      <c r="AO809" s="166"/>
      <c r="AP809" s="14"/>
      <c r="AQ809" s="14"/>
    </row>
    <row r="810" spans="24:43">
      <c r="X810" s="40">
        <v>45585</v>
      </c>
      <c r="Y810" s="168">
        <f t="shared" si="143"/>
        <v>10</v>
      </c>
      <c r="Z810" s="44" t="s">
        <v>1134</v>
      </c>
      <c r="AA810" s="21"/>
      <c r="AB810" s="21"/>
      <c r="AC810" s="21"/>
      <c r="AF810" s="26"/>
      <c r="AH810" s="9">
        <f t="shared" si="144"/>
        <v>0</v>
      </c>
      <c r="AI810" s="9">
        <f t="shared" si="145"/>
        <v>36603.299999999974</v>
      </c>
      <c r="AJ810" s="14"/>
      <c r="AK810" s="14"/>
      <c r="AL810" s="14"/>
      <c r="AM810" s="14"/>
      <c r="AN810" s="166"/>
      <c r="AO810" s="166"/>
      <c r="AP810" s="14"/>
      <c r="AQ810" s="14"/>
    </row>
    <row r="811" spans="24:43">
      <c r="X811" s="40">
        <v>45586</v>
      </c>
      <c r="Y811" s="168">
        <f t="shared" si="143"/>
        <v>10</v>
      </c>
      <c r="Z811" s="44" t="s">
        <v>1136</v>
      </c>
      <c r="AA811" s="21"/>
      <c r="AB811" s="21"/>
      <c r="AC811" s="21"/>
      <c r="AF811" s="26"/>
      <c r="AH811" s="9">
        <f t="shared" si="144"/>
        <v>0</v>
      </c>
      <c r="AI811" s="9">
        <f t="shared" si="145"/>
        <v>36603.299999999974</v>
      </c>
      <c r="AJ811" s="14"/>
      <c r="AK811" s="14"/>
      <c r="AL811" s="14"/>
      <c r="AM811" s="14"/>
      <c r="AN811" s="166"/>
      <c r="AO811" s="166"/>
      <c r="AP811" s="14"/>
      <c r="AQ811" s="14"/>
    </row>
    <row r="812" spans="24:43">
      <c r="X812" s="40">
        <v>45587</v>
      </c>
      <c r="Y812" s="168">
        <f t="shared" si="143"/>
        <v>10</v>
      </c>
      <c r="Z812" s="44" t="s">
        <v>1138</v>
      </c>
      <c r="AA812" s="21"/>
      <c r="AB812" s="21"/>
      <c r="AC812" s="21"/>
      <c r="AF812" s="26"/>
      <c r="AH812" s="9">
        <f t="shared" si="144"/>
        <v>0</v>
      </c>
      <c r="AI812" s="9">
        <f t="shared" si="145"/>
        <v>36603.299999999974</v>
      </c>
      <c r="AJ812" s="14"/>
      <c r="AK812" s="14"/>
      <c r="AL812" s="14"/>
      <c r="AM812" s="14"/>
      <c r="AN812" s="166"/>
      <c r="AO812" s="166"/>
      <c r="AP812" s="14"/>
      <c r="AQ812" s="14"/>
    </row>
    <row r="813" spans="24:43">
      <c r="X813" s="40">
        <v>45588</v>
      </c>
      <c r="Y813" s="168">
        <f t="shared" si="143"/>
        <v>10</v>
      </c>
      <c r="Z813" s="44" t="s">
        <v>1140</v>
      </c>
      <c r="AA813" s="21"/>
      <c r="AB813" s="21"/>
      <c r="AC813" s="21"/>
      <c r="AF813" s="26"/>
      <c r="AH813" s="9">
        <f t="shared" si="144"/>
        <v>0</v>
      </c>
      <c r="AI813" s="9">
        <f t="shared" si="145"/>
        <v>36603.299999999974</v>
      </c>
      <c r="AJ813" s="14"/>
      <c r="AK813" s="14"/>
      <c r="AL813" s="14"/>
      <c r="AM813" s="14"/>
      <c r="AN813" s="166"/>
      <c r="AO813" s="166"/>
      <c r="AP813" s="14"/>
      <c r="AQ813" s="14"/>
    </row>
    <row r="814" spans="24:43">
      <c r="X814" s="40">
        <v>45589</v>
      </c>
      <c r="Y814" s="168">
        <f t="shared" si="143"/>
        <v>10</v>
      </c>
      <c r="Z814" s="44" t="s">
        <v>1143</v>
      </c>
      <c r="AA814" s="21"/>
      <c r="AB814" s="21"/>
      <c r="AC814" s="21"/>
      <c r="AF814" s="26"/>
      <c r="AH814" s="9">
        <f t="shared" si="144"/>
        <v>0</v>
      </c>
      <c r="AI814" s="9">
        <f t="shared" si="145"/>
        <v>36603.299999999974</v>
      </c>
      <c r="AJ814" s="14"/>
      <c r="AK814" s="14"/>
      <c r="AL814" s="14"/>
      <c r="AM814" s="14"/>
      <c r="AN814" s="166"/>
      <c r="AO814" s="166"/>
      <c r="AP814" s="14"/>
      <c r="AQ814" s="14"/>
    </row>
    <row r="815" spans="24:43">
      <c r="X815" s="40">
        <v>45590</v>
      </c>
      <c r="Y815" s="168">
        <f t="shared" si="143"/>
        <v>10</v>
      </c>
      <c r="Z815" s="44" t="s">
        <v>1145</v>
      </c>
      <c r="AA815" s="21"/>
      <c r="AB815" s="21"/>
      <c r="AC815" s="21"/>
      <c r="AF815" s="26"/>
      <c r="AH815" s="9">
        <f t="shared" si="144"/>
        <v>0</v>
      </c>
      <c r="AI815" s="9">
        <f t="shared" si="145"/>
        <v>36603.299999999974</v>
      </c>
      <c r="AJ815" s="14"/>
      <c r="AK815" s="14"/>
      <c r="AL815" s="14"/>
      <c r="AM815" s="14"/>
      <c r="AN815" s="166"/>
      <c r="AO815" s="166"/>
      <c r="AP815" s="14"/>
      <c r="AQ815" s="14"/>
    </row>
    <row r="816" spans="24:43">
      <c r="X816" s="40">
        <v>45591</v>
      </c>
      <c r="Y816" s="168">
        <f t="shared" si="143"/>
        <v>10</v>
      </c>
      <c r="Z816" s="44" t="s">
        <v>1132</v>
      </c>
      <c r="AA816" s="21"/>
      <c r="AB816" s="21"/>
      <c r="AC816" s="21"/>
      <c r="AF816" s="26"/>
      <c r="AH816" s="9">
        <f t="shared" si="144"/>
        <v>0</v>
      </c>
      <c r="AI816" s="9">
        <f t="shared" si="145"/>
        <v>36603.299999999974</v>
      </c>
      <c r="AJ816" s="14"/>
      <c r="AK816" s="14"/>
      <c r="AL816" s="14"/>
      <c r="AM816" s="14"/>
      <c r="AN816" s="166"/>
      <c r="AO816" s="166"/>
      <c r="AP816" s="14"/>
      <c r="AQ816" s="14"/>
    </row>
    <row r="817" spans="24:43">
      <c r="X817" s="40">
        <v>45592</v>
      </c>
      <c r="Y817" s="168">
        <f t="shared" si="143"/>
        <v>10</v>
      </c>
      <c r="Z817" s="44" t="s">
        <v>1134</v>
      </c>
      <c r="AA817" s="21"/>
      <c r="AB817" s="21"/>
      <c r="AC817" s="21"/>
      <c r="AF817" s="26"/>
      <c r="AH817" s="9">
        <f t="shared" si="144"/>
        <v>0</v>
      </c>
      <c r="AI817" s="9">
        <f t="shared" si="145"/>
        <v>36603.299999999974</v>
      </c>
      <c r="AJ817" s="14"/>
      <c r="AK817" s="14"/>
      <c r="AL817" s="14"/>
      <c r="AM817" s="14"/>
      <c r="AN817" s="166"/>
      <c r="AO817" s="166"/>
      <c r="AP817" s="14"/>
      <c r="AQ817" s="14"/>
    </row>
    <row r="818" spans="24:43">
      <c r="X818" s="40">
        <v>45593</v>
      </c>
      <c r="Y818" s="168">
        <f t="shared" si="143"/>
        <v>10</v>
      </c>
      <c r="Z818" s="44" t="s">
        <v>1136</v>
      </c>
      <c r="AA818" s="21"/>
      <c r="AB818" s="21"/>
      <c r="AC818" s="21"/>
      <c r="AF818" s="26"/>
      <c r="AH818" s="9">
        <f t="shared" si="144"/>
        <v>0</v>
      </c>
      <c r="AI818" s="9">
        <f t="shared" si="145"/>
        <v>36603.299999999974</v>
      </c>
      <c r="AJ818" s="14"/>
      <c r="AK818" s="14"/>
      <c r="AL818" s="14"/>
      <c r="AM818" s="14"/>
      <c r="AN818" s="166"/>
      <c r="AO818" s="166"/>
      <c r="AP818" s="14"/>
      <c r="AQ818" s="14"/>
    </row>
    <row r="819" spans="24:43">
      <c r="X819" s="40">
        <v>45594</v>
      </c>
      <c r="Y819" s="168">
        <f t="shared" si="143"/>
        <v>10</v>
      </c>
      <c r="Z819" s="44" t="s">
        <v>1138</v>
      </c>
      <c r="AA819" s="21"/>
      <c r="AB819" s="21"/>
      <c r="AC819" s="21"/>
      <c r="AF819" s="26"/>
      <c r="AH819" s="9">
        <f t="shared" si="144"/>
        <v>0</v>
      </c>
      <c r="AI819" s="9">
        <f t="shared" si="145"/>
        <v>36603.299999999974</v>
      </c>
      <c r="AJ819" s="14"/>
      <c r="AK819" s="14"/>
      <c r="AL819" s="14"/>
      <c r="AM819" s="14"/>
      <c r="AN819" s="166"/>
      <c r="AO819" s="166"/>
      <c r="AP819" s="14"/>
      <c r="AQ819" s="14"/>
    </row>
    <row r="820" spans="24:43">
      <c r="X820" s="40">
        <v>45595</v>
      </c>
      <c r="Y820" s="168">
        <f t="shared" si="143"/>
        <v>10</v>
      </c>
      <c r="Z820" s="44" t="s">
        <v>1140</v>
      </c>
      <c r="AA820" s="21"/>
      <c r="AB820" s="21"/>
      <c r="AC820" s="21"/>
      <c r="AF820" s="26"/>
      <c r="AH820" s="9">
        <f t="shared" si="144"/>
        <v>0</v>
      </c>
      <c r="AI820" s="9">
        <f t="shared" si="145"/>
        <v>36603.299999999974</v>
      </c>
      <c r="AJ820" s="14"/>
      <c r="AK820" s="14"/>
      <c r="AL820" s="14"/>
      <c r="AM820" s="14"/>
      <c r="AN820" s="166"/>
      <c r="AO820" s="166"/>
      <c r="AP820" s="14"/>
      <c r="AQ820" s="14"/>
    </row>
    <row r="821" spans="24:43">
      <c r="X821" s="40">
        <v>45596</v>
      </c>
      <c r="Y821" s="168">
        <f t="shared" si="143"/>
        <v>10</v>
      </c>
      <c r="Z821" s="44" t="s">
        <v>1143</v>
      </c>
      <c r="AA821" s="21"/>
      <c r="AB821" s="21"/>
      <c r="AC821" s="21"/>
      <c r="AF821" s="26"/>
      <c r="AH821" s="9">
        <f t="shared" si="144"/>
        <v>0</v>
      </c>
      <c r="AI821" s="9">
        <f t="shared" si="145"/>
        <v>36603.299999999974</v>
      </c>
      <c r="AJ821" s="14"/>
      <c r="AK821" s="14"/>
      <c r="AL821" s="14"/>
      <c r="AM821" s="14"/>
      <c r="AN821" s="166"/>
      <c r="AO821" s="166"/>
      <c r="AP821" s="14"/>
      <c r="AQ821" s="14"/>
    </row>
    <row r="822" spans="24:43">
      <c r="X822" s="40">
        <v>45597</v>
      </c>
      <c r="Y822" s="168">
        <f t="shared" si="143"/>
        <v>11</v>
      </c>
      <c r="Z822" s="44" t="s">
        <v>1145</v>
      </c>
      <c r="AA822" s="21"/>
      <c r="AB822" s="21"/>
      <c r="AC822" s="21"/>
      <c r="AF822" s="26"/>
      <c r="AH822" s="9">
        <f t="shared" si="144"/>
        <v>0</v>
      </c>
      <c r="AI822" s="9">
        <f t="shared" si="145"/>
        <v>36603.299999999974</v>
      </c>
      <c r="AJ822" s="14"/>
      <c r="AK822" s="14"/>
      <c r="AL822" s="14"/>
      <c r="AM822" s="14"/>
      <c r="AN822" s="166"/>
      <c r="AO822" s="166"/>
      <c r="AP822" s="14"/>
      <c r="AQ822" s="14"/>
    </row>
    <row r="823" spans="24:43">
      <c r="X823" s="40">
        <v>45598</v>
      </c>
      <c r="Y823" s="168">
        <f t="shared" si="143"/>
        <v>11</v>
      </c>
      <c r="Z823" s="44" t="s">
        <v>1132</v>
      </c>
      <c r="AA823" s="21"/>
      <c r="AB823" s="21"/>
      <c r="AC823" s="21"/>
      <c r="AF823" s="26"/>
      <c r="AH823" s="9">
        <f t="shared" si="144"/>
        <v>0</v>
      </c>
      <c r="AI823" s="9">
        <f t="shared" si="145"/>
        <v>36603.299999999974</v>
      </c>
      <c r="AJ823" s="14"/>
      <c r="AK823" s="14"/>
      <c r="AL823" s="14"/>
      <c r="AM823" s="14"/>
      <c r="AN823" s="166"/>
      <c r="AO823" s="166"/>
      <c r="AP823" s="14"/>
      <c r="AQ823" s="14"/>
    </row>
    <row r="824" spans="24:43">
      <c r="X824" s="40">
        <v>45599</v>
      </c>
      <c r="Y824" s="168">
        <f t="shared" si="143"/>
        <v>11</v>
      </c>
      <c r="Z824" s="44" t="s">
        <v>1134</v>
      </c>
      <c r="AA824" s="21"/>
      <c r="AB824" s="21"/>
      <c r="AC824" s="21"/>
      <c r="AF824" s="26"/>
      <c r="AH824" s="9">
        <f t="shared" si="144"/>
        <v>0</v>
      </c>
      <c r="AI824" s="9">
        <f t="shared" si="145"/>
        <v>36603.299999999974</v>
      </c>
      <c r="AJ824" s="14"/>
      <c r="AK824" s="14"/>
      <c r="AL824" s="14"/>
      <c r="AM824" s="14"/>
      <c r="AN824" s="166"/>
      <c r="AO824" s="166"/>
      <c r="AP824" s="14"/>
      <c r="AQ824" s="14"/>
    </row>
    <row r="825" spans="24:43">
      <c r="X825" s="40">
        <v>45600</v>
      </c>
      <c r="Y825" s="168">
        <f t="shared" si="143"/>
        <v>11</v>
      </c>
      <c r="Z825" s="44" t="s">
        <v>1136</v>
      </c>
      <c r="AA825" s="21"/>
      <c r="AB825" s="21"/>
      <c r="AC825" s="21"/>
      <c r="AF825" s="26"/>
      <c r="AH825" s="9">
        <f t="shared" si="144"/>
        <v>0</v>
      </c>
      <c r="AI825" s="9">
        <f t="shared" si="145"/>
        <v>36603.299999999974</v>
      </c>
      <c r="AJ825" s="14"/>
      <c r="AK825" s="14"/>
      <c r="AL825" s="14"/>
      <c r="AM825" s="14"/>
      <c r="AN825" s="166"/>
      <c r="AO825" s="166"/>
      <c r="AP825" s="14"/>
      <c r="AQ825" s="14"/>
    </row>
    <row r="826" spans="24:43">
      <c r="X826" s="40">
        <v>45601</v>
      </c>
      <c r="Y826" s="168">
        <f t="shared" si="143"/>
        <v>11</v>
      </c>
      <c r="Z826" s="44" t="s">
        <v>1138</v>
      </c>
      <c r="AA826" s="21"/>
      <c r="AB826" s="21"/>
      <c r="AC826" s="21"/>
      <c r="AF826" s="26"/>
      <c r="AH826" s="9">
        <f t="shared" si="144"/>
        <v>0</v>
      </c>
      <c r="AI826" s="9">
        <f t="shared" si="145"/>
        <v>36603.299999999974</v>
      </c>
      <c r="AJ826" s="14"/>
      <c r="AK826" s="14"/>
      <c r="AL826" s="14"/>
      <c r="AM826" s="14"/>
      <c r="AN826" s="166"/>
      <c r="AO826" s="166"/>
      <c r="AP826" s="14"/>
      <c r="AQ826" s="14"/>
    </row>
    <row r="827" spans="24:43">
      <c r="X827" s="40">
        <v>45602</v>
      </c>
      <c r="Y827" s="168">
        <f t="shared" si="143"/>
        <v>11</v>
      </c>
      <c r="Z827" s="44" t="s">
        <v>1140</v>
      </c>
      <c r="AA827" s="21"/>
      <c r="AB827" s="21"/>
      <c r="AC827" s="21"/>
      <c r="AF827" s="26"/>
      <c r="AH827" s="9">
        <f t="shared" si="144"/>
        <v>0</v>
      </c>
      <c r="AI827" s="9">
        <f t="shared" si="145"/>
        <v>36603.299999999974</v>
      </c>
      <c r="AJ827" s="14"/>
      <c r="AK827" s="14"/>
      <c r="AL827" s="14"/>
      <c r="AM827" s="14"/>
      <c r="AN827" s="166"/>
      <c r="AO827" s="166"/>
      <c r="AP827" s="14"/>
      <c r="AQ827" s="14"/>
    </row>
    <row r="828" spans="24:43">
      <c r="X828" s="40">
        <v>45603</v>
      </c>
      <c r="Y828" s="168">
        <f t="shared" si="143"/>
        <v>11</v>
      </c>
      <c r="Z828" s="44" t="s">
        <v>1143</v>
      </c>
      <c r="AA828" s="21"/>
      <c r="AB828" s="21"/>
      <c r="AC828" s="21"/>
      <c r="AF828" s="26"/>
      <c r="AH828" s="9">
        <f t="shared" si="144"/>
        <v>0</v>
      </c>
      <c r="AI828" s="9">
        <f t="shared" si="145"/>
        <v>36603.299999999974</v>
      </c>
      <c r="AJ828" s="14"/>
      <c r="AK828" s="14"/>
      <c r="AL828" s="14"/>
      <c r="AM828" s="14"/>
      <c r="AN828" s="166"/>
      <c r="AO828" s="166"/>
      <c r="AP828" s="14"/>
      <c r="AQ828" s="14"/>
    </row>
    <row r="829" spans="24:43">
      <c r="X829" s="40">
        <v>45604</v>
      </c>
      <c r="Y829" s="168">
        <f t="shared" si="143"/>
        <v>11</v>
      </c>
      <c r="Z829" s="44" t="s">
        <v>1145</v>
      </c>
      <c r="AA829" s="21"/>
      <c r="AB829" s="21"/>
      <c r="AC829" s="21"/>
      <c r="AF829" s="26"/>
      <c r="AH829" s="9">
        <f t="shared" si="144"/>
        <v>0</v>
      </c>
      <c r="AI829" s="9">
        <f t="shared" si="145"/>
        <v>36603.299999999974</v>
      </c>
      <c r="AJ829" s="14"/>
      <c r="AK829" s="14"/>
      <c r="AL829" s="14"/>
      <c r="AM829" s="14"/>
      <c r="AN829" s="166"/>
      <c r="AO829" s="166"/>
      <c r="AP829" s="14"/>
      <c r="AQ829" s="14"/>
    </row>
    <row r="830" spans="24:43">
      <c r="X830" s="40">
        <v>45605</v>
      </c>
      <c r="Y830" s="168">
        <f t="shared" si="143"/>
        <v>11</v>
      </c>
      <c r="Z830" s="44" t="s">
        <v>1132</v>
      </c>
      <c r="AA830" s="21"/>
      <c r="AB830" s="21"/>
      <c r="AC830" s="21"/>
      <c r="AF830" s="26"/>
      <c r="AH830" s="9">
        <f t="shared" si="144"/>
        <v>0</v>
      </c>
      <c r="AI830" s="9">
        <f t="shared" si="145"/>
        <v>36603.299999999974</v>
      </c>
      <c r="AJ830" s="14"/>
      <c r="AK830" s="14"/>
      <c r="AL830" s="14"/>
      <c r="AM830" s="14"/>
      <c r="AN830" s="166"/>
      <c r="AO830" s="166"/>
      <c r="AP830" s="14"/>
      <c r="AQ830" s="14"/>
    </row>
    <row r="831" spans="24:43">
      <c r="X831" s="40">
        <v>45606</v>
      </c>
      <c r="Y831" s="168">
        <f t="shared" si="143"/>
        <v>11</v>
      </c>
      <c r="Z831" s="44" t="s">
        <v>1134</v>
      </c>
      <c r="AA831" s="21"/>
      <c r="AB831" s="21"/>
      <c r="AC831" s="21"/>
      <c r="AF831" s="26"/>
      <c r="AH831" s="9">
        <f t="shared" si="144"/>
        <v>0</v>
      </c>
      <c r="AI831" s="9">
        <f t="shared" si="145"/>
        <v>36603.299999999974</v>
      </c>
      <c r="AJ831" s="14"/>
      <c r="AK831" s="14"/>
      <c r="AL831" s="14"/>
      <c r="AM831" s="14"/>
      <c r="AN831" s="166"/>
      <c r="AO831" s="166"/>
      <c r="AP831" s="14"/>
      <c r="AQ831" s="14"/>
    </row>
    <row r="832" spans="24:43">
      <c r="X832" s="40">
        <v>45607</v>
      </c>
      <c r="Y832" s="168">
        <f t="shared" si="143"/>
        <v>11</v>
      </c>
      <c r="Z832" s="44" t="s">
        <v>1136</v>
      </c>
      <c r="AA832" s="21"/>
      <c r="AB832" s="21"/>
      <c r="AC832" s="21"/>
      <c r="AF832" s="26"/>
      <c r="AH832" s="9">
        <f t="shared" si="144"/>
        <v>0</v>
      </c>
      <c r="AI832" s="9">
        <f t="shared" si="145"/>
        <v>36603.299999999974</v>
      </c>
      <c r="AJ832" s="14"/>
      <c r="AK832" s="14"/>
      <c r="AL832" s="14"/>
      <c r="AM832" s="14"/>
      <c r="AN832" s="166"/>
      <c r="AO832" s="166"/>
      <c r="AP832" s="14"/>
      <c r="AQ832" s="14"/>
    </row>
    <row r="833" spans="24:43">
      <c r="X833" s="40">
        <v>45608</v>
      </c>
      <c r="Y833" s="168">
        <f t="shared" si="143"/>
        <v>11</v>
      </c>
      <c r="Z833" s="44" t="s">
        <v>1138</v>
      </c>
      <c r="AA833" s="21"/>
      <c r="AB833" s="21"/>
      <c r="AC833" s="21"/>
      <c r="AF833" s="26"/>
      <c r="AH833" s="9">
        <f t="shared" si="144"/>
        <v>0</v>
      </c>
      <c r="AI833" s="9">
        <f t="shared" si="145"/>
        <v>36603.299999999974</v>
      </c>
      <c r="AJ833" s="14"/>
      <c r="AK833" s="14"/>
      <c r="AL833" s="14"/>
      <c r="AM833" s="14"/>
      <c r="AN833" s="166"/>
      <c r="AO833" s="166"/>
      <c r="AP833" s="14"/>
      <c r="AQ833" s="14"/>
    </row>
    <row r="834" spans="24:43">
      <c r="X834" s="40">
        <v>45609</v>
      </c>
      <c r="Y834" s="168">
        <f t="shared" si="143"/>
        <v>11</v>
      </c>
      <c r="Z834" s="44" t="s">
        <v>1140</v>
      </c>
      <c r="AA834" s="21"/>
      <c r="AB834" s="21"/>
      <c r="AC834" s="21"/>
      <c r="AF834" s="26"/>
      <c r="AH834" s="9">
        <f t="shared" si="144"/>
        <v>0</v>
      </c>
      <c r="AI834" s="9">
        <f t="shared" si="145"/>
        <v>36603.299999999974</v>
      </c>
      <c r="AJ834" s="14"/>
      <c r="AK834" s="14"/>
      <c r="AL834" s="14"/>
      <c r="AM834" s="14"/>
      <c r="AN834" s="166"/>
      <c r="AO834" s="166"/>
      <c r="AP834" s="14"/>
      <c r="AQ834" s="14"/>
    </row>
    <row r="835" spans="24:43">
      <c r="X835" s="40">
        <v>45610</v>
      </c>
      <c r="Y835" s="168">
        <f t="shared" si="143"/>
        <v>11</v>
      </c>
      <c r="Z835" s="44" t="s">
        <v>1143</v>
      </c>
      <c r="AA835" s="21"/>
      <c r="AB835" s="21"/>
      <c r="AC835" s="21"/>
      <c r="AF835" s="26"/>
      <c r="AH835" s="9">
        <f t="shared" si="144"/>
        <v>0</v>
      </c>
      <c r="AI835" s="9">
        <f t="shared" si="145"/>
        <v>36603.299999999974</v>
      </c>
      <c r="AJ835" s="14"/>
      <c r="AK835" s="14"/>
      <c r="AL835" s="14"/>
      <c r="AM835" s="14"/>
      <c r="AN835" s="166"/>
      <c r="AO835" s="166"/>
      <c r="AP835" s="14"/>
      <c r="AQ835" s="14"/>
    </row>
    <row r="836" spans="24:43">
      <c r="X836" s="40">
        <v>45611</v>
      </c>
      <c r="Y836" s="168">
        <f t="shared" si="143"/>
        <v>11</v>
      </c>
      <c r="Z836" s="44" t="s">
        <v>1145</v>
      </c>
      <c r="AA836" s="21"/>
      <c r="AB836" s="21"/>
      <c r="AC836" s="21"/>
      <c r="AF836" s="26"/>
      <c r="AH836" s="9">
        <f t="shared" si="144"/>
        <v>0</v>
      </c>
      <c r="AI836" s="9">
        <f t="shared" si="145"/>
        <v>36603.299999999974</v>
      </c>
      <c r="AJ836" s="14"/>
      <c r="AK836" s="14"/>
      <c r="AL836" s="14"/>
      <c r="AM836" s="14"/>
      <c r="AN836" s="166"/>
      <c r="AO836" s="166"/>
      <c r="AP836" s="14"/>
      <c r="AQ836" s="14"/>
    </row>
    <row r="837" spans="24:43">
      <c r="X837" s="40">
        <v>45612</v>
      </c>
      <c r="Y837" s="168">
        <f t="shared" si="143"/>
        <v>11</v>
      </c>
      <c r="Z837" s="44" t="s">
        <v>1132</v>
      </c>
      <c r="AA837" s="21"/>
      <c r="AB837" s="21"/>
      <c r="AC837" s="21"/>
      <c r="AF837" s="26"/>
      <c r="AH837" s="9">
        <f t="shared" si="144"/>
        <v>0</v>
      </c>
      <c r="AI837" s="9">
        <f t="shared" si="145"/>
        <v>36603.299999999974</v>
      </c>
      <c r="AJ837" s="14"/>
      <c r="AK837" s="14"/>
      <c r="AL837" s="14"/>
      <c r="AM837" s="14"/>
      <c r="AN837" s="166"/>
      <c r="AO837" s="166"/>
      <c r="AP837" s="14"/>
      <c r="AQ837" s="14"/>
    </row>
    <row r="838" spans="24:43">
      <c r="X838" s="40">
        <v>45613</v>
      </c>
      <c r="Y838" s="168">
        <f t="shared" si="143"/>
        <v>11</v>
      </c>
      <c r="Z838" s="44" t="s">
        <v>1134</v>
      </c>
      <c r="AA838" s="21"/>
      <c r="AB838" s="21"/>
      <c r="AC838" s="21"/>
      <c r="AF838" s="26"/>
      <c r="AH838" s="9">
        <f t="shared" si="144"/>
        <v>0</v>
      </c>
      <c r="AI838" s="9">
        <f t="shared" si="145"/>
        <v>36603.299999999974</v>
      </c>
      <c r="AJ838" s="14"/>
      <c r="AK838" s="14"/>
      <c r="AL838" s="14"/>
      <c r="AM838" s="14"/>
      <c r="AN838" s="166"/>
      <c r="AO838" s="166"/>
      <c r="AP838" s="14"/>
      <c r="AQ838" s="14"/>
    </row>
    <row r="839" spans="24:43">
      <c r="X839" s="40">
        <v>45614</v>
      </c>
      <c r="Y839" s="168">
        <f t="shared" si="143"/>
        <v>11</v>
      </c>
      <c r="Z839" s="44" t="s">
        <v>1136</v>
      </c>
      <c r="AA839" s="21"/>
      <c r="AB839" s="21"/>
      <c r="AC839" s="21"/>
      <c r="AF839" s="26"/>
      <c r="AH839" s="9">
        <f t="shared" si="144"/>
        <v>0</v>
      </c>
      <c r="AI839" s="9">
        <f t="shared" si="145"/>
        <v>36603.299999999974</v>
      </c>
      <c r="AJ839" s="14"/>
      <c r="AK839" s="14"/>
      <c r="AL839" s="14"/>
      <c r="AM839" s="14"/>
      <c r="AN839" s="166"/>
      <c r="AO839" s="166"/>
      <c r="AP839" s="14"/>
      <c r="AQ839" s="14"/>
    </row>
    <row r="840" spans="24:43">
      <c r="X840" s="40">
        <v>45615</v>
      </c>
      <c r="Y840" s="168">
        <f t="shared" si="143"/>
        <v>11</v>
      </c>
      <c r="Z840" s="44" t="s">
        <v>1138</v>
      </c>
      <c r="AA840" s="21"/>
      <c r="AB840" s="21"/>
      <c r="AC840" s="21"/>
      <c r="AF840" s="26"/>
      <c r="AH840" s="9">
        <f t="shared" si="144"/>
        <v>0</v>
      </c>
      <c r="AI840" s="9">
        <f t="shared" si="145"/>
        <v>36603.299999999974</v>
      </c>
      <c r="AJ840" s="14"/>
      <c r="AK840" s="14"/>
      <c r="AL840" s="14"/>
      <c r="AM840" s="14"/>
      <c r="AN840" s="166"/>
      <c r="AO840" s="166"/>
      <c r="AP840" s="14"/>
      <c r="AQ840" s="14"/>
    </row>
    <row r="841" spans="24:43">
      <c r="X841" s="40">
        <v>45616</v>
      </c>
      <c r="Y841" s="168">
        <f t="shared" si="143"/>
        <v>11</v>
      </c>
      <c r="Z841" s="44" t="s">
        <v>1140</v>
      </c>
      <c r="AA841" s="21"/>
      <c r="AB841" s="21"/>
      <c r="AC841" s="21"/>
      <c r="AF841" s="26"/>
      <c r="AH841" s="9">
        <f t="shared" si="144"/>
        <v>0</v>
      </c>
      <c r="AI841" s="9">
        <f t="shared" si="145"/>
        <v>36603.299999999974</v>
      </c>
      <c r="AJ841" s="14"/>
      <c r="AK841" s="14"/>
      <c r="AL841" s="14"/>
      <c r="AM841" s="14"/>
      <c r="AN841" s="166"/>
      <c r="AO841" s="166"/>
      <c r="AP841" s="14"/>
      <c r="AQ841" s="14"/>
    </row>
    <row r="842" spans="24:43">
      <c r="X842" s="40">
        <v>45617</v>
      </c>
      <c r="Y842" s="168">
        <f t="shared" si="143"/>
        <v>11</v>
      </c>
      <c r="Z842" s="44" t="s">
        <v>1143</v>
      </c>
      <c r="AA842" s="21"/>
      <c r="AB842" s="21"/>
      <c r="AC842" s="21"/>
      <c r="AF842" s="26"/>
      <c r="AH842" s="9">
        <f t="shared" si="144"/>
        <v>0</v>
      </c>
      <c r="AI842" s="9">
        <f t="shared" si="145"/>
        <v>36603.299999999974</v>
      </c>
      <c r="AJ842" s="14"/>
      <c r="AK842" s="14"/>
      <c r="AL842" s="14"/>
      <c r="AM842" s="14"/>
      <c r="AN842" s="166"/>
      <c r="AO842" s="166"/>
      <c r="AP842" s="14"/>
      <c r="AQ842" s="14"/>
    </row>
    <row r="843" spans="24:43">
      <c r="X843" s="40">
        <v>45618</v>
      </c>
      <c r="Y843" s="168">
        <f t="shared" si="143"/>
        <v>11</v>
      </c>
      <c r="Z843" s="44" t="s">
        <v>1145</v>
      </c>
      <c r="AA843" s="21"/>
      <c r="AB843" s="21"/>
      <c r="AC843" s="21"/>
      <c r="AF843" s="26"/>
      <c r="AH843" s="9">
        <f t="shared" si="144"/>
        <v>0</v>
      </c>
      <c r="AI843" s="9">
        <f t="shared" si="145"/>
        <v>36603.299999999974</v>
      </c>
      <c r="AJ843" s="14"/>
      <c r="AK843" s="14"/>
      <c r="AL843" s="14"/>
      <c r="AM843" s="14"/>
      <c r="AN843" s="166"/>
      <c r="AO843" s="166"/>
      <c r="AP843" s="14"/>
      <c r="AQ843" s="14"/>
    </row>
    <row r="844" spans="24:43">
      <c r="X844" s="40">
        <v>45619</v>
      </c>
      <c r="Y844" s="168">
        <f t="shared" si="143"/>
        <v>11</v>
      </c>
      <c r="Z844" s="44" t="s">
        <v>1132</v>
      </c>
      <c r="AA844" s="21"/>
      <c r="AB844" s="21"/>
      <c r="AC844" s="21"/>
      <c r="AF844" s="26"/>
      <c r="AH844" s="9">
        <f t="shared" si="144"/>
        <v>0</v>
      </c>
      <c r="AI844" s="9">
        <f t="shared" si="145"/>
        <v>36603.299999999974</v>
      </c>
      <c r="AJ844" s="14"/>
      <c r="AK844" s="14"/>
      <c r="AL844" s="14"/>
      <c r="AM844" s="14"/>
      <c r="AN844" s="166"/>
      <c r="AO844" s="166"/>
      <c r="AP844" s="14"/>
      <c r="AQ844" s="14"/>
    </row>
    <row r="845" spans="24:43">
      <c r="X845" s="40">
        <v>45620</v>
      </c>
      <c r="Y845" s="168">
        <f t="shared" si="143"/>
        <v>11</v>
      </c>
      <c r="Z845" s="44" t="s">
        <v>1134</v>
      </c>
      <c r="AA845" s="21"/>
      <c r="AB845" s="21"/>
      <c r="AC845" s="21"/>
      <c r="AF845" s="26"/>
      <c r="AH845" s="9">
        <f t="shared" si="144"/>
        <v>0</v>
      </c>
      <c r="AI845" s="9">
        <f t="shared" si="145"/>
        <v>36603.299999999974</v>
      </c>
      <c r="AJ845" s="14"/>
      <c r="AK845" s="14"/>
      <c r="AL845" s="14"/>
      <c r="AM845" s="14"/>
      <c r="AN845" s="166"/>
      <c r="AO845" s="166"/>
      <c r="AP845" s="14"/>
      <c r="AQ845" s="14"/>
    </row>
    <row r="846" spans="24:43">
      <c r="X846" s="40">
        <v>45621</v>
      </c>
      <c r="Y846" s="168">
        <f t="shared" si="143"/>
        <v>11</v>
      </c>
      <c r="Z846" s="44" t="s">
        <v>1136</v>
      </c>
      <c r="AA846" s="21"/>
      <c r="AB846" s="21"/>
      <c r="AC846" s="21"/>
      <c r="AF846" s="26"/>
      <c r="AH846" s="9">
        <f t="shared" si="144"/>
        <v>0</v>
      </c>
      <c r="AI846" s="9">
        <f t="shared" si="145"/>
        <v>36603.299999999974</v>
      </c>
      <c r="AJ846" s="14"/>
      <c r="AK846" s="14"/>
      <c r="AL846" s="14"/>
      <c r="AM846" s="14"/>
      <c r="AN846" s="166"/>
      <c r="AO846" s="166"/>
      <c r="AP846" s="14"/>
      <c r="AQ846" s="14"/>
    </row>
    <row r="847" spans="24:43">
      <c r="X847" s="40">
        <v>45622</v>
      </c>
      <c r="Y847" s="168">
        <f t="shared" si="143"/>
        <v>11</v>
      </c>
      <c r="Z847" s="44" t="s">
        <v>1138</v>
      </c>
      <c r="AA847" s="21"/>
      <c r="AB847" s="21"/>
      <c r="AC847" s="21"/>
      <c r="AF847" s="26"/>
      <c r="AH847" s="9">
        <f t="shared" si="144"/>
        <v>0</v>
      </c>
      <c r="AI847" s="9">
        <f t="shared" si="145"/>
        <v>36603.299999999974</v>
      </c>
      <c r="AJ847" s="14"/>
      <c r="AK847" s="14"/>
      <c r="AL847" s="14"/>
      <c r="AM847" s="14"/>
      <c r="AN847" s="166"/>
      <c r="AO847" s="166"/>
      <c r="AP847" s="14"/>
      <c r="AQ847" s="14"/>
    </row>
    <row r="848" spans="24:43">
      <c r="X848" s="40">
        <v>45623</v>
      </c>
      <c r="Y848" s="168">
        <f t="shared" si="143"/>
        <v>11</v>
      </c>
      <c r="Z848" s="44" t="s">
        <v>1140</v>
      </c>
      <c r="AA848" s="21"/>
      <c r="AB848" s="21"/>
      <c r="AC848" s="21"/>
      <c r="AF848" s="26"/>
      <c r="AH848" s="9">
        <f t="shared" si="144"/>
        <v>0</v>
      </c>
      <c r="AI848" s="9">
        <f t="shared" si="145"/>
        <v>36603.299999999974</v>
      </c>
      <c r="AJ848" s="14"/>
      <c r="AK848" s="14"/>
      <c r="AL848" s="14"/>
      <c r="AM848" s="14"/>
      <c r="AN848" s="166"/>
      <c r="AO848" s="166"/>
      <c r="AP848" s="14"/>
      <c r="AQ848" s="14"/>
    </row>
    <row r="849" spans="24:43">
      <c r="X849" s="40">
        <v>45624</v>
      </c>
      <c r="Y849" s="168">
        <f t="shared" si="143"/>
        <v>11</v>
      </c>
      <c r="Z849" s="44" t="s">
        <v>1143</v>
      </c>
      <c r="AA849" s="21"/>
      <c r="AB849" s="21"/>
      <c r="AC849" s="21"/>
      <c r="AF849" s="26"/>
      <c r="AH849" s="9">
        <f t="shared" si="144"/>
        <v>0</v>
      </c>
      <c r="AI849" s="9">
        <f t="shared" si="145"/>
        <v>36603.299999999974</v>
      </c>
      <c r="AJ849" s="14"/>
      <c r="AK849" s="14"/>
      <c r="AL849" s="14"/>
      <c r="AM849" s="14"/>
      <c r="AN849" s="166"/>
      <c r="AO849" s="166"/>
      <c r="AP849" s="14"/>
      <c r="AQ849" s="14"/>
    </row>
    <row r="850" spans="24:43">
      <c r="X850" s="40">
        <v>45625</v>
      </c>
      <c r="Y850" s="168">
        <f t="shared" si="143"/>
        <v>11</v>
      </c>
      <c r="Z850" s="44" t="s">
        <v>1145</v>
      </c>
      <c r="AA850" s="21"/>
      <c r="AB850" s="21"/>
      <c r="AC850" s="21"/>
      <c r="AF850" s="26"/>
      <c r="AH850" s="9">
        <f t="shared" si="144"/>
        <v>0</v>
      </c>
      <c r="AI850" s="9">
        <f t="shared" si="145"/>
        <v>36603.299999999974</v>
      </c>
      <c r="AJ850" s="14"/>
      <c r="AK850" s="14"/>
      <c r="AL850" s="14"/>
      <c r="AM850" s="14"/>
      <c r="AN850" s="166"/>
      <c r="AO850" s="166"/>
      <c r="AP850" s="14"/>
      <c r="AQ850" s="14"/>
    </row>
    <row r="851" spans="24:43">
      <c r="X851" s="40">
        <v>45626</v>
      </c>
      <c r="Y851" s="168">
        <f t="shared" si="143"/>
        <v>11</v>
      </c>
      <c r="Z851" s="44" t="s">
        <v>1132</v>
      </c>
      <c r="AA851" s="21"/>
      <c r="AB851" s="21"/>
      <c r="AC851" s="21"/>
      <c r="AF851" s="26"/>
      <c r="AH851" s="9">
        <f t="shared" si="144"/>
        <v>0</v>
      </c>
      <c r="AI851" s="9">
        <f t="shared" si="145"/>
        <v>36603.299999999974</v>
      </c>
      <c r="AJ851" s="14"/>
      <c r="AK851" s="14"/>
      <c r="AL851" s="14"/>
      <c r="AM851" s="14"/>
      <c r="AN851" s="166"/>
      <c r="AO851" s="166"/>
      <c r="AP851" s="14"/>
      <c r="AQ851" s="14"/>
    </row>
    <row r="852" spans="24:43">
      <c r="X852" s="40">
        <v>45627</v>
      </c>
      <c r="Y852" s="168">
        <f t="shared" si="143"/>
        <v>12</v>
      </c>
      <c r="Z852" s="44" t="s">
        <v>1134</v>
      </c>
      <c r="AA852" s="21"/>
      <c r="AB852" s="21"/>
      <c r="AC852" s="21"/>
      <c r="AF852" s="26"/>
      <c r="AH852" s="9">
        <f t="shared" si="144"/>
        <v>0</v>
      </c>
      <c r="AI852" s="9">
        <f t="shared" si="145"/>
        <v>36603.299999999974</v>
      </c>
      <c r="AJ852" s="14"/>
      <c r="AK852" s="14"/>
      <c r="AL852" s="14"/>
      <c r="AM852" s="14"/>
      <c r="AN852" s="166"/>
      <c r="AO852" s="166"/>
      <c r="AP852" s="14"/>
      <c r="AQ852" s="14"/>
    </row>
    <row r="853" spans="24:43">
      <c r="X853" s="40">
        <v>45628</v>
      </c>
      <c r="Y853" s="168">
        <f t="shared" si="143"/>
        <v>12</v>
      </c>
      <c r="Z853" s="44" t="s">
        <v>1136</v>
      </c>
      <c r="AA853" s="21"/>
      <c r="AB853" s="21"/>
      <c r="AC853" s="21"/>
      <c r="AF853" s="26"/>
      <c r="AH853" s="9">
        <f t="shared" si="144"/>
        <v>0</v>
      </c>
      <c r="AI853" s="9">
        <f t="shared" si="145"/>
        <v>36603.299999999974</v>
      </c>
      <c r="AJ853" s="14"/>
      <c r="AK853" s="14"/>
      <c r="AL853" s="14"/>
      <c r="AM853" s="14"/>
      <c r="AN853" s="166"/>
      <c r="AO853" s="166"/>
      <c r="AP853" s="14"/>
      <c r="AQ853" s="14"/>
    </row>
    <row r="854" spans="24:43">
      <c r="X854" s="40">
        <v>45629</v>
      </c>
      <c r="Y854" s="168">
        <f t="shared" si="143"/>
        <v>12</v>
      </c>
      <c r="Z854" s="44" t="s">
        <v>1138</v>
      </c>
      <c r="AA854" s="21"/>
      <c r="AB854" s="21"/>
      <c r="AC854" s="21"/>
      <c r="AF854" s="26"/>
      <c r="AH854" s="9">
        <f t="shared" si="144"/>
        <v>0</v>
      </c>
      <c r="AI854" s="9">
        <f t="shared" si="145"/>
        <v>36603.299999999974</v>
      </c>
      <c r="AJ854" s="14"/>
      <c r="AK854" s="14"/>
      <c r="AL854" s="14"/>
      <c r="AM854" s="14"/>
      <c r="AN854" s="166"/>
      <c r="AO854" s="166"/>
      <c r="AP854" s="14"/>
      <c r="AQ854" s="14"/>
    </row>
    <row r="855" spans="24:43">
      <c r="X855" s="40">
        <v>45630</v>
      </c>
      <c r="Y855" s="168">
        <f t="shared" si="143"/>
        <v>12</v>
      </c>
      <c r="Z855" s="44" t="s">
        <v>1140</v>
      </c>
      <c r="AA855" s="21"/>
      <c r="AB855" s="21"/>
      <c r="AC855" s="21"/>
      <c r="AF855" s="26"/>
      <c r="AH855" s="9">
        <f t="shared" si="144"/>
        <v>0</v>
      </c>
      <c r="AI855" s="9">
        <f t="shared" si="145"/>
        <v>36603.299999999974</v>
      </c>
      <c r="AJ855" s="14"/>
      <c r="AK855" s="14"/>
      <c r="AL855" s="14"/>
      <c r="AM855" s="14"/>
      <c r="AN855" s="166"/>
      <c r="AO855" s="166"/>
      <c r="AP855" s="14"/>
      <c r="AQ855" s="14"/>
    </row>
    <row r="856" spans="24:43">
      <c r="X856" s="40">
        <v>45631</v>
      </c>
      <c r="Y856" s="168">
        <f t="shared" si="143"/>
        <v>12</v>
      </c>
      <c r="Z856" s="44" t="s">
        <v>1143</v>
      </c>
      <c r="AA856" s="21"/>
      <c r="AB856" s="21"/>
      <c r="AC856" s="21"/>
      <c r="AF856" s="26"/>
      <c r="AH856" s="9">
        <f t="shared" si="144"/>
        <v>0</v>
      </c>
      <c r="AI856" s="9">
        <f t="shared" si="145"/>
        <v>36603.299999999974</v>
      </c>
      <c r="AJ856" s="14"/>
      <c r="AK856" s="14"/>
      <c r="AL856" s="14"/>
      <c r="AM856" s="14"/>
      <c r="AN856" s="166"/>
      <c r="AO856" s="166"/>
      <c r="AP856" s="14"/>
      <c r="AQ856" s="14"/>
    </row>
    <row r="857" spans="24:43">
      <c r="X857" s="40">
        <v>45632</v>
      </c>
      <c r="Y857" s="168">
        <f t="shared" si="143"/>
        <v>12</v>
      </c>
      <c r="Z857" s="44" t="s">
        <v>1145</v>
      </c>
      <c r="AA857" s="21"/>
      <c r="AB857" s="21"/>
      <c r="AC857" s="21"/>
      <c r="AF857" s="26"/>
      <c r="AH857" s="9">
        <f t="shared" si="144"/>
        <v>0</v>
      </c>
      <c r="AI857" s="9">
        <f t="shared" si="145"/>
        <v>36603.299999999974</v>
      </c>
      <c r="AJ857" s="14"/>
      <c r="AK857" s="14"/>
      <c r="AL857" s="14"/>
      <c r="AM857" s="14"/>
      <c r="AN857" s="166"/>
      <c r="AO857" s="166"/>
      <c r="AP857" s="14"/>
      <c r="AQ857" s="14"/>
    </row>
    <row r="858" spans="24:43">
      <c r="X858" s="40">
        <v>45633</v>
      </c>
      <c r="Y858" s="168">
        <f t="shared" si="143"/>
        <v>12</v>
      </c>
      <c r="Z858" s="44" t="s">
        <v>1132</v>
      </c>
      <c r="AA858" s="21"/>
      <c r="AB858" s="21"/>
      <c r="AC858" s="21"/>
      <c r="AF858" s="26"/>
      <c r="AH858" s="9">
        <f t="shared" si="144"/>
        <v>0</v>
      </c>
      <c r="AI858" s="9">
        <f t="shared" si="145"/>
        <v>36603.299999999974</v>
      </c>
      <c r="AJ858" s="14"/>
      <c r="AK858" s="14"/>
      <c r="AL858" s="14"/>
      <c r="AM858" s="14"/>
      <c r="AN858" s="166"/>
      <c r="AO858" s="166"/>
      <c r="AP858" s="14"/>
      <c r="AQ858" s="14"/>
    </row>
    <row r="859" spans="24:43">
      <c r="X859" s="40">
        <v>45634</v>
      </c>
      <c r="Y859" s="168">
        <f t="shared" si="143"/>
        <v>12</v>
      </c>
      <c r="Z859" s="44" t="s">
        <v>1134</v>
      </c>
      <c r="AA859" s="21"/>
      <c r="AB859" s="21"/>
      <c r="AC859" s="21"/>
      <c r="AF859" s="26"/>
      <c r="AH859" s="9">
        <f t="shared" si="144"/>
        <v>0</v>
      </c>
      <c r="AI859" s="9">
        <f t="shared" si="145"/>
        <v>36603.299999999974</v>
      </c>
      <c r="AJ859" s="14"/>
      <c r="AK859" s="14"/>
      <c r="AL859" s="14"/>
      <c r="AM859" s="14"/>
      <c r="AN859" s="166"/>
      <c r="AO859" s="166"/>
      <c r="AP859" s="14"/>
      <c r="AQ859" s="14"/>
    </row>
    <row r="860" spans="24:43">
      <c r="X860" s="40">
        <v>45635</v>
      </c>
      <c r="Y860" s="168">
        <f t="shared" si="143"/>
        <v>12</v>
      </c>
      <c r="Z860" s="44" t="s">
        <v>1136</v>
      </c>
      <c r="AA860" s="21"/>
      <c r="AB860" s="21"/>
      <c r="AC860" s="21"/>
      <c r="AF860" s="26"/>
      <c r="AH860" s="9">
        <f t="shared" si="144"/>
        <v>0</v>
      </c>
      <c r="AI860" s="9">
        <f t="shared" si="145"/>
        <v>36603.299999999974</v>
      </c>
      <c r="AJ860" s="14"/>
      <c r="AK860" s="14"/>
      <c r="AL860" s="14"/>
      <c r="AM860" s="14"/>
      <c r="AN860" s="166"/>
      <c r="AO860" s="166"/>
      <c r="AP860" s="14"/>
      <c r="AQ860" s="14"/>
    </row>
    <row r="861" spans="24:43">
      <c r="X861" s="40">
        <v>45636</v>
      </c>
      <c r="Y861" s="168">
        <f t="shared" si="143"/>
        <v>12</v>
      </c>
      <c r="Z861" s="44" t="s">
        <v>1138</v>
      </c>
      <c r="AA861" s="21"/>
      <c r="AB861" s="21"/>
      <c r="AC861" s="21"/>
      <c r="AF861" s="26"/>
      <c r="AH861" s="9">
        <f t="shared" si="144"/>
        <v>0</v>
      </c>
      <c r="AI861" s="9">
        <f t="shared" si="145"/>
        <v>36603.299999999974</v>
      </c>
      <c r="AJ861" s="14"/>
      <c r="AK861" s="14"/>
      <c r="AL861" s="14"/>
      <c r="AM861" s="14"/>
      <c r="AN861" s="166"/>
      <c r="AO861" s="166"/>
      <c r="AP861" s="14"/>
      <c r="AQ861" s="14"/>
    </row>
    <row r="862" spans="24:43">
      <c r="X862" s="40">
        <v>45637</v>
      </c>
      <c r="Y862" s="168">
        <f t="shared" si="143"/>
        <v>12</v>
      </c>
      <c r="Z862" s="44" t="s">
        <v>1140</v>
      </c>
      <c r="AA862" s="21"/>
      <c r="AB862" s="21"/>
      <c r="AC862" s="21"/>
      <c r="AF862" s="26"/>
      <c r="AH862" s="9">
        <f t="shared" si="144"/>
        <v>0</v>
      </c>
      <c r="AI862" s="9">
        <f t="shared" si="145"/>
        <v>36603.299999999974</v>
      </c>
      <c r="AJ862" s="14"/>
      <c r="AK862" s="14"/>
      <c r="AL862" s="14"/>
      <c r="AM862" s="14"/>
      <c r="AN862" s="166"/>
      <c r="AO862" s="166"/>
      <c r="AP862" s="14"/>
      <c r="AQ862" s="14"/>
    </row>
    <row r="863" spans="24:43">
      <c r="X863" s="40">
        <v>45638</v>
      </c>
      <c r="Y863" s="168">
        <f t="shared" si="143"/>
        <v>12</v>
      </c>
      <c r="Z863" s="44" t="s">
        <v>1143</v>
      </c>
      <c r="AA863" s="21"/>
      <c r="AB863" s="21"/>
      <c r="AC863" s="21"/>
      <c r="AF863" s="26"/>
      <c r="AH863" s="9">
        <f t="shared" si="144"/>
        <v>0</v>
      </c>
      <c r="AI863" s="9">
        <f t="shared" si="145"/>
        <v>36603.299999999974</v>
      </c>
      <c r="AJ863" s="14"/>
      <c r="AK863" s="14"/>
      <c r="AL863" s="14"/>
      <c r="AM863" s="14"/>
      <c r="AN863" s="166"/>
      <c r="AO863" s="166"/>
      <c r="AP863" s="14"/>
      <c r="AQ863" s="14"/>
    </row>
    <row r="864" spans="24:43">
      <c r="X864" s="40">
        <v>45639</v>
      </c>
      <c r="Y864" s="168">
        <f t="shared" si="143"/>
        <v>12</v>
      </c>
      <c r="Z864" s="44" t="s">
        <v>1145</v>
      </c>
      <c r="AA864" s="21"/>
      <c r="AB864" s="21"/>
      <c r="AC864" s="21"/>
      <c r="AF864" s="26"/>
      <c r="AH864" s="9">
        <f t="shared" si="144"/>
        <v>0</v>
      </c>
      <c r="AI864" s="9">
        <f t="shared" si="145"/>
        <v>36603.299999999974</v>
      </c>
      <c r="AJ864" s="14"/>
      <c r="AK864" s="14"/>
      <c r="AL864" s="14"/>
      <c r="AM864" s="14"/>
      <c r="AN864" s="166"/>
      <c r="AO864" s="166"/>
      <c r="AP864" s="14"/>
      <c r="AQ864" s="14"/>
    </row>
    <row r="865" spans="24:43">
      <c r="X865" s="40">
        <v>45640</v>
      </c>
      <c r="Y865" s="168">
        <f t="shared" si="143"/>
        <v>12</v>
      </c>
      <c r="Z865" s="44" t="s">
        <v>1132</v>
      </c>
      <c r="AA865" s="21"/>
      <c r="AB865" s="21"/>
      <c r="AC865" s="21"/>
      <c r="AF865" s="26"/>
      <c r="AH865" s="9">
        <f t="shared" si="144"/>
        <v>0</v>
      </c>
      <c r="AI865" s="9">
        <f t="shared" si="145"/>
        <v>36603.299999999974</v>
      </c>
      <c r="AJ865" s="14"/>
      <c r="AK865" s="14"/>
      <c r="AL865" s="14"/>
      <c r="AM865" s="14"/>
      <c r="AN865" s="166"/>
      <c r="AO865" s="166"/>
      <c r="AP865" s="14"/>
      <c r="AQ865" s="14"/>
    </row>
    <row r="866" spans="24:43">
      <c r="X866" s="40">
        <v>45641</v>
      </c>
      <c r="Y866" s="168">
        <f t="shared" si="143"/>
        <v>12</v>
      </c>
      <c r="Z866" s="44" t="s">
        <v>1134</v>
      </c>
      <c r="AA866" s="21"/>
      <c r="AB866" s="21"/>
      <c r="AC866" s="21"/>
      <c r="AF866" s="26"/>
      <c r="AH866" s="9">
        <f t="shared" si="144"/>
        <v>0</v>
      </c>
      <c r="AI866" s="9">
        <f t="shared" si="145"/>
        <v>36603.299999999974</v>
      </c>
      <c r="AJ866" s="14"/>
      <c r="AK866" s="14"/>
      <c r="AL866" s="14"/>
      <c r="AM866" s="14"/>
      <c r="AN866" s="166"/>
      <c r="AO866" s="166"/>
      <c r="AP866" s="14"/>
      <c r="AQ866" s="14"/>
    </row>
    <row r="867" spans="24:43">
      <c r="X867" s="40">
        <v>45642</v>
      </c>
      <c r="Y867" s="168">
        <f t="shared" si="143"/>
        <v>12</v>
      </c>
      <c r="Z867" s="44" t="s">
        <v>1136</v>
      </c>
      <c r="AA867" s="21"/>
      <c r="AB867" s="21"/>
      <c r="AC867" s="21"/>
      <c r="AF867" s="26"/>
      <c r="AH867" s="9">
        <f t="shared" si="144"/>
        <v>0</v>
      </c>
      <c r="AI867" s="9">
        <f t="shared" si="145"/>
        <v>36603.299999999974</v>
      </c>
      <c r="AJ867" s="14"/>
      <c r="AK867" s="14"/>
      <c r="AL867" s="14"/>
      <c r="AM867" s="14"/>
      <c r="AN867" s="166"/>
      <c r="AO867" s="166"/>
      <c r="AP867" s="14"/>
      <c r="AQ867" s="14"/>
    </row>
    <row r="868" spans="24:43">
      <c r="X868" s="40">
        <v>45643</v>
      </c>
      <c r="Y868" s="168">
        <f t="shared" ref="Y868:Y882" si="146">MONTH(X868)</f>
        <v>12</v>
      </c>
      <c r="Z868" s="44" t="s">
        <v>1138</v>
      </c>
      <c r="AA868" s="21"/>
      <c r="AB868" s="21"/>
      <c r="AC868" s="21"/>
      <c r="AF868" s="26"/>
      <c r="AH868" s="9">
        <f t="shared" ref="AH868:AH882" si="147">AF868+AG868</f>
        <v>0</v>
      </c>
      <c r="AI868" s="9">
        <f t="shared" ref="AI868:AI882" si="148">AI867+AH868</f>
        <v>36603.299999999974</v>
      </c>
      <c r="AJ868" s="14"/>
      <c r="AK868" s="14"/>
      <c r="AL868" s="14"/>
      <c r="AM868" s="14"/>
      <c r="AN868" s="166"/>
      <c r="AO868" s="166"/>
      <c r="AP868" s="14"/>
      <c r="AQ868" s="14"/>
    </row>
    <row r="869" spans="24:43">
      <c r="X869" s="40">
        <v>45644</v>
      </c>
      <c r="Y869" s="168">
        <f t="shared" si="146"/>
        <v>12</v>
      </c>
      <c r="Z869" s="44" t="s">
        <v>1140</v>
      </c>
      <c r="AA869" s="21"/>
      <c r="AB869" s="21"/>
      <c r="AC869" s="21"/>
      <c r="AF869" s="26"/>
      <c r="AH869" s="9">
        <f t="shared" si="147"/>
        <v>0</v>
      </c>
      <c r="AI869" s="9">
        <f t="shared" si="148"/>
        <v>36603.299999999974</v>
      </c>
      <c r="AJ869" s="14"/>
      <c r="AK869" s="14"/>
      <c r="AL869" s="14"/>
      <c r="AM869" s="14"/>
      <c r="AN869" s="166"/>
      <c r="AO869" s="166"/>
      <c r="AP869" s="14"/>
      <c r="AQ869" s="14"/>
    </row>
    <row r="870" spans="24:43">
      <c r="X870" s="40">
        <v>45645</v>
      </c>
      <c r="Y870" s="168">
        <f t="shared" si="146"/>
        <v>12</v>
      </c>
      <c r="Z870" s="44" t="s">
        <v>1143</v>
      </c>
      <c r="AA870" s="21"/>
      <c r="AB870" s="21"/>
      <c r="AC870" s="21"/>
      <c r="AF870" s="26"/>
      <c r="AH870" s="9">
        <f t="shared" si="147"/>
        <v>0</v>
      </c>
      <c r="AI870" s="9">
        <f t="shared" si="148"/>
        <v>36603.299999999974</v>
      </c>
      <c r="AJ870" s="14"/>
      <c r="AK870" s="14"/>
      <c r="AL870" s="14"/>
      <c r="AM870" s="14"/>
      <c r="AN870" s="166"/>
      <c r="AO870" s="166"/>
      <c r="AP870" s="14"/>
      <c r="AQ870" s="14"/>
    </row>
    <row r="871" spans="24:43">
      <c r="X871" s="40">
        <v>45646</v>
      </c>
      <c r="Y871" s="168">
        <f t="shared" si="146"/>
        <v>12</v>
      </c>
      <c r="Z871" s="44" t="s">
        <v>1145</v>
      </c>
      <c r="AA871" s="21"/>
      <c r="AB871" s="21"/>
      <c r="AC871" s="21"/>
      <c r="AF871" s="26"/>
      <c r="AH871" s="9">
        <f t="shared" si="147"/>
        <v>0</v>
      </c>
      <c r="AI871" s="9">
        <f t="shared" si="148"/>
        <v>36603.299999999974</v>
      </c>
      <c r="AJ871" s="14"/>
      <c r="AK871" s="14"/>
      <c r="AL871" s="14"/>
      <c r="AM871" s="14"/>
      <c r="AN871" s="166"/>
      <c r="AO871" s="166"/>
      <c r="AP871" s="14"/>
      <c r="AQ871" s="14"/>
    </row>
    <row r="872" spans="24:43">
      <c r="X872" s="40">
        <v>45647</v>
      </c>
      <c r="Y872" s="168">
        <f t="shared" si="146"/>
        <v>12</v>
      </c>
      <c r="Z872" s="44" t="s">
        <v>1132</v>
      </c>
      <c r="AA872" s="21"/>
      <c r="AB872" s="21"/>
      <c r="AC872" s="21"/>
      <c r="AF872" s="26"/>
      <c r="AH872" s="9">
        <f t="shared" si="147"/>
        <v>0</v>
      </c>
      <c r="AI872" s="9">
        <f t="shared" si="148"/>
        <v>36603.299999999974</v>
      </c>
      <c r="AJ872" s="14"/>
      <c r="AK872" s="14"/>
      <c r="AL872" s="14"/>
      <c r="AM872" s="14"/>
      <c r="AN872" s="166"/>
      <c r="AO872" s="166"/>
      <c r="AP872" s="14"/>
      <c r="AQ872" s="14"/>
    </row>
    <row r="873" spans="24:43">
      <c r="X873" s="40">
        <v>45648</v>
      </c>
      <c r="Y873" s="168">
        <f t="shared" si="146"/>
        <v>12</v>
      </c>
      <c r="Z873" s="44" t="s">
        <v>1134</v>
      </c>
      <c r="AA873" s="21"/>
      <c r="AB873" s="21"/>
      <c r="AC873" s="21"/>
      <c r="AF873" s="26"/>
      <c r="AH873" s="9">
        <f t="shared" si="147"/>
        <v>0</v>
      </c>
      <c r="AI873" s="9">
        <f t="shared" si="148"/>
        <v>36603.299999999974</v>
      </c>
      <c r="AJ873" s="14"/>
      <c r="AK873" s="14"/>
      <c r="AL873" s="14"/>
      <c r="AM873" s="14"/>
      <c r="AN873" s="166"/>
      <c r="AO873" s="166"/>
      <c r="AP873" s="14"/>
      <c r="AQ873" s="14"/>
    </row>
    <row r="874" spans="24:43">
      <c r="X874" s="40">
        <v>45649</v>
      </c>
      <c r="Y874" s="168">
        <f t="shared" si="146"/>
        <v>12</v>
      </c>
      <c r="Z874" s="44" t="s">
        <v>1136</v>
      </c>
      <c r="AA874" s="21"/>
      <c r="AB874" s="21"/>
      <c r="AC874" s="21"/>
      <c r="AF874" s="26"/>
      <c r="AH874" s="9">
        <f t="shared" si="147"/>
        <v>0</v>
      </c>
      <c r="AI874" s="9">
        <f t="shared" si="148"/>
        <v>36603.299999999974</v>
      </c>
      <c r="AJ874" s="14"/>
      <c r="AK874" s="14"/>
      <c r="AL874" s="14"/>
      <c r="AM874" s="14"/>
      <c r="AN874" s="166"/>
      <c r="AO874" s="166"/>
      <c r="AP874" s="14"/>
      <c r="AQ874" s="14"/>
    </row>
    <row r="875" spans="24:43">
      <c r="X875" s="40">
        <v>45650</v>
      </c>
      <c r="Y875" s="168">
        <f t="shared" si="146"/>
        <v>12</v>
      </c>
      <c r="Z875" s="44" t="s">
        <v>1138</v>
      </c>
      <c r="AA875" s="21"/>
      <c r="AB875" s="21"/>
      <c r="AC875" s="21"/>
      <c r="AF875" s="26"/>
      <c r="AH875" s="9">
        <f t="shared" si="147"/>
        <v>0</v>
      </c>
      <c r="AI875" s="9">
        <f t="shared" si="148"/>
        <v>36603.299999999974</v>
      </c>
      <c r="AJ875" s="14"/>
      <c r="AK875" s="14"/>
      <c r="AL875" s="14"/>
      <c r="AM875" s="14"/>
      <c r="AN875" s="166"/>
      <c r="AO875" s="166"/>
      <c r="AP875" s="14"/>
      <c r="AQ875" s="14"/>
    </row>
    <row r="876" spans="24:43">
      <c r="X876" s="40">
        <v>45651</v>
      </c>
      <c r="Y876" s="168">
        <f t="shared" si="146"/>
        <v>12</v>
      </c>
      <c r="Z876" s="44" t="s">
        <v>1140</v>
      </c>
      <c r="AA876" s="21"/>
      <c r="AB876" s="21"/>
      <c r="AC876" s="21"/>
      <c r="AF876" s="26"/>
      <c r="AH876" s="9">
        <f t="shared" si="147"/>
        <v>0</v>
      </c>
      <c r="AI876" s="9">
        <f t="shared" si="148"/>
        <v>36603.299999999974</v>
      </c>
      <c r="AJ876" s="14"/>
      <c r="AK876" s="14"/>
      <c r="AL876" s="14"/>
      <c r="AM876" s="14"/>
      <c r="AN876" s="166"/>
      <c r="AO876" s="166"/>
      <c r="AP876" s="14"/>
      <c r="AQ876" s="14"/>
    </row>
    <row r="877" spans="24:43">
      <c r="X877" s="40">
        <v>45652</v>
      </c>
      <c r="Y877" s="168">
        <f t="shared" si="146"/>
        <v>12</v>
      </c>
      <c r="Z877" s="44" t="s">
        <v>1143</v>
      </c>
      <c r="AA877" s="21"/>
      <c r="AB877" s="21"/>
      <c r="AC877" s="21"/>
      <c r="AF877" s="26"/>
      <c r="AH877" s="9">
        <f t="shared" si="147"/>
        <v>0</v>
      </c>
      <c r="AI877" s="9">
        <f t="shared" si="148"/>
        <v>36603.299999999974</v>
      </c>
      <c r="AJ877" s="14"/>
      <c r="AK877" s="14"/>
      <c r="AL877" s="14"/>
      <c r="AM877" s="14"/>
      <c r="AN877" s="166"/>
      <c r="AO877" s="166"/>
      <c r="AP877" s="14"/>
      <c r="AQ877" s="14"/>
    </row>
    <row r="878" spans="24:43">
      <c r="X878" s="40">
        <v>45653</v>
      </c>
      <c r="Y878" s="168">
        <f t="shared" si="146"/>
        <v>12</v>
      </c>
      <c r="Z878" s="44" t="s">
        <v>1145</v>
      </c>
      <c r="AA878" s="21"/>
      <c r="AB878" s="21"/>
      <c r="AC878" s="21"/>
      <c r="AF878" s="26"/>
      <c r="AH878" s="9">
        <f t="shared" si="147"/>
        <v>0</v>
      </c>
      <c r="AI878" s="9">
        <f t="shared" si="148"/>
        <v>36603.299999999974</v>
      </c>
      <c r="AJ878" s="14"/>
      <c r="AK878" s="14"/>
      <c r="AL878" s="14"/>
      <c r="AM878" s="14"/>
      <c r="AN878" s="166"/>
      <c r="AO878" s="166"/>
      <c r="AP878" s="14"/>
      <c r="AQ878" s="14"/>
    </row>
    <row r="879" spans="24:43">
      <c r="X879" s="40">
        <v>45654</v>
      </c>
      <c r="Y879" s="168">
        <f t="shared" si="146"/>
        <v>12</v>
      </c>
      <c r="Z879" s="44" t="s">
        <v>1132</v>
      </c>
      <c r="AA879" s="21"/>
      <c r="AB879" s="21"/>
      <c r="AC879" s="21"/>
      <c r="AF879" s="26"/>
      <c r="AH879" s="9">
        <f t="shared" si="147"/>
        <v>0</v>
      </c>
      <c r="AI879" s="9">
        <f t="shared" si="148"/>
        <v>36603.299999999974</v>
      </c>
      <c r="AJ879" s="14"/>
      <c r="AK879" s="14"/>
      <c r="AL879" s="14"/>
      <c r="AM879" s="14"/>
      <c r="AN879" s="166"/>
      <c r="AO879" s="166"/>
      <c r="AP879" s="14"/>
      <c r="AQ879" s="14"/>
    </row>
    <row r="880" spans="24:43">
      <c r="X880" s="40">
        <v>45655</v>
      </c>
      <c r="Y880" s="168">
        <f t="shared" si="146"/>
        <v>12</v>
      </c>
      <c r="Z880" s="44" t="s">
        <v>1134</v>
      </c>
      <c r="AA880" s="21"/>
      <c r="AB880" s="21"/>
      <c r="AC880" s="21"/>
      <c r="AF880" s="26"/>
      <c r="AH880" s="9">
        <f t="shared" si="147"/>
        <v>0</v>
      </c>
      <c r="AI880" s="9">
        <f t="shared" si="148"/>
        <v>36603.299999999974</v>
      </c>
      <c r="AJ880" s="14"/>
      <c r="AK880" s="14"/>
      <c r="AL880" s="14"/>
      <c r="AM880" s="14"/>
      <c r="AN880" s="166"/>
      <c r="AO880" s="166"/>
      <c r="AP880" s="14"/>
      <c r="AQ880" s="14"/>
    </row>
    <row r="881" spans="24:43">
      <c r="X881" s="40">
        <v>45656</v>
      </c>
      <c r="Y881" s="168">
        <f t="shared" si="146"/>
        <v>12</v>
      </c>
      <c r="Z881" s="44" t="s">
        <v>1136</v>
      </c>
      <c r="AA881" s="21"/>
      <c r="AB881" s="21"/>
      <c r="AC881" s="21"/>
      <c r="AF881" s="26"/>
      <c r="AH881" s="9">
        <f t="shared" si="147"/>
        <v>0</v>
      </c>
      <c r="AI881" s="9">
        <f t="shared" si="148"/>
        <v>36603.299999999974</v>
      </c>
      <c r="AJ881" s="14"/>
      <c r="AK881" s="14"/>
      <c r="AL881" s="14"/>
      <c r="AM881" s="14"/>
      <c r="AN881" s="166"/>
      <c r="AO881" s="166"/>
      <c r="AP881" s="14"/>
      <c r="AQ881" s="14"/>
    </row>
    <row r="882" spans="24:43">
      <c r="X882" s="40">
        <v>45657</v>
      </c>
      <c r="Y882" s="168">
        <f t="shared" si="146"/>
        <v>12</v>
      </c>
      <c r="Z882" s="44" t="s">
        <v>1138</v>
      </c>
      <c r="AA882" s="21"/>
      <c r="AB882" s="21"/>
      <c r="AC882" s="21"/>
      <c r="AF882" s="26"/>
      <c r="AH882" s="9">
        <f t="shared" si="147"/>
        <v>0</v>
      </c>
      <c r="AI882" s="9">
        <f t="shared" si="148"/>
        <v>36603.299999999974</v>
      </c>
      <c r="AJ882" s="14"/>
      <c r="AK882" s="14"/>
      <c r="AL882" s="14"/>
      <c r="AM882" s="14"/>
      <c r="AN882" s="166"/>
      <c r="AO882" s="166"/>
      <c r="AP882" s="14"/>
      <c r="AQ882" s="14"/>
    </row>
  </sheetData>
  <mergeCells count="30">
    <mergeCell ref="E92:E95"/>
    <mergeCell ref="G92:G95"/>
    <mergeCell ref="F92:F95"/>
    <mergeCell ref="H92:H95"/>
    <mergeCell ref="I38:I58"/>
    <mergeCell ref="AS172:AX172"/>
    <mergeCell ref="AS178:AX178"/>
    <mergeCell ref="I91:I94"/>
    <mergeCell ref="AU2:AY2"/>
    <mergeCell ref="AR3:AS3"/>
    <mergeCell ref="AR4:AS4"/>
    <mergeCell ref="AR5:AS5"/>
    <mergeCell ref="AR6:AS6"/>
    <mergeCell ref="AR2:AS2"/>
    <mergeCell ref="AU6:AV6"/>
    <mergeCell ref="I23:I37"/>
    <mergeCell ref="H5:I5"/>
    <mergeCell ref="R2:T2"/>
    <mergeCell ref="AS236:AX236"/>
    <mergeCell ref="AS191:AX191"/>
    <mergeCell ref="AS227:AX227"/>
    <mergeCell ref="AS206:AX206"/>
    <mergeCell ref="AS185:AX185"/>
    <mergeCell ref="AS199:AX199"/>
    <mergeCell ref="AS216:AX216"/>
    <mergeCell ref="B3:D3"/>
    <mergeCell ref="E3:G3"/>
    <mergeCell ref="H3:K3"/>
    <mergeCell ref="H4:I4"/>
    <mergeCell ref="H6:I6"/>
  </mergeCells>
  <phoneticPr fontId="2" type="noConversion"/>
  <conditionalFormatting sqref="C16:Q16">
    <cfRule type="cellIs" dxfId="94" priority="5" operator="lessThan">
      <formula>0</formula>
    </cfRule>
  </conditionalFormatting>
  <conditionalFormatting sqref="E34">
    <cfRule type="expression" dxfId="93" priority="12">
      <formula>$E$34&lt;0</formula>
    </cfRule>
    <cfRule type="expression" dxfId="92" priority="13">
      <formula>$E$34&gt;0</formula>
    </cfRule>
  </conditionalFormatting>
  <conditionalFormatting sqref="E96:E99">
    <cfRule type="aboveAverage" dxfId="91" priority="9" aboveAverage="0"/>
  </conditionalFormatting>
  <conditionalFormatting sqref="F96:F99">
    <cfRule type="aboveAverage" dxfId="90" priority="8"/>
  </conditionalFormatting>
  <conditionalFormatting sqref="G96:G99">
    <cfRule type="aboveAverage" dxfId="89" priority="3"/>
  </conditionalFormatting>
  <conditionalFormatting sqref="H96:H99">
    <cfRule type="aboveAverage" dxfId="88" priority="7"/>
  </conditionalFormatting>
  <conditionalFormatting sqref="I88:I90">
    <cfRule type="cellIs" dxfId="87" priority="10" operator="greaterThan">
      <formula>4</formula>
    </cfRule>
  </conditionalFormatting>
  <conditionalFormatting sqref="X25:X882">
    <cfRule type="cellIs" dxfId="86" priority="6" operator="equal">
      <formula>$C$1</formula>
    </cfRule>
  </conditionalFormatting>
  <conditionalFormatting sqref="Y541">
    <cfRule type="expression" dxfId="85" priority="1">
      <formula>$X$541=TODAY()</formula>
    </cfRule>
  </conditionalFormatting>
  <dataValidations disablePrompts="1" count="1">
    <dataValidation type="list" allowBlank="1" showInputMessage="1" showErrorMessage="1" sqref="E67 K4" xr:uid="{06C1671B-9A63-4BB9-BAD9-969DA0B706B6}">
      <formula1>TAGLIARIFORNIMENTO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AF37-6D31-4443-ADCA-FD82300DE060}">
  <sheetPr codeName="Foglio10"/>
  <dimension ref="A2:F792"/>
  <sheetViews>
    <sheetView workbookViewId="0">
      <selection activeCell="P34" sqref="P34"/>
    </sheetView>
  </sheetViews>
  <sheetFormatPr defaultRowHeight="15"/>
  <cols>
    <col min="2" max="2" width="10.7109375" bestFit="1" customWidth="1"/>
    <col min="4" max="4" width="10.7109375" bestFit="1" customWidth="1"/>
    <col min="7" max="7" width="10.7109375" bestFit="1" customWidth="1"/>
  </cols>
  <sheetData>
    <row r="2" spans="1:6">
      <c r="B2" s="4"/>
      <c r="D2" s="1">
        <f ca="1">TODAY()</f>
        <v>46300</v>
      </c>
      <c r="F2" s="627" t="s">
        <v>1216</v>
      </c>
    </row>
    <row r="3" spans="1:6">
      <c r="A3">
        <v>1</v>
      </c>
      <c r="B3" s="4">
        <v>1</v>
      </c>
      <c r="C3">
        <v>2022</v>
      </c>
      <c r="D3" s="1">
        <f t="shared" ref="D3:D54" si="0">DATE(C3,B3,1)</f>
        <v>44562</v>
      </c>
    </row>
    <row r="4" spans="1:6">
      <c r="A4">
        <v>1</v>
      </c>
      <c r="B4" s="4">
        <v>2</v>
      </c>
      <c r="C4">
        <v>2022</v>
      </c>
      <c r="D4" s="1">
        <f t="shared" si="0"/>
        <v>44593</v>
      </c>
    </row>
    <row r="5" spans="1:6">
      <c r="A5">
        <v>1</v>
      </c>
      <c r="B5" s="4">
        <v>3</v>
      </c>
      <c r="C5">
        <v>2022</v>
      </c>
      <c r="D5" s="1">
        <f t="shared" si="0"/>
        <v>44621</v>
      </c>
    </row>
    <row r="6" spans="1:6">
      <c r="A6">
        <v>1</v>
      </c>
      <c r="B6" s="4">
        <v>4</v>
      </c>
      <c r="C6">
        <v>2022</v>
      </c>
      <c r="D6" s="1">
        <f t="shared" si="0"/>
        <v>44652</v>
      </c>
    </row>
    <row r="7" spans="1:6">
      <c r="A7">
        <v>1</v>
      </c>
      <c r="B7" s="4">
        <v>5</v>
      </c>
      <c r="C7">
        <v>2022</v>
      </c>
      <c r="D7" s="1">
        <f t="shared" si="0"/>
        <v>44682</v>
      </c>
    </row>
    <row r="8" spans="1:6">
      <c r="A8">
        <v>1</v>
      </c>
      <c r="B8" s="4">
        <v>6</v>
      </c>
      <c r="C8">
        <v>2022</v>
      </c>
      <c r="D8" s="1">
        <f t="shared" si="0"/>
        <v>44713</v>
      </c>
    </row>
    <row r="9" spans="1:6">
      <c r="A9">
        <v>1</v>
      </c>
      <c r="B9" s="4">
        <v>7</v>
      </c>
      <c r="C9">
        <v>2022</v>
      </c>
      <c r="D9" s="1">
        <f t="shared" si="0"/>
        <v>44743</v>
      </c>
    </row>
    <row r="10" spans="1:6">
      <c r="A10">
        <v>1</v>
      </c>
      <c r="B10" s="4">
        <v>8</v>
      </c>
      <c r="C10">
        <v>2022</v>
      </c>
      <c r="D10" s="1">
        <f t="shared" si="0"/>
        <v>44774</v>
      </c>
    </row>
    <row r="11" spans="1:6">
      <c r="A11">
        <v>1</v>
      </c>
      <c r="B11" s="4">
        <v>9</v>
      </c>
      <c r="C11">
        <v>2022</v>
      </c>
      <c r="D11" s="1">
        <f t="shared" si="0"/>
        <v>44805</v>
      </c>
    </row>
    <row r="12" spans="1:6">
      <c r="A12">
        <v>1</v>
      </c>
      <c r="B12" s="4">
        <v>10</v>
      </c>
      <c r="C12">
        <v>2022</v>
      </c>
      <c r="D12" s="1">
        <f t="shared" si="0"/>
        <v>44835</v>
      </c>
    </row>
    <row r="13" spans="1:6">
      <c r="A13">
        <v>1</v>
      </c>
      <c r="B13" s="4">
        <v>11</v>
      </c>
      <c r="C13">
        <v>2022</v>
      </c>
      <c r="D13" s="1">
        <f t="shared" si="0"/>
        <v>44866</v>
      </c>
    </row>
    <row r="14" spans="1:6">
      <c r="A14">
        <v>1</v>
      </c>
      <c r="B14" s="4">
        <v>12</v>
      </c>
      <c r="C14">
        <v>2022</v>
      </c>
      <c r="D14" s="1">
        <f t="shared" si="0"/>
        <v>44896</v>
      </c>
    </row>
    <row r="15" spans="1:6">
      <c r="A15">
        <v>1</v>
      </c>
      <c r="B15" s="4">
        <v>1</v>
      </c>
      <c r="C15">
        <v>2023</v>
      </c>
      <c r="D15" s="1">
        <f>DATE(C15,B15,1)</f>
        <v>44927</v>
      </c>
    </row>
    <row r="16" spans="1:6">
      <c r="A16">
        <v>1</v>
      </c>
      <c r="B16" s="4">
        <v>2</v>
      </c>
      <c r="C16">
        <v>2023</v>
      </c>
      <c r="D16" s="1">
        <f t="shared" si="0"/>
        <v>44958</v>
      </c>
    </row>
    <row r="17" spans="1:4">
      <c r="A17">
        <v>1</v>
      </c>
      <c r="B17" s="4">
        <v>3</v>
      </c>
      <c r="C17">
        <v>2023</v>
      </c>
      <c r="D17" s="1">
        <f t="shared" si="0"/>
        <v>44986</v>
      </c>
    </row>
    <row r="18" spans="1:4">
      <c r="A18">
        <v>1</v>
      </c>
      <c r="B18" s="4">
        <v>4</v>
      </c>
      <c r="C18">
        <v>2023</v>
      </c>
      <c r="D18" s="1">
        <f t="shared" si="0"/>
        <v>45017</v>
      </c>
    </row>
    <row r="19" spans="1:4">
      <c r="A19">
        <v>1</v>
      </c>
      <c r="B19" s="4">
        <v>5</v>
      </c>
      <c r="C19">
        <v>2023</v>
      </c>
      <c r="D19" s="1">
        <f t="shared" si="0"/>
        <v>45047</v>
      </c>
    </row>
    <row r="20" spans="1:4">
      <c r="A20">
        <v>1</v>
      </c>
      <c r="B20" s="4">
        <v>6</v>
      </c>
      <c r="C20">
        <v>2023</v>
      </c>
      <c r="D20" s="1">
        <f t="shared" si="0"/>
        <v>45078</v>
      </c>
    </row>
    <row r="21" spans="1:4">
      <c r="A21">
        <v>1</v>
      </c>
      <c r="B21" s="4">
        <v>7</v>
      </c>
      <c r="C21">
        <v>2023</v>
      </c>
      <c r="D21" s="1">
        <f t="shared" si="0"/>
        <v>45108</v>
      </c>
    </row>
    <row r="22" spans="1:4">
      <c r="A22">
        <v>1</v>
      </c>
      <c r="B22" s="4">
        <v>8</v>
      </c>
      <c r="C22">
        <v>2023</v>
      </c>
      <c r="D22" s="1">
        <f t="shared" si="0"/>
        <v>45139</v>
      </c>
    </row>
    <row r="23" spans="1:4">
      <c r="A23">
        <v>1</v>
      </c>
      <c r="B23" s="4">
        <v>9</v>
      </c>
      <c r="C23">
        <v>2023</v>
      </c>
      <c r="D23" s="1">
        <f t="shared" si="0"/>
        <v>45170</v>
      </c>
    </row>
    <row r="24" spans="1:4">
      <c r="A24">
        <v>1</v>
      </c>
      <c r="B24" s="4">
        <v>10</v>
      </c>
      <c r="C24">
        <v>2023</v>
      </c>
      <c r="D24" s="1">
        <f t="shared" si="0"/>
        <v>45200</v>
      </c>
    </row>
    <row r="25" spans="1:4">
      <c r="A25">
        <v>1</v>
      </c>
      <c r="B25" s="4">
        <v>11</v>
      </c>
      <c r="C25">
        <v>2023</v>
      </c>
      <c r="D25" s="1">
        <f t="shared" si="0"/>
        <v>45231</v>
      </c>
    </row>
    <row r="26" spans="1:4">
      <c r="A26">
        <v>1</v>
      </c>
      <c r="B26" s="4">
        <v>12</v>
      </c>
      <c r="C26">
        <v>2023</v>
      </c>
      <c r="D26" s="1">
        <f t="shared" si="0"/>
        <v>45261</v>
      </c>
    </row>
    <row r="27" spans="1:4">
      <c r="A27">
        <v>1</v>
      </c>
      <c r="B27" s="4">
        <v>1</v>
      </c>
      <c r="C27">
        <v>2024</v>
      </c>
      <c r="D27" s="1">
        <f t="shared" si="0"/>
        <v>45292</v>
      </c>
    </row>
    <row r="28" spans="1:4">
      <c r="A28">
        <v>1</v>
      </c>
      <c r="B28" s="4">
        <v>2</v>
      </c>
      <c r="C28">
        <v>2024</v>
      </c>
      <c r="D28" s="1">
        <f t="shared" si="0"/>
        <v>45323</v>
      </c>
    </row>
    <row r="29" spans="1:4">
      <c r="A29">
        <v>1</v>
      </c>
      <c r="B29" s="4">
        <v>3</v>
      </c>
      <c r="C29">
        <v>2024</v>
      </c>
      <c r="D29" s="1">
        <f t="shared" si="0"/>
        <v>45352</v>
      </c>
    </row>
    <row r="30" spans="1:4">
      <c r="A30">
        <v>1</v>
      </c>
      <c r="B30" s="4">
        <v>4</v>
      </c>
      <c r="C30">
        <v>2024</v>
      </c>
      <c r="D30" s="1">
        <f t="shared" si="0"/>
        <v>45383</v>
      </c>
    </row>
    <row r="31" spans="1:4">
      <c r="A31">
        <v>1</v>
      </c>
      <c r="B31" s="4">
        <v>5</v>
      </c>
      <c r="C31">
        <v>2024</v>
      </c>
      <c r="D31" s="1">
        <f t="shared" si="0"/>
        <v>45413</v>
      </c>
    </row>
    <row r="32" spans="1:4">
      <c r="A32">
        <v>1</v>
      </c>
      <c r="B32" s="4">
        <v>6</v>
      </c>
      <c r="C32">
        <v>2024</v>
      </c>
      <c r="D32" s="1">
        <f t="shared" si="0"/>
        <v>45444</v>
      </c>
    </row>
    <row r="33" spans="1:4">
      <c r="A33">
        <v>1</v>
      </c>
      <c r="B33" s="4">
        <v>7</v>
      </c>
      <c r="C33">
        <v>2024</v>
      </c>
      <c r="D33" s="1">
        <f t="shared" si="0"/>
        <v>45474</v>
      </c>
    </row>
    <row r="34" spans="1:4">
      <c r="A34">
        <v>1</v>
      </c>
      <c r="B34" s="4">
        <v>8</v>
      </c>
      <c r="C34">
        <v>2024</v>
      </c>
      <c r="D34" s="1">
        <f t="shared" si="0"/>
        <v>45505</v>
      </c>
    </row>
    <row r="35" spans="1:4">
      <c r="A35">
        <v>1</v>
      </c>
      <c r="B35" s="4">
        <v>9</v>
      </c>
      <c r="C35">
        <v>2024</v>
      </c>
      <c r="D35" s="1">
        <f t="shared" si="0"/>
        <v>45536</v>
      </c>
    </row>
    <row r="36" spans="1:4">
      <c r="A36">
        <v>1</v>
      </c>
      <c r="B36" s="4">
        <v>10</v>
      </c>
      <c r="C36">
        <v>2024</v>
      </c>
      <c r="D36" s="1">
        <f t="shared" si="0"/>
        <v>45566</v>
      </c>
    </row>
    <row r="37" spans="1:4">
      <c r="A37">
        <v>1</v>
      </c>
      <c r="B37" s="4">
        <v>11</v>
      </c>
      <c r="C37">
        <v>2024</v>
      </c>
      <c r="D37" s="1">
        <f t="shared" si="0"/>
        <v>45597</v>
      </c>
    </row>
    <row r="38" spans="1:4">
      <c r="A38">
        <v>1</v>
      </c>
      <c r="B38" s="4">
        <v>12</v>
      </c>
      <c r="C38">
        <v>2024</v>
      </c>
      <c r="D38" s="1">
        <f t="shared" si="0"/>
        <v>45627</v>
      </c>
    </row>
    <row r="39" spans="1:4">
      <c r="A39">
        <v>1</v>
      </c>
      <c r="B39" s="4">
        <v>1</v>
      </c>
      <c r="C39">
        <v>2025</v>
      </c>
      <c r="D39" s="1">
        <f t="shared" si="0"/>
        <v>45658</v>
      </c>
    </row>
    <row r="40" spans="1:4">
      <c r="A40">
        <v>1</v>
      </c>
      <c r="B40" s="4">
        <v>2</v>
      </c>
      <c r="C40">
        <v>2025</v>
      </c>
      <c r="D40" s="1">
        <f t="shared" si="0"/>
        <v>45689</v>
      </c>
    </row>
    <row r="41" spans="1:4">
      <c r="A41">
        <v>1</v>
      </c>
      <c r="B41" s="4">
        <v>3</v>
      </c>
      <c r="C41">
        <v>2025</v>
      </c>
      <c r="D41" s="1">
        <f t="shared" si="0"/>
        <v>45717</v>
      </c>
    </row>
    <row r="42" spans="1:4">
      <c r="A42">
        <v>1</v>
      </c>
      <c r="B42" s="4">
        <v>4</v>
      </c>
      <c r="C42">
        <v>2025</v>
      </c>
      <c r="D42" s="1">
        <f t="shared" si="0"/>
        <v>45748</v>
      </c>
    </row>
    <row r="43" spans="1:4">
      <c r="A43">
        <v>1</v>
      </c>
      <c r="B43" s="4">
        <v>5</v>
      </c>
      <c r="C43">
        <v>2025</v>
      </c>
      <c r="D43" s="1">
        <f t="shared" si="0"/>
        <v>45778</v>
      </c>
    </row>
    <row r="44" spans="1:4">
      <c r="A44">
        <v>1</v>
      </c>
      <c r="B44" s="4">
        <v>6</v>
      </c>
      <c r="C44">
        <v>2025</v>
      </c>
      <c r="D44" s="1">
        <f t="shared" si="0"/>
        <v>45809</v>
      </c>
    </row>
    <row r="45" spans="1:4">
      <c r="A45">
        <v>1</v>
      </c>
      <c r="B45" s="4">
        <v>7</v>
      </c>
      <c r="C45">
        <v>2025</v>
      </c>
      <c r="D45" s="1">
        <f t="shared" si="0"/>
        <v>45839</v>
      </c>
    </row>
    <row r="46" spans="1:4">
      <c r="A46">
        <v>1</v>
      </c>
      <c r="B46" s="4">
        <v>8</v>
      </c>
      <c r="C46">
        <v>2025</v>
      </c>
      <c r="D46" s="1">
        <f t="shared" si="0"/>
        <v>45870</v>
      </c>
    </row>
    <row r="47" spans="1:4">
      <c r="A47">
        <v>1</v>
      </c>
      <c r="B47" s="4">
        <v>9</v>
      </c>
      <c r="C47">
        <v>2025</v>
      </c>
      <c r="D47" s="1">
        <f t="shared" si="0"/>
        <v>45901</v>
      </c>
    </row>
    <row r="48" spans="1:4">
      <c r="A48">
        <v>1</v>
      </c>
      <c r="B48" s="4">
        <v>10</v>
      </c>
      <c r="C48">
        <v>2025</v>
      </c>
      <c r="D48" s="1">
        <f t="shared" si="0"/>
        <v>45931</v>
      </c>
    </row>
    <row r="49" spans="1:4">
      <c r="A49">
        <v>1</v>
      </c>
      <c r="B49" s="4">
        <v>11</v>
      </c>
      <c r="C49">
        <v>2025</v>
      </c>
      <c r="D49" s="1">
        <f t="shared" si="0"/>
        <v>45962</v>
      </c>
    </row>
    <row r="50" spans="1:4">
      <c r="A50">
        <v>1</v>
      </c>
      <c r="B50" s="4">
        <v>12</v>
      </c>
      <c r="C50">
        <v>2025</v>
      </c>
      <c r="D50" s="1">
        <f t="shared" si="0"/>
        <v>45992</v>
      </c>
    </row>
    <row r="51" spans="1:4">
      <c r="A51">
        <v>1</v>
      </c>
      <c r="B51" s="4">
        <v>1</v>
      </c>
      <c r="C51">
        <v>2026</v>
      </c>
      <c r="D51" s="1">
        <f t="shared" si="0"/>
        <v>46023</v>
      </c>
    </row>
    <row r="52" spans="1:4">
      <c r="A52">
        <v>1</v>
      </c>
      <c r="B52" s="4">
        <v>2</v>
      </c>
      <c r="C52">
        <v>2026</v>
      </c>
      <c r="D52" s="1">
        <f t="shared" si="0"/>
        <v>46054</v>
      </c>
    </row>
    <row r="53" spans="1:4">
      <c r="A53">
        <v>1</v>
      </c>
      <c r="B53" s="4">
        <v>3</v>
      </c>
      <c r="C53">
        <v>2026</v>
      </c>
      <c r="D53" s="1">
        <f t="shared" si="0"/>
        <v>46082</v>
      </c>
    </row>
    <row r="54" spans="1:4">
      <c r="A54">
        <v>1</v>
      </c>
      <c r="B54" s="4">
        <v>4</v>
      </c>
      <c r="C54">
        <v>2026</v>
      </c>
      <c r="D54" s="1">
        <f t="shared" si="0"/>
        <v>46113</v>
      </c>
    </row>
    <row r="55" spans="1:4">
      <c r="A55">
        <v>1</v>
      </c>
      <c r="B55" s="4">
        <v>5</v>
      </c>
      <c r="C55">
        <v>2026</v>
      </c>
      <c r="D55" s="1">
        <f t="shared" ref="D55:D118" si="1">DATE(C55,B55,1)</f>
        <v>46143</v>
      </c>
    </row>
    <row r="56" spans="1:4">
      <c r="A56">
        <v>1</v>
      </c>
      <c r="B56" s="4">
        <v>6</v>
      </c>
      <c r="C56">
        <v>2026</v>
      </c>
      <c r="D56" s="1">
        <f t="shared" si="1"/>
        <v>46174</v>
      </c>
    </row>
    <row r="57" spans="1:4">
      <c r="A57">
        <v>1</v>
      </c>
      <c r="B57" s="4">
        <v>7</v>
      </c>
      <c r="C57">
        <v>2026</v>
      </c>
      <c r="D57" s="1">
        <f t="shared" si="1"/>
        <v>46204</v>
      </c>
    </row>
    <row r="58" spans="1:4">
      <c r="A58">
        <v>1</v>
      </c>
      <c r="B58" s="4">
        <v>8</v>
      </c>
      <c r="C58">
        <v>2026</v>
      </c>
      <c r="D58" s="1">
        <f t="shared" si="1"/>
        <v>46235</v>
      </c>
    </row>
    <row r="59" spans="1:4">
      <c r="A59">
        <v>1</v>
      </c>
      <c r="B59" s="4">
        <v>9</v>
      </c>
      <c r="C59">
        <v>2026</v>
      </c>
      <c r="D59" s="1">
        <f t="shared" si="1"/>
        <v>46266</v>
      </c>
    </row>
    <row r="60" spans="1:4">
      <c r="A60">
        <v>1</v>
      </c>
      <c r="B60" s="4">
        <v>10</v>
      </c>
      <c r="C60">
        <v>2026</v>
      </c>
      <c r="D60" s="1">
        <f t="shared" si="1"/>
        <v>46296</v>
      </c>
    </row>
    <row r="61" spans="1:4">
      <c r="A61">
        <v>1</v>
      </c>
      <c r="B61" s="4">
        <v>11</v>
      </c>
      <c r="C61">
        <v>2026</v>
      </c>
      <c r="D61" s="1">
        <f t="shared" si="1"/>
        <v>46327</v>
      </c>
    </row>
    <row r="62" spans="1:4">
      <c r="A62">
        <v>1</v>
      </c>
      <c r="B62" s="4">
        <v>12</v>
      </c>
      <c r="C62">
        <v>2026</v>
      </c>
      <c r="D62" s="1">
        <f t="shared" si="1"/>
        <v>46357</v>
      </c>
    </row>
    <row r="63" spans="1:4">
      <c r="A63">
        <v>1</v>
      </c>
      <c r="B63" s="4">
        <v>1</v>
      </c>
      <c r="C63">
        <v>2027</v>
      </c>
      <c r="D63" s="1">
        <f t="shared" si="1"/>
        <v>46388</v>
      </c>
    </row>
    <row r="64" spans="1:4">
      <c r="A64">
        <v>1</v>
      </c>
      <c r="B64" s="4">
        <v>2</v>
      </c>
      <c r="C64">
        <v>2027</v>
      </c>
      <c r="D64" s="1">
        <f t="shared" si="1"/>
        <v>46419</v>
      </c>
    </row>
    <row r="65" spans="1:4">
      <c r="A65">
        <v>1</v>
      </c>
      <c r="B65" s="4">
        <v>3</v>
      </c>
      <c r="C65">
        <v>2027</v>
      </c>
      <c r="D65" s="1">
        <f t="shared" si="1"/>
        <v>46447</v>
      </c>
    </row>
    <row r="66" spans="1:4">
      <c r="A66">
        <v>1</v>
      </c>
      <c r="B66" s="4">
        <v>4</v>
      </c>
      <c r="C66">
        <v>2027</v>
      </c>
      <c r="D66" s="1">
        <f t="shared" si="1"/>
        <v>46478</v>
      </c>
    </row>
    <row r="67" spans="1:4">
      <c r="A67">
        <v>1</v>
      </c>
      <c r="B67" s="4">
        <v>5</v>
      </c>
      <c r="C67">
        <v>2027</v>
      </c>
      <c r="D67" s="1">
        <f t="shared" si="1"/>
        <v>46508</v>
      </c>
    </row>
    <row r="68" spans="1:4">
      <c r="A68">
        <v>1</v>
      </c>
      <c r="B68" s="4">
        <v>6</v>
      </c>
      <c r="C68">
        <v>2027</v>
      </c>
      <c r="D68" s="1">
        <f t="shared" si="1"/>
        <v>46539</v>
      </c>
    </row>
    <row r="69" spans="1:4">
      <c r="A69">
        <v>1</v>
      </c>
      <c r="B69" s="4">
        <v>7</v>
      </c>
      <c r="C69">
        <v>2027</v>
      </c>
      <c r="D69" s="1">
        <f t="shared" si="1"/>
        <v>46569</v>
      </c>
    </row>
    <row r="70" spans="1:4">
      <c r="A70">
        <v>1</v>
      </c>
      <c r="B70" s="4">
        <v>8</v>
      </c>
      <c r="C70">
        <v>2027</v>
      </c>
      <c r="D70" s="1">
        <f t="shared" si="1"/>
        <v>46600</v>
      </c>
    </row>
    <row r="71" spans="1:4">
      <c r="A71">
        <v>1</v>
      </c>
      <c r="B71" s="4">
        <v>9</v>
      </c>
      <c r="C71">
        <v>2027</v>
      </c>
      <c r="D71" s="1">
        <f t="shared" si="1"/>
        <v>46631</v>
      </c>
    </row>
    <row r="72" spans="1:4">
      <c r="A72">
        <v>1</v>
      </c>
      <c r="B72" s="4">
        <v>10</v>
      </c>
      <c r="C72">
        <v>2027</v>
      </c>
      <c r="D72" s="1">
        <f t="shared" si="1"/>
        <v>46661</v>
      </c>
    </row>
    <row r="73" spans="1:4">
      <c r="A73">
        <v>1</v>
      </c>
      <c r="B73" s="4">
        <v>11</v>
      </c>
      <c r="C73">
        <v>2027</v>
      </c>
      <c r="D73" s="1">
        <f t="shared" si="1"/>
        <v>46692</v>
      </c>
    </row>
    <row r="74" spans="1:4">
      <c r="A74">
        <v>1</v>
      </c>
      <c r="B74" s="4">
        <v>12</v>
      </c>
      <c r="C74">
        <v>2027</v>
      </c>
      <c r="D74" s="1">
        <f t="shared" si="1"/>
        <v>46722</v>
      </c>
    </row>
    <row r="75" spans="1:4">
      <c r="A75">
        <v>1</v>
      </c>
      <c r="B75" s="4">
        <v>1</v>
      </c>
      <c r="C75">
        <v>2028</v>
      </c>
      <c r="D75" s="1">
        <f t="shared" si="1"/>
        <v>46753</v>
      </c>
    </row>
    <row r="76" spans="1:4">
      <c r="A76">
        <v>1</v>
      </c>
      <c r="B76" s="4">
        <v>2</v>
      </c>
      <c r="C76">
        <v>2028</v>
      </c>
      <c r="D76" s="1">
        <f t="shared" si="1"/>
        <v>46784</v>
      </c>
    </row>
    <row r="77" spans="1:4">
      <c r="A77">
        <v>1</v>
      </c>
      <c r="B77" s="4">
        <v>3</v>
      </c>
      <c r="C77">
        <v>2028</v>
      </c>
      <c r="D77" s="1">
        <f t="shared" si="1"/>
        <v>46813</v>
      </c>
    </row>
    <row r="78" spans="1:4">
      <c r="A78">
        <v>1</v>
      </c>
      <c r="B78" s="4">
        <v>4</v>
      </c>
      <c r="C78">
        <v>2028</v>
      </c>
      <c r="D78" s="1">
        <f t="shared" si="1"/>
        <v>46844</v>
      </c>
    </row>
    <row r="79" spans="1:4">
      <c r="A79">
        <v>1</v>
      </c>
      <c r="B79" s="4">
        <v>5</v>
      </c>
      <c r="C79">
        <v>2028</v>
      </c>
      <c r="D79" s="1">
        <f t="shared" si="1"/>
        <v>46874</v>
      </c>
    </row>
    <row r="80" spans="1:4">
      <c r="A80">
        <v>1</v>
      </c>
      <c r="B80" s="4">
        <v>6</v>
      </c>
      <c r="C80">
        <v>2028</v>
      </c>
      <c r="D80" s="1">
        <f t="shared" si="1"/>
        <v>46905</v>
      </c>
    </row>
    <row r="81" spans="1:4">
      <c r="A81">
        <v>1</v>
      </c>
      <c r="B81" s="4">
        <v>7</v>
      </c>
      <c r="C81">
        <v>2028</v>
      </c>
      <c r="D81" s="1">
        <f t="shared" si="1"/>
        <v>46935</v>
      </c>
    </row>
    <row r="82" spans="1:4">
      <c r="A82">
        <v>1</v>
      </c>
      <c r="B82" s="4">
        <v>8</v>
      </c>
      <c r="C82">
        <v>2028</v>
      </c>
      <c r="D82" s="1">
        <f t="shared" si="1"/>
        <v>46966</v>
      </c>
    </row>
    <row r="83" spans="1:4">
      <c r="A83">
        <v>1</v>
      </c>
      <c r="B83" s="4">
        <v>9</v>
      </c>
      <c r="C83">
        <v>2028</v>
      </c>
      <c r="D83" s="1">
        <f t="shared" si="1"/>
        <v>46997</v>
      </c>
    </row>
    <row r="84" spans="1:4">
      <c r="A84">
        <v>1</v>
      </c>
      <c r="B84" s="4">
        <v>10</v>
      </c>
      <c r="C84">
        <v>2028</v>
      </c>
      <c r="D84" s="1">
        <f t="shared" si="1"/>
        <v>47027</v>
      </c>
    </row>
    <row r="85" spans="1:4">
      <c r="A85">
        <v>1</v>
      </c>
      <c r="B85" s="4">
        <v>11</v>
      </c>
      <c r="C85">
        <v>2028</v>
      </c>
      <c r="D85" s="1">
        <f t="shared" si="1"/>
        <v>47058</v>
      </c>
    </row>
    <row r="86" spans="1:4">
      <c r="A86">
        <v>1</v>
      </c>
      <c r="B86" s="4">
        <v>12</v>
      </c>
      <c r="C86">
        <v>2028</v>
      </c>
      <c r="D86" s="1">
        <f t="shared" si="1"/>
        <v>47088</v>
      </c>
    </row>
    <row r="87" spans="1:4">
      <c r="A87">
        <v>1</v>
      </c>
      <c r="B87" s="4">
        <v>1</v>
      </c>
      <c r="C87">
        <v>2029</v>
      </c>
      <c r="D87" s="1">
        <f t="shared" si="1"/>
        <v>47119</v>
      </c>
    </row>
    <row r="88" spans="1:4">
      <c r="A88">
        <v>1</v>
      </c>
      <c r="B88" s="4">
        <v>2</v>
      </c>
      <c r="C88">
        <v>2029</v>
      </c>
      <c r="D88" s="1">
        <f t="shared" si="1"/>
        <v>47150</v>
      </c>
    </row>
    <row r="89" spans="1:4">
      <c r="A89">
        <v>1</v>
      </c>
      <c r="B89" s="4">
        <v>3</v>
      </c>
      <c r="C89">
        <v>2029</v>
      </c>
      <c r="D89" s="1">
        <f t="shared" si="1"/>
        <v>47178</v>
      </c>
    </row>
    <row r="90" spans="1:4">
      <c r="A90">
        <v>1</v>
      </c>
      <c r="B90" s="4">
        <v>4</v>
      </c>
      <c r="C90">
        <v>2029</v>
      </c>
      <c r="D90" s="1">
        <f t="shared" si="1"/>
        <v>47209</v>
      </c>
    </row>
    <row r="91" spans="1:4">
      <c r="A91">
        <v>1</v>
      </c>
      <c r="B91" s="4">
        <v>5</v>
      </c>
      <c r="C91">
        <v>2029</v>
      </c>
      <c r="D91" s="1">
        <f t="shared" si="1"/>
        <v>47239</v>
      </c>
    </row>
    <row r="92" spans="1:4">
      <c r="A92">
        <v>1</v>
      </c>
      <c r="B92" s="4">
        <v>6</v>
      </c>
      <c r="C92">
        <v>2029</v>
      </c>
      <c r="D92" s="1">
        <f t="shared" si="1"/>
        <v>47270</v>
      </c>
    </row>
    <row r="93" spans="1:4">
      <c r="A93">
        <v>1</v>
      </c>
      <c r="B93" s="4">
        <v>7</v>
      </c>
      <c r="C93">
        <v>2029</v>
      </c>
      <c r="D93" s="1">
        <f t="shared" si="1"/>
        <v>47300</v>
      </c>
    </row>
    <row r="94" spans="1:4">
      <c r="A94">
        <v>1</v>
      </c>
      <c r="B94" s="4">
        <v>8</v>
      </c>
      <c r="C94">
        <v>2029</v>
      </c>
      <c r="D94" s="1">
        <f t="shared" si="1"/>
        <v>47331</v>
      </c>
    </row>
    <row r="95" spans="1:4">
      <c r="A95">
        <v>1</v>
      </c>
      <c r="B95" s="4">
        <v>9</v>
      </c>
      <c r="C95">
        <v>2029</v>
      </c>
      <c r="D95" s="1">
        <f t="shared" si="1"/>
        <v>47362</v>
      </c>
    </row>
    <row r="96" spans="1:4">
      <c r="A96">
        <v>1</v>
      </c>
      <c r="B96" s="4">
        <v>10</v>
      </c>
      <c r="C96">
        <v>2029</v>
      </c>
      <c r="D96" s="1">
        <f t="shared" si="1"/>
        <v>47392</v>
      </c>
    </row>
    <row r="97" spans="1:4">
      <c r="A97">
        <v>1</v>
      </c>
      <c r="B97" s="4">
        <v>11</v>
      </c>
      <c r="C97">
        <v>2029</v>
      </c>
      <c r="D97" s="1">
        <f t="shared" si="1"/>
        <v>47423</v>
      </c>
    </row>
    <row r="98" spans="1:4">
      <c r="A98">
        <v>1</v>
      </c>
      <c r="B98" s="4">
        <v>12</v>
      </c>
      <c r="C98">
        <v>2029</v>
      </c>
      <c r="D98" s="1">
        <f t="shared" si="1"/>
        <v>47453</v>
      </c>
    </row>
    <row r="99" spans="1:4">
      <c r="A99">
        <v>1</v>
      </c>
      <c r="B99" s="4">
        <v>1</v>
      </c>
      <c r="C99">
        <v>2030</v>
      </c>
      <c r="D99" s="1">
        <f t="shared" si="1"/>
        <v>47484</v>
      </c>
    </row>
    <row r="100" spans="1:4">
      <c r="A100">
        <v>1</v>
      </c>
      <c r="B100" s="4">
        <v>2</v>
      </c>
      <c r="C100">
        <v>2030</v>
      </c>
      <c r="D100" s="1">
        <f t="shared" si="1"/>
        <v>47515</v>
      </c>
    </row>
    <row r="101" spans="1:4">
      <c r="A101">
        <v>1</v>
      </c>
      <c r="B101" s="4">
        <v>3</v>
      </c>
      <c r="C101">
        <v>2030</v>
      </c>
      <c r="D101" s="1">
        <f t="shared" si="1"/>
        <v>47543</v>
      </c>
    </row>
    <row r="102" spans="1:4">
      <c r="A102">
        <v>1</v>
      </c>
      <c r="B102" s="4">
        <v>4</v>
      </c>
      <c r="C102">
        <v>2030</v>
      </c>
      <c r="D102" s="1">
        <f t="shared" si="1"/>
        <v>47574</v>
      </c>
    </row>
    <row r="103" spans="1:4">
      <c r="A103">
        <v>1</v>
      </c>
      <c r="B103" s="4">
        <v>5</v>
      </c>
      <c r="C103">
        <v>2030</v>
      </c>
      <c r="D103" s="1">
        <f t="shared" si="1"/>
        <v>47604</v>
      </c>
    </row>
    <row r="104" spans="1:4">
      <c r="A104">
        <v>1</v>
      </c>
      <c r="B104" s="4">
        <v>6</v>
      </c>
      <c r="C104">
        <v>2030</v>
      </c>
      <c r="D104" s="1">
        <f t="shared" si="1"/>
        <v>47635</v>
      </c>
    </row>
    <row r="105" spans="1:4">
      <c r="A105">
        <v>1</v>
      </c>
      <c r="B105" s="4">
        <v>7</v>
      </c>
      <c r="C105">
        <v>2030</v>
      </c>
      <c r="D105" s="1">
        <f t="shared" si="1"/>
        <v>47665</v>
      </c>
    </row>
    <row r="106" spans="1:4">
      <c r="A106">
        <v>1</v>
      </c>
      <c r="B106" s="4">
        <v>8</v>
      </c>
      <c r="C106">
        <v>2030</v>
      </c>
      <c r="D106" s="1">
        <f t="shared" si="1"/>
        <v>47696</v>
      </c>
    </row>
    <row r="107" spans="1:4">
      <c r="A107">
        <v>1</v>
      </c>
      <c r="B107" s="4">
        <v>9</v>
      </c>
      <c r="C107">
        <v>2030</v>
      </c>
      <c r="D107" s="1">
        <f t="shared" si="1"/>
        <v>47727</v>
      </c>
    </row>
    <row r="108" spans="1:4">
      <c r="A108">
        <v>1</v>
      </c>
      <c r="B108" s="4">
        <v>10</v>
      </c>
      <c r="C108">
        <v>2030</v>
      </c>
      <c r="D108" s="1">
        <f t="shared" si="1"/>
        <v>47757</v>
      </c>
    </row>
    <row r="109" spans="1:4">
      <c r="A109">
        <v>1</v>
      </c>
      <c r="B109" s="4">
        <v>11</v>
      </c>
      <c r="C109">
        <v>2030</v>
      </c>
      <c r="D109" s="1">
        <f t="shared" si="1"/>
        <v>47788</v>
      </c>
    </row>
    <row r="110" spans="1:4">
      <c r="A110">
        <v>1</v>
      </c>
      <c r="B110" s="4">
        <v>12</v>
      </c>
      <c r="C110">
        <v>2030</v>
      </c>
      <c r="D110" s="1">
        <f t="shared" si="1"/>
        <v>47818</v>
      </c>
    </row>
    <row r="111" spans="1:4">
      <c r="A111">
        <v>1</v>
      </c>
      <c r="B111" s="4">
        <v>1</v>
      </c>
      <c r="D111" s="1">
        <f t="shared" si="1"/>
        <v>1</v>
      </c>
    </row>
    <row r="112" spans="1:4">
      <c r="A112">
        <v>1</v>
      </c>
      <c r="B112" s="4">
        <v>2</v>
      </c>
      <c r="D112" s="1">
        <f t="shared" si="1"/>
        <v>32</v>
      </c>
    </row>
    <row r="113" spans="1:4">
      <c r="A113">
        <v>1</v>
      </c>
      <c r="B113" s="4">
        <v>3</v>
      </c>
      <c r="D113" s="1">
        <f t="shared" si="1"/>
        <v>61</v>
      </c>
    </row>
    <row r="114" spans="1:4">
      <c r="A114">
        <v>1</v>
      </c>
      <c r="B114" s="4">
        <v>4</v>
      </c>
      <c r="D114" s="1">
        <f t="shared" si="1"/>
        <v>92</v>
      </c>
    </row>
    <row r="115" spans="1:4">
      <c r="A115">
        <v>1</v>
      </c>
      <c r="B115" s="4">
        <v>5</v>
      </c>
      <c r="D115" s="1">
        <f t="shared" si="1"/>
        <v>122</v>
      </c>
    </row>
    <row r="116" spans="1:4">
      <c r="A116">
        <v>1</v>
      </c>
      <c r="B116" s="4">
        <v>6</v>
      </c>
      <c r="D116" s="1">
        <f t="shared" si="1"/>
        <v>153</v>
      </c>
    </row>
    <row r="117" spans="1:4">
      <c r="A117">
        <v>1</v>
      </c>
      <c r="B117" s="4">
        <v>7</v>
      </c>
      <c r="D117" s="1">
        <f t="shared" si="1"/>
        <v>183</v>
      </c>
    </row>
    <row r="118" spans="1:4">
      <c r="A118">
        <v>1</v>
      </c>
      <c r="B118" s="4">
        <v>8</v>
      </c>
      <c r="D118" s="1">
        <f t="shared" si="1"/>
        <v>214</v>
      </c>
    </row>
    <row r="119" spans="1:4">
      <c r="A119">
        <v>1</v>
      </c>
      <c r="B119" s="4">
        <v>9</v>
      </c>
      <c r="D119" s="1">
        <f t="shared" ref="D119:D182" si="2">DATE(C119,B119,1)</f>
        <v>245</v>
      </c>
    </row>
    <row r="120" spans="1:4">
      <c r="A120">
        <v>1</v>
      </c>
      <c r="B120" s="4">
        <v>10</v>
      </c>
      <c r="D120" s="1">
        <f t="shared" si="2"/>
        <v>275</v>
      </c>
    </row>
    <row r="121" spans="1:4">
      <c r="A121">
        <v>1</v>
      </c>
      <c r="B121" s="4">
        <v>11</v>
      </c>
      <c r="D121" s="1">
        <f t="shared" si="2"/>
        <v>306</v>
      </c>
    </row>
    <row r="122" spans="1:4">
      <c r="A122">
        <v>1</v>
      </c>
      <c r="B122" s="4">
        <v>12</v>
      </c>
      <c r="D122" s="1">
        <f t="shared" si="2"/>
        <v>336</v>
      </c>
    </row>
    <row r="123" spans="1:4">
      <c r="A123">
        <v>1</v>
      </c>
      <c r="B123" s="4">
        <v>1</v>
      </c>
      <c r="D123" s="1">
        <f t="shared" si="2"/>
        <v>1</v>
      </c>
    </row>
    <row r="124" spans="1:4">
      <c r="A124">
        <v>1</v>
      </c>
      <c r="B124" s="4">
        <v>2</v>
      </c>
      <c r="D124" s="1">
        <f t="shared" si="2"/>
        <v>32</v>
      </c>
    </row>
    <row r="125" spans="1:4">
      <c r="A125">
        <v>1</v>
      </c>
      <c r="B125" s="4">
        <v>3</v>
      </c>
      <c r="D125" s="1">
        <f t="shared" si="2"/>
        <v>61</v>
      </c>
    </row>
    <row r="126" spans="1:4">
      <c r="A126">
        <v>1</v>
      </c>
      <c r="B126" s="4">
        <v>4</v>
      </c>
      <c r="D126" s="1">
        <f t="shared" si="2"/>
        <v>92</v>
      </c>
    </row>
    <row r="127" spans="1:4">
      <c r="A127">
        <v>1</v>
      </c>
      <c r="B127" s="4">
        <v>5</v>
      </c>
      <c r="D127" s="1">
        <f t="shared" si="2"/>
        <v>122</v>
      </c>
    </row>
    <row r="128" spans="1:4">
      <c r="A128">
        <v>1</v>
      </c>
      <c r="B128" s="4">
        <v>6</v>
      </c>
      <c r="D128" s="1">
        <f t="shared" si="2"/>
        <v>153</v>
      </c>
    </row>
    <row r="129" spans="1:4">
      <c r="A129">
        <v>1</v>
      </c>
      <c r="B129" s="4">
        <v>7</v>
      </c>
      <c r="D129" s="1">
        <f t="shared" si="2"/>
        <v>183</v>
      </c>
    </row>
    <row r="130" spans="1:4">
      <c r="A130">
        <v>1</v>
      </c>
      <c r="B130" s="4">
        <v>8</v>
      </c>
      <c r="D130" s="1">
        <f t="shared" si="2"/>
        <v>214</v>
      </c>
    </row>
    <row r="131" spans="1:4">
      <c r="A131">
        <v>1</v>
      </c>
      <c r="B131" s="4">
        <v>9</v>
      </c>
      <c r="D131" s="1">
        <f t="shared" si="2"/>
        <v>245</v>
      </c>
    </row>
    <row r="132" spans="1:4">
      <c r="A132">
        <v>1</v>
      </c>
      <c r="B132" s="4">
        <v>10</v>
      </c>
      <c r="D132" s="1">
        <f t="shared" si="2"/>
        <v>275</v>
      </c>
    </row>
    <row r="133" spans="1:4">
      <c r="A133">
        <v>1</v>
      </c>
      <c r="B133" s="4">
        <v>11</v>
      </c>
      <c r="D133" s="1">
        <f t="shared" si="2"/>
        <v>306</v>
      </c>
    </row>
    <row r="134" spans="1:4">
      <c r="A134">
        <v>1</v>
      </c>
      <c r="B134" s="4">
        <v>12</v>
      </c>
      <c r="D134" s="1">
        <f t="shared" si="2"/>
        <v>336</v>
      </c>
    </row>
    <row r="135" spans="1:4">
      <c r="A135">
        <v>1</v>
      </c>
      <c r="B135" s="4">
        <v>1</v>
      </c>
      <c r="D135" s="1">
        <f t="shared" si="2"/>
        <v>1</v>
      </c>
    </row>
    <row r="136" spans="1:4">
      <c r="A136">
        <v>1</v>
      </c>
      <c r="B136" s="4">
        <v>2</v>
      </c>
      <c r="D136" s="1">
        <f t="shared" si="2"/>
        <v>32</v>
      </c>
    </row>
    <row r="137" spans="1:4">
      <c r="A137">
        <v>1</v>
      </c>
      <c r="B137" s="4">
        <v>3</v>
      </c>
      <c r="D137" s="1">
        <f t="shared" si="2"/>
        <v>61</v>
      </c>
    </row>
    <row r="138" spans="1:4">
      <c r="A138">
        <v>1</v>
      </c>
      <c r="B138" s="4">
        <v>4</v>
      </c>
      <c r="D138" s="1">
        <f t="shared" si="2"/>
        <v>92</v>
      </c>
    </row>
    <row r="139" spans="1:4">
      <c r="A139">
        <v>1</v>
      </c>
      <c r="B139" s="4">
        <v>5</v>
      </c>
      <c r="D139" s="1">
        <f t="shared" si="2"/>
        <v>122</v>
      </c>
    </row>
    <row r="140" spans="1:4">
      <c r="A140">
        <v>1</v>
      </c>
      <c r="B140" s="4">
        <v>6</v>
      </c>
      <c r="D140" s="1">
        <f t="shared" si="2"/>
        <v>153</v>
      </c>
    </row>
    <row r="141" spans="1:4">
      <c r="A141">
        <v>1</v>
      </c>
      <c r="B141" s="4">
        <v>7</v>
      </c>
      <c r="D141" s="1">
        <f t="shared" si="2"/>
        <v>183</v>
      </c>
    </row>
    <row r="142" spans="1:4">
      <c r="A142">
        <v>1</v>
      </c>
      <c r="B142" s="4">
        <v>8</v>
      </c>
      <c r="D142" s="1">
        <f t="shared" si="2"/>
        <v>214</v>
      </c>
    </row>
    <row r="143" spans="1:4">
      <c r="A143">
        <v>1</v>
      </c>
      <c r="B143" s="4">
        <v>9</v>
      </c>
      <c r="D143" s="1">
        <f t="shared" si="2"/>
        <v>245</v>
      </c>
    </row>
    <row r="144" spans="1:4">
      <c r="A144">
        <v>1</v>
      </c>
      <c r="B144" s="4">
        <v>10</v>
      </c>
      <c r="D144" s="1">
        <f t="shared" si="2"/>
        <v>275</v>
      </c>
    </row>
    <row r="145" spans="1:4">
      <c r="A145">
        <v>1</v>
      </c>
      <c r="B145" s="4">
        <v>11</v>
      </c>
      <c r="D145" s="1">
        <f t="shared" si="2"/>
        <v>306</v>
      </c>
    </row>
    <row r="146" spans="1:4">
      <c r="A146">
        <v>1</v>
      </c>
      <c r="B146" s="4">
        <v>12</v>
      </c>
      <c r="D146" s="1">
        <f t="shared" si="2"/>
        <v>336</v>
      </c>
    </row>
    <row r="147" spans="1:4">
      <c r="A147">
        <v>1</v>
      </c>
      <c r="B147" s="4">
        <v>1</v>
      </c>
      <c r="D147" s="1">
        <f t="shared" si="2"/>
        <v>1</v>
      </c>
    </row>
    <row r="148" spans="1:4">
      <c r="A148">
        <v>1</v>
      </c>
      <c r="B148" s="4">
        <v>2</v>
      </c>
      <c r="D148" s="1">
        <f t="shared" si="2"/>
        <v>32</v>
      </c>
    </row>
    <row r="149" spans="1:4">
      <c r="A149">
        <v>1</v>
      </c>
      <c r="B149" s="4">
        <v>3</v>
      </c>
      <c r="D149" s="1">
        <f t="shared" si="2"/>
        <v>61</v>
      </c>
    </row>
    <row r="150" spans="1:4">
      <c r="A150">
        <v>1</v>
      </c>
      <c r="B150" s="4">
        <v>4</v>
      </c>
      <c r="D150" s="1">
        <f t="shared" si="2"/>
        <v>92</v>
      </c>
    </row>
    <row r="151" spans="1:4">
      <c r="A151">
        <v>1</v>
      </c>
      <c r="B151" s="4">
        <v>5</v>
      </c>
      <c r="D151" s="1">
        <f t="shared" si="2"/>
        <v>122</v>
      </c>
    </row>
    <row r="152" spans="1:4">
      <c r="A152">
        <v>1</v>
      </c>
      <c r="B152" s="4">
        <v>6</v>
      </c>
      <c r="D152" s="1">
        <f t="shared" si="2"/>
        <v>153</v>
      </c>
    </row>
    <row r="153" spans="1:4">
      <c r="A153">
        <v>1</v>
      </c>
      <c r="B153" s="4">
        <v>7</v>
      </c>
      <c r="D153" s="1">
        <f t="shared" si="2"/>
        <v>183</v>
      </c>
    </row>
    <row r="154" spans="1:4">
      <c r="A154">
        <v>1</v>
      </c>
      <c r="B154" s="4">
        <v>8</v>
      </c>
      <c r="D154" s="1">
        <f t="shared" si="2"/>
        <v>214</v>
      </c>
    </row>
    <row r="155" spans="1:4">
      <c r="A155">
        <v>1</v>
      </c>
      <c r="B155" s="4">
        <v>9</v>
      </c>
      <c r="D155" s="1">
        <f t="shared" si="2"/>
        <v>245</v>
      </c>
    </row>
    <row r="156" spans="1:4">
      <c r="A156">
        <v>1</v>
      </c>
      <c r="B156" s="4">
        <v>10</v>
      </c>
      <c r="D156" s="1">
        <f t="shared" si="2"/>
        <v>275</v>
      </c>
    </row>
    <row r="157" spans="1:4">
      <c r="A157">
        <v>1</v>
      </c>
      <c r="B157" s="4">
        <v>11</v>
      </c>
      <c r="D157" s="1">
        <f t="shared" si="2"/>
        <v>306</v>
      </c>
    </row>
    <row r="158" spans="1:4">
      <c r="A158">
        <v>1</v>
      </c>
      <c r="B158" s="4">
        <v>12</v>
      </c>
      <c r="D158" s="1">
        <f t="shared" si="2"/>
        <v>336</v>
      </c>
    </row>
    <row r="159" spans="1:4">
      <c r="A159">
        <v>1</v>
      </c>
      <c r="B159" s="4">
        <v>1</v>
      </c>
      <c r="D159" s="1">
        <f t="shared" si="2"/>
        <v>1</v>
      </c>
    </row>
    <row r="160" spans="1:4">
      <c r="A160">
        <v>1</v>
      </c>
      <c r="B160" s="4">
        <v>2</v>
      </c>
      <c r="D160" s="1">
        <f t="shared" si="2"/>
        <v>32</v>
      </c>
    </row>
    <row r="161" spans="1:4">
      <c r="A161">
        <v>1</v>
      </c>
      <c r="B161" s="4">
        <v>3</v>
      </c>
      <c r="D161" s="1">
        <f t="shared" si="2"/>
        <v>61</v>
      </c>
    </row>
    <row r="162" spans="1:4">
      <c r="A162">
        <v>1</v>
      </c>
      <c r="B162" s="4">
        <v>4</v>
      </c>
      <c r="D162" s="1">
        <f t="shared" si="2"/>
        <v>92</v>
      </c>
    </row>
    <row r="163" spans="1:4">
      <c r="A163">
        <v>1</v>
      </c>
      <c r="B163" s="4">
        <v>5</v>
      </c>
      <c r="D163" s="1">
        <f t="shared" si="2"/>
        <v>122</v>
      </c>
    </row>
    <row r="164" spans="1:4">
      <c r="A164">
        <v>1</v>
      </c>
      <c r="B164" s="4">
        <v>6</v>
      </c>
      <c r="D164" s="1">
        <f t="shared" si="2"/>
        <v>153</v>
      </c>
    </row>
    <row r="165" spans="1:4">
      <c r="A165">
        <v>1</v>
      </c>
      <c r="B165" s="4">
        <v>7</v>
      </c>
      <c r="D165" s="1">
        <f t="shared" si="2"/>
        <v>183</v>
      </c>
    </row>
    <row r="166" spans="1:4">
      <c r="A166">
        <v>1</v>
      </c>
      <c r="B166" s="4">
        <v>8</v>
      </c>
      <c r="D166" s="1">
        <f t="shared" si="2"/>
        <v>214</v>
      </c>
    </row>
    <row r="167" spans="1:4">
      <c r="A167">
        <v>1</v>
      </c>
      <c r="B167" s="4">
        <v>9</v>
      </c>
      <c r="D167" s="1">
        <f t="shared" si="2"/>
        <v>245</v>
      </c>
    </row>
    <row r="168" spans="1:4">
      <c r="A168">
        <v>1</v>
      </c>
      <c r="B168" s="4">
        <v>10</v>
      </c>
      <c r="D168" s="1">
        <f t="shared" si="2"/>
        <v>275</v>
      </c>
    </row>
    <row r="169" spans="1:4">
      <c r="A169">
        <v>1</v>
      </c>
      <c r="B169" s="4">
        <v>11</v>
      </c>
      <c r="D169" s="1">
        <f t="shared" si="2"/>
        <v>306</v>
      </c>
    </row>
    <row r="170" spans="1:4">
      <c r="A170">
        <v>1</v>
      </c>
      <c r="B170" s="4">
        <v>12</v>
      </c>
      <c r="D170" s="1">
        <f t="shared" si="2"/>
        <v>336</v>
      </c>
    </row>
    <row r="171" spans="1:4">
      <c r="A171">
        <v>1</v>
      </c>
      <c r="B171" s="4">
        <v>1</v>
      </c>
      <c r="D171" s="1">
        <f t="shared" si="2"/>
        <v>1</v>
      </c>
    </row>
    <row r="172" spans="1:4">
      <c r="A172">
        <v>1</v>
      </c>
      <c r="B172" s="4">
        <v>2</v>
      </c>
      <c r="D172" s="1">
        <f t="shared" si="2"/>
        <v>32</v>
      </c>
    </row>
    <row r="173" spans="1:4">
      <c r="A173">
        <v>1</v>
      </c>
      <c r="B173" s="4">
        <v>3</v>
      </c>
      <c r="D173" s="1">
        <f t="shared" si="2"/>
        <v>61</v>
      </c>
    </row>
    <row r="174" spans="1:4">
      <c r="A174">
        <v>1</v>
      </c>
      <c r="B174" s="4">
        <v>4</v>
      </c>
      <c r="D174" s="1">
        <f t="shared" si="2"/>
        <v>92</v>
      </c>
    </row>
    <row r="175" spans="1:4">
      <c r="A175">
        <v>1</v>
      </c>
      <c r="B175" s="4">
        <v>5</v>
      </c>
      <c r="D175" s="1">
        <f t="shared" si="2"/>
        <v>122</v>
      </c>
    </row>
    <row r="176" spans="1:4">
      <c r="A176">
        <v>1</v>
      </c>
      <c r="B176" s="4">
        <v>6</v>
      </c>
      <c r="D176" s="1">
        <f t="shared" si="2"/>
        <v>153</v>
      </c>
    </row>
    <row r="177" spans="1:4">
      <c r="A177">
        <v>1</v>
      </c>
      <c r="B177" s="4">
        <v>7</v>
      </c>
      <c r="D177" s="1">
        <f t="shared" si="2"/>
        <v>183</v>
      </c>
    </row>
    <row r="178" spans="1:4">
      <c r="A178">
        <v>1</v>
      </c>
      <c r="B178" s="4">
        <v>8</v>
      </c>
      <c r="D178" s="1">
        <f t="shared" si="2"/>
        <v>214</v>
      </c>
    </row>
    <row r="179" spans="1:4">
      <c r="A179">
        <v>1</v>
      </c>
      <c r="B179" s="4">
        <v>9</v>
      </c>
      <c r="D179" s="1">
        <f t="shared" si="2"/>
        <v>245</v>
      </c>
    </row>
    <row r="180" spans="1:4">
      <c r="A180">
        <v>1</v>
      </c>
      <c r="B180" s="4">
        <v>10</v>
      </c>
      <c r="D180" s="1">
        <f t="shared" si="2"/>
        <v>275</v>
      </c>
    </row>
    <row r="181" spans="1:4">
      <c r="A181">
        <v>1</v>
      </c>
      <c r="B181" s="4">
        <v>11</v>
      </c>
      <c r="D181" s="1">
        <f t="shared" si="2"/>
        <v>306</v>
      </c>
    </row>
    <row r="182" spans="1:4">
      <c r="A182">
        <v>1</v>
      </c>
      <c r="B182" s="4">
        <v>12</v>
      </c>
      <c r="D182" s="1">
        <f t="shared" si="2"/>
        <v>336</v>
      </c>
    </row>
    <row r="183" spans="1:4">
      <c r="A183">
        <v>1</v>
      </c>
      <c r="B183" s="4">
        <v>1</v>
      </c>
      <c r="D183" s="1">
        <f t="shared" ref="D183:D246" si="3">DATE(C183,B183,1)</f>
        <v>1</v>
      </c>
    </row>
    <row r="184" spans="1:4">
      <c r="A184">
        <v>1</v>
      </c>
      <c r="B184" s="4">
        <v>2</v>
      </c>
      <c r="D184" s="1">
        <f t="shared" si="3"/>
        <v>32</v>
      </c>
    </row>
    <row r="185" spans="1:4">
      <c r="A185">
        <v>1</v>
      </c>
      <c r="B185" s="4">
        <v>3</v>
      </c>
      <c r="D185" s="1">
        <f t="shared" si="3"/>
        <v>61</v>
      </c>
    </row>
    <row r="186" spans="1:4">
      <c r="A186">
        <v>1</v>
      </c>
      <c r="B186" s="4">
        <v>4</v>
      </c>
      <c r="D186" s="1">
        <f t="shared" si="3"/>
        <v>92</v>
      </c>
    </row>
    <row r="187" spans="1:4">
      <c r="A187">
        <v>1</v>
      </c>
      <c r="B187" s="4">
        <v>5</v>
      </c>
      <c r="D187" s="1">
        <f t="shared" si="3"/>
        <v>122</v>
      </c>
    </row>
    <row r="188" spans="1:4">
      <c r="A188">
        <v>1</v>
      </c>
      <c r="B188" s="4">
        <v>6</v>
      </c>
      <c r="D188" s="1">
        <f t="shared" si="3"/>
        <v>153</v>
      </c>
    </row>
    <row r="189" spans="1:4">
      <c r="A189">
        <v>1</v>
      </c>
      <c r="B189" s="4">
        <v>7</v>
      </c>
      <c r="D189" s="1">
        <f t="shared" si="3"/>
        <v>183</v>
      </c>
    </row>
    <row r="190" spans="1:4">
      <c r="A190">
        <v>1</v>
      </c>
      <c r="B190" s="4">
        <v>8</v>
      </c>
      <c r="D190" s="1">
        <f t="shared" si="3"/>
        <v>214</v>
      </c>
    </row>
    <row r="191" spans="1:4">
      <c r="A191">
        <v>1</v>
      </c>
      <c r="B191" s="4">
        <v>9</v>
      </c>
      <c r="D191" s="1">
        <f t="shared" si="3"/>
        <v>245</v>
      </c>
    </row>
    <row r="192" spans="1:4">
      <c r="A192">
        <v>1</v>
      </c>
      <c r="B192" s="4">
        <v>10</v>
      </c>
      <c r="D192" s="1">
        <f t="shared" si="3"/>
        <v>275</v>
      </c>
    </row>
    <row r="193" spans="1:4">
      <c r="A193">
        <v>1</v>
      </c>
      <c r="B193" s="4">
        <v>11</v>
      </c>
      <c r="D193" s="1">
        <f t="shared" si="3"/>
        <v>306</v>
      </c>
    </row>
    <row r="194" spans="1:4">
      <c r="A194">
        <v>1</v>
      </c>
      <c r="B194" s="4">
        <v>12</v>
      </c>
      <c r="D194" s="1">
        <f t="shared" si="3"/>
        <v>336</v>
      </c>
    </row>
    <row r="195" spans="1:4">
      <c r="A195">
        <v>1</v>
      </c>
      <c r="B195" s="4">
        <v>1</v>
      </c>
      <c r="D195" s="1">
        <f t="shared" si="3"/>
        <v>1</v>
      </c>
    </row>
    <row r="196" spans="1:4">
      <c r="A196">
        <v>1</v>
      </c>
      <c r="B196" s="4">
        <v>2</v>
      </c>
      <c r="D196" s="1">
        <f t="shared" si="3"/>
        <v>32</v>
      </c>
    </row>
    <row r="197" spans="1:4">
      <c r="A197">
        <v>1</v>
      </c>
      <c r="B197" s="4">
        <v>3</v>
      </c>
      <c r="D197" s="1">
        <f t="shared" si="3"/>
        <v>61</v>
      </c>
    </row>
    <row r="198" spans="1:4">
      <c r="A198">
        <v>1</v>
      </c>
      <c r="B198" s="4">
        <v>4</v>
      </c>
      <c r="D198" s="1">
        <f t="shared" si="3"/>
        <v>92</v>
      </c>
    </row>
    <row r="199" spans="1:4">
      <c r="A199">
        <v>1</v>
      </c>
      <c r="B199" s="4">
        <v>5</v>
      </c>
      <c r="D199" s="1">
        <f t="shared" si="3"/>
        <v>122</v>
      </c>
    </row>
    <row r="200" spans="1:4">
      <c r="A200">
        <v>1</v>
      </c>
      <c r="B200" s="4">
        <v>6</v>
      </c>
      <c r="D200" s="1">
        <f t="shared" si="3"/>
        <v>153</v>
      </c>
    </row>
    <row r="201" spans="1:4">
      <c r="A201">
        <v>1</v>
      </c>
      <c r="B201" s="4">
        <v>7</v>
      </c>
      <c r="D201" s="1">
        <f t="shared" si="3"/>
        <v>183</v>
      </c>
    </row>
    <row r="202" spans="1:4">
      <c r="A202">
        <v>1</v>
      </c>
      <c r="B202" s="4">
        <v>8</v>
      </c>
      <c r="D202" s="1">
        <f t="shared" si="3"/>
        <v>214</v>
      </c>
    </row>
    <row r="203" spans="1:4">
      <c r="A203">
        <v>1</v>
      </c>
      <c r="B203" s="4">
        <v>9</v>
      </c>
      <c r="D203" s="1">
        <f t="shared" si="3"/>
        <v>245</v>
      </c>
    </row>
    <row r="204" spans="1:4">
      <c r="A204">
        <v>1</v>
      </c>
      <c r="B204" s="4">
        <v>10</v>
      </c>
      <c r="D204" s="1">
        <f t="shared" si="3"/>
        <v>275</v>
      </c>
    </row>
    <row r="205" spans="1:4">
      <c r="A205">
        <v>1</v>
      </c>
      <c r="B205" s="4">
        <v>11</v>
      </c>
      <c r="D205" s="1">
        <f t="shared" si="3"/>
        <v>306</v>
      </c>
    </row>
    <row r="206" spans="1:4">
      <c r="A206">
        <v>1</v>
      </c>
      <c r="B206" s="4">
        <v>12</v>
      </c>
      <c r="D206" s="1">
        <f t="shared" si="3"/>
        <v>336</v>
      </c>
    </row>
    <row r="207" spans="1:4">
      <c r="A207">
        <v>1</v>
      </c>
      <c r="B207" s="4">
        <v>1</v>
      </c>
      <c r="D207" s="1">
        <f t="shared" si="3"/>
        <v>1</v>
      </c>
    </row>
    <row r="208" spans="1:4">
      <c r="A208">
        <v>1</v>
      </c>
      <c r="B208" s="4">
        <v>2</v>
      </c>
      <c r="D208" s="1">
        <f t="shared" si="3"/>
        <v>32</v>
      </c>
    </row>
    <row r="209" spans="1:4">
      <c r="A209">
        <v>1</v>
      </c>
      <c r="B209" s="4">
        <v>3</v>
      </c>
      <c r="D209" s="1">
        <f t="shared" si="3"/>
        <v>61</v>
      </c>
    </row>
    <row r="210" spans="1:4">
      <c r="A210">
        <v>1</v>
      </c>
      <c r="B210" s="4">
        <v>4</v>
      </c>
      <c r="D210" s="1">
        <f t="shared" si="3"/>
        <v>92</v>
      </c>
    </row>
    <row r="211" spans="1:4">
      <c r="A211">
        <v>1</v>
      </c>
      <c r="B211" s="4">
        <v>5</v>
      </c>
      <c r="D211" s="1">
        <f t="shared" si="3"/>
        <v>122</v>
      </c>
    </row>
    <row r="212" spans="1:4">
      <c r="A212">
        <v>1</v>
      </c>
      <c r="B212" s="4">
        <v>6</v>
      </c>
      <c r="D212" s="1">
        <f t="shared" si="3"/>
        <v>153</v>
      </c>
    </row>
    <row r="213" spans="1:4">
      <c r="A213">
        <v>1</v>
      </c>
      <c r="B213" s="4">
        <v>7</v>
      </c>
      <c r="D213" s="1">
        <f t="shared" si="3"/>
        <v>183</v>
      </c>
    </row>
    <row r="214" spans="1:4">
      <c r="A214">
        <v>1</v>
      </c>
      <c r="B214" s="4">
        <v>8</v>
      </c>
      <c r="D214" s="1">
        <f t="shared" si="3"/>
        <v>214</v>
      </c>
    </row>
    <row r="215" spans="1:4">
      <c r="A215">
        <v>1</v>
      </c>
      <c r="B215" s="4">
        <v>9</v>
      </c>
      <c r="D215" s="1">
        <f t="shared" si="3"/>
        <v>245</v>
      </c>
    </row>
    <row r="216" spans="1:4">
      <c r="A216">
        <v>1</v>
      </c>
      <c r="B216" s="4">
        <v>10</v>
      </c>
      <c r="D216" s="1">
        <f t="shared" si="3"/>
        <v>275</v>
      </c>
    </row>
    <row r="217" spans="1:4">
      <c r="A217">
        <v>1</v>
      </c>
      <c r="B217" s="4">
        <v>11</v>
      </c>
      <c r="D217" s="1">
        <f t="shared" si="3"/>
        <v>306</v>
      </c>
    </row>
    <row r="218" spans="1:4">
      <c r="A218">
        <v>1</v>
      </c>
      <c r="B218" s="4">
        <v>12</v>
      </c>
      <c r="D218" s="1">
        <f t="shared" si="3"/>
        <v>336</v>
      </c>
    </row>
    <row r="219" spans="1:4">
      <c r="A219">
        <v>1</v>
      </c>
      <c r="B219" s="4">
        <v>1</v>
      </c>
      <c r="D219" s="1">
        <f t="shared" si="3"/>
        <v>1</v>
      </c>
    </row>
    <row r="220" spans="1:4">
      <c r="A220">
        <v>1</v>
      </c>
      <c r="B220" s="4">
        <v>2</v>
      </c>
      <c r="D220" s="1">
        <f t="shared" si="3"/>
        <v>32</v>
      </c>
    </row>
    <row r="221" spans="1:4">
      <c r="A221">
        <v>1</v>
      </c>
      <c r="B221" s="4">
        <v>3</v>
      </c>
      <c r="D221" s="1">
        <f t="shared" si="3"/>
        <v>61</v>
      </c>
    </row>
    <row r="222" spans="1:4">
      <c r="A222">
        <v>1</v>
      </c>
      <c r="B222" s="4">
        <v>4</v>
      </c>
      <c r="D222" s="1">
        <f t="shared" si="3"/>
        <v>92</v>
      </c>
    </row>
    <row r="223" spans="1:4">
      <c r="A223">
        <v>1</v>
      </c>
      <c r="B223" s="4">
        <v>5</v>
      </c>
      <c r="D223" s="1">
        <f t="shared" si="3"/>
        <v>122</v>
      </c>
    </row>
    <row r="224" spans="1:4">
      <c r="A224">
        <v>1</v>
      </c>
      <c r="B224" s="4">
        <v>6</v>
      </c>
      <c r="D224" s="1">
        <f t="shared" si="3"/>
        <v>153</v>
      </c>
    </row>
    <row r="225" spans="1:4">
      <c r="A225">
        <v>1</v>
      </c>
      <c r="B225" s="4">
        <v>7</v>
      </c>
      <c r="D225" s="1">
        <f t="shared" si="3"/>
        <v>183</v>
      </c>
    </row>
    <row r="226" spans="1:4">
      <c r="A226">
        <v>1</v>
      </c>
      <c r="B226" s="4">
        <v>8</v>
      </c>
      <c r="D226" s="1">
        <f t="shared" si="3"/>
        <v>214</v>
      </c>
    </row>
    <row r="227" spans="1:4">
      <c r="A227">
        <v>1</v>
      </c>
      <c r="B227" s="4">
        <v>9</v>
      </c>
      <c r="D227" s="1">
        <f t="shared" si="3"/>
        <v>245</v>
      </c>
    </row>
    <row r="228" spans="1:4">
      <c r="A228">
        <v>1</v>
      </c>
      <c r="B228" s="4">
        <v>10</v>
      </c>
      <c r="D228" s="1">
        <f t="shared" si="3"/>
        <v>275</v>
      </c>
    </row>
    <row r="229" spans="1:4">
      <c r="A229">
        <v>1</v>
      </c>
      <c r="B229" s="4">
        <v>11</v>
      </c>
      <c r="D229" s="1">
        <f t="shared" si="3"/>
        <v>306</v>
      </c>
    </row>
    <row r="230" spans="1:4">
      <c r="A230">
        <v>1</v>
      </c>
      <c r="B230" s="4">
        <v>12</v>
      </c>
      <c r="D230" s="1">
        <f t="shared" si="3"/>
        <v>336</v>
      </c>
    </row>
    <row r="231" spans="1:4">
      <c r="A231">
        <v>1</v>
      </c>
      <c r="B231" s="4">
        <v>1</v>
      </c>
      <c r="D231" s="1">
        <f t="shared" si="3"/>
        <v>1</v>
      </c>
    </row>
    <row r="232" spans="1:4">
      <c r="A232">
        <v>1</v>
      </c>
      <c r="B232" s="4">
        <v>2</v>
      </c>
      <c r="D232" s="1">
        <f t="shared" si="3"/>
        <v>32</v>
      </c>
    </row>
    <row r="233" spans="1:4">
      <c r="A233">
        <v>1</v>
      </c>
      <c r="B233" s="4">
        <v>3</v>
      </c>
      <c r="D233" s="1">
        <f t="shared" si="3"/>
        <v>61</v>
      </c>
    </row>
    <row r="234" spans="1:4">
      <c r="A234">
        <v>1</v>
      </c>
      <c r="B234" s="4">
        <v>4</v>
      </c>
      <c r="D234" s="1">
        <f t="shared" si="3"/>
        <v>92</v>
      </c>
    </row>
    <row r="235" spans="1:4">
      <c r="A235">
        <v>1</v>
      </c>
      <c r="B235" s="4">
        <v>5</v>
      </c>
      <c r="D235" s="1">
        <f t="shared" si="3"/>
        <v>122</v>
      </c>
    </row>
    <row r="236" spans="1:4">
      <c r="A236">
        <v>1</v>
      </c>
      <c r="B236" s="4">
        <v>6</v>
      </c>
      <c r="D236" s="1">
        <f t="shared" si="3"/>
        <v>153</v>
      </c>
    </row>
    <row r="237" spans="1:4">
      <c r="A237">
        <v>1</v>
      </c>
      <c r="B237" s="4">
        <v>7</v>
      </c>
      <c r="D237" s="1">
        <f t="shared" si="3"/>
        <v>183</v>
      </c>
    </row>
    <row r="238" spans="1:4">
      <c r="A238">
        <v>1</v>
      </c>
      <c r="B238" s="4">
        <v>8</v>
      </c>
      <c r="D238" s="1">
        <f t="shared" si="3"/>
        <v>214</v>
      </c>
    </row>
    <row r="239" spans="1:4">
      <c r="A239">
        <v>1</v>
      </c>
      <c r="B239" s="4">
        <v>9</v>
      </c>
      <c r="D239" s="1">
        <f t="shared" si="3"/>
        <v>245</v>
      </c>
    </row>
    <row r="240" spans="1:4">
      <c r="A240">
        <v>1</v>
      </c>
      <c r="B240" s="4">
        <v>10</v>
      </c>
      <c r="D240" s="1">
        <f t="shared" si="3"/>
        <v>275</v>
      </c>
    </row>
    <row r="241" spans="1:4">
      <c r="A241">
        <v>1</v>
      </c>
      <c r="B241" s="4">
        <v>11</v>
      </c>
      <c r="D241" s="1">
        <f t="shared" si="3"/>
        <v>306</v>
      </c>
    </row>
    <row r="242" spans="1:4">
      <c r="A242">
        <v>1</v>
      </c>
      <c r="B242" s="4">
        <v>12</v>
      </c>
      <c r="D242" s="1">
        <f t="shared" si="3"/>
        <v>336</v>
      </c>
    </row>
    <row r="243" spans="1:4">
      <c r="A243">
        <v>1</v>
      </c>
      <c r="B243" s="4">
        <v>1</v>
      </c>
      <c r="D243" s="1">
        <f t="shared" si="3"/>
        <v>1</v>
      </c>
    </row>
    <row r="244" spans="1:4">
      <c r="A244">
        <v>1</v>
      </c>
      <c r="B244" s="4">
        <v>2</v>
      </c>
      <c r="D244" s="1">
        <f t="shared" si="3"/>
        <v>32</v>
      </c>
    </row>
    <row r="245" spans="1:4">
      <c r="A245">
        <v>1</v>
      </c>
      <c r="B245" s="4">
        <v>3</v>
      </c>
      <c r="D245" s="1">
        <f t="shared" si="3"/>
        <v>61</v>
      </c>
    </row>
    <row r="246" spans="1:4">
      <c r="A246">
        <v>1</v>
      </c>
      <c r="B246" s="4">
        <v>4</v>
      </c>
      <c r="D246" s="1">
        <f t="shared" si="3"/>
        <v>92</v>
      </c>
    </row>
    <row r="247" spans="1:4">
      <c r="A247">
        <v>1</v>
      </c>
      <c r="B247" s="4">
        <v>5</v>
      </c>
      <c r="D247" s="1">
        <f t="shared" ref="D247:D310" si="4">DATE(C247,B247,1)</f>
        <v>122</v>
      </c>
    </row>
    <row r="248" spans="1:4">
      <c r="A248">
        <v>1</v>
      </c>
      <c r="B248" s="4">
        <v>6</v>
      </c>
      <c r="D248" s="1">
        <f t="shared" si="4"/>
        <v>153</v>
      </c>
    </row>
    <row r="249" spans="1:4">
      <c r="A249">
        <v>1</v>
      </c>
      <c r="B249" s="4">
        <v>7</v>
      </c>
      <c r="D249" s="1">
        <f t="shared" si="4"/>
        <v>183</v>
      </c>
    </row>
    <row r="250" spans="1:4">
      <c r="A250">
        <v>1</v>
      </c>
      <c r="B250" s="4">
        <v>8</v>
      </c>
      <c r="D250" s="1">
        <f t="shared" si="4"/>
        <v>214</v>
      </c>
    </row>
    <row r="251" spans="1:4">
      <c r="A251">
        <v>1</v>
      </c>
      <c r="B251" s="4">
        <v>9</v>
      </c>
      <c r="D251" s="1">
        <f t="shared" si="4"/>
        <v>245</v>
      </c>
    </row>
    <row r="252" spans="1:4">
      <c r="A252">
        <v>1</v>
      </c>
      <c r="B252" s="4">
        <v>10</v>
      </c>
      <c r="D252" s="1">
        <f t="shared" si="4"/>
        <v>275</v>
      </c>
    </row>
    <row r="253" spans="1:4">
      <c r="A253">
        <v>1</v>
      </c>
      <c r="B253" s="4">
        <v>11</v>
      </c>
      <c r="D253" s="1">
        <f t="shared" si="4"/>
        <v>306</v>
      </c>
    </row>
    <row r="254" spans="1:4">
      <c r="A254">
        <v>1</v>
      </c>
      <c r="B254" s="4">
        <v>12</v>
      </c>
      <c r="D254" s="1">
        <f t="shared" si="4"/>
        <v>336</v>
      </c>
    </row>
    <row r="255" spans="1:4">
      <c r="A255">
        <v>1</v>
      </c>
      <c r="B255" s="4">
        <v>1</v>
      </c>
      <c r="D255" s="1">
        <f t="shared" si="4"/>
        <v>1</v>
      </c>
    </row>
    <row r="256" spans="1:4">
      <c r="A256">
        <v>1</v>
      </c>
      <c r="B256" s="4">
        <v>2</v>
      </c>
      <c r="D256" s="1">
        <f t="shared" si="4"/>
        <v>32</v>
      </c>
    </row>
    <row r="257" spans="1:4">
      <c r="A257">
        <v>1</v>
      </c>
      <c r="B257" s="4">
        <v>3</v>
      </c>
      <c r="D257" s="1">
        <f t="shared" si="4"/>
        <v>61</v>
      </c>
    </row>
    <row r="258" spans="1:4">
      <c r="A258">
        <v>1</v>
      </c>
      <c r="B258" s="4">
        <v>4</v>
      </c>
      <c r="D258" s="1">
        <f t="shared" si="4"/>
        <v>92</v>
      </c>
    </row>
    <row r="259" spans="1:4">
      <c r="A259">
        <v>1</v>
      </c>
      <c r="B259" s="4">
        <v>5</v>
      </c>
      <c r="D259" s="1">
        <f t="shared" si="4"/>
        <v>122</v>
      </c>
    </row>
    <row r="260" spans="1:4">
      <c r="A260">
        <v>1</v>
      </c>
      <c r="B260" s="4">
        <v>6</v>
      </c>
      <c r="D260" s="1">
        <f t="shared" si="4"/>
        <v>153</v>
      </c>
    </row>
    <row r="261" spans="1:4">
      <c r="A261">
        <v>1</v>
      </c>
      <c r="B261" s="4">
        <v>7</v>
      </c>
      <c r="D261" s="1">
        <f t="shared" si="4"/>
        <v>183</v>
      </c>
    </row>
    <row r="262" spans="1:4">
      <c r="A262">
        <v>1</v>
      </c>
      <c r="B262" s="4">
        <v>8</v>
      </c>
      <c r="D262" s="1">
        <f t="shared" si="4"/>
        <v>214</v>
      </c>
    </row>
    <row r="263" spans="1:4">
      <c r="A263">
        <v>1</v>
      </c>
      <c r="B263" s="4">
        <v>9</v>
      </c>
      <c r="D263" s="1">
        <f t="shared" si="4"/>
        <v>245</v>
      </c>
    </row>
    <row r="264" spans="1:4">
      <c r="A264">
        <v>1</v>
      </c>
      <c r="B264" s="4">
        <v>10</v>
      </c>
      <c r="D264" s="1">
        <f t="shared" si="4"/>
        <v>275</v>
      </c>
    </row>
    <row r="265" spans="1:4">
      <c r="A265">
        <v>1</v>
      </c>
      <c r="B265" s="4">
        <v>11</v>
      </c>
      <c r="D265" s="1">
        <f t="shared" si="4"/>
        <v>306</v>
      </c>
    </row>
    <row r="266" spans="1:4">
      <c r="A266">
        <v>1</v>
      </c>
      <c r="B266" s="4">
        <v>12</v>
      </c>
      <c r="D266" s="1">
        <f t="shared" si="4"/>
        <v>336</v>
      </c>
    </row>
    <row r="267" spans="1:4">
      <c r="A267">
        <v>1</v>
      </c>
      <c r="B267" s="4">
        <v>1</v>
      </c>
      <c r="D267" s="1">
        <f t="shared" si="4"/>
        <v>1</v>
      </c>
    </row>
    <row r="268" spans="1:4">
      <c r="A268">
        <v>1</v>
      </c>
      <c r="B268" s="4">
        <v>2</v>
      </c>
      <c r="D268" s="1">
        <f t="shared" si="4"/>
        <v>32</v>
      </c>
    </row>
    <row r="269" spans="1:4">
      <c r="A269">
        <v>1</v>
      </c>
      <c r="B269" s="4">
        <v>3</v>
      </c>
      <c r="D269" s="1">
        <f t="shared" si="4"/>
        <v>61</v>
      </c>
    </row>
    <row r="270" spans="1:4">
      <c r="A270">
        <v>1</v>
      </c>
      <c r="B270" s="4">
        <v>4</v>
      </c>
      <c r="D270" s="1">
        <f t="shared" si="4"/>
        <v>92</v>
      </c>
    </row>
    <row r="271" spans="1:4">
      <c r="A271">
        <v>1</v>
      </c>
      <c r="B271" s="4">
        <v>5</v>
      </c>
      <c r="D271" s="1">
        <f t="shared" si="4"/>
        <v>122</v>
      </c>
    </row>
    <row r="272" spans="1:4">
      <c r="A272">
        <v>1</v>
      </c>
      <c r="B272" s="4">
        <v>6</v>
      </c>
      <c r="D272" s="1">
        <f t="shared" si="4"/>
        <v>153</v>
      </c>
    </row>
    <row r="273" spans="1:4">
      <c r="A273">
        <v>1</v>
      </c>
      <c r="B273" s="4">
        <v>7</v>
      </c>
      <c r="D273" s="1">
        <f t="shared" si="4"/>
        <v>183</v>
      </c>
    </row>
    <row r="274" spans="1:4">
      <c r="A274">
        <v>1</v>
      </c>
      <c r="B274" s="4">
        <v>8</v>
      </c>
      <c r="D274" s="1">
        <f t="shared" si="4"/>
        <v>214</v>
      </c>
    </row>
    <row r="275" spans="1:4">
      <c r="A275">
        <v>1</v>
      </c>
      <c r="B275" s="4">
        <v>9</v>
      </c>
      <c r="D275" s="1">
        <f t="shared" si="4"/>
        <v>245</v>
      </c>
    </row>
    <row r="276" spans="1:4">
      <c r="A276">
        <v>1</v>
      </c>
      <c r="B276" s="4">
        <v>10</v>
      </c>
      <c r="D276" s="1">
        <f t="shared" si="4"/>
        <v>275</v>
      </c>
    </row>
    <row r="277" spans="1:4">
      <c r="A277">
        <v>1</v>
      </c>
      <c r="B277" s="4">
        <v>11</v>
      </c>
      <c r="D277" s="1">
        <f t="shared" si="4"/>
        <v>306</v>
      </c>
    </row>
    <row r="278" spans="1:4">
      <c r="A278">
        <v>1</v>
      </c>
      <c r="B278" s="4">
        <v>12</v>
      </c>
      <c r="D278" s="1">
        <f t="shared" si="4"/>
        <v>336</v>
      </c>
    </row>
    <row r="279" spans="1:4">
      <c r="A279">
        <v>1</v>
      </c>
      <c r="B279" s="4">
        <v>1</v>
      </c>
      <c r="D279" s="1">
        <f t="shared" si="4"/>
        <v>1</v>
      </c>
    </row>
    <row r="280" spans="1:4">
      <c r="A280">
        <v>1</v>
      </c>
      <c r="B280" s="4">
        <v>2</v>
      </c>
      <c r="D280" s="1">
        <f t="shared" si="4"/>
        <v>32</v>
      </c>
    </row>
    <row r="281" spans="1:4">
      <c r="A281">
        <v>1</v>
      </c>
      <c r="B281" s="4">
        <v>3</v>
      </c>
      <c r="D281" s="1">
        <f t="shared" si="4"/>
        <v>61</v>
      </c>
    </row>
    <row r="282" spans="1:4">
      <c r="A282">
        <v>1</v>
      </c>
      <c r="B282" s="4">
        <v>4</v>
      </c>
      <c r="D282" s="1">
        <f t="shared" si="4"/>
        <v>92</v>
      </c>
    </row>
    <row r="283" spans="1:4">
      <c r="A283">
        <v>1</v>
      </c>
      <c r="B283" s="4">
        <v>5</v>
      </c>
      <c r="D283" s="1">
        <f t="shared" si="4"/>
        <v>122</v>
      </c>
    </row>
    <row r="284" spans="1:4">
      <c r="A284">
        <v>1</v>
      </c>
      <c r="B284" s="4">
        <v>6</v>
      </c>
      <c r="D284" s="1">
        <f t="shared" si="4"/>
        <v>153</v>
      </c>
    </row>
    <row r="285" spans="1:4">
      <c r="A285">
        <v>1</v>
      </c>
      <c r="B285" s="4">
        <v>7</v>
      </c>
      <c r="D285" s="1">
        <f t="shared" si="4"/>
        <v>183</v>
      </c>
    </row>
    <row r="286" spans="1:4">
      <c r="A286">
        <v>1</v>
      </c>
      <c r="B286" s="4">
        <v>8</v>
      </c>
      <c r="D286" s="1">
        <f t="shared" si="4"/>
        <v>214</v>
      </c>
    </row>
    <row r="287" spans="1:4">
      <c r="A287">
        <v>1</v>
      </c>
      <c r="B287" s="4">
        <v>9</v>
      </c>
      <c r="D287" s="1">
        <f t="shared" si="4"/>
        <v>245</v>
      </c>
    </row>
    <row r="288" spans="1:4">
      <c r="A288">
        <v>1</v>
      </c>
      <c r="B288" s="4">
        <v>10</v>
      </c>
      <c r="D288" s="1">
        <f t="shared" si="4"/>
        <v>275</v>
      </c>
    </row>
    <row r="289" spans="1:4">
      <c r="A289">
        <v>1</v>
      </c>
      <c r="B289" s="4">
        <v>11</v>
      </c>
      <c r="D289" s="1">
        <f t="shared" si="4"/>
        <v>306</v>
      </c>
    </row>
    <row r="290" spans="1:4">
      <c r="A290">
        <v>1</v>
      </c>
      <c r="B290" s="4">
        <v>12</v>
      </c>
      <c r="D290" s="1">
        <f t="shared" si="4"/>
        <v>336</v>
      </c>
    </row>
    <row r="291" spans="1:4">
      <c r="A291">
        <v>1</v>
      </c>
      <c r="B291" s="4">
        <v>1</v>
      </c>
      <c r="D291" s="1">
        <f t="shared" si="4"/>
        <v>1</v>
      </c>
    </row>
    <row r="292" spans="1:4">
      <c r="A292">
        <v>1</v>
      </c>
      <c r="B292" s="4">
        <v>2</v>
      </c>
      <c r="D292" s="1">
        <f t="shared" si="4"/>
        <v>32</v>
      </c>
    </row>
    <row r="293" spans="1:4">
      <c r="A293">
        <v>1</v>
      </c>
      <c r="B293" s="4">
        <v>3</v>
      </c>
      <c r="D293" s="1">
        <f t="shared" si="4"/>
        <v>61</v>
      </c>
    </row>
    <row r="294" spans="1:4">
      <c r="A294">
        <v>1</v>
      </c>
      <c r="B294" s="4">
        <v>4</v>
      </c>
      <c r="D294" s="1">
        <f t="shared" si="4"/>
        <v>92</v>
      </c>
    </row>
    <row r="295" spans="1:4">
      <c r="A295">
        <v>1</v>
      </c>
      <c r="B295" s="4">
        <v>5</v>
      </c>
      <c r="D295" s="1">
        <f t="shared" si="4"/>
        <v>122</v>
      </c>
    </row>
    <row r="296" spans="1:4">
      <c r="A296">
        <v>1</v>
      </c>
      <c r="B296" s="4">
        <v>6</v>
      </c>
      <c r="D296" s="1">
        <f t="shared" si="4"/>
        <v>153</v>
      </c>
    </row>
    <row r="297" spans="1:4">
      <c r="A297">
        <v>1</v>
      </c>
      <c r="B297" s="4">
        <v>7</v>
      </c>
      <c r="D297" s="1">
        <f t="shared" si="4"/>
        <v>183</v>
      </c>
    </row>
    <row r="298" spans="1:4">
      <c r="A298">
        <v>1</v>
      </c>
      <c r="B298" s="4">
        <v>8</v>
      </c>
      <c r="D298" s="1">
        <f t="shared" si="4"/>
        <v>214</v>
      </c>
    </row>
    <row r="299" spans="1:4">
      <c r="A299">
        <v>1</v>
      </c>
      <c r="B299" s="4">
        <v>9</v>
      </c>
      <c r="D299" s="1">
        <f t="shared" si="4"/>
        <v>245</v>
      </c>
    </row>
    <row r="300" spans="1:4">
      <c r="A300">
        <v>1</v>
      </c>
      <c r="B300" s="4">
        <v>10</v>
      </c>
      <c r="D300" s="1">
        <f t="shared" si="4"/>
        <v>275</v>
      </c>
    </row>
    <row r="301" spans="1:4">
      <c r="A301">
        <v>1</v>
      </c>
      <c r="B301" s="4">
        <v>11</v>
      </c>
      <c r="D301" s="1">
        <f t="shared" si="4"/>
        <v>306</v>
      </c>
    </row>
    <row r="302" spans="1:4">
      <c r="A302">
        <v>1</v>
      </c>
      <c r="B302" s="4">
        <v>12</v>
      </c>
      <c r="D302" s="1">
        <f t="shared" si="4"/>
        <v>336</v>
      </c>
    </row>
    <row r="303" spans="1:4">
      <c r="A303">
        <v>1</v>
      </c>
      <c r="B303" s="4">
        <v>1</v>
      </c>
      <c r="D303" s="1">
        <f t="shared" si="4"/>
        <v>1</v>
      </c>
    </row>
    <row r="304" spans="1:4">
      <c r="A304">
        <v>1</v>
      </c>
      <c r="B304" s="4">
        <v>2</v>
      </c>
      <c r="D304" s="1">
        <f t="shared" si="4"/>
        <v>32</v>
      </c>
    </row>
    <row r="305" spans="1:4">
      <c r="A305">
        <v>1</v>
      </c>
      <c r="B305" s="4">
        <v>3</v>
      </c>
      <c r="D305" s="1">
        <f t="shared" si="4"/>
        <v>61</v>
      </c>
    </row>
    <row r="306" spans="1:4">
      <c r="A306">
        <v>1</v>
      </c>
      <c r="B306" s="4">
        <v>4</v>
      </c>
      <c r="D306" s="1">
        <f t="shared" si="4"/>
        <v>92</v>
      </c>
    </row>
    <row r="307" spans="1:4">
      <c r="A307">
        <v>1</v>
      </c>
      <c r="B307" s="4">
        <v>5</v>
      </c>
      <c r="D307" s="1">
        <f t="shared" si="4"/>
        <v>122</v>
      </c>
    </row>
    <row r="308" spans="1:4">
      <c r="A308">
        <v>1</v>
      </c>
      <c r="B308" s="4">
        <v>6</v>
      </c>
      <c r="D308" s="1">
        <f t="shared" si="4"/>
        <v>153</v>
      </c>
    </row>
    <row r="309" spans="1:4">
      <c r="A309">
        <v>1</v>
      </c>
      <c r="B309" s="4">
        <v>7</v>
      </c>
      <c r="D309" s="1">
        <f t="shared" si="4"/>
        <v>183</v>
      </c>
    </row>
    <row r="310" spans="1:4">
      <c r="A310">
        <v>1</v>
      </c>
      <c r="B310" s="4">
        <v>8</v>
      </c>
      <c r="D310" s="1">
        <f t="shared" si="4"/>
        <v>214</v>
      </c>
    </row>
    <row r="311" spans="1:4">
      <c r="A311">
        <v>1</v>
      </c>
      <c r="B311" s="4">
        <v>9</v>
      </c>
      <c r="D311" s="1">
        <f t="shared" ref="D311:D374" si="5">DATE(C311,B311,1)</f>
        <v>245</v>
      </c>
    </row>
    <row r="312" spans="1:4">
      <c r="A312">
        <v>1</v>
      </c>
      <c r="B312" s="4">
        <v>10</v>
      </c>
      <c r="D312" s="1">
        <f t="shared" si="5"/>
        <v>275</v>
      </c>
    </row>
    <row r="313" spans="1:4">
      <c r="A313">
        <v>1</v>
      </c>
      <c r="B313" s="4">
        <v>11</v>
      </c>
      <c r="D313" s="1">
        <f t="shared" si="5"/>
        <v>306</v>
      </c>
    </row>
    <row r="314" spans="1:4">
      <c r="A314">
        <v>1</v>
      </c>
      <c r="B314" s="4">
        <v>12</v>
      </c>
      <c r="D314" s="1">
        <f t="shared" si="5"/>
        <v>336</v>
      </c>
    </row>
    <row r="315" spans="1:4">
      <c r="A315">
        <v>1</v>
      </c>
      <c r="B315" s="4">
        <v>1</v>
      </c>
      <c r="D315" s="1">
        <f t="shared" si="5"/>
        <v>1</v>
      </c>
    </row>
    <row r="316" spans="1:4">
      <c r="A316">
        <v>1</v>
      </c>
      <c r="B316" s="4">
        <v>2</v>
      </c>
      <c r="D316" s="1">
        <f t="shared" si="5"/>
        <v>32</v>
      </c>
    </row>
    <row r="317" spans="1:4">
      <c r="A317">
        <v>1</v>
      </c>
      <c r="B317" s="4">
        <v>3</v>
      </c>
      <c r="D317" s="1">
        <f t="shared" si="5"/>
        <v>61</v>
      </c>
    </row>
    <row r="318" spans="1:4">
      <c r="A318">
        <v>1</v>
      </c>
      <c r="B318" s="4">
        <v>4</v>
      </c>
      <c r="D318" s="1">
        <f t="shared" si="5"/>
        <v>92</v>
      </c>
    </row>
    <row r="319" spans="1:4">
      <c r="A319">
        <v>1</v>
      </c>
      <c r="B319" s="4">
        <v>5</v>
      </c>
      <c r="D319" s="1">
        <f t="shared" si="5"/>
        <v>122</v>
      </c>
    </row>
    <row r="320" spans="1:4">
      <c r="A320">
        <v>1</v>
      </c>
      <c r="B320" s="4">
        <v>6</v>
      </c>
      <c r="D320" s="1">
        <f t="shared" si="5"/>
        <v>153</v>
      </c>
    </row>
    <row r="321" spans="1:4">
      <c r="A321">
        <v>1</v>
      </c>
      <c r="B321" s="4">
        <v>7</v>
      </c>
      <c r="D321" s="1">
        <f t="shared" si="5"/>
        <v>183</v>
      </c>
    </row>
    <row r="322" spans="1:4">
      <c r="A322">
        <v>1</v>
      </c>
      <c r="B322" s="4">
        <v>8</v>
      </c>
      <c r="D322" s="1">
        <f t="shared" si="5"/>
        <v>214</v>
      </c>
    </row>
    <row r="323" spans="1:4">
      <c r="A323">
        <v>1</v>
      </c>
      <c r="B323" s="4">
        <v>9</v>
      </c>
      <c r="D323" s="1">
        <f t="shared" si="5"/>
        <v>245</v>
      </c>
    </row>
    <row r="324" spans="1:4">
      <c r="A324">
        <v>1</v>
      </c>
      <c r="B324" s="4">
        <v>10</v>
      </c>
      <c r="D324" s="1">
        <f t="shared" si="5"/>
        <v>275</v>
      </c>
    </row>
    <row r="325" spans="1:4">
      <c r="A325">
        <v>1</v>
      </c>
      <c r="B325" s="4">
        <v>11</v>
      </c>
      <c r="D325" s="1">
        <f t="shared" si="5"/>
        <v>306</v>
      </c>
    </row>
    <row r="326" spans="1:4">
      <c r="A326">
        <v>1</v>
      </c>
      <c r="B326" s="4">
        <v>12</v>
      </c>
      <c r="D326" s="1">
        <f t="shared" si="5"/>
        <v>336</v>
      </c>
    </row>
    <row r="327" spans="1:4">
      <c r="A327">
        <v>1</v>
      </c>
      <c r="B327" s="4">
        <v>1</v>
      </c>
      <c r="D327" s="1">
        <f t="shared" si="5"/>
        <v>1</v>
      </c>
    </row>
    <row r="328" spans="1:4">
      <c r="A328">
        <v>1</v>
      </c>
      <c r="B328" s="4">
        <v>2</v>
      </c>
      <c r="D328" s="1">
        <f t="shared" si="5"/>
        <v>32</v>
      </c>
    </row>
    <row r="329" spans="1:4">
      <c r="A329">
        <v>1</v>
      </c>
      <c r="B329" s="4">
        <v>3</v>
      </c>
      <c r="D329" s="1">
        <f t="shared" si="5"/>
        <v>61</v>
      </c>
    </row>
    <row r="330" spans="1:4">
      <c r="A330">
        <v>1</v>
      </c>
      <c r="B330" s="4">
        <v>4</v>
      </c>
      <c r="D330" s="1">
        <f t="shared" si="5"/>
        <v>92</v>
      </c>
    </row>
    <row r="331" spans="1:4">
      <c r="A331">
        <v>1</v>
      </c>
      <c r="B331" s="4">
        <v>5</v>
      </c>
      <c r="D331" s="1">
        <f t="shared" si="5"/>
        <v>122</v>
      </c>
    </row>
    <row r="332" spans="1:4">
      <c r="A332">
        <v>1</v>
      </c>
      <c r="B332" s="4">
        <v>6</v>
      </c>
      <c r="D332" s="1">
        <f t="shared" si="5"/>
        <v>153</v>
      </c>
    </row>
    <row r="333" spans="1:4">
      <c r="A333">
        <v>1</v>
      </c>
      <c r="B333" s="4">
        <v>7</v>
      </c>
      <c r="D333" s="1">
        <f t="shared" si="5"/>
        <v>183</v>
      </c>
    </row>
    <row r="334" spans="1:4">
      <c r="A334">
        <v>1</v>
      </c>
      <c r="B334" s="4">
        <v>8</v>
      </c>
      <c r="D334" s="1">
        <f t="shared" si="5"/>
        <v>214</v>
      </c>
    </row>
    <row r="335" spans="1:4">
      <c r="A335">
        <v>1</v>
      </c>
      <c r="B335" s="4">
        <v>9</v>
      </c>
      <c r="D335" s="1">
        <f t="shared" si="5"/>
        <v>245</v>
      </c>
    </row>
    <row r="336" spans="1:4">
      <c r="A336">
        <v>1</v>
      </c>
      <c r="B336" s="4">
        <v>10</v>
      </c>
      <c r="D336" s="1">
        <f t="shared" si="5"/>
        <v>275</v>
      </c>
    </row>
    <row r="337" spans="1:4">
      <c r="A337">
        <v>1</v>
      </c>
      <c r="B337" s="4">
        <v>11</v>
      </c>
      <c r="D337" s="1">
        <f t="shared" si="5"/>
        <v>306</v>
      </c>
    </row>
    <row r="338" spans="1:4">
      <c r="A338">
        <v>1</v>
      </c>
      <c r="B338" s="4">
        <v>12</v>
      </c>
      <c r="D338" s="1">
        <f t="shared" si="5"/>
        <v>336</v>
      </c>
    </row>
    <row r="339" spans="1:4">
      <c r="A339">
        <v>1</v>
      </c>
      <c r="B339" s="4">
        <v>1</v>
      </c>
      <c r="D339" s="1">
        <f t="shared" si="5"/>
        <v>1</v>
      </c>
    </row>
    <row r="340" spans="1:4">
      <c r="A340">
        <v>1</v>
      </c>
      <c r="B340" s="4">
        <v>2</v>
      </c>
      <c r="D340" s="1">
        <f t="shared" si="5"/>
        <v>32</v>
      </c>
    </row>
    <row r="341" spans="1:4">
      <c r="A341">
        <v>1</v>
      </c>
      <c r="B341" s="4">
        <v>3</v>
      </c>
      <c r="D341" s="1">
        <f t="shared" si="5"/>
        <v>61</v>
      </c>
    </row>
    <row r="342" spans="1:4">
      <c r="A342">
        <v>1</v>
      </c>
      <c r="B342" s="4">
        <v>4</v>
      </c>
      <c r="D342" s="1">
        <f t="shared" si="5"/>
        <v>92</v>
      </c>
    </row>
    <row r="343" spans="1:4">
      <c r="A343">
        <v>1</v>
      </c>
      <c r="B343" s="4">
        <v>5</v>
      </c>
      <c r="D343" s="1">
        <f t="shared" si="5"/>
        <v>122</v>
      </c>
    </row>
    <row r="344" spans="1:4">
      <c r="A344">
        <v>1</v>
      </c>
      <c r="B344" s="4">
        <v>6</v>
      </c>
      <c r="D344" s="1">
        <f t="shared" si="5"/>
        <v>153</v>
      </c>
    </row>
    <row r="345" spans="1:4">
      <c r="A345">
        <v>1</v>
      </c>
      <c r="B345" s="4">
        <v>7</v>
      </c>
      <c r="D345" s="1">
        <f t="shared" si="5"/>
        <v>183</v>
      </c>
    </row>
    <row r="346" spans="1:4">
      <c r="A346">
        <v>1</v>
      </c>
      <c r="B346" s="4">
        <v>8</v>
      </c>
      <c r="D346" s="1">
        <f t="shared" si="5"/>
        <v>214</v>
      </c>
    </row>
    <row r="347" spans="1:4">
      <c r="A347">
        <v>1</v>
      </c>
      <c r="B347" s="4">
        <v>9</v>
      </c>
      <c r="D347" s="1">
        <f t="shared" si="5"/>
        <v>245</v>
      </c>
    </row>
    <row r="348" spans="1:4">
      <c r="A348">
        <v>1</v>
      </c>
      <c r="B348" s="4">
        <v>10</v>
      </c>
      <c r="D348" s="1">
        <f t="shared" si="5"/>
        <v>275</v>
      </c>
    </row>
    <row r="349" spans="1:4">
      <c r="A349">
        <v>1</v>
      </c>
      <c r="B349" s="4">
        <v>11</v>
      </c>
      <c r="D349" s="1">
        <f t="shared" si="5"/>
        <v>306</v>
      </c>
    </row>
    <row r="350" spans="1:4">
      <c r="A350">
        <v>1</v>
      </c>
      <c r="B350" s="4">
        <v>12</v>
      </c>
      <c r="D350" s="1">
        <f t="shared" si="5"/>
        <v>336</v>
      </c>
    </row>
    <row r="351" spans="1:4">
      <c r="A351">
        <v>1</v>
      </c>
      <c r="B351" s="4">
        <v>1</v>
      </c>
      <c r="D351" s="1">
        <f t="shared" si="5"/>
        <v>1</v>
      </c>
    </row>
    <row r="352" spans="1:4">
      <c r="A352">
        <v>1</v>
      </c>
      <c r="B352" s="4">
        <v>2</v>
      </c>
      <c r="D352" s="1">
        <f t="shared" si="5"/>
        <v>32</v>
      </c>
    </row>
    <row r="353" spans="1:4">
      <c r="A353">
        <v>1</v>
      </c>
      <c r="B353" s="4">
        <v>3</v>
      </c>
      <c r="D353" s="1">
        <f t="shared" si="5"/>
        <v>61</v>
      </c>
    </row>
    <row r="354" spans="1:4">
      <c r="A354">
        <v>1</v>
      </c>
      <c r="B354" s="4">
        <v>4</v>
      </c>
      <c r="D354" s="1">
        <f t="shared" si="5"/>
        <v>92</v>
      </c>
    </row>
    <row r="355" spans="1:4">
      <c r="A355">
        <v>1</v>
      </c>
      <c r="B355" s="4">
        <v>5</v>
      </c>
      <c r="D355" s="1">
        <f t="shared" si="5"/>
        <v>122</v>
      </c>
    </row>
    <row r="356" spans="1:4">
      <c r="A356">
        <v>1</v>
      </c>
      <c r="B356" s="4">
        <v>6</v>
      </c>
      <c r="D356" s="1">
        <f t="shared" si="5"/>
        <v>153</v>
      </c>
    </row>
    <row r="357" spans="1:4">
      <c r="A357">
        <v>1</v>
      </c>
      <c r="B357" s="4">
        <v>7</v>
      </c>
      <c r="D357" s="1">
        <f t="shared" si="5"/>
        <v>183</v>
      </c>
    </row>
    <row r="358" spans="1:4">
      <c r="A358">
        <v>1</v>
      </c>
      <c r="B358" s="4">
        <v>8</v>
      </c>
      <c r="D358" s="1">
        <f t="shared" si="5"/>
        <v>214</v>
      </c>
    </row>
    <row r="359" spans="1:4">
      <c r="A359">
        <v>1</v>
      </c>
      <c r="B359" s="4">
        <v>9</v>
      </c>
      <c r="D359" s="1">
        <f t="shared" si="5"/>
        <v>245</v>
      </c>
    </row>
    <row r="360" spans="1:4">
      <c r="A360">
        <v>1</v>
      </c>
      <c r="B360" s="4">
        <v>10</v>
      </c>
      <c r="D360" s="1">
        <f t="shared" si="5"/>
        <v>275</v>
      </c>
    </row>
    <row r="361" spans="1:4">
      <c r="A361">
        <v>1</v>
      </c>
      <c r="B361" s="4">
        <v>11</v>
      </c>
      <c r="D361" s="1">
        <f t="shared" si="5"/>
        <v>306</v>
      </c>
    </row>
    <row r="362" spans="1:4">
      <c r="A362">
        <v>1</v>
      </c>
      <c r="B362" s="4">
        <v>12</v>
      </c>
      <c r="D362" s="1">
        <f t="shared" si="5"/>
        <v>336</v>
      </c>
    </row>
    <row r="363" spans="1:4">
      <c r="A363">
        <v>1</v>
      </c>
      <c r="B363" s="4">
        <v>1</v>
      </c>
      <c r="D363" s="1">
        <f t="shared" si="5"/>
        <v>1</v>
      </c>
    </row>
    <row r="364" spans="1:4">
      <c r="A364">
        <v>1</v>
      </c>
      <c r="B364" s="4">
        <v>2</v>
      </c>
      <c r="D364" s="1">
        <f t="shared" si="5"/>
        <v>32</v>
      </c>
    </row>
    <row r="365" spans="1:4">
      <c r="A365">
        <v>1</v>
      </c>
      <c r="B365" s="4">
        <v>3</v>
      </c>
      <c r="D365" s="1">
        <f t="shared" si="5"/>
        <v>61</v>
      </c>
    </row>
    <row r="366" spans="1:4">
      <c r="A366">
        <v>1</v>
      </c>
      <c r="B366" s="4">
        <v>4</v>
      </c>
      <c r="D366" s="1">
        <f t="shared" si="5"/>
        <v>92</v>
      </c>
    </row>
    <row r="367" spans="1:4">
      <c r="A367">
        <v>1</v>
      </c>
      <c r="B367" s="4">
        <v>5</v>
      </c>
      <c r="D367" s="1">
        <f t="shared" si="5"/>
        <v>122</v>
      </c>
    </row>
    <row r="368" spans="1:4">
      <c r="A368">
        <v>1</v>
      </c>
      <c r="B368" s="4">
        <v>6</v>
      </c>
      <c r="D368" s="1">
        <f t="shared" si="5"/>
        <v>153</v>
      </c>
    </row>
    <row r="369" spans="1:4">
      <c r="A369">
        <v>1</v>
      </c>
      <c r="B369" s="4">
        <v>7</v>
      </c>
      <c r="D369" s="1">
        <f t="shared" si="5"/>
        <v>183</v>
      </c>
    </row>
    <row r="370" spans="1:4">
      <c r="A370">
        <v>1</v>
      </c>
      <c r="B370" s="4">
        <v>8</v>
      </c>
      <c r="D370" s="1">
        <f t="shared" si="5"/>
        <v>214</v>
      </c>
    </row>
    <row r="371" spans="1:4">
      <c r="A371">
        <v>1</v>
      </c>
      <c r="B371" s="4">
        <v>9</v>
      </c>
      <c r="D371" s="1">
        <f t="shared" si="5"/>
        <v>245</v>
      </c>
    </row>
    <row r="372" spans="1:4">
      <c r="A372">
        <v>1</v>
      </c>
      <c r="B372" s="4">
        <v>10</v>
      </c>
      <c r="D372" s="1">
        <f t="shared" si="5"/>
        <v>275</v>
      </c>
    </row>
    <row r="373" spans="1:4">
      <c r="A373">
        <v>1</v>
      </c>
      <c r="B373" s="4">
        <v>11</v>
      </c>
      <c r="D373" s="1">
        <f t="shared" si="5"/>
        <v>306</v>
      </c>
    </row>
    <row r="374" spans="1:4">
      <c r="A374">
        <v>1</v>
      </c>
      <c r="B374" s="4">
        <v>12</v>
      </c>
      <c r="D374" s="1">
        <f t="shared" si="5"/>
        <v>336</v>
      </c>
    </row>
    <row r="375" spans="1:4">
      <c r="A375">
        <v>1</v>
      </c>
      <c r="B375" s="4">
        <v>1</v>
      </c>
      <c r="D375" s="1">
        <f t="shared" ref="D375:D438" si="6">DATE(C375,B375,1)</f>
        <v>1</v>
      </c>
    </row>
    <row r="376" spans="1:4">
      <c r="A376">
        <v>1</v>
      </c>
      <c r="B376" s="4">
        <v>2</v>
      </c>
      <c r="D376" s="1">
        <f t="shared" si="6"/>
        <v>32</v>
      </c>
    </row>
    <row r="377" spans="1:4">
      <c r="A377">
        <v>1</v>
      </c>
      <c r="B377" s="4">
        <v>3</v>
      </c>
      <c r="D377" s="1">
        <f t="shared" si="6"/>
        <v>61</v>
      </c>
    </row>
    <row r="378" spans="1:4">
      <c r="A378">
        <v>1</v>
      </c>
      <c r="B378" s="4">
        <v>4</v>
      </c>
      <c r="D378" s="1">
        <f t="shared" si="6"/>
        <v>92</v>
      </c>
    </row>
    <row r="379" spans="1:4">
      <c r="A379">
        <v>1</v>
      </c>
      <c r="B379" s="4">
        <v>5</v>
      </c>
      <c r="D379" s="1">
        <f t="shared" si="6"/>
        <v>122</v>
      </c>
    </row>
    <row r="380" spans="1:4">
      <c r="A380">
        <v>1</v>
      </c>
      <c r="B380" s="4">
        <v>6</v>
      </c>
      <c r="D380" s="1">
        <f t="shared" si="6"/>
        <v>153</v>
      </c>
    </row>
    <row r="381" spans="1:4">
      <c r="A381">
        <v>1</v>
      </c>
      <c r="B381" s="4">
        <v>7</v>
      </c>
      <c r="D381" s="1">
        <f t="shared" si="6"/>
        <v>183</v>
      </c>
    </row>
    <row r="382" spans="1:4">
      <c r="A382">
        <v>1</v>
      </c>
      <c r="B382" s="4">
        <v>8</v>
      </c>
      <c r="D382" s="1">
        <f t="shared" si="6"/>
        <v>214</v>
      </c>
    </row>
    <row r="383" spans="1:4">
      <c r="A383">
        <v>1</v>
      </c>
      <c r="B383" s="4">
        <v>9</v>
      </c>
      <c r="D383" s="1">
        <f t="shared" si="6"/>
        <v>245</v>
      </c>
    </row>
    <row r="384" spans="1:4">
      <c r="A384">
        <v>1</v>
      </c>
      <c r="B384" s="4">
        <v>10</v>
      </c>
      <c r="D384" s="1">
        <f t="shared" si="6"/>
        <v>275</v>
      </c>
    </row>
    <row r="385" spans="1:4">
      <c r="A385">
        <v>1</v>
      </c>
      <c r="B385" s="4">
        <v>11</v>
      </c>
      <c r="D385" s="1">
        <f t="shared" si="6"/>
        <v>306</v>
      </c>
    </row>
    <row r="386" spans="1:4">
      <c r="A386">
        <v>1</v>
      </c>
      <c r="B386" s="4">
        <v>12</v>
      </c>
      <c r="D386" s="1">
        <f t="shared" si="6"/>
        <v>336</v>
      </c>
    </row>
    <row r="387" spans="1:4">
      <c r="A387">
        <v>1</v>
      </c>
      <c r="B387" s="4">
        <v>1</v>
      </c>
      <c r="D387" s="1">
        <f t="shared" si="6"/>
        <v>1</v>
      </c>
    </row>
    <row r="388" spans="1:4">
      <c r="A388">
        <v>1</v>
      </c>
      <c r="B388" s="4">
        <v>2</v>
      </c>
      <c r="D388" s="1">
        <f t="shared" si="6"/>
        <v>32</v>
      </c>
    </row>
    <row r="389" spans="1:4">
      <c r="A389">
        <v>1</v>
      </c>
      <c r="B389" s="4">
        <v>3</v>
      </c>
      <c r="D389" s="1">
        <f t="shared" si="6"/>
        <v>61</v>
      </c>
    </row>
    <row r="390" spans="1:4">
      <c r="A390">
        <v>1</v>
      </c>
      <c r="B390" s="4">
        <v>4</v>
      </c>
      <c r="D390" s="1">
        <f t="shared" si="6"/>
        <v>92</v>
      </c>
    </row>
    <row r="391" spans="1:4">
      <c r="A391">
        <v>1</v>
      </c>
      <c r="B391" s="4">
        <v>5</v>
      </c>
      <c r="D391" s="1">
        <f t="shared" si="6"/>
        <v>122</v>
      </c>
    </row>
    <row r="392" spans="1:4">
      <c r="A392">
        <v>1</v>
      </c>
      <c r="B392" s="4">
        <v>6</v>
      </c>
      <c r="D392" s="1">
        <f t="shared" si="6"/>
        <v>153</v>
      </c>
    </row>
    <row r="393" spans="1:4">
      <c r="A393">
        <v>1</v>
      </c>
      <c r="B393" s="4">
        <v>7</v>
      </c>
      <c r="D393" s="1">
        <f t="shared" si="6"/>
        <v>183</v>
      </c>
    </row>
    <row r="394" spans="1:4">
      <c r="A394">
        <v>1</v>
      </c>
      <c r="B394" s="4">
        <v>8</v>
      </c>
      <c r="D394" s="1">
        <f t="shared" si="6"/>
        <v>214</v>
      </c>
    </row>
    <row r="395" spans="1:4">
      <c r="A395">
        <v>1</v>
      </c>
      <c r="B395" s="4">
        <v>9</v>
      </c>
      <c r="D395" s="1">
        <f t="shared" si="6"/>
        <v>245</v>
      </c>
    </row>
    <row r="396" spans="1:4">
      <c r="A396">
        <v>1</v>
      </c>
      <c r="B396" s="4">
        <v>10</v>
      </c>
      <c r="D396" s="1">
        <f t="shared" si="6"/>
        <v>275</v>
      </c>
    </row>
    <row r="397" spans="1:4">
      <c r="A397">
        <v>1</v>
      </c>
      <c r="B397" s="4">
        <v>11</v>
      </c>
      <c r="D397" s="1">
        <f t="shared" si="6"/>
        <v>306</v>
      </c>
    </row>
    <row r="398" spans="1:4">
      <c r="A398">
        <v>1</v>
      </c>
      <c r="B398" s="4">
        <v>12</v>
      </c>
      <c r="D398" s="1">
        <f t="shared" si="6"/>
        <v>336</v>
      </c>
    </row>
    <row r="399" spans="1:4">
      <c r="A399">
        <v>1</v>
      </c>
      <c r="B399" s="4">
        <v>1</v>
      </c>
      <c r="D399" s="1">
        <f t="shared" si="6"/>
        <v>1</v>
      </c>
    </row>
    <row r="400" spans="1:4">
      <c r="A400">
        <v>1</v>
      </c>
      <c r="B400" s="4">
        <v>2</v>
      </c>
      <c r="D400" s="1">
        <f t="shared" si="6"/>
        <v>32</v>
      </c>
    </row>
    <row r="401" spans="1:4">
      <c r="A401">
        <v>1</v>
      </c>
      <c r="B401" s="4">
        <v>3</v>
      </c>
      <c r="D401" s="1">
        <f t="shared" si="6"/>
        <v>61</v>
      </c>
    </row>
    <row r="402" spans="1:4">
      <c r="A402">
        <v>1</v>
      </c>
      <c r="B402" s="4">
        <v>4</v>
      </c>
      <c r="D402" s="1">
        <f t="shared" si="6"/>
        <v>92</v>
      </c>
    </row>
    <row r="403" spans="1:4">
      <c r="A403">
        <v>1</v>
      </c>
      <c r="B403" s="4">
        <v>5</v>
      </c>
      <c r="D403" s="1">
        <f t="shared" si="6"/>
        <v>122</v>
      </c>
    </row>
    <row r="404" spans="1:4">
      <c r="A404">
        <v>1</v>
      </c>
      <c r="B404" s="4">
        <v>6</v>
      </c>
      <c r="D404" s="1">
        <f t="shared" si="6"/>
        <v>153</v>
      </c>
    </row>
    <row r="405" spans="1:4">
      <c r="A405">
        <v>1</v>
      </c>
      <c r="B405" s="4">
        <v>7</v>
      </c>
      <c r="D405" s="1">
        <f t="shared" si="6"/>
        <v>183</v>
      </c>
    </row>
    <row r="406" spans="1:4">
      <c r="A406">
        <v>1</v>
      </c>
      <c r="B406" s="4">
        <v>8</v>
      </c>
      <c r="D406" s="1">
        <f t="shared" si="6"/>
        <v>214</v>
      </c>
    </row>
    <row r="407" spans="1:4">
      <c r="A407">
        <v>1</v>
      </c>
      <c r="B407" s="4">
        <v>9</v>
      </c>
      <c r="D407" s="1">
        <f t="shared" si="6"/>
        <v>245</v>
      </c>
    </row>
    <row r="408" spans="1:4">
      <c r="A408">
        <v>1</v>
      </c>
      <c r="B408" s="4">
        <v>10</v>
      </c>
      <c r="D408" s="1">
        <f t="shared" si="6"/>
        <v>275</v>
      </c>
    </row>
    <row r="409" spans="1:4">
      <c r="A409">
        <v>1</v>
      </c>
      <c r="B409" s="4">
        <v>11</v>
      </c>
      <c r="D409" s="1">
        <f t="shared" si="6"/>
        <v>306</v>
      </c>
    </row>
    <row r="410" spans="1:4">
      <c r="A410">
        <v>1</v>
      </c>
      <c r="B410" s="4">
        <v>12</v>
      </c>
      <c r="D410" s="1">
        <f t="shared" si="6"/>
        <v>336</v>
      </c>
    </row>
    <row r="411" spans="1:4">
      <c r="A411">
        <v>1</v>
      </c>
      <c r="B411" s="4">
        <v>1</v>
      </c>
      <c r="D411" s="1">
        <f t="shared" si="6"/>
        <v>1</v>
      </c>
    </row>
    <row r="412" spans="1:4">
      <c r="A412">
        <v>1</v>
      </c>
      <c r="B412" s="4">
        <v>2</v>
      </c>
      <c r="D412" s="1">
        <f t="shared" si="6"/>
        <v>32</v>
      </c>
    </row>
    <row r="413" spans="1:4">
      <c r="A413">
        <v>1</v>
      </c>
      <c r="B413" s="4">
        <v>3</v>
      </c>
      <c r="D413" s="1">
        <f t="shared" si="6"/>
        <v>61</v>
      </c>
    </row>
    <row r="414" spans="1:4">
      <c r="A414">
        <v>1</v>
      </c>
      <c r="B414" s="4">
        <v>4</v>
      </c>
      <c r="D414" s="1">
        <f t="shared" si="6"/>
        <v>92</v>
      </c>
    </row>
    <row r="415" spans="1:4">
      <c r="A415">
        <v>1</v>
      </c>
      <c r="B415" s="4">
        <v>5</v>
      </c>
      <c r="D415" s="1">
        <f t="shared" si="6"/>
        <v>122</v>
      </c>
    </row>
    <row r="416" spans="1:4">
      <c r="A416">
        <v>1</v>
      </c>
      <c r="B416" s="4">
        <v>6</v>
      </c>
      <c r="D416" s="1">
        <f t="shared" si="6"/>
        <v>153</v>
      </c>
    </row>
    <row r="417" spans="1:4">
      <c r="A417">
        <v>1</v>
      </c>
      <c r="B417" s="4">
        <v>7</v>
      </c>
      <c r="D417" s="1">
        <f t="shared" si="6"/>
        <v>183</v>
      </c>
    </row>
    <row r="418" spans="1:4">
      <c r="A418">
        <v>1</v>
      </c>
      <c r="B418" s="4">
        <v>8</v>
      </c>
      <c r="D418" s="1">
        <f t="shared" si="6"/>
        <v>214</v>
      </c>
    </row>
    <row r="419" spans="1:4">
      <c r="A419">
        <v>1</v>
      </c>
      <c r="B419" s="4">
        <v>9</v>
      </c>
      <c r="D419" s="1">
        <f t="shared" si="6"/>
        <v>245</v>
      </c>
    </row>
    <row r="420" spans="1:4">
      <c r="A420">
        <v>1</v>
      </c>
      <c r="B420" s="4">
        <v>10</v>
      </c>
      <c r="D420" s="1">
        <f t="shared" si="6"/>
        <v>275</v>
      </c>
    </row>
    <row r="421" spans="1:4">
      <c r="A421">
        <v>1</v>
      </c>
      <c r="B421" s="4">
        <v>11</v>
      </c>
      <c r="D421" s="1">
        <f t="shared" si="6"/>
        <v>306</v>
      </c>
    </row>
    <row r="422" spans="1:4">
      <c r="A422">
        <v>1</v>
      </c>
      <c r="B422" s="4">
        <v>12</v>
      </c>
      <c r="D422" s="1">
        <f t="shared" si="6"/>
        <v>336</v>
      </c>
    </row>
    <row r="423" spans="1:4">
      <c r="A423">
        <v>1</v>
      </c>
      <c r="B423" s="4">
        <v>1</v>
      </c>
      <c r="D423" s="1">
        <f t="shared" si="6"/>
        <v>1</v>
      </c>
    </row>
    <row r="424" spans="1:4">
      <c r="A424">
        <v>1</v>
      </c>
      <c r="B424" s="4">
        <v>2</v>
      </c>
      <c r="D424" s="1">
        <f t="shared" si="6"/>
        <v>32</v>
      </c>
    </row>
    <row r="425" spans="1:4">
      <c r="A425">
        <v>1</v>
      </c>
      <c r="B425" s="4">
        <v>3</v>
      </c>
      <c r="D425" s="1">
        <f t="shared" si="6"/>
        <v>61</v>
      </c>
    </row>
    <row r="426" spans="1:4">
      <c r="A426">
        <v>1</v>
      </c>
      <c r="B426" s="4">
        <v>4</v>
      </c>
      <c r="D426" s="1">
        <f t="shared" si="6"/>
        <v>92</v>
      </c>
    </row>
    <row r="427" spans="1:4">
      <c r="A427">
        <v>1</v>
      </c>
      <c r="B427" s="4">
        <v>5</v>
      </c>
      <c r="D427" s="1">
        <f t="shared" si="6"/>
        <v>122</v>
      </c>
    </row>
    <row r="428" spans="1:4">
      <c r="A428">
        <v>1</v>
      </c>
      <c r="B428" s="4">
        <v>6</v>
      </c>
      <c r="D428" s="1">
        <f t="shared" si="6"/>
        <v>153</v>
      </c>
    </row>
    <row r="429" spans="1:4">
      <c r="A429">
        <v>1</v>
      </c>
      <c r="B429" s="4">
        <v>7</v>
      </c>
      <c r="D429" s="1">
        <f t="shared" si="6"/>
        <v>183</v>
      </c>
    </row>
    <row r="430" spans="1:4">
      <c r="A430">
        <v>1</v>
      </c>
      <c r="B430" s="4">
        <v>8</v>
      </c>
      <c r="D430" s="1">
        <f t="shared" si="6"/>
        <v>214</v>
      </c>
    </row>
    <row r="431" spans="1:4">
      <c r="A431">
        <v>1</v>
      </c>
      <c r="B431" s="4">
        <v>9</v>
      </c>
      <c r="D431" s="1">
        <f t="shared" si="6"/>
        <v>245</v>
      </c>
    </row>
    <row r="432" spans="1:4">
      <c r="A432">
        <v>1</v>
      </c>
      <c r="B432" s="4">
        <v>10</v>
      </c>
      <c r="D432" s="1">
        <f t="shared" si="6"/>
        <v>275</v>
      </c>
    </row>
    <row r="433" spans="1:4">
      <c r="A433">
        <v>1</v>
      </c>
      <c r="B433" s="4">
        <v>11</v>
      </c>
      <c r="D433" s="1">
        <f t="shared" si="6"/>
        <v>306</v>
      </c>
    </row>
    <row r="434" spans="1:4">
      <c r="A434">
        <v>1</v>
      </c>
      <c r="B434" s="4">
        <v>12</v>
      </c>
      <c r="D434" s="1">
        <f t="shared" si="6"/>
        <v>336</v>
      </c>
    </row>
    <row r="435" spans="1:4">
      <c r="A435">
        <v>1</v>
      </c>
      <c r="B435" s="4">
        <v>1</v>
      </c>
      <c r="D435" s="1">
        <f t="shared" si="6"/>
        <v>1</v>
      </c>
    </row>
    <row r="436" spans="1:4">
      <c r="A436">
        <v>1</v>
      </c>
      <c r="B436" s="4">
        <v>2</v>
      </c>
      <c r="D436" s="1">
        <f t="shared" si="6"/>
        <v>32</v>
      </c>
    </row>
    <row r="437" spans="1:4">
      <c r="A437">
        <v>1</v>
      </c>
      <c r="B437" s="4">
        <v>3</v>
      </c>
      <c r="D437" s="1">
        <f t="shared" si="6"/>
        <v>61</v>
      </c>
    </row>
    <row r="438" spans="1:4">
      <c r="A438">
        <v>1</v>
      </c>
      <c r="B438" s="4">
        <v>4</v>
      </c>
      <c r="D438" s="1">
        <f t="shared" si="6"/>
        <v>92</v>
      </c>
    </row>
    <row r="439" spans="1:4">
      <c r="A439">
        <v>1</v>
      </c>
      <c r="B439" s="4">
        <v>5</v>
      </c>
      <c r="D439" s="1">
        <f t="shared" ref="D439:D502" si="7">DATE(C439,B439,1)</f>
        <v>122</v>
      </c>
    </row>
    <row r="440" spans="1:4">
      <c r="A440">
        <v>1</v>
      </c>
      <c r="B440" s="4">
        <v>6</v>
      </c>
      <c r="D440" s="1">
        <f t="shared" si="7"/>
        <v>153</v>
      </c>
    </row>
    <row r="441" spans="1:4">
      <c r="A441">
        <v>1</v>
      </c>
      <c r="B441" s="4">
        <v>7</v>
      </c>
      <c r="D441" s="1">
        <f t="shared" si="7"/>
        <v>183</v>
      </c>
    </row>
    <row r="442" spans="1:4">
      <c r="A442">
        <v>1</v>
      </c>
      <c r="B442" s="4">
        <v>8</v>
      </c>
      <c r="D442" s="1">
        <f t="shared" si="7"/>
        <v>214</v>
      </c>
    </row>
    <row r="443" spans="1:4">
      <c r="A443">
        <v>1</v>
      </c>
      <c r="B443" s="4">
        <v>9</v>
      </c>
      <c r="D443" s="1">
        <f t="shared" si="7"/>
        <v>245</v>
      </c>
    </row>
    <row r="444" spans="1:4">
      <c r="A444">
        <v>1</v>
      </c>
      <c r="B444" s="4">
        <v>10</v>
      </c>
      <c r="D444" s="1">
        <f t="shared" si="7"/>
        <v>275</v>
      </c>
    </row>
    <row r="445" spans="1:4">
      <c r="A445">
        <v>1</v>
      </c>
      <c r="B445" s="4">
        <v>11</v>
      </c>
      <c r="D445" s="1">
        <f t="shared" si="7"/>
        <v>306</v>
      </c>
    </row>
    <row r="446" spans="1:4">
      <c r="A446">
        <v>1</v>
      </c>
      <c r="B446" s="4">
        <v>12</v>
      </c>
      <c r="D446" s="1">
        <f t="shared" si="7"/>
        <v>336</v>
      </c>
    </row>
    <row r="447" spans="1:4">
      <c r="A447">
        <v>1</v>
      </c>
      <c r="B447" s="4">
        <v>1</v>
      </c>
      <c r="D447" s="1">
        <f t="shared" si="7"/>
        <v>1</v>
      </c>
    </row>
    <row r="448" spans="1:4">
      <c r="A448">
        <v>1</v>
      </c>
      <c r="B448" s="4">
        <v>2</v>
      </c>
      <c r="D448" s="1">
        <f t="shared" si="7"/>
        <v>32</v>
      </c>
    </row>
    <row r="449" spans="1:4">
      <c r="A449">
        <v>1</v>
      </c>
      <c r="B449" s="4">
        <v>3</v>
      </c>
      <c r="D449" s="1">
        <f t="shared" si="7"/>
        <v>61</v>
      </c>
    </row>
    <row r="450" spans="1:4">
      <c r="A450">
        <v>1</v>
      </c>
      <c r="B450" s="4">
        <v>4</v>
      </c>
      <c r="D450" s="1">
        <f t="shared" si="7"/>
        <v>92</v>
      </c>
    </row>
    <row r="451" spans="1:4">
      <c r="A451">
        <v>1</v>
      </c>
      <c r="B451" s="4">
        <v>5</v>
      </c>
      <c r="D451" s="1">
        <f t="shared" si="7"/>
        <v>122</v>
      </c>
    </row>
    <row r="452" spans="1:4">
      <c r="A452">
        <v>1</v>
      </c>
      <c r="B452" s="4">
        <v>6</v>
      </c>
      <c r="D452" s="1">
        <f t="shared" si="7"/>
        <v>153</v>
      </c>
    </row>
    <row r="453" spans="1:4">
      <c r="A453">
        <v>1</v>
      </c>
      <c r="B453" s="4">
        <v>7</v>
      </c>
      <c r="D453" s="1">
        <f t="shared" si="7"/>
        <v>183</v>
      </c>
    </row>
    <row r="454" spans="1:4">
      <c r="A454">
        <v>1</v>
      </c>
      <c r="B454" s="4">
        <v>8</v>
      </c>
      <c r="D454" s="1">
        <f t="shared" si="7"/>
        <v>214</v>
      </c>
    </row>
    <row r="455" spans="1:4">
      <c r="A455">
        <v>1</v>
      </c>
      <c r="B455" s="4">
        <v>9</v>
      </c>
      <c r="D455" s="1">
        <f t="shared" si="7"/>
        <v>245</v>
      </c>
    </row>
    <row r="456" spans="1:4">
      <c r="A456">
        <v>1</v>
      </c>
      <c r="B456" s="4">
        <v>10</v>
      </c>
      <c r="D456" s="1">
        <f t="shared" si="7"/>
        <v>275</v>
      </c>
    </row>
    <row r="457" spans="1:4">
      <c r="A457">
        <v>1</v>
      </c>
      <c r="B457" s="4">
        <v>11</v>
      </c>
      <c r="D457" s="1">
        <f t="shared" si="7"/>
        <v>306</v>
      </c>
    </row>
    <row r="458" spans="1:4">
      <c r="A458">
        <v>1</v>
      </c>
      <c r="B458" s="4">
        <v>12</v>
      </c>
      <c r="D458" s="1">
        <f t="shared" si="7"/>
        <v>336</v>
      </c>
    </row>
    <row r="459" spans="1:4">
      <c r="A459">
        <v>1</v>
      </c>
      <c r="B459" s="4"/>
      <c r="D459" s="1" t="e">
        <f t="shared" si="7"/>
        <v>#NUM!</v>
      </c>
    </row>
    <row r="460" spans="1:4">
      <c r="A460">
        <v>1</v>
      </c>
      <c r="B460" s="4"/>
      <c r="D460" s="1" t="e">
        <f t="shared" si="7"/>
        <v>#NUM!</v>
      </c>
    </row>
    <row r="461" spans="1:4">
      <c r="A461">
        <v>1</v>
      </c>
      <c r="B461" s="4"/>
      <c r="D461" s="1" t="e">
        <f t="shared" si="7"/>
        <v>#NUM!</v>
      </c>
    </row>
    <row r="462" spans="1:4">
      <c r="A462">
        <v>1</v>
      </c>
      <c r="B462" s="4"/>
      <c r="D462" s="1" t="e">
        <f t="shared" si="7"/>
        <v>#NUM!</v>
      </c>
    </row>
    <row r="463" spans="1:4">
      <c r="A463">
        <v>1</v>
      </c>
      <c r="B463" s="4"/>
      <c r="D463" s="1" t="e">
        <f t="shared" si="7"/>
        <v>#NUM!</v>
      </c>
    </row>
    <row r="464" spans="1:4">
      <c r="A464">
        <v>1</v>
      </c>
      <c r="B464" s="4"/>
      <c r="D464" s="1" t="e">
        <f t="shared" si="7"/>
        <v>#NUM!</v>
      </c>
    </row>
    <row r="465" spans="1:4">
      <c r="A465">
        <v>1</v>
      </c>
      <c r="B465" s="4"/>
      <c r="D465" s="1" t="e">
        <f t="shared" si="7"/>
        <v>#NUM!</v>
      </c>
    </row>
    <row r="466" spans="1:4">
      <c r="A466">
        <v>1</v>
      </c>
      <c r="B466" s="4"/>
      <c r="D466" s="1" t="e">
        <f t="shared" si="7"/>
        <v>#NUM!</v>
      </c>
    </row>
    <row r="467" spans="1:4">
      <c r="A467">
        <v>1</v>
      </c>
      <c r="B467" s="4"/>
      <c r="D467" s="1" t="e">
        <f t="shared" si="7"/>
        <v>#NUM!</v>
      </c>
    </row>
    <row r="468" spans="1:4">
      <c r="A468">
        <v>1</v>
      </c>
      <c r="B468" s="4"/>
      <c r="D468" s="1" t="e">
        <f t="shared" si="7"/>
        <v>#NUM!</v>
      </c>
    </row>
    <row r="469" spans="1:4">
      <c r="A469">
        <v>1</v>
      </c>
      <c r="B469" s="4"/>
      <c r="D469" s="1" t="e">
        <f t="shared" si="7"/>
        <v>#NUM!</v>
      </c>
    </row>
    <row r="470" spans="1:4">
      <c r="A470">
        <v>1</v>
      </c>
      <c r="B470" s="4"/>
      <c r="D470" s="1" t="e">
        <f t="shared" si="7"/>
        <v>#NUM!</v>
      </c>
    </row>
    <row r="471" spans="1:4">
      <c r="A471">
        <v>1</v>
      </c>
      <c r="B471" s="4"/>
      <c r="D471" s="1" t="e">
        <f t="shared" si="7"/>
        <v>#NUM!</v>
      </c>
    </row>
    <row r="472" spans="1:4">
      <c r="A472">
        <v>1</v>
      </c>
      <c r="B472" s="4"/>
      <c r="D472" s="1" t="e">
        <f t="shared" si="7"/>
        <v>#NUM!</v>
      </c>
    </row>
    <row r="473" spans="1:4">
      <c r="A473">
        <v>1</v>
      </c>
      <c r="B473" s="4"/>
      <c r="D473" s="1" t="e">
        <f t="shared" si="7"/>
        <v>#NUM!</v>
      </c>
    </row>
    <row r="474" spans="1:4">
      <c r="A474">
        <v>1</v>
      </c>
      <c r="B474" s="4"/>
      <c r="D474" s="1" t="e">
        <f t="shared" si="7"/>
        <v>#NUM!</v>
      </c>
    </row>
    <row r="475" spans="1:4">
      <c r="A475">
        <v>1</v>
      </c>
      <c r="B475" s="4"/>
      <c r="D475" s="1" t="e">
        <f t="shared" si="7"/>
        <v>#NUM!</v>
      </c>
    </row>
    <row r="476" spans="1:4">
      <c r="A476">
        <v>1</v>
      </c>
      <c r="B476" s="4"/>
      <c r="D476" s="1" t="e">
        <f t="shared" si="7"/>
        <v>#NUM!</v>
      </c>
    </row>
    <row r="477" spans="1:4">
      <c r="A477">
        <v>1</v>
      </c>
      <c r="B477" s="4"/>
      <c r="D477" s="1" t="e">
        <f t="shared" si="7"/>
        <v>#NUM!</v>
      </c>
    </row>
    <row r="478" spans="1:4">
      <c r="A478">
        <v>1</v>
      </c>
      <c r="B478" s="4"/>
      <c r="D478" s="1" t="e">
        <f t="shared" si="7"/>
        <v>#NUM!</v>
      </c>
    </row>
    <row r="479" spans="1:4">
      <c r="A479">
        <v>1</v>
      </c>
      <c r="B479" s="4"/>
      <c r="D479" s="1" t="e">
        <f t="shared" si="7"/>
        <v>#NUM!</v>
      </c>
    </row>
    <row r="480" spans="1:4">
      <c r="A480">
        <v>1</v>
      </c>
      <c r="B480" s="4"/>
      <c r="D480" s="1" t="e">
        <f t="shared" si="7"/>
        <v>#NUM!</v>
      </c>
    </row>
    <row r="481" spans="1:4">
      <c r="A481">
        <v>1</v>
      </c>
      <c r="B481" s="4"/>
      <c r="D481" s="1" t="e">
        <f t="shared" si="7"/>
        <v>#NUM!</v>
      </c>
    </row>
    <row r="482" spans="1:4">
      <c r="A482">
        <v>1</v>
      </c>
      <c r="B482" s="4"/>
      <c r="D482" s="1" t="e">
        <f t="shared" si="7"/>
        <v>#NUM!</v>
      </c>
    </row>
    <row r="483" spans="1:4">
      <c r="A483">
        <v>1</v>
      </c>
      <c r="B483" s="4"/>
      <c r="D483" s="1" t="e">
        <f t="shared" si="7"/>
        <v>#NUM!</v>
      </c>
    </row>
    <row r="484" spans="1:4">
      <c r="A484">
        <v>1</v>
      </c>
      <c r="B484" s="4"/>
      <c r="D484" s="1" t="e">
        <f t="shared" si="7"/>
        <v>#NUM!</v>
      </c>
    </row>
    <row r="485" spans="1:4">
      <c r="A485">
        <v>1</v>
      </c>
      <c r="B485" s="4"/>
      <c r="D485" s="1" t="e">
        <f t="shared" si="7"/>
        <v>#NUM!</v>
      </c>
    </row>
    <row r="486" spans="1:4">
      <c r="A486">
        <v>1</v>
      </c>
      <c r="B486" s="4"/>
      <c r="D486" s="1" t="e">
        <f t="shared" si="7"/>
        <v>#NUM!</v>
      </c>
    </row>
    <row r="487" spans="1:4">
      <c r="A487">
        <v>1</v>
      </c>
      <c r="B487" s="4"/>
      <c r="D487" s="1" t="e">
        <f t="shared" si="7"/>
        <v>#NUM!</v>
      </c>
    </row>
    <row r="488" spans="1:4">
      <c r="A488">
        <v>1</v>
      </c>
      <c r="B488" s="4"/>
      <c r="D488" s="1" t="e">
        <f t="shared" si="7"/>
        <v>#NUM!</v>
      </c>
    </row>
    <row r="489" spans="1:4">
      <c r="A489">
        <v>1</v>
      </c>
      <c r="B489" s="4"/>
      <c r="D489" s="1" t="e">
        <f t="shared" si="7"/>
        <v>#NUM!</v>
      </c>
    </row>
    <row r="490" spans="1:4">
      <c r="A490">
        <v>1</v>
      </c>
      <c r="B490" s="4"/>
      <c r="D490" s="1" t="e">
        <f t="shared" si="7"/>
        <v>#NUM!</v>
      </c>
    </row>
    <row r="491" spans="1:4">
      <c r="A491">
        <v>1</v>
      </c>
      <c r="B491" s="4"/>
      <c r="D491" s="1" t="e">
        <f t="shared" si="7"/>
        <v>#NUM!</v>
      </c>
    </row>
    <row r="492" spans="1:4">
      <c r="A492">
        <v>1</v>
      </c>
      <c r="B492" s="4"/>
      <c r="D492" s="1" t="e">
        <f t="shared" si="7"/>
        <v>#NUM!</v>
      </c>
    </row>
    <row r="493" spans="1:4">
      <c r="A493">
        <v>1</v>
      </c>
      <c r="B493" s="4"/>
      <c r="D493" s="1" t="e">
        <f t="shared" si="7"/>
        <v>#NUM!</v>
      </c>
    </row>
    <row r="494" spans="1:4">
      <c r="A494">
        <v>1</v>
      </c>
      <c r="B494" s="4"/>
      <c r="D494" s="1" t="e">
        <f t="shared" si="7"/>
        <v>#NUM!</v>
      </c>
    </row>
    <row r="495" spans="1:4">
      <c r="A495">
        <v>1</v>
      </c>
      <c r="B495" s="4"/>
      <c r="D495" s="1" t="e">
        <f t="shared" si="7"/>
        <v>#NUM!</v>
      </c>
    </row>
    <row r="496" spans="1:4">
      <c r="A496">
        <v>1</v>
      </c>
      <c r="B496" s="4"/>
      <c r="D496" s="1" t="e">
        <f t="shared" si="7"/>
        <v>#NUM!</v>
      </c>
    </row>
    <row r="497" spans="1:4">
      <c r="A497">
        <v>1</v>
      </c>
      <c r="B497" s="4"/>
      <c r="D497" s="1" t="e">
        <f t="shared" si="7"/>
        <v>#NUM!</v>
      </c>
    </row>
    <row r="498" spans="1:4">
      <c r="A498">
        <v>1</v>
      </c>
      <c r="B498" s="4"/>
      <c r="D498" s="1" t="e">
        <f t="shared" si="7"/>
        <v>#NUM!</v>
      </c>
    </row>
    <row r="499" spans="1:4">
      <c r="A499">
        <v>1</v>
      </c>
      <c r="B499" s="4"/>
      <c r="D499" s="1" t="e">
        <f t="shared" si="7"/>
        <v>#NUM!</v>
      </c>
    </row>
    <row r="500" spans="1:4">
      <c r="A500">
        <v>1</v>
      </c>
      <c r="B500" s="4"/>
      <c r="D500" s="1" t="e">
        <f t="shared" si="7"/>
        <v>#NUM!</v>
      </c>
    </row>
    <row r="501" spans="1:4">
      <c r="A501">
        <v>1</v>
      </c>
      <c r="B501" s="4"/>
      <c r="D501" s="1" t="e">
        <f t="shared" si="7"/>
        <v>#NUM!</v>
      </c>
    </row>
    <row r="502" spans="1:4">
      <c r="A502">
        <v>1</v>
      </c>
      <c r="B502" s="4"/>
      <c r="D502" s="1" t="e">
        <f t="shared" si="7"/>
        <v>#NUM!</v>
      </c>
    </row>
    <row r="503" spans="1:4">
      <c r="A503">
        <v>1</v>
      </c>
      <c r="B503" s="4"/>
      <c r="D503" s="1" t="e">
        <f t="shared" ref="D503:D566" si="8">DATE(C503,B503,1)</f>
        <v>#NUM!</v>
      </c>
    </row>
    <row r="504" spans="1:4">
      <c r="A504">
        <v>1</v>
      </c>
      <c r="B504" s="4"/>
      <c r="D504" s="1" t="e">
        <f t="shared" si="8"/>
        <v>#NUM!</v>
      </c>
    </row>
    <row r="505" spans="1:4">
      <c r="A505">
        <v>1</v>
      </c>
      <c r="B505" s="4"/>
      <c r="D505" s="1" t="e">
        <f t="shared" si="8"/>
        <v>#NUM!</v>
      </c>
    </row>
    <row r="506" spans="1:4">
      <c r="A506">
        <v>1</v>
      </c>
      <c r="B506" s="4"/>
      <c r="D506" s="1" t="e">
        <f t="shared" si="8"/>
        <v>#NUM!</v>
      </c>
    </row>
    <row r="507" spans="1:4">
      <c r="A507">
        <v>1</v>
      </c>
      <c r="B507" s="4"/>
      <c r="D507" s="1" t="e">
        <f t="shared" si="8"/>
        <v>#NUM!</v>
      </c>
    </row>
    <row r="508" spans="1:4">
      <c r="A508">
        <v>1</v>
      </c>
      <c r="B508" s="4"/>
      <c r="D508" s="1" t="e">
        <f t="shared" si="8"/>
        <v>#NUM!</v>
      </c>
    </row>
    <row r="509" spans="1:4">
      <c r="A509">
        <v>1</v>
      </c>
      <c r="B509" s="4"/>
      <c r="D509" s="1" t="e">
        <f t="shared" si="8"/>
        <v>#NUM!</v>
      </c>
    </row>
    <row r="510" spans="1:4">
      <c r="A510">
        <v>1</v>
      </c>
      <c r="B510" s="4"/>
      <c r="D510" s="1" t="e">
        <f t="shared" si="8"/>
        <v>#NUM!</v>
      </c>
    </row>
    <row r="511" spans="1:4">
      <c r="A511">
        <v>1</v>
      </c>
      <c r="B511" s="4"/>
      <c r="D511" s="1" t="e">
        <f t="shared" si="8"/>
        <v>#NUM!</v>
      </c>
    </row>
    <row r="512" spans="1:4">
      <c r="A512">
        <v>1</v>
      </c>
      <c r="B512" s="4"/>
      <c r="D512" s="1" t="e">
        <f t="shared" si="8"/>
        <v>#NUM!</v>
      </c>
    </row>
    <row r="513" spans="1:4">
      <c r="A513">
        <v>1</v>
      </c>
      <c r="B513" s="4"/>
      <c r="D513" s="1" t="e">
        <f t="shared" si="8"/>
        <v>#NUM!</v>
      </c>
    </row>
    <row r="514" spans="1:4">
      <c r="A514">
        <v>1</v>
      </c>
      <c r="B514" s="4"/>
      <c r="D514" s="1" t="e">
        <f t="shared" si="8"/>
        <v>#NUM!</v>
      </c>
    </row>
    <row r="515" spans="1:4">
      <c r="A515">
        <v>1</v>
      </c>
      <c r="B515" s="4"/>
      <c r="D515" s="1" t="e">
        <f t="shared" si="8"/>
        <v>#NUM!</v>
      </c>
    </row>
    <row r="516" spans="1:4">
      <c r="A516">
        <v>1</v>
      </c>
      <c r="B516" s="4"/>
      <c r="D516" s="1" t="e">
        <f t="shared" si="8"/>
        <v>#NUM!</v>
      </c>
    </row>
    <row r="517" spans="1:4">
      <c r="A517">
        <v>1</v>
      </c>
      <c r="B517" s="4"/>
      <c r="D517" s="1" t="e">
        <f t="shared" si="8"/>
        <v>#NUM!</v>
      </c>
    </row>
    <row r="518" spans="1:4">
      <c r="A518">
        <v>1</v>
      </c>
      <c r="B518" s="4"/>
      <c r="D518" s="1" t="e">
        <f t="shared" si="8"/>
        <v>#NUM!</v>
      </c>
    </row>
    <row r="519" spans="1:4">
      <c r="A519">
        <v>1</v>
      </c>
      <c r="B519" s="4"/>
      <c r="D519" s="1" t="e">
        <f t="shared" si="8"/>
        <v>#NUM!</v>
      </c>
    </row>
    <row r="520" spans="1:4">
      <c r="A520">
        <v>1</v>
      </c>
      <c r="B520" s="4"/>
      <c r="D520" s="1" t="e">
        <f t="shared" si="8"/>
        <v>#NUM!</v>
      </c>
    </row>
    <row r="521" spans="1:4">
      <c r="A521">
        <v>1</v>
      </c>
      <c r="B521" s="4"/>
      <c r="D521" s="1" t="e">
        <f t="shared" si="8"/>
        <v>#NUM!</v>
      </c>
    </row>
    <row r="522" spans="1:4">
      <c r="A522">
        <v>1</v>
      </c>
      <c r="B522" s="4"/>
      <c r="D522" s="1" t="e">
        <f t="shared" si="8"/>
        <v>#NUM!</v>
      </c>
    </row>
    <row r="523" spans="1:4">
      <c r="A523">
        <v>1</v>
      </c>
      <c r="B523" s="4"/>
      <c r="D523" s="1" t="e">
        <f t="shared" si="8"/>
        <v>#NUM!</v>
      </c>
    </row>
    <row r="524" spans="1:4">
      <c r="A524">
        <v>1</v>
      </c>
      <c r="B524" s="4"/>
      <c r="D524" s="1" t="e">
        <f t="shared" si="8"/>
        <v>#NUM!</v>
      </c>
    </row>
    <row r="525" spans="1:4">
      <c r="A525">
        <v>1</v>
      </c>
      <c r="B525" s="4"/>
      <c r="D525" s="1" t="e">
        <f t="shared" si="8"/>
        <v>#NUM!</v>
      </c>
    </row>
    <row r="526" spans="1:4">
      <c r="A526">
        <v>1</v>
      </c>
      <c r="B526" s="4"/>
      <c r="D526" s="1" t="e">
        <f t="shared" si="8"/>
        <v>#NUM!</v>
      </c>
    </row>
    <row r="527" spans="1:4">
      <c r="A527">
        <v>1</v>
      </c>
      <c r="B527" s="4"/>
      <c r="D527" s="1" t="e">
        <f t="shared" si="8"/>
        <v>#NUM!</v>
      </c>
    </row>
    <row r="528" spans="1:4">
      <c r="A528">
        <v>1</v>
      </c>
      <c r="B528" s="4"/>
      <c r="D528" s="1" t="e">
        <f t="shared" si="8"/>
        <v>#NUM!</v>
      </c>
    </row>
    <row r="529" spans="1:4">
      <c r="A529">
        <v>1</v>
      </c>
      <c r="B529" s="4"/>
      <c r="D529" s="1" t="e">
        <f t="shared" si="8"/>
        <v>#NUM!</v>
      </c>
    </row>
    <row r="530" spans="1:4">
      <c r="A530">
        <v>1</v>
      </c>
      <c r="B530" s="4"/>
      <c r="D530" s="1" t="e">
        <f t="shared" si="8"/>
        <v>#NUM!</v>
      </c>
    </row>
    <row r="531" spans="1:4">
      <c r="A531">
        <v>1</v>
      </c>
      <c r="B531" s="4"/>
      <c r="D531" s="1" t="e">
        <f t="shared" si="8"/>
        <v>#NUM!</v>
      </c>
    </row>
    <row r="532" spans="1:4">
      <c r="A532">
        <v>1</v>
      </c>
      <c r="B532" s="4"/>
      <c r="D532" s="1" t="e">
        <f t="shared" si="8"/>
        <v>#NUM!</v>
      </c>
    </row>
    <row r="533" spans="1:4">
      <c r="A533">
        <v>1</v>
      </c>
      <c r="B533" s="4"/>
      <c r="D533" s="1" t="e">
        <f t="shared" si="8"/>
        <v>#NUM!</v>
      </c>
    </row>
    <row r="534" spans="1:4">
      <c r="A534">
        <v>1</v>
      </c>
      <c r="B534" s="4"/>
      <c r="D534" s="1" t="e">
        <f t="shared" si="8"/>
        <v>#NUM!</v>
      </c>
    </row>
    <row r="535" spans="1:4">
      <c r="A535">
        <v>1</v>
      </c>
      <c r="B535" s="4"/>
      <c r="D535" s="1" t="e">
        <f t="shared" si="8"/>
        <v>#NUM!</v>
      </c>
    </row>
    <row r="536" spans="1:4">
      <c r="A536">
        <v>1</v>
      </c>
      <c r="B536" s="4"/>
      <c r="D536" s="1" t="e">
        <f t="shared" si="8"/>
        <v>#NUM!</v>
      </c>
    </row>
    <row r="537" spans="1:4">
      <c r="A537">
        <v>1</v>
      </c>
      <c r="B537" s="4"/>
      <c r="D537" s="1" t="e">
        <f t="shared" si="8"/>
        <v>#NUM!</v>
      </c>
    </row>
    <row r="538" spans="1:4">
      <c r="A538">
        <v>1</v>
      </c>
      <c r="B538" s="4"/>
      <c r="D538" s="1" t="e">
        <f t="shared" si="8"/>
        <v>#NUM!</v>
      </c>
    </row>
    <row r="539" spans="1:4">
      <c r="A539">
        <v>1</v>
      </c>
      <c r="B539" s="4"/>
      <c r="D539" s="1" t="e">
        <f t="shared" si="8"/>
        <v>#NUM!</v>
      </c>
    </row>
    <row r="540" spans="1:4">
      <c r="A540">
        <v>1</v>
      </c>
      <c r="B540" s="4"/>
      <c r="D540" s="1" t="e">
        <f t="shared" si="8"/>
        <v>#NUM!</v>
      </c>
    </row>
    <row r="541" spans="1:4">
      <c r="A541">
        <v>1</v>
      </c>
      <c r="B541" s="4"/>
      <c r="D541" s="1" t="e">
        <f t="shared" si="8"/>
        <v>#NUM!</v>
      </c>
    </row>
    <row r="542" spans="1:4">
      <c r="A542">
        <v>1</v>
      </c>
      <c r="B542" s="4"/>
      <c r="D542" s="1" t="e">
        <f t="shared" si="8"/>
        <v>#NUM!</v>
      </c>
    </row>
    <row r="543" spans="1:4">
      <c r="A543">
        <v>1</v>
      </c>
      <c r="B543" s="4"/>
      <c r="D543" s="1" t="e">
        <f t="shared" si="8"/>
        <v>#NUM!</v>
      </c>
    </row>
    <row r="544" spans="1:4">
      <c r="A544">
        <v>1</v>
      </c>
      <c r="B544" s="4"/>
      <c r="D544" s="1" t="e">
        <f t="shared" si="8"/>
        <v>#NUM!</v>
      </c>
    </row>
    <row r="545" spans="1:4">
      <c r="A545">
        <v>1</v>
      </c>
      <c r="B545" s="4"/>
      <c r="D545" s="1" t="e">
        <f t="shared" si="8"/>
        <v>#NUM!</v>
      </c>
    </row>
    <row r="546" spans="1:4">
      <c r="A546">
        <v>1</v>
      </c>
      <c r="B546" s="4"/>
      <c r="D546" s="1" t="e">
        <f t="shared" si="8"/>
        <v>#NUM!</v>
      </c>
    </row>
    <row r="547" spans="1:4">
      <c r="A547">
        <v>1</v>
      </c>
      <c r="B547" s="4"/>
      <c r="D547" s="1" t="e">
        <f t="shared" si="8"/>
        <v>#NUM!</v>
      </c>
    </row>
    <row r="548" spans="1:4">
      <c r="A548">
        <v>1</v>
      </c>
      <c r="B548" s="4"/>
      <c r="D548" s="1" t="e">
        <f t="shared" si="8"/>
        <v>#NUM!</v>
      </c>
    </row>
    <row r="549" spans="1:4">
      <c r="A549">
        <v>1</v>
      </c>
      <c r="B549" s="4"/>
      <c r="D549" s="1" t="e">
        <f t="shared" si="8"/>
        <v>#NUM!</v>
      </c>
    </row>
    <row r="550" spans="1:4">
      <c r="A550">
        <v>1</v>
      </c>
      <c r="B550" s="4"/>
      <c r="D550" s="1" t="e">
        <f t="shared" si="8"/>
        <v>#NUM!</v>
      </c>
    </row>
    <row r="551" spans="1:4">
      <c r="A551">
        <v>1</v>
      </c>
      <c r="B551" s="4"/>
      <c r="D551" s="1" t="e">
        <f t="shared" si="8"/>
        <v>#NUM!</v>
      </c>
    </row>
    <row r="552" spans="1:4">
      <c r="A552">
        <v>1</v>
      </c>
      <c r="B552" s="4"/>
      <c r="D552" s="1" t="e">
        <f t="shared" si="8"/>
        <v>#NUM!</v>
      </c>
    </row>
    <row r="553" spans="1:4">
      <c r="A553">
        <v>1</v>
      </c>
      <c r="B553" s="4"/>
      <c r="D553" s="1" t="e">
        <f t="shared" si="8"/>
        <v>#NUM!</v>
      </c>
    </row>
    <row r="554" spans="1:4">
      <c r="A554">
        <v>1</v>
      </c>
      <c r="B554" s="4"/>
      <c r="D554" s="1" t="e">
        <f t="shared" si="8"/>
        <v>#NUM!</v>
      </c>
    </row>
    <row r="555" spans="1:4">
      <c r="A555">
        <v>1</v>
      </c>
      <c r="B555" s="4"/>
      <c r="D555" s="1" t="e">
        <f t="shared" si="8"/>
        <v>#NUM!</v>
      </c>
    </row>
    <row r="556" spans="1:4">
      <c r="A556">
        <v>1</v>
      </c>
      <c r="B556" s="4"/>
      <c r="D556" s="1" t="e">
        <f t="shared" si="8"/>
        <v>#NUM!</v>
      </c>
    </row>
    <row r="557" spans="1:4">
      <c r="A557">
        <v>1</v>
      </c>
      <c r="B557" s="4"/>
      <c r="D557" s="1" t="e">
        <f t="shared" si="8"/>
        <v>#NUM!</v>
      </c>
    </row>
    <row r="558" spans="1:4">
      <c r="A558">
        <v>1</v>
      </c>
      <c r="B558" s="4"/>
      <c r="D558" s="1" t="e">
        <f t="shared" si="8"/>
        <v>#NUM!</v>
      </c>
    </row>
    <row r="559" spans="1:4">
      <c r="A559">
        <v>1</v>
      </c>
      <c r="B559" s="4"/>
      <c r="D559" s="1" t="e">
        <f t="shared" si="8"/>
        <v>#NUM!</v>
      </c>
    </row>
    <row r="560" spans="1:4">
      <c r="A560">
        <v>1</v>
      </c>
      <c r="B560" s="4"/>
      <c r="D560" s="1" t="e">
        <f t="shared" si="8"/>
        <v>#NUM!</v>
      </c>
    </row>
    <row r="561" spans="1:4">
      <c r="A561">
        <v>1</v>
      </c>
      <c r="B561" s="4"/>
      <c r="D561" s="1" t="e">
        <f t="shared" si="8"/>
        <v>#NUM!</v>
      </c>
    </row>
    <row r="562" spans="1:4">
      <c r="A562">
        <v>1</v>
      </c>
      <c r="B562" s="4"/>
      <c r="D562" s="1" t="e">
        <f t="shared" si="8"/>
        <v>#NUM!</v>
      </c>
    </row>
    <row r="563" spans="1:4">
      <c r="A563">
        <v>1</v>
      </c>
      <c r="B563" s="4"/>
      <c r="D563" s="1" t="e">
        <f t="shared" si="8"/>
        <v>#NUM!</v>
      </c>
    </row>
    <row r="564" spans="1:4">
      <c r="A564">
        <v>1</v>
      </c>
      <c r="B564" s="4"/>
      <c r="D564" s="1" t="e">
        <f t="shared" si="8"/>
        <v>#NUM!</v>
      </c>
    </row>
    <row r="565" spans="1:4">
      <c r="A565">
        <v>1</v>
      </c>
      <c r="B565" s="4"/>
      <c r="D565" s="1" t="e">
        <f t="shared" si="8"/>
        <v>#NUM!</v>
      </c>
    </row>
    <row r="566" spans="1:4">
      <c r="A566">
        <v>1</v>
      </c>
      <c r="B566" s="4"/>
      <c r="D566" s="1" t="e">
        <f t="shared" si="8"/>
        <v>#NUM!</v>
      </c>
    </row>
    <row r="567" spans="1:4">
      <c r="A567">
        <v>1</v>
      </c>
      <c r="B567" s="4"/>
      <c r="D567" s="1" t="e">
        <f t="shared" ref="D567:D630" si="9">DATE(C567,B567,1)</f>
        <v>#NUM!</v>
      </c>
    </row>
    <row r="568" spans="1:4">
      <c r="A568">
        <v>1</v>
      </c>
      <c r="B568" s="4"/>
      <c r="D568" s="1" t="e">
        <f t="shared" si="9"/>
        <v>#NUM!</v>
      </c>
    </row>
    <row r="569" spans="1:4">
      <c r="A569">
        <v>1</v>
      </c>
      <c r="B569" s="4"/>
      <c r="D569" s="1" t="e">
        <f t="shared" si="9"/>
        <v>#NUM!</v>
      </c>
    </row>
    <row r="570" spans="1:4">
      <c r="A570">
        <v>1</v>
      </c>
      <c r="B570" s="4"/>
      <c r="D570" s="1" t="e">
        <f t="shared" si="9"/>
        <v>#NUM!</v>
      </c>
    </row>
    <row r="571" spans="1:4">
      <c r="A571">
        <v>1</v>
      </c>
      <c r="B571" s="4"/>
      <c r="D571" s="1" t="e">
        <f t="shared" si="9"/>
        <v>#NUM!</v>
      </c>
    </row>
    <row r="572" spans="1:4">
      <c r="A572">
        <v>1</v>
      </c>
      <c r="B572" s="4"/>
      <c r="D572" s="1" t="e">
        <f t="shared" si="9"/>
        <v>#NUM!</v>
      </c>
    </row>
    <row r="573" spans="1:4">
      <c r="A573">
        <v>1</v>
      </c>
      <c r="B573" s="4"/>
      <c r="D573" s="1" t="e">
        <f t="shared" si="9"/>
        <v>#NUM!</v>
      </c>
    </row>
    <row r="574" spans="1:4">
      <c r="A574">
        <v>1</v>
      </c>
      <c r="B574" s="4"/>
      <c r="D574" s="1" t="e">
        <f t="shared" si="9"/>
        <v>#NUM!</v>
      </c>
    </row>
    <row r="575" spans="1:4">
      <c r="A575">
        <v>1</v>
      </c>
      <c r="B575" s="4"/>
      <c r="D575" s="1" t="e">
        <f t="shared" si="9"/>
        <v>#NUM!</v>
      </c>
    </row>
    <row r="576" spans="1:4">
      <c r="A576">
        <v>1</v>
      </c>
      <c r="B576" s="4"/>
      <c r="D576" s="1" t="e">
        <f t="shared" si="9"/>
        <v>#NUM!</v>
      </c>
    </row>
    <row r="577" spans="1:4">
      <c r="A577">
        <v>1</v>
      </c>
      <c r="B577" s="4"/>
      <c r="D577" s="1" t="e">
        <f t="shared" si="9"/>
        <v>#NUM!</v>
      </c>
    </row>
    <row r="578" spans="1:4">
      <c r="A578">
        <v>1</v>
      </c>
      <c r="B578" s="4"/>
      <c r="D578" s="1" t="e">
        <f t="shared" si="9"/>
        <v>#NUM!</v>
      </c>
    </row>
    <row r="579" spans="1:4">
      <c r="A579">
        <v>1</v>
      </c>
      <c r="B579" s="4"/>
      <c r="D579" s="1" t="e">
        <f t="shared" si="9"/>
        <v>#NUM!</v>
      </c>
    </row>
    <row r="580" spans="1:4">
      <c r="A580">
        <v>1</v>
      </c>
      <c r="B580" s="4"/>
      <c r="D580" s="1" t="e">
        <f t="shared" si="9"/>
        <v>#NUM!</v>
      </c>
    </row>
    <row r="581" spans="1:4">
      <c r="A581">
        <v>1</v>
      </c>
      <c r="B581" s="4"/>
      <c r="D581" s="1" t="e">
        <f t="shared" si="9"/>
        <v>#NUM!</v>
      </c>
    </row>
    <row r="582" spans="1:4">
      <c r="A582">
        <v>1</v>
      </c>
      <c r="B582" s="4"/>
      <c r="D582" s="1" t="e">
        <f t="shared" si="9"/>
        <v>#NUM!</v>
      </c>
    </row>
    <row r="583" spans="1:4">
      <c r="A583">
        <v>1</v>
      </c>
      <c r="B583" s="4"/>
      <c r="D583" s="1" t="e">
        <f t="shared" si="9"/>
        <v>#NUM!</v>
      </c>
    </row>
    <row r="584" spans="1:4">
      <c r="A584">
        <v>1</v>
      </c>
      <c r="B584" s="4"/>
      <c r="D584" s="1" t="e">
        <f t="shared" si="9"/>
        <v>#NUM!</v>
      </c>
    </row>
    <row r="585" spans="1:4">
      <c r="A585">
        <v>1</v>
      </c>
      <c r="B585" s="4"/>
      <c r="D585" s="1" t="e">
        <f t="shared" si="9"/>
        <v>#NUM!</v>
      </c>
    </row>
    <row r="586" spans="1:4">
      <c r="A586">
        <v>1</v>
      </c>
      <c r="B586" s="4"/>
      <c r="D586" s="1" t="e">
        <f t="shared" si="9"/>
        <v>#NUM!</v>
      </c>
    </row>
    <row r="587" spans="1:4">
      <c r="A587">
        <v>1</v>
      </c>
      <c r="B587" s="4"/>
      <c r="D587" s="1" t="e">
        <f t="shared" si="9"/>
        <v>#NUM!</v>
      </c>
    </row>
    <row r="588" spans="1:4">
      <c r="A588">
        <v>1</v>
      </c>
      <c r="B588" s="4"/>
      <c r="D588" s="1" t="e">
        <f t="shared" si="9"/>
        <v>#NUM!</v>
      </c>
    </row>
    <row r="589" spans="1:4">
      <c r="A589">
        <v>1</v>
      </c>
      <c r="B589" s="4"/>
      <c r="D589" s="1" t="e">
        <f t="shared" si="9"/>
        <v>#NUM!</v>
      </c>
    </row>
    <row r="590" spans="1:4">
      <c r="A590">
        <v>1</v>
      </c>
      <c r="B590" s="4"/>
      <c r="D590" s="1" t="e">
        <f t="shared" si="9"/>
        <v>#NUM!</v>
      </c>
    </row>
    <row r="591" spans="1:4">
      <c r="A591">
        <v>1</v>
      </c>
      <c r="B591" s="4"/>
      <c r="D591" s="1" t="e">
        <f t="shared" si="9"/>
        <v>#NUM!</v>
      </c>
    </row>
    <row r="592" spans="1:4">
      <c r="A592">
        <v>1</v>
      </c>
      <c r="B592" s="4"/>
      <c r="D592" s="1" t="e">
        <f t="shared" si="9"/>
        <v>#NUM!</v>
      </c>
    </row>
    <row r="593" spans="1:4">
      <c r="A593">
        <v>1</v>
      </c>
      <c r="B593" s="4"/>
      <c r="D593" s="1" t="e">
        <f t="shared" si="9"/>
        <v>#NUM!</v>
      </c>
    </row>
    <row r="594" spans="1:4">
      <c r="A594">
        <v>1</v>
      </c>
      <c r="B594" s="4"/>
      <c r="D594" s="1" t="e">
        <f t="shared" si="9"/>
        <v>#NUM!</v>
      </c>
    </row>
    <row r="595" spans="1:4">
      <c r="A595">
        <v>1</v>
      </c>
      <c r="B595" s="4"/>
      <c r="D595" s="1" t="e">
        <f t="shared" si="9"/>
        <v>#NUM!</v>
      </c>
    </row>
    <row r="596" spans="1:4">
      <c r="A596">
        <v>1</v>
      </c>
      <c r="B596" s="4"/>
      <c r="D596" s="1" t="e">
        <f t="shared" si="9"/>
        <v>#NUM!</v>
      </c>
    </row>
    <row r="597" spans="1:4">
      <c r="A597">
        <v>1</v>
      </c>
      <c r="B597" s="4"/>
      <c r="D597" s="1" t="e">
        <f t="shared" si="9"/>
        <v>#NUM!</v>
      </c>
    </row>
    <row r="598" spans="1:4">
      <c r="A598">
        <v>1</v>
      </c>
      <c r="B598" s="4"/>
      <c r="D598" s="1" t="e">
        <f t="shared" si="9"/>
        <v>#NUM!</v>
      </c>
    </row>
    <row r="599" spans="1:4">
      <c r="A599">
        <v>1</v>
      </c>
      <c r="B599" s="4"/>
      <c r="D599" s="1" t="e">
        <f t="shared" si="9"/>
        <v>#NUM!</v>
      </c>
    </row>
    <row r="600" spans="1:4">
      <c r="A600">
        <v>1</v>
      </c>
      <c r="B600" s="4"/>
      <c r="D600" s="1" t="e">
        <f t="shared" si="9"/>
        <v>#NUM!</v>
      </c>
    </row>
    <row r="601" spans="1:4">
      <c r="A601">
        <v>1</v>
      </c>
      <c r="B601" s="4"/>
      <c r="D601" s="1" t="e">
        <f t="shared" si="9"/>
        <v>#NUM!</v>
      </c>
    </row>
    <row r="602" spans="1:4">
      <c r="A602">
        <v>1</v>
      </c>
      <c r="B602" s="4"/>
      <c r="D602" s="1" t="e">
        <f t="shared" si="9"/>
        <v>#NUM!</v>
      </c>
    </row>
    <row r="603" spans="1:4">
      <c r="A603">
        <v>1</v>
      </c>
      <c r="B603" s="4"/>
      <c r="D603" s="1" t="e">
        <f t="shared" si="9"/>
        <v>#NUM!</v>
      </c>
    </row>
    <row r="604" spans="1:4">
      <c r="A604">
        <v>1</v>
      </c>
      <c r="B604" s="4"/>
      <c r="D604" s="1" t="e">
        <f t="shared" si="9"/>
        <v>#NUM!</v>
      </c>
    </row>
    <row r="605" spans="1:4">
      <c r="A605">
        <v>1</v>
      </c>
      <c r="B605" s="4"/>
      <c r="D605" s="1" t="e">
        <f t="shared" si="9"/>
        <v>#NUM!</v>
      </c>
    </row>
    <row r="606" spans="1:4">
      <c r="A606">
        <v>1</v>
      </c>
      <c r="B606" s="4"/>
      <c r="D606" s="1" t="e">
        <f t="shared" si="9"/>
        <v>#NUM!</v>
      </c>
    </row>
    <row r="607" spans="1:4">
      <c r="A607">
        <v>1</v>
      </c>
      <c r="B607" s="4"/>
      <c r="D607" s="1" t="e">
        <f t="shared" si="9"/>
        <v>#NUM!</v>
      </c>
    </row>
    <row r="608" spans="1:4">
      <c r="A608">
        <v>1</v>
      </c>
      <c r="B608" s="4"/>
      <c r="D608" s="1" t="e">
        <f t="shared" si="9"/>
        <v>#NUM!</v>
      </c>
    </row>
    <row r="609" spans="1:4">
      <c r="A609">
        <v>1</v>
      </c>
      <c r="B609" s="4"/>
      <c r="D609" s="1" t="e">
        <f t="shared" si="9"/>
        <v>#NUM!</v>
      </c>
    </row>
    <row r="610" spans="1:4">
      <c r="A610">
        <v>1</v>
      </c>
      <c r="B610" s="4"/>
      <c r="D610" s="1" t="e">
        <f t="shared" si="9"/>
        <v>#NUM!</v>
      </c>
    </row>
    <row r="611" spans="1:4">
      <c r="A611">
        <v>1</v>
      </c>
      <c r="B611" s="4"/>
      <c r="D611" s="1" t="e">
        <f t="shared" si="9"/>
        <v>#NUM!</v>
      </c>
    </row>
    <row r="612" spans="1:4">
      <c r="A612">
        <v>1</v>
      </c>
      <c r="B612" s="4"/>
      <c r="D612" s="1" t="e">
        <f t="shared" si="9"/>
        <v>#NUM!</v>
      </c>
    </row>
    <row r="613" spans="1:4">
      <c r="A613">
        <v>1</v>
      </c>
      <c r="B613" s="4"/>
      <c r="D613" s="1" t="e">
        <f t="shared" si="9"/>
        <v>#NUM!</v>
      </c>
    </row>
    <row r="614" spans="1:4">
      <c r="A614">
        <v>1</v>
      </c>
      <c r="B614" s="4"/>
      <c r="D614" s="1" t="e">
        <f t="shared" si="9"/>
        <v>#NUM!</v>
      </c>
    </row>
    <row r="615" spans="1:4">
      <c r="A615">
        <v>1</v>
      </c>
      <c r="B615" s="4"/>
      <c r="D615" s="1" t="e">
        <f t="shared" si="9"/>
        <v>#NUM!</v>
      </c>
    </row>
    <row r="616" spans="1:4">
      <c r="A616">
        <v>1</v>
      </c>
      <c r="B616" s="4"/>
      <c r="D616" s="1" t="e">
        <f t="shared" si="9"/>
        <v>#NUM!</v>
      </c>
    </row>
    <row r="617" spans="1:4">
      <c r="A617">
        <v>1</v>
      </c>
      <c r="B617" s="4"/>
      <c r="D617" s="1" t="e">
        <f t="shared" si="9"/>
        <v>#NUM!</v>
      </c>
    </row>
    <row r="618" spans="1:4">
      <c r="A618">
        <v>1</v>
      </c>
      <c r="B618" s="4"/>
      <c r="D618" s="1" t="e">
        <f t="shared" si="9"/>
        <v>#NUM!</v>
      </c>
    </row>
    <row r="619" spans="1:4">
      <c r="A619">
        <v>1</v>
      </c>
      <c r="B619" s="4"/>
      <c r="D619" s="1" t="e">
        <f t="shared" si="9"/>
        <v>#NUM!</v>
      </c>
    </row>
    <row r="620" spans="1:4">
      <c r="A620">
        <v>1</v>
      </c>
      <c r="B620" s="4"/>
      <c r="D620" s="1" t="e">
        <f t="shared" si="9"/>
        <v>#NUM!</v>
      </c>
    </row>
    <row r="621" spans="1:4">
      <c r="A621">
        <v>1</v>
      </c>
      <c r="B621" s="4"/>
      <c r="D621" s="1" t="e">
        <f t="shared" si="9"/>
        <v>#NUM!</v>
      </c>
    </row>
    <row r="622" spans="1:4">
      <c r="A622">
        <v>1</v>
      </c>
      <c r="B622" s="4"/>
      <c r="D622" s="1" t="e">
        <f t="shared" si="9"/>
        <v>#NUM!</v>
      </c>
    </row>
    <row r="623" spans="1:4">
      <c r="A623">
        <v>1</v>
      </c>
      <c r="B623" s="4"/>
      <c r="D623" s="1" t="e">
        <f t="shared" si="9"/>
        <v>#NUM!</v>
      </c>
    </row>
    <row r="624" spans="1:4">
      <c r="A624">
        <v>1</v>
      </c>
      <c r="B624" s="4"/>
      <c r="D624" s="1" t="e">
        <f t="shared" si="9"/>
        <v>#NUM!</v>
      </c>
    </row>
    <row r="625" spans="1:4">
      <c r="A625">
        <v>1</v>
      </c>
      <c r="B625" s="4"/>
      <c r="D625" s="1" t="e">
        <f t="shared" si="9"/>
        <v>#NUM!</v>
      </c>
    </row>
    <row r="626" spans="1:4">
      <c r="A626">
        <v>1</v>
      </c>
      <c r="B626" s="4"/>
      <c r="D626" s="1" t="e">
        <f t="shared" si="9"/>
        <v>#NUM!</v>
      </c>
    </row>
    <row r="627" spans="1:4">
      <c r="A627">
        <v>1</v>
      </c>
      <c r="B627" s="4"/>
      <c r="D627" s="1" t="e">
        <f t="shared" si="9"/>
        <v>#NUM!</v>
      </c>
    </row>
    <row r="628" spans="1:4">
      <c r="A628">
        <v>1</v>
      </c>
      <c r="B628" s="4"/>
      <c r="D628" s="1" t="e">
        <f t="shared" si="9"/>
        <v>#NUM!</v>
      </c>
    </row>
    <row r="629" spans="1:4">
      <c r="A629">
        <v>1</v>
      </c>
      <c r="B629" s="4"/>
      <c r="D629" s="1" t="e">
        <f t="shared" si="9"/>
        <v>#NUM!</v>
      </c>
    </row>
    <row r="630" spans="1:4">
      <c r="A630">
        <v>1</v>
      </c>
      <c r="B630" s="4"/>
      <c r="D630" s="1" t="e">
        <f t="shared" si="9"/>
        <v>#NUM!</v>
      </c>
    </row>
    <row r="631" spans="1:4">
      <c r="A631">
        <v>1</v>
      </c>
      <c r="B631" s="4"/>
      <c r="D631" s="1" t="e">
        <f t="shared" ref="D631:D694" si="10">DATE(C631,B631,1)</f>
        <v>#NUM!</v>
      </c>
    </row>
    <row r="632" spans="1:4">
      <c r="A632">
        <v>1</v>
      </c>
      <c r="B632" s="4"/>
      <c r="D632" s="1" t="e">
        <f t="shared" si="10"/>
        <v>#NUM!</v>
      </c>
    </row>
    <row r="633" spans="1:4">
      <c r="A633">
        <v>1</v>
      </c>
      <c r="B633" s="4"/>
      <c r="D633" s="1" t="e">
        <f t="shared" si="10"/>
        <v>#NUM!</v>
      </c>
    </row>
    <row r="634" spans="1:4">
      <c r="A634">
        <v>1</v>
      </c>
      <c r="B634" s="4"/>
      <c r="D634" s="1" t="e">
        <f t="shared" si="10"/>
        <v>#NUM!</v>
      </c>
    </row>
    <row r="635" spans="1:4">
      <c r="A635">
        <v>1</v>
      </c>
      <c r="B635" s="4"/>
      <c r="D635" s="1" t="e">
        <f t="shared" si="10"/>
        <v>#NUM!</v>
      </c>
    </row>
    <row r="636" spans="1:4">
      <c r="A636">
        <v>1</v>
      </c>
      <c r="B636" s="4"/>
      <c r="D636" s="1" t="e">
        <f t="shared" si="10"/>
        <v>#NUM!</v>
      </c>
    </row>
    <row r="637" spans="1:4">
      <c r="A637">
        <v>1</v>
      </c>
      <c r="B637" s="4"/>
      <c r="D637" s="1" t="e">
        <f t="shared" si="10"/>
        <v>#NUM!</v>
      </c>
    </row>
    <row r="638" spans="1:4">
      <c r="A638">
        <v>1</v>
      </c>
      <c r="B638" s="4"/>
      <c r="D638" s="1" t="e">
        <f t="shared" si="10"/>
        <v>#NUM!</v>
      </c>
    </row>
    <row r="639" spans="1:4">
      <c r="A639">
        <v>1</v>
      </c>
      <c r="B639" s="4"/>
      <c r="D639" s="1" t="e">
        <f t="shared" si="10"/>
        <v>#NUM!</v>
      </c>
    </row>
    <row r="640" spans="1:4">
      <c r="A640">
        <v>1</v>
      </c>
      <c r="B640" s="4"/>
      <c r="D640" s="1" t="e">
        <f t="shared" si="10"/>
        <v>#NUM!</v>
      </c>
    </row>
    <row r="641" spans="1:4">
      <c r="A641">
        <v>1</v>
      </c>
      <c r="B641" s="4"/>
      <c r="D641" s="1" t="e">
        <f t="shared" si="10"/>
        <v>#NUM!</v>
      </c>
    </row>
    <row r="642" spans="1:4">
      <c r="A642">
        <v>1</v>
      </c>
      <c r="B642" s="4"/>
      <c r="D642" s="1" t="e">
        <f t="shared" si="10"/>
        <v>#NUM!</v>
      </c>
    </row>
    <row r="643" spans="1:4">
      <c r="A643">
        <v>1</v>
      </c>
      <c r="B643" s="4"/>
      <c r="D643" s="1" t="e">
        <f t="shared" si="10"/>
        <v>#NUM!</v>
      </c>
    </row>
    <row r="644" spans="1:4">
      <c r="A644">
        <v>1</v>
      </c>
      <c r="B644" s="4"/>
      <c r="D644" s="1" t="e">
        <f t="shared" si="10"/>
        <v>#NUM!</v>
      </c>
    </row>
    <row r="645" spans="1:4">
      <c r="A645">
        <v>1</v>
      </c>
      <c r="B645" s="4"/>
      <c r="D645" s="1" t="e">
        <f t="shared" si="10"/>
        <v>#NUM!</v>
      </c>
    </row>
    <row r="646" spans="1:4">
      <c r="A646">
        <v>1</v>
      </c>
      <c r="B646" s="4"/>
      <c r="D646" s="1" t="e">
        <f t="shared" si="10"/>
        <v>#NUM!</v>
      </c>
    </row>
    <row r="647" spans="1:4">
      <c r="A647">
        <v>1</v>
      </c>
      <c r="B647" s="4"/>
      <c r="D647" s="1" t="e">
        <f t="shared" si="10"/>
        <v>#NUM!</v>
      </c>
    </row>
    <row r="648" spans="1:4">
      <c r="A648">
        <v>1</v>
      </c>
      <c r="B648" s="4"/>
      <c r="D648" s="1" t="e">
        <f t="shared" si="10"/>
        <v>#NUM!</v>
      </c>
    </row>
    <row r="649" spans="1:4">
      <c r="A649">
        <v>1</v>
      </c>
      <c r="B649" s="4"/>
      <c r="D649" s="1" t="e">
        <f t="shared" si="10"/>
        <v>#NUM!</v>
      </c>
    </row>
    <row r="650" spans="1:4">
      <c r="A650">
        <v>1</v>
      </c>
      <c r="B650" s="4"/>
      <c r="D650" s="1" t="e">
        <f t="shared" si="10"/>
        <v>#NUM!</v>
      </c>
    </row>
    <row r="651" spans="1:4">
      <c r="A651">
        <v>1</v>
      </c>
      <c r="B651" s="4"/>
      <c r="D651" s="1" t="e">
        <f t="shared" si="10"/>
        <v>#NUM!</v>
      </c>
    </row>
    <row r="652" spans="1:4">
      <c r="A652">
        <v>1</v>
      </c>
      <c r="B652" s="4"/>
      <c r="D652" s="1" t="e">
        <f t="shared" si="10"/>
        <v>#NUM!</v>
      </c>
    </row>
    <row r="653" spans="1:4">
      <c r="A653">
        <v>1</v>
      </c>
      <c r="B653" s="4"/>
      <c r="D653" s="1" t="e">
        <f t="shared" si="10"/>
        <v>#NUM!</v>
      </c>
    </row>
    <row r="654" spans="1:4">
      <c r="A654">
        <v>1</v>
      </c>
      <c r="B654" s="4"/>
      <c r="D654" s="1" t="e">
        <f t="shared" si="10"/>
        <v>#NUM!</v>
      </c>
    </row>
    <row r="655" spans="1:4">
      <c r="A655">
        <v>1</v>
      </c>
      <c r="B655" s="4"/>
      <c r="D655" s="1" t="e">
        <f t="shared" si="10"/>
        <v>#NUM!</v>
      </c>
    </row>
    <row r="656" spans="1:4">
      <c r="A656">
        <v>1</v>
      </c>
      <c r="B656" s="4"/>
      <c r="D656" s="1" t="e">
        <f t="shared" si="10"/>
        <v>#NUM!</v>
      </c>
    </row>
    <row r="657" spans="1:4">
      <c r="A657">
        <v>1</v>
      </c>
      <c r="B657" s="4"/>
      <c r="D657" s="1" t="e">
        <f t="shared" si="10"/>
        <v>#NUM!</v>
      </c>
    </row>
    <row r="658" spans="1:4">
      <c r="A658">
        <v>1</v>
      </c>
      <c r="B658" s="4"/>
      <c r="D658" s="1" t="e">
        <f t="shared" si="10"/>
        <v>#NUM!</v>
      </c>
    </row>
    <row r="659" spans="1:4">
      <c r="A659">
        <v>1</v>
      </c>
      <c r="B659" s="4"/>
      <c r="D659" s="1" t="e">
        <f t="shared" si="10"/>
        <v>#NUM!</v>
      </c>
    </row>
    <row r="660" spans="1:4">
      <c r="A660">
        <v>1</v>
      </c>
      <c r="B660" s="4"/>
      <c r="D660" s="1" t="e">
        <f t="shared" si="10"/>
        <v>#NUM!</v>
      </c>
    </row>
    <row r="661" spans="1:4">
      <c r="A661">
        <v>1</v>
      </c>
      <c r="B661" s="4"/>
      <c r="D661" s="1" t="e">
        <f t="shared" si="10"/>
        <v>#NUM!</v>
      </c>
    </row>
    <row r="662" spans="1:4">
      <c r="A662">
        <v>1</v>
      </c>
      <c r="B662" s="4"/>
      <c r="D662" s="1" t="e">
        <f t="shared" si="10"/>
        <v>#NUM!</v>
      </c>
    </row>
    <row r="663" spans="1:4">
      <c r="A663">
        <v>1</v>
      </c>
      <c r="B663" s="4"/>
      <c r="D663" s="1" t="e">
        <f t="shared" si="10"/>
        <v>#NUM!</v>
      </c>
    </row>
    <row r="664" spans="1:4">
      <c r="A664">
        <v>1</v>
      </c>
      <c r="B664" s="4"/>
      <c r="D664" s="1" t="e">
        <f t="shared" si="10"/>
        <v>#NUM!</v>
      </c>
    </row>
    <row r="665" spans="1:4">
      <c r="A665">
        <v>1</v>
      </c>
      <c r="B665" s="4"/>
      <c r="D665" s="1" t="e">
        <f t="shared" si="10"/>
        <v>#NUM!</v>
      </c>
    </row>
    <row r="666" spans="1:4">
      <c r="A666">
        <v>1</v>
      </c>
      <c r="B666" s="4"/>
      <c r="D666" s="1" t="e">
        <f t="shared" si="10"/>
        <v>#NUM!</v>
      </c>
    </row>
    <row r="667" spans="1:4">
      <c r="A667">
        <v>1</v>
      </c>
      <c r="B667" s="4"/>
      <c r="D667" s="1" t="e">
        <f t="shared" si="10"/>
        <v>#NUM!</v>
      </c>
    </row>
    <row r="668" spans="1:4">
      <c r="A668">
        <v>1</v>
      </c>
      <c r="B668" s="4"/>
      <c r="D668" s="1" t="e">
        <f t="shared" si="10"/>
        <v>#NUM!</v>
      </c>
    </row>
    <row r="669" spans="1:4">
      <c r="A669">
        <v>1</v>
      </c>
      <c r="B669" s="4"/>
      <c r="D669" s="1" t="e">
        <f t="shared" si="10"/>
        <v>#NUM!</v>
      </c>
    </row>
    <row r="670" spans="1:4">
      <c r="A670">
        <v>1</v>
      </c>
      <c r="B670" s="4"/>
      <c r="D670" s="1" t="e">
        <f t="shared" si="10"/>
        <v>#NUM!</v>
      </c>
    </row>
    <row r="671" spans="1:4">
      <c r="A671">
        <v>1</v>
      </c>
      <c r="B671" s="4"/>
      <c r="D671" s="1" t="e">
        <f t="shared" si="10"/>
        <v>#NUM!</v>
      </c>
    </row>
    <row r="672" spans="1:4">
      <c r="A672">
        <v>1</v>
      </c>
      <c r="B672" s="4"/>
      <c r="D672" s="1" t="e">
        <f t="shared" si="10"/>
        <v>#NUM!</v>
      </c>
    </row>
    <row r="673" spans="1:4">
      <c r="A673">
        <v>1</v>
      </c>
      <c r="B673" s="4"/>
      <c r="D673" s="1" t="e">
        <f t="shared" si="10"/>
        <v>#NUM!</v>
      </c>
    </row>
    <row r="674" spans="1:4">
      <c r="A674">
        <v>1</v>
      </c>
      <c r="B674" s="4"/>
      <c r="D674" s="1" t="e">
        <f t="shared" si="10"/>
        <v>#NUM!</v>
      </c>
    </row>
    <row r="675" spans="1:4">
      <c r="A675">
        <v>1</v>
      </c>
      <c r="B675" s="4"/>
      <c r="D675" s="1" t="e">
        <f t="shared" si="10"/>
        <v>#NUM!</v>
      </c>
    </row>
    <row r="676" spans="1:4">
      <c r="A676">
        <v>1</v>
      </c>
      <c r="B676" s="4"/>
      <c r="D676" s="1" t="e">
        <f t="shared" si="10"/>
        <v>#NUM!</v>
      </c>
    </row>
    <row r="677" spans="1:4">
      <c r="A677">
        <v>1</v>
      </c>
      <c r="B677" s="4"/>
      <c r="D677" s="1" t="e">
        <f t="shared" si="10"/>
        <v>#NUM!</v>
      </c>
    </row>
    <row r="678" spans="1:4">
      <c r="A678">
        <v>1</v>
      </c>
      <c r="B678" s="4"/>
      <c r="D678" s="1" t="e">
        <f t="shared" si="10"/>
        <v>#NUM!</v>
      </c>
    </row>
    <row r="679" spans="1:4">
      <c r="A679">
        <v>1</v>
      </c>
      <c r="B679" s="4"/>
      <c r="D679" s="1" t="e">
        <f t="shared" si="10"/>
        <v>#NUM!</v>
      </c>
    </row>
    <row r="680" spans="1:4">
      <c r="A680">
        <v>1</v>
      </c>
      <c r="B680" s="4"/>
      <c r="D680" s="1" t="e">
        <f t="shared" si="10"/>
        <v>#NUM!</v>
      </c>
    </row>
    <row r="681" spans="1:4">
      <c r="A681">
        <v>1</v>
      </c>
      <c r="B681" s="4"/>
      <c r="D681" s="1" t="e">
        <f t="shared" si="10"/>
        <v>#NUM!</v>
      </c>
    </row>
    <row r="682" spans="1:4">
      <c r="A682">
        <v>1</v>
      </c>
      <c r="B682" s="4"/>
      <c r="D682" s="1" t="e">
        <f t="shared" si="10"/>
        <v>#NUM!</v>
      </c>
    </row>
    <row r="683" spans="1:4">
      <c r="A683">
        <v>1</v>
      </c>
      <c r="B683" s="4"/>
      <c r="D683" s="1" t="e">
        <f t="shared" si="10"/>
        <v>#NUM!</v>
      </c>
    </row>
    <row r="684" spans="1:4">
      <c r="A684">
        <v>1</v>
      </c>
      <c r="B684" s="4"/>
      <c r="D684" s="1" t="e">
        <f t="shared" si="10"/>
        <v>#NUM!</v>
      </c>
    </row>
    <row r="685" spans="1:4">
      <c r="A685">
        <v>1</v>
      </c>
      <c r="B685" s="4"/>
      <c r="D685" s="1" t="e">
        <f t="shared" si="10"/>
        <v>#NUM!</v>
      </c>
    </row>
    <row r="686" spans="1:4">
      <c r="A686">
        <v>1</v>
      </c>
      <c r="B686" s="4"/>
      <c r="D686" s="1" t="e">
        <f t="shared" si="10"/>
        <v>#NUM!</v>
      </c>
    </row>
    <row r="687" spans="1:4">
      <c r="A687">
        <v>1</v>
      </c>
      <c r="B687" s="4"/>
      <c r="D687" s="1" t="e">
        <f t="shared" si="10"/>
        <v>#NUM!</v>
      </c>
    </row>
    <row r="688" spans="1:4">
      <c r="A688">
        <v>1</v>
      </c>
      <c r="B688" s="4"/>
      <c r="D688" s="1" t="e">
        <f t="shared" si="10"/>
        <v>#NUM!</v>
      </c>
    </row>
    <row r="689" spans="1:4">
      <c r="A689">
        <v>1</v>
      </c>
      <c r="B689" s="4"/>
      <c r="D689" s="1" t="e">
        <f t="shared" si="10"/>
        <v>#NUM!</v>
      </c>
    </row>
    <row r="690" spans="1:4">
      <c r="A690">
        <v>1</v>
      </c>
      <c r="B690" s="4"/>
      <c r="D690" s="1" t="e">
        <f t="shared" si="10"/>
        <v>#NUM!</v>
      </c>
    </row>
    <row r="691" spans="1:4">
      <c r="A691">
        <v>1</v>
      </c>
      <c r="B691" s="4"/>
      <c r="D691" s="1" t="e">
        <f t="shared" si="10"/>
        <v>#NUM!</v>
      </c>
    </row>
    <row r="692" spans="1:4">
      <c r="A692">
        <v>1</v>
      </c>
      <c r="B692" s="4"/>
      <c r="D692" s="1" t="e">
        <f t="shared" si="10"/>
        <v>#NUM!</v>
      </c>
    </row>
    <row r="693" spans="1:4">
      <c r="A693">
        <v>1</v>
      </c>
      <c r="B693" s="4"/>
      <c r="D693" s="1" t="e">
        <f t="shared" si="10"/>
        <v>#NUM!</v>
      </c>
    </row>
    <row r="694" spans="1:4">
      <c r="A694">
        <v>1</v>
      </c>
      <c r="B694" s="4"/>
      <c r="D694" s="1" t="e">
        <f t="shared" si="10"/>
        <v>#NUM!</v>
      </c>
    </row>
    <row r="695" spans="1:4">
      <c r="A695">
        <v>1</v>
      </c>
      <c r="B695" s="4"/>
      <c r="D695" s="1" t="e">
        <f t="shared" ref="D695:D758" si="11">DATE(C695,B695,1)</f>
        <v>#NUM!</v>
      </c>
    </row>
    <row r="696" spans="1:4">
      <c r="A696">
        <v>1</v>
      </c>
      <c r="B696" s="4"/>
      <c r="D696" s="1" t="e">
        <f t="shared" si="11"/>
        <v>#NUM!</v>
      </c>
    </row>
    <row r="697" spans="1:4">
      <c r="A697">
        <v>1</v>
      </c>
      <c r="B697" s="4"/>
      <c r="D697" s="1" t="e">
        <f t="shared" si="11"/>
        <v>#NUM!</v>
      </c>
    </row>
    <row r="698" spans="1:4">
      <c r="A698">
        <v>1</v>
      </c>
      <c r="B698" s="4"/>
      <c r="D698" s="1" t="e">
        <f t="shared" si="11"/>
        <v>#NUM!</v>
      </c>
    </row>
    <row r="699" spans="1:4">
      <c r="A699">
        <v>1</v>
      </c>
      <c r="B699" s="4"/>
      <c r="D699" s="1" t="e">
        <f t="shared" si="11"/>
        <v>#NUM!</v>
      </c>
    </row>
    <row r="700" spans="1:4">
      <c r="A700">
        <v>1</v>
      </c>
      <c r="B700" s="4"/>
      <c r="D700" s="1" t="e">
        <f t="shared" si="11"/>
        <v>#NUM!</v>
      </c>
    </row>
    <row r="701" spans="1:4">
      <c r="A701">
        <v>1</v>
      </c>
      <c r="B701" s="4"/>
      <c r="D701" s="1" t="e">
        <f t="shared" si="11"/>
        <v>#NUM!</v>
      </c>
    </row>
    <row r="702" spans="1:4">
      <c r="A702">
        <v>1</v>
      </c>
      <c r="B702" s="4"/>
      <c r="D702" s="1" t="e">
        <f t="shared" si="11"/>
        <v>#NUM!</v>
      </c>
    </row>
    <row r="703" spans="1:4">
      <c r="A703">
        <v>1</v>
      </c>
      <c r="B703" s="4"/>
      <c r="D703" s="1" t="e">
        <f t="shared" si="11"/>
        <v>#NUM!</v>
      </c>
    </row>
    <row r="704" spans="1:4">
      <c r="A704">
        <v>1</v>
      </c>
      <c r="B704" s="4"/>
      <c r="D704" s="1" t="e">
        <f t="shared" si="11"/>
        <v>#NUM!</v>
      </c>
    </row>
    <row r="705" spans="1:4">
      <c r="A705">
        <v>1</v>
      </c>
      <c r="B705" s="4"/>
      <c r="D705" s="1" t="e">
        <f t="shared" si="11"/>
        <v>#NUM!</v>
      </c>
    </row>
    <row r="706" spans="1:4">
      <c r="A706">
        <v>1</v>
      </c>
      <c r="B706" s="4"/>
      <c r="D706" s="1" t="e">
        <f t="shared" si="11"/>
        <v>#NUM!</v>
      </c>
    </row>
    <row r="707" spans="1:4">
      <c r="A707">
        <v>1</v>
      </c>
      <c r="B707" s="4"/>
      <c r="D707" s="1" t="e">
        <f t="shared" si="11"/>
        <v>#NUM!</v>
      </c>
    </row>
    <row r="708" spans="1:4">
      <c r="A708">
        <v>1</v>
      </c>
      <c r="B708" s="4"/>
      <c r="D708" s="1" t="e">
        <f t="shared" si="11"/>
        <v>#NUM!</v>
      </c>
    </row>
    <row r="709" spans="1:4">
      <c r="A709">
        <v>1</v>
      </c>
      <c r="B709" s="4"/>
      <c r="D709" s="1" t="e">
        <f t="shared" si="11"/>
        <v>#NUM!</v>
      </c>
    </row>
    <row r="710" spans="1:4">
      <c r="A710">
        <v>1</v>
      </c>
      <c r="B710" s="4"/>
      <c r="D710" s="1" t="e">
        <f t="shared" si="11"/>
        <v>#NUM!</v>
      </c>
    </row>
    <row r="711" spans="1:4">
      <c r="A711">
        <v>1</v>
      </c>
      <c r="B711" s="4"/>
      <c r="D711" s="1" t="e">
        <f t="shared" si="11"/>
        <v>#NUM!</v>
      </c>
    </row>
    <row r="712" spans="1:4">
      <c r="A712">
        <v>1</v>
      </c>
      <c r="B712" s="4"/>
      <c r="D712" s="1" t="e">
        <f t="shared" si="11"/>
        <v>#NUM!</v>
      </c>
    </row>
    <row r="713" spans="1:4">
      <c r="A713">
        <v>1</v>
      </c>
      <c r="B713" s="4"/>
      <c r="D713" s="1" t="e">
        <f t="shared" si="11"/>
        <v>#NUM!</v>
      </c>
    </row>
    <row r="714" spans="1:4">
      <c r="A714">
        <v>1</v>
      </c>
      <c r="B714" s="4"/>
      <c r="D714" s="1" t="e">
        <f t="shared" si="11"/>
        <v>#NUM!</v>
      </c>
    </row>
    <row r="715" spans="1:4">
      <c r="A715">
        <v>1</v>
      </c>
      <c r="B715" s="4"/>
      <c r="D715" s="1" t="e">
        <f t="shared" si="11"/>
        <v>#NUM!</v>
      </c>
    </row>
    <row r="716" spans="1:4">
      <c r="A716">
        <v>1</v>
      </c>
      <c r="B716" s="4"/>
      <c r="D716" s="1" t="e">
        <f t="shared" si="11"/>
        <v>#NUM!</v>
      </c>
    </row>
    <row r="717" spans="1:4">
      <c r="A717">
        <v>1</v>
      </c>
      <c r="B717" s="4"/>
      <c r="D717" s="1" t="e">
        <f t="shared" si="11"/>
        <v>#NUM!</v>
      </c>
    </row>
    <row r="718" spans="1:4">
      <c r="A718">
        <v>1</v>
      </c>
      <c r="B718" s="4"/>
      <c r="D718" s="1" t="e">
        <f t="shared" si="11"/>
        <v>#NUM!</v>
      </c>
    </row>
    <row r="719" spans="1:4">
      <c r="A719">
        <v>1</v>
      </c>
      <c r="B719" s="4"/>
      <c r="D719" s="1" t="e">
        <f t="shared" si="11"/>
        <v>#NUM!</v>
      </c>
    </row>
    <row r="720" spans="1:4">
      <c r="A720">
        <v>1</v>
      </c>
      <c r="B720" s="4"/>
      <c r="D720" s="1" t="e">
        <f t="shared" si="11"/>
        <v>#NUM!</v>
      </c>
    </row>
    <row r="721" spans="1:4">
      <c r="A721">
        <v>1</v>
      </c>
      <c r="B721" s="4"/>
      <c r="D721" s="1" t="e">
        <f t="shared" si="11"/>
        <v>#NUM!</v>
      </c>
    </row>
    <row r="722" spans="1:4">
      <c r="A722">
        <v>1</v>
      </c>
      <c r="B722" s="4"/>
      <c r="D722" s="1" t="e">
        <f t="shared" si="11"/>
        <v>#NUM!</v>
      </c>
    </row>
    <row r="723" spans="1:4">
      <c r="A723">
        <v>1</v>
      </c>
      <c r="B723" s="4"/>
      <c r="D723" s="1" t="e">
        <f t="shared" si="11"/>
        <v>#NUM!</v>
      </c>
    </row>
    <row r="724" spans="1:4">
      <c r="A724">
        <v>1</v>
      </c>
      <c r="B724" s="4"/>
      <c r="D724" s="1" t="e">
        <f t="shared" si="11"/>
        <v>#NUM!</v>
      </c>
    </row>
    <row r="725" spans="1:4">
      <c r="A725">
        <v>1</v>
      </c>
      <c r="B725" s="4"/>
      <c r="D725" s="1" t="e">
        <f t="shared" si="11"/>
        <v>#NUM!</v>
      </c>
    </row>
    <row r="726" spans="1:4">
      <c r="A726">
        <v>1</v>
      </c>
      <c r="B726" s="4"/>
      <c r="D726" s="1" t="e">
        <f t="shared" si="11"/>
        <v>#NUM!</v>
      </c>
    </row>
    <row r="727" spans="1:4">
      <c r="A727">
        <v>1</v>
      </c>
      <c r="B727" s="4"/>
      <c r="D727" s="1" t="e">
        <f t="shared" si="11"/>
        <v>#NUM!</v>
      </c>
    </row>
    <row r="728" spans="1:4">
      <c r="A728">
        <v>1</v>
      </c>
      <c r="B728" s="4"/>
      <c r="D728" s="1" t="e">
        <f t="shared" si="11"/>
        <v>#NUM!</v>
      </c>
    </row>
    <row r="729" spans="1:4">
      <c r="A729">
        <v>1</v>
      </c>
      <c r="B729" s="4"/>
      <c r="D729" s="1" t="e">
        <f t="shared" si="11"/>
        <v>#NUM!</v>
      </c>
    </row>
    <row r="730" spans="1:4">
      <c r="A730">
        <v>1</v>
      </c>
      <c r="B730" s="4"/>
      <c r="D730" s="1" t="e">
        <f t="shared" si="11"/>
        <v>#NUM!</v>
      </c>
    </row>
    <row r="731" spans="1:4">
      <c r="A731">
        <v>1</v>
      </c>
      <c r="B731" s="4"/>
      <c r="D731" s="1" t="e">
        <f t="shared" si="11"/>
        <v>#NUM!</v>
      </c>
    </row>
    <row r="732" spans="1:4">
      <c r="A732">
        <v>1</v>
      </c>
      <c r="B732" s="4"/>
      <c r="D732" s="1" t="e">
        <f t="shared" si="11"/>
        <v>#NUM!</v>
      </c>
    </row>
    <row r="733" spans="1:4">
      <c r="A733">
        <v>1</v>
      </c>
      <c r="B733" s="4"/>
      <c r="D733" s="1" t="e">
        <f t="shared" si="11"/>
        <v>#NUM!</v>
      </c>
    </row>
    <row r="734" spans="1:4">
      <c r="A734">
        <v>1</v>
      </c>
      <c r="B734" s="4"/>
      <c r="D734" s="1" t="e">
        <f t="shared" si="11"/>
        <v>#NUM!</v>
      </c>
    </row>
    <row r="735" spans="1:4">
      <c r="A735">
        <v>1</v>
      </c>
      <c r="B735" s="4"/>
      <c r="D735" s="1" t="e">
        <f t="shared" si="11"/>
        <v>#NUM!</v>
      </c>
    </row>
    <row r="736" spans="1:4">
      <c r="A736">
        <v>1</v>
      </c>
      <c r="B736" s="4"/>
      <c r="D736" s="1" t="e">
        <f t="shared" si="11"/>
        <v>#NUM!</v>
      </c>
    </row>
    <row r="737" spans="1:4">
      <c r="A737">
        <v>1</v>
      </c>
      <c r="B737" s="4"/>
      <c r="D737" s="1" t="e">
        <f t="shared" si="11"/>
        <v>#NUM!</v>
      </c>
    </row>
    <row r="738" spans="1:4">
      <c r="A738">
        <v>1</v>
      </c>
      <c r="B738" s="4"/>
      <c r="D738" s="1" t="e">
        <f t="shared" si="11"/>
        <v>#NUM!</v>
      </c>
    </row>
    <row r="739" spans="1:4">
      <c r="A739">
        <v>1</v>
      </c>
      <c r="B739" s="4"/>
      <c r="D739" s="1" t="e">
        <f t="shared" si="11"/>
        <v>#NUM!</v>
      </c>
    </row>
    <row r="740" spans="1:4">
      <c r="A740">
        <v>1</v>
      </c>
      <c r="B740" s="4"/>
      <c r="D740" s="1" t="e">
        <f t="shared" si="11"/>
        <v>#NUM!</v>
      </c>
    </row>
    <row r="741" spans="1:4">
      <c r="A741">
        <v>1</v>
      </c>
      <c r="B741" s="4"/>
      <c r="D741" s="1" t="e">
        <f t="shared" si="11"/>
        <v>#NUM!</v>
      </c>
    </row>
    <row r="742" spans="1:4">
      <c r="A742">
        <v>1</v>
      </c>
      <c r="B742" s="4"/>
      <c r="D742" s="1" t="e">
        <f t="shared" si="11"/>
        <v>#NUM!</v>
      </c>
    </row>
    <row r="743" spans="1:4">
      <c r="A743">
        <v>1</v>
      </c>
      <c r="B743" s="4"/>
      <c r="D743" s="1" t="e">
        <f t="shared" si="11"/>
        <v>#NUM!</v>
      </c>
    </row>
    <row r="744" spans="1:4">
      <c r="A744">
        <v>1</v>
      </c>
      <c r="B744" s="4"/>
      <c r="D744" s="1" t="e">
        <f t="shared" si="11"/>
        <v>#NUM!</v>
      </c>
    </row>
    <row r="745" spans="1:4">
      <c r="A745">
        <v>1</v>
      </c>
      <c r="B745" s="4"/>
      <c r="D745" s="1" t="e">
        <f t="shared" si="11"/>
        <v>#NUM!</v>
      </c>
    </row>
    <row r="746" spans="1:4">
      <c r="A746">
        <v>1</v>
      </c>
      <c r="B746" s="4"/>
      <c r="D746" s="1" t="e">
        <f t="shared" si="11"/>
        <v>#NUM!</v>
      </c>
    </row>
    <row r="747" spans="1:4">
      <c r="A747">
        <v>1</v>
      </c>
      <c r="B747" s="4"/>
      <c r="D747" s="1" t="e">
        <f t="shared" si="11"/>
        <v>#NUM!</v>
      </c>
    </row>
    <row r="748" spans="1:4">
      <c r="A748">
        <v>1</v>
      </c>
      <c r="B748" s="4"/>
      <c r="D748" s="1" t="e">
        <f t="shared" si="11"/>
        <v>#NUM!</v>
      </c>
    </row>
    <row r="749" spans="1:4">
      <c r="A749">
        <v>1</v>
      </c>
      <c r="B749" s="4"/>
      <c r="D749" s="1" t="e">
        <f t="shared" si="11"/>
        <v>#NUM!</v>
      </c>
    </row>
    <row r="750" spans="1:4">
      <c r="A750">
        <v>1</v>
      </c>
      <c r="B750" s="4"/>
      <c r="D750" s="1" t="e">
        <f t="shared" si="11"/>
        <v>#NUM!</v>
      </c>
    </row>
    <row r="751" spans="1:4">
      <c r="A751">
        <v>1</v>
      </c>
      <c r="B751" s="4"/>
      <c r="D751" s="1" t="e">
        <f t="shared" si="11"/>
        <v>#NUM!</v>
      </c>
    </row>
    <row r="752" spans="1:4">
      <c r="A752">
        <v>1</v>
      </c>
      <c r="B752" s="4"/>
      <c r="D752" s="1" t="e">
        <f t="shared" si="11"/>
        <v>#NUM!</v>
      </c>
    </row>
    <row r="753" spans="1:4">
      <c r="A753">
        <v>1</v>
      </c>
      <c r="B753" s="4"/>
      <c r="D753" s="1" t="e">
        <f t="shared" si="11"/>
        <v>#NUM!</v>
      </c>
    </row>
    <row r="754" spans="1:4">
      <c r="A754">
        <v>1</v>
      </c>
      <c r="B754" s="4"/>
      <c r="D754" s="1" t="e">
        <f t="shared" si="11"/>
        <v>#NUM!</v>
      </c>
    </row>
    <row r="755" spans="1:4">
      <c r="A755">
        <v>1</v>
      </c>
      <c r="B755" s="4"/>
      <c r="D755" s="1" t="e">
        <f t="shared" si="11"/>
        <v>#NUM!</v>
      </c>
    </row>
    <row r="756" spans="1:4">
      <c r="A756">
        <v>1</v>
      </c>
      <c r="B756" s="4"/>
      <c r="D756" s="1" t="e">
        <f t="shared" si="11"/>
        <v>#NUM!</v>
      </c>
    </row>
    <row r="757" spans="1:4">
      <c r="A757">
        <v>1</v>
      </c>
      <c r="B757" s="4"/>
      <c r="D757" s="1" t="e">
        <f t="shared" si="11"/>
        <v>#NUM!</v>
      </c>
    </row>
    <row r="758" spans="1:4">
      <c r="A758">
        <v>1</v>
      </c>
      <c r="B758" s="4"/>
      <c r="D758" s="1" t="e">
        <f t="shared" si="11"/>
        <v>#NUM!</v>
      </c>
    </row>
    <row r="759" spans="1:4">
      <c r="A759">
        <v>1</v>
      </c>
      <c r="B759" s="4"/>
      <c r="D759" s="1" t="e">
        <f t="shared" ref="D759:D792" si="12">DATE(C759,B759,1)</f>
        <v>#NUM!</v>
      </c>
    </row>
    <row r="760" spans="1:4">
      <c r="A760">
        <v>1</v>
      </c>
      <c r="B760" s="4"/>
      <c r="D760" s="1" t="e">
        <f t="shared" si="12"/>
        <v>#NUM!</v>
      </c>
    </row>
    <row r="761" spans="1:4">
      <c r="A761">
        <v>1</v>
      </c>
      <c r="B761" s="4"/>
      <c r="D761" s="1" t="e">
        <f t="shared" si="12"/>
        <v>#NUM!</v>
      </c>
    </row>
    <row r="762" spans="1:4">
      <c r="A762">
        <v>1</v>
      </c>
      <c r="B762" s="4"/>
      <c r="D762" s="1" t="e">
        <f t="shared" si="12"/>
        <v>#NUM!</v>
      </c>
    </row>
    <row r="763" spans="1:4">
      <c r="A763">
        <v>1</v>
      </c>
      <c r="B763" s="4"/>
      <c r="D763" s="1" t="e">
        <f t="shared" si="12"/>
        <v>#NUM!</v>
      </c>
    </row>
    <row r="764" spans="1:4">
      <c r="A764">
        <v>1</v>
      </c>
      <c r="B764" s="4"/>
      <c r="D764" s="1" t="e">
        <f t="shared" si="12"/>
        <v>#NUM!</v>
      </c>
    </row>
    <row r="765" spans="1:4">
      <c r="A765">
        <v>1</v>
      </c>
      <c r="B765" s="4"/>
      <c r="D765" s="1" t="e">
        <f t="shared" si="12"/>
        <v>#NUM!</v>
      </c>
    </row>
    <row r="766" spans="1:4">
      <c r="A766">
        <v>1</v>
      </c>
      <c r="B766" s="4"/>
      <c r="D766" s="1" t="e">
        <f t="shared" si="12"/>
        <v>#NUM!</v>
      </c>
    </row>
    <row r="767" spans="1:4">
      <c r="A767">
        <v>1</v>
      </c>
      <c r="B767" s="4"/>
      <c r="D767" s="1" t="e">
        <f t="shared" si="12"/>
        <v>#NUM!</v>
      </c>
    </row>
    <row r="768" spans="1:4">
      <c r="A768">
        <v>1</v>
      </c>
      <c r="B768" s="4"/>
      <c r="D768" s="1" t="e">
        <f t="shared" si="12"/>
        <v>#NUM!</v>
      </c>
    </row>
    <row r="769" spans="1:4">
      <c r="A769">
        <v>1</v>
      </c>
      <c r="B769" s="4"/>
      <c r="D769" s="1" t="e">
        <f t="shared" si="12"/>
        <v>#NUM!</v>
      </c>
    </row>
    <row r="770" spans="1:4">
      <c r="A770">
        <v>1</v>
      </c>
      <c r="B770" s="4"/>
      <c r="D770" s="1" t="e">
        <f t="shared" si="12"/>
        <v>#NUM!</v>
      </c>
    </row>
    <row r="771" spans="1:4">
      <c r="A771">
        <v>1</v>
      </c>
      <c r="B771" s="4"/>
      <c r="D771" s="1" t="e">
        <f t="shared" si="12"/>
        <v>#NUM!</v>
      </c>
    </row>
    <row r="772" spans="1:4">
      <c r="A772">
        <v>1</v>
      </c>
      <c r="B772" s="4"/>
      <c r="D772" s="1" t="e">
        <f t="shared" si="12"/>
        <v>#NUM!</v>
      </c>
    </row>
    <row r="773" spans="1:4">
      <c r="A773">
        <v>1</v>
      </c>
      <c r="B773" s="4"/>
      <c r="D773" s="1" t="e">
        <f t="shared" si="12"/>
        <v>#NUM!</v>
      </c>
    </row>
    <row r="774" spans="1:4">
      <c r="A774">
        <v>1</v>
      </c>
      <c r="B774" s="4"/>
      <c r="D774" s="1" t="e">
        <f t="shared" si="12"/>
        <v>#NUM!</v>
      </c>
    </row>
    <row r="775" spans="1:4">
      <c r="A775">
        <v>1</v>
      </c>
      <c r="B775" s="4"/>
      <c r="D775" s="1" t="e">
        <f t="shared" si="12"/>
        <v>#NUM!</v>
      </c>
    </row>
    <row r="776" spans="1:4">
      <c r="A776">
        <v>1</v>
      </c>
      <c r="B776" s="4"/>
      <c r="D776" s="1" t="e">
        <f t="shared" si="12"/>
        <v>#NUM!</v>
      </c>
    </row>
    <row r="777" spans="1:4">
      <c r="A777">
        <v>1</v>
      </c>
      <c r="B777" s="4"/>
      <c r="D777" s="1" t="e">
        <f t="shared" si="12"/>
        <v>#NUM!</v>
      </c>
    </row>
    <row r="778" spans="1:4">
      <c r="A778">
        <v>1</v>
      </c>
      <c r="B778" s="4"/>
      <c r="D778" s="1" t="e">
        <f t="shared" si="12"/>
        <v>#NUM!</v>
      </c>
    </row>
    <row r="779" spans="1:4">
      <c r="A779">
        <v>1</v>
      </c>
      <c r="B779" s="4"/>
      <c r="D779" s="1" t="e">
        <f t="shared" si="12"/>
        <v>#NUM!</v>
      </c>
    </row>
    <row r="780" spans="1:4">
      <c r="A780">
        <v>1</v>
      </c>
      <c r="B780" s="4"/>
      <c r="D780" s="1" t="e">
        <f t="shared" si="12"/>
        <v>#NUM!</v>
      </c>
    </row>
    <row r="781" spans="1:4">
      <c r="A781">
        <v>1</v>
      </c>
      <c r="B781" s="4"/>
      <c r="D781" s="1" t="e">
        <f t="shared" si="12"/>
        <v>#NUM!</v>
      </c>
    </row>
    <row r="782" spans="1:4">
      <c r="A782">
        <v>1</v>
      </c>
      <c r="B782" s="4"/>
      <c r="D782" s="1" t="e">
        <f t="shared" si="12"/>
        <v>#NUM!</v>
      </c>
    </row>
    <row r="783" spans="1:4">
      <c r="A783">
        <v>1</v>
      </c>
      <c r="B783" s="4"/>
      <c r="D783" s="1" t="e">
        <f t="shared" si="12"/>
        <v>#NUM!</v>
      </c>
    </row>
    <row r="784" spans="1:4">
      <c r="A784">
        <v>1</v>
      </c>
      <c r="B784" s="4"/>
      <c r="D784" s="1" t="e">
        <f t="shared" si="12"/>
        <v>#NUM!</v>
      </c>
    </row>
    <row r="785" spans="1:4">
      <c r="A785">
        <v>1</v>
      </c>
      <c r="B785" s="4"/>
      <c r="D785" s="1" t="e">
        <f t="shared" si="12"/>
        <v>#NUM!</v>
      </c>
    </row>
    <row r="786" spans="1:4">
      <c r="A786">
        <v>1</v>
      </c>
      <c r="B786" s="4"/>
      <c r="D786" s="1" t="e">
        <f t="shared" si="12"/>
        <v>#NUM!</v>
      </c>
    </row>
    <row r="787" spans="1:4">
      <c r="A787">
        <v>1</v>
      </c>
      <c r="B787" s="4"/>
      <c r="D787" s="1" t="e">
        <f t="shared" si="12"/>
        <v>#NUM!</v>
      </c>
    </row>
    <row r="788" spans="1:4">
      <c r="A788">
        <v>1</v>
      </c>
      <c r="B788" s="4"/>
      <c r="D788" s="1" t="e">
        <f t="shared" si="12"/>
        <v>#NUM!</v>
      </c>
    </row>
    <row r="789" spans="1:4">
      <c r="A789">
        <v>1</v>
      </c>
      <c r="B789" s="4"/>
      <c r="D789" s="1" t="e">
        <f t="shared" si="12"/>
        <v>#NUM!</v>
      </c>
    </row>
    <row r="790" spans="1:4">
      <c r="A790">
        <v>1</v>
      </c>
      <c r="B790" s="4"/>
      <c r="D790" s="1" t="e">
        <f t="shared" si="12"/>
        <v>#NUM!</v>
      </c>
    </row>
    <row r="791" spans="1:4">
      <c r="A791">
        <v>1</v>
      </c>
      <c r="B791" s="4"/>
      <c r="D791" s="1" t="e">
        <f t="shared" si="12"/>
        <v>#NUM!</v>
      </c>
    </row>
    <row r="792" spans="1:4">
      <c r="A792">
        <v>1</v>
      </c>
      <c r="B792" s="4"/>
      <c r="D792" s="1" t="e">
        <f t="shared" si="12"/>
        <v>#NUM!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3111-0EA2-4BDA-8573-A41C79427D05}">
  <sheetPr codeName="Foglio21"/>
  <dimension ref="A1:N30"/>
  <sheetViews>
    <sheetView workbookViewId="0">
      <selection activeCell="R21" sqref="R21"/>
    </sheetView>
  </sheetViews>
  <sheetFormatPr defaultRowHeight="15"/>
  <cols>
    <col min="1" max="1" width="30.140625" customWidth="1"/>
    <col min="2" max="2" width="12" bestFit="1" customWidth="1"/>
    <col min="3" max="3" width="13.140625" bestFit="1" customWidth="1"/>
    <col min="4" max="5" width="12" bestFit="1" customWidth="1"/>
    <col min="6" max="6" width="11" bestFit="1" customWidth="1"/>
    <col min="7" max="7" width="10" bestFit="1" customWidth="1"/>
    <col min="8" max="8" width="11" bestFit="1" customWidth="1"/>
    <col min="9" max="9" width="12" bestFit="1" customWidth="1"/>
    <col min="10" max="10" width="13.140625" bestFit="1" customWidth="1"/>
    <col min="11" max="11" width="12.7109375" bestFit="1" customWidth="1"/>
    <col min="12" max="12" width="13.140625" bestFit="1" customWidth="1"/>
    <col min="13" max="13" width="12" bestFit="1" customWidth="1"/>
    <col min="14" max="14" width="13.7109375" bestFit="1" customWidth="1"/>
  </cols>
  <sheetData>
    <row r="1" spans="1:14" ht="56.25">
      <c r="A1" s="1314" t="s">
        <v>1217</v>
      </c>
      <c r="B1" t="s">
        <v>154</v>
      </c>
      <c r="C1" t="s">
        <v>129</v>
      </c>
      <c r="D1" t="s">
        <v>90</v>
      </c>
      <c r="E1" t="s">
        <v>352</v>
      </c>
      <c r="F1" t="s">
        <v>333</v>
      </c>
      <c r="G1" t="s">
        <v>314</v>
      </c>
      <c r="H1" t="s">
        <v>288</v>
      </c>
      <c r="I1" t="s">
        <v>261</v>
      </c>
      <c r="J1" t="s">
        <v>240</v>
      </c>
      <c r="K1" t="s">
        <v>217</v>
      </c>
      <c r="L1" t="s">
        <v>200</v>
      </c>
      <c r="M1" t="s">
        <v>173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B3" s="1369" t="s">
        <v>154</v>
      </c>
      <c r="C3" s="1369" t="s">
        <v>129</v>
      </c>
      <c r="D3" s="1369" t="s">
        <v>90</v>
      </c>
      <c r="E3" s="1369" t="s">
        <v>352</v>
      </c>
      <c r="F3" s="1369" t="s">
        <v>333</v>
      </c>
      <c r="G3" s="1369" t="s">
        <v>314</v>
      </c>
      <c r="H3" s="1369" t="s">
        <v>288</v>
      </c>
      <c r="I3" s="1369" t="s">
        <v>261</v>
      </c>
      <c r="J3" s="1369" t="s">
        <v>240</v>
      </c>
      <c r="K3" s="1369" t="s">
        <v>217</v>
      </c>
      <c r="L3" s="1369" t="s">
        <v>200</v>
      </c>
      <c r="M3" s="1369" t="s">
        <v>173</v>
      </c>
      <c r="N3" s="1369" t="s">
        <v>1218</v>
      </c>
    </row>
    <row r="4" spans="1:14">
      <c r="A4" s="1369">
        <v>2019</v>
      </c>
      <c r="B4" s="1311">
        <f>SUMIF('Spese Generiche BANCOMAT '!$E:$E,CONCATENATE(B$3," ",$A4),'Spese Generiche BANCOMAT '!$I:$I)</f>
        <v>0</v>
      </c>
      <c r="C4" s="1311">
        <f>SUMIF('Spese Generiche BANCOMAT '!$E:$E,CONCATENATE(C$3," ",$A4),'Spese Generiche BANCOMAT '!$I:$I)</f>
        <v>0</v>
      </c>
      <c r="D4" s="1311">
        <f>SUMIF('Spese Generiche BANCOMAT '!$E:$E,CONCATENATE(D$3," ",$A4),'Spese Generiche BANCOMAT '!$I:$I)</f>
        <v>0</v>
      </c>
      <c r="E4" s="1311">
        <f>SUMIF('Spese Generiche BANCOMAT '!$E:$E,CONCATENATE(E$3," ",$A4),'Spese Generiche BANCOMAT '!$I:$I)</f>
        <v>0</v>
      </c>
      <c r="F4" s="1311">
        <f>SUMIF('Spese Generiche BANCOMAT '!$E:$E,CONCATENATE(F$3," ",$A4),'Spese Generiche BANCOMAT '!$I:$I)</f>
        <v>0</v>
      </c>
      <c r="G4" s="1311">
        <f>SUMIF('Spese Generiche BANCOMAT '!$E:$E,CONCATENATE(G$3," ",$A4),'Spese Generiche BANCOMAT '!$I:$I)</f>
        <v>0</v>
      </c>
      <c r="H4" s="1311">
        <f>SUMIF('Spese Generiche BANCOMAT '!$E:$E,CONCATENATE(H$3," ",$A4),'Spese Generiche BANCOMAT '!$I:$I)</f>
        <v>0</v>
      </c>
      <c r="I4" s="1311">
        <f>SUMIF('Spese Generiche BANCOMAT '!$E:$E,CONCATENATE(I$3," ",$A4),'Spese Generiche BANCOMAT '!$I:$I)</f>
        <v>0</v>
      </c>
      <c r="J4" s="1311">
        <f>SUMIF('Spese Generiche BANCOMAT '!$E:$E,CONCATENATE(J$3," ",$A4),'Spese Generiche BANCOMAT '!$I:$I)</f>
        <v>0</v>
      </c>
      <c r="K4" s="1311">
        <f>SUMIF('Spese Generiche BANCOMAT '!$E:$E,CONCATENATE(K$3," ",$A4),'Spese Generiche BANCOMAT '!$I:$I)</f>
        <v>0</v>
      </c>
      <c r="L4" s="1311">
        <f>SUMIF('Spese Generiche BANCOMAT '!$E:$E,CONCATENATE(L$3," ",$A4),'Spese Generiche BANCOMAT '!$I:$I)</f>
        <v>25</v>
      </c>
      <c r="M4" s="1311">
        <f>SUMIF('Spese Generiche BANCOMAT '!$E:$E,CONCATENATE(M$3," ",$A4),'Spese Generiche BANCOMAT '!$I:$I)</f>
        <v>687.75</v>
      </c>
      <c r="N4" s="1312">
        <f t="shared" ref="N4:N29" si="0">SUM(B4:M4)</f>
        <v>712.75</v>
      </c>
    </row>
    <row r="5" spans="1:14">
      <c r="A5" s="1369">
        <v>2020</v>
      </c>
      <c r="B5" s="1311">
        <f>SUMIF('Spese Generiche BANCOMAT '!$E:$E,CONCATENATE(B$3," ",$A5),'Spese Generiche BANCOMAT '!$I:$I)</f>
        <v>261.89</v>
      </c>
      <c r="C5" s="1311">
        <f>SUMIF('Spese Generiche BANCOMAT '!$E:$E,CONCATENATE(C$3," ",$A5),'Spese Generiche BANCOMAT '!$I:$I)</f>
        <v>512</v>
      </c>
      <c r="D5" s="1311">
        <f>SUMIF('Spese Generiche BANCOMAT '!$E:$E,CONCATENATE(D$3," ",$A5),'Spese Generiche BANCOMAT '!$I:$I)</f>
        <v>148.80000000000001</v>
      </c>
      <c r="E5" s="1311">
        <f>SUMIF('Spese Generiche BANCOMAT '!$E:$E,CONCATENATE(E$3," ",$A5),'Spese Generiche BANCOMAT '!$I:$I)</f>
        <v>40</v>
      </c>
      <c r="F5" s="1311">
        <f>SUMIF('Spese Generiche BANCOMAT '!$E:$E,CONCATENATE(F$3," ",$A5),'Spese Generiche BANCOMAT '!$I:$I)</f>
        <v>142</v>
      </c>
      <c r="G5" s="1311">
        <f>SUMIF('Spese Generiche BANCOMAT '!$E:$E,CONCATENATE(G$3," ",$A5),'Spese Generiche BANCOMAT '!$I:$I)</f>
        <v>352.5</v>
      </c>
      <c r="H5" s="1311">
        <f>SUMIF('Spese Generiche BANCOMAT '!$E:$E,CONCATENATE(H$3," ",$A5),'Spese Generiche BANCOMAT '!$I:$I)</f>
        <v>190</v>
      </c>
      <c r="I5" s="1311">
        <f>SUMIF('Spese Generiche BANCOMAT '!$E:$E,CONCATENATE(I$3," ",$A5),'Spese Generiche BANCOMAT '!$I:$I)</f>
        <v>528.4</v>
      </c>
      <c r="J5" s="1311">
        <f>SUMIF('Spese Generiche BANCOMAT '!$E:$E,CONCATENATE(J$3," ",$A5),'Spese Generiche BANCOMAT '!$I:$I)</f>
        <v>210</v>
      </c>
      <c r="K5" s="1311">
        <f>SUMIF('Spese Generiche BANCOMAT '!$E:$E,CONCATENATE(K$3," ",$A5),'Spese Generiche BANCOMAT '!$I:$I)</f>
        <v>698.58</v>
      </c>
      <c r="L5" s="1311">
        <f>SUMIF('Spese Generiche BANCOMAT '!$E:$E,CONCATENATE(L$3," ",$A5),'Spese Generiche BANCOMAT '!$I:$I)</f>
        <v>672.66000000000008</v>
      </c>
      <c r="M5" s="1311">
        <f>SUMIF('Spese Generiche BANCOMAT '!$E:$E,CONCATENATE(M$3," ",$A5),'Spese Generiche BANCOMAT '!$I:$I)</f>
        <v>5424.9800000000005</v>
      </c>
      <c r="N5" s="1312">
        <f t="shared" si="0"/>
        <v>9181.8100000000013</v>
      </c>
    </row>
    <row r="6" spans="1:14">
      <c r="A6" s="1369">
        <v>2021</v>
      </c>
      <c r="B6" s="1311">
        <f>SUMIF('Spese Generiche BANCOMAT '!$E:$E,CONCATENATE(B$3," ",$A6),'Spese Generiche BANCOMAT '!$I:$I)</f>
        <v>40</v>
      </c>
      <c r="C6" s="1311">
        <f>SUMIF('Spese Generiche BANCOMAT '!$E:$E,CONCATENATE(C$3," ",$A6),'Spese Generiche BANCOMAT '!$I:$I)</f>
        <v>3076.7299999999996</v>
      </c>
      <c r="D6" s="1311">
        <f>SUMIF('Spese Generiche BANCOMAT '!$E:$E,CONCATENATE(D$3," ",$A6),'Spese Generiche BANCOMAT '!$I:$I)</f>
        <v>1265.5</v>
      </c>
      <c r="E6" s="1311">
        <f>SUMIF('Spese Generiche BANCOMAT '!$E:$E,CONCATENATE(E$3," ",$A6),'Spese Generiche BANCOMAT '!$I:$I)</f>
        <v>92.3</v>
      </c>
      <c r="F6" s="1311">
        <f>SUMIF('Spese Generiche BANCOMAT '!$E:$E,CONCATENATE(F$3," ",$A6),'Spese Generiche BANCOMAT '!$I:$I)</f>
        <v>65.039999999999992</v>
      </c>
      <c r="G6" s="1311">
        <f>SUMIF('Spese Generiche BANCOMAT '!$E:$E,CONCATENATE(G$3," ",$A6),'Spese Generiche BANCOMAT '!$I:$I)</f>
        <v>0</v>
      </c>
      <c r="H6" s="1311">
        <f>SUMIF('Spese Generiche BANCOMAT '!$E:$E,CONCATENATE(H$3," ",$A6),'Spese Generiche BANCOMAT '!$I:$I)</f>
        <v>549.81000000000006</v>
      </c>
      <c r="I6" s="1311">
        <f>SUMIF('Spese Generiche BANCOMAT '!$E:$E,CONCATENATE(I$3," ",$A6),'Spese Generiche BANCOMAT '!$I:$I)</f>
        <v>1249.0999999999999</v>
      </c>
      <c r="J6" s="1311">
        <f>SUMIF('Spese Generiche BANCOMAT '!$E:$E,CONCATENATE(J$3," ",$A6),'Spese Generiche BANCOMAT '!$I:$I)</f>
        <v>130</v>
      </c>
      <c r="K6" s="1311">
        <f>SUMIF('Spese Generiche BANCOMAT '!$E:$E,CONCATENATE(K$3," ",$A6),'Spese Generiche BANCOMAT '!$I:$I)</f>
        <v>232.9</v>
      </c>
      <c r="L6" s="1311">
        <f>SUMIF('Spese Generiche BANCOMAT '!$E:$E,CONCATENATE(L$3," ",$A6),'Spese Generiche BANCOMAT '!$I:$I)</f>
        <v>179.1</v>
      </c>
      <c r="M6" s="1311">
        <f>SUMIF('Spese Generiche BANCOMAT '!$E:$E,CONCATENATE(M$3," ",$A6),'Spese Generiche BANCOMAT '!$I:$I)</f>
        <v>827.33</v>
      </c>
      <c r="N6" s="1312">
        <f t="shared" si="0"/>
        <v>7707.8099999999995</v>
      </c>
    </row>
    <row r="7" spans="1:14">
      <c r="A7" s="1369">
        <v>2022</v>
      </c>
      <c r="B7" s="1311">
        <f>SUMIF('Spese Generiche BANCOMAT '!$E:$E,CONCATENATE(B$3," ",$A7),'Spese Generiche BANCOMAT '!$I:$I)</f>
        <v>1421.01</v>
      </c>
      <c r="C7" s="1311">
        <f>SUMIF('Spese Generiche BANCOMAT '!$E:$E,CONCATENATE(C$3," ",$A7),'Spese Generiche BANCOMAT '!$I:$I)</f>
        <v>90.41</v>
      </c>
      <c r="D7" s="1311">
        <f>SUMIF('Spese Generiche BANCOMAT '!$E:$E,CONCATENATE(D$3," ",$A7),'Spese Generiche BANCOMAT '!$I:$I)</f>
        <v>0</v>
      </c>
      <c r="E7" s="1311">
        <f>SUMIF('Spese Generiche BANCOMAT '!$E:$E,CONCATENATE(E$3," ",$A7),'Spese Generiche BANCOMAT '!$I:$I)</f>
        <v>497.34</v>
      </c>
      <c r="F7" s="1311">
        <f>SUMIF('Spese Generiche BANCOMAT '!$E:$E,CONCATENATE(F$3," ",$A7),'Spese Generiche BANCOMAT '!$I:$I)</f>
        <v>104.83</v>
      </c>
      <c r="G7" s="1311">
        <f>SUMIF('Spese Generiche BANCOMAT '!$E:$E,CONCATENATE(G$3," ",$A7),'Spese Generiche BANCOMAT '!$I:$I)</f>
        <v>2</v>
      </c>
      <c r="H7" s="1311">
        <f>SUMIF('Spese Generiche BANCOMAT '!$E:$E,CONCATENATE(H$3," ",$A7),'Spese Generiche BANCOMAT '!$I:$I)</f>
        <v>120.5</v>
      </c>
      <c r="I7" s="1311">
        <f>SUMIF('Spese Generiche BANCOMAT '!$E:$E,CONCATENATE(I$3," ",$A7),'Spese Generiche BANCOMAT '!$I:$I)</f>
        <v>363.4</v>
      </c>
      <c r="J7" s="1311">
        <f>SUMIF('Spese Generiche BANCOMAT '!$E:$E,CONCATENATE(J$3," ",$A7),'Spese Generiche BANCOMAT '!$I:$I)</f>
        <v>43.48</v>
      </c>
      <c r="K7" s="1311">
        <f>SUMIF('Spese Generiche BANCOMAT '!$E:$E,CONCATENATE(K$3," ",$A7),'Spese Generiche BANCOMAT '!$I:$I)</f>
        <v>0</v>
      </c>
      <c r="L7" s="1311">
        <f>SUMIF('Spese Generiche BANCOMAT '!$E:$E,CONCATENATE(L$3," ",$A7),'Spese Generiche BANCOMAT '!$I:$I)</f>
        <v>89.15</v>
      </c>
      <c r="M7" s="1311">
        <f>SUMIF('Spese Generiche BANCOMAT '!$E:$E,CONCATENATE(M$3," ",$A7),'Spese Generiche BANCOMAT '!$I:$I)</f>
        <v>256.64999999999998</v>
      </c>
      <c r="N7" s="1312">
        <f t="shared" si="0"/>
        <v>2988.7700000000004</v>
      </c>
    </row>
    <row r="8" spans="1:14">
      <c r="A8" s="1369">
        <v>2023</v>
      </c>
      <c r="B8" s="1311">
        <f>SUMIF('Spese Generiche BANCOMAT '!$E:$E,CONCATENATE(B$3," ",$A8),'Spese Generiche BANCOMAT '!$I:$I)</f>
        <v>356.29</v>
      </c>
      <c r="C8" s="1311">
        <f>SUMIF('Spese Generiche BANCOMAT '!$E:$E,CONCATENATE(C$3," ",$A8),'Spese Generiche BANCOMAT '!$I:$I)</f>
        <v>0</v>
      </c>
      <c r="D8" s="1311">
        <f>SUMIF('Spese Generiche BANCOMAT '!$E:$E,CONCATENATE(D$3," ",$A8),'Spese Generiche BANCOMAT '!$I:$I)</f>
        <v>150.5</v>
      </c>
      <c r="E8" s="1311">
        <f>SUMIF('Spese Generiche BANCOMAT '!$E:$E,CONCATENATE(E$3," ",$A8),'Spese Generiche BANCOMAT '!$I:$I)</f>
        <v>16.8</v>
      </c>
      <c r="F8" s="1311">
        <f>SUMIF('Spese Generiche BANCOMAT '!$E:$E,CONCATENATE(F$3," ",$A8),'Spese Generiche BANCOMAT '!$I:$I)</f>
        <v>250</v>
      </c>
      <c r="G8" s="1311">
        <f>SUMIF('Spese Generiche BANCOMAT '!$E:$E,CONCATENATE(G$3," ",$A8),'Spese Generiche BANCOMAT '!$I:$I)</f>
        <v>0</v>
      </c>
      <c r="H8" s="1311">
        <f>SUMIF('Spese Generiche BANCOMAT '!$E:$E,CONCATENATE(H$3," ",$A8),'Spese Generiche BANCOMAT '!$I:$I)</f>
        <v>0</v>
      </c>
      <c r="I8" s="1311">
        <f>SUMIF('Spese Generiche BANCOMAT '!$E:$E,CONCATENATE(I$3," ",$A8),'Spese Generiche BANCOMAT '!$I:$I)</f>
        <v>620.5</v>
      </c>
      <c r="J8" s="1311">
        <f>SUMIF('Spese Generiche BANCOMAT '!$E:$E,CONCATENATE(J$3," ",$A8),'Spese Generiche BANCOMAT '!$I:$I)</f>
        <v>0</v>
      </c>
      <c r="K8" s="1311">
        <f>SUMIF('Spese Generiche BANCOMAT '!$E:$E,CONCATENATE(K$3," ",$A8),'Spese Generiche BANCOMAT '!$I:$I)</f>
        <v>75.5</v>
      </c>
      <c r="L8" s="1311">
        <f>SUMIF('Spese Generiche BANCOMAT '!$E:$E,CONCATENATE(L$3," ",$A8),'Spese Generiche BANCOMAT '!$I:$I)</f>
        <v>78</v>
      </c>
      <c r="M8" s="1311">
        <f>SUMIF('Spese Generiche BANCOMAT '!$E:$E,CONCATENATE(M$3," ",$A8),'Spese Generiche BANCOMAT '!$I:$I)</f>
        <v>125.49000000000001</v>
      </c>
      <c r="N8" s="1312">
        <f t="shared" si="0"/>
        <v>1673.0800000000002</v>
      </c>
    </row>
    <row r="9" spans="1:14">
      <c r="A9" s="1369">
        <v>2024</v>
      </c>
      <c r="B9" s="1311">
        <f>SUMIF('Spese Generiche BANCOMAT '!$E:$E,CONCATENATE(B$3," ",$A9),'Spese Generiche BANCOMAT '!$I:$I)</f>
        <v>373.71999999999997</v>
      </c>
      <c r="C9" s="1311">
        <f>SUMIF('Spese Generiche BANCOMAT '!$E:$E,CONCATENATE(C$3," ",$A9),'Spese Generiche BANCOMAT '!$I:$I)</f>
        <v>150.5</v>
      </c>
      <c r="D9" s="1311">
        <f>SUMIF('Spese Generiche BANCOMAT '!$E:$E,CONCATENATE(D$3," ",$A9),'Spese Generiche BANCOMAT '!$I:$I)</f>
        <v>207.78</v>
      </c>
      <c r="E9" s="1311">
        <f>SUMIF('Spese Generiche BANCOMAT '!$E:$E,CONCATENATE(E$3," ",$A9),'Spese Generiche BANCOMAT '!$I:$I)</f>
        <v>-68</v>
      </c>
      <c r="F9" s="1311">
        <f>SUMIF('Spese Generiche BANCOMAT '!$E:$E,CONCATENATE(F$3," ",$A9),'Spese Generiche BANCOMAT '!$I:$I)</f>
        <v>79</v>
      </c>
      <c r="G9" s="1311">
        <f>SUMIF('Spese Generiche BANCOMAT '!$E:$E,CONCATENATE(G$3," ",$A9),'Spese Generiche BANCOMAT '!$I:$I)</f>
        <v>10.199999999999999</v>
      </c>
      <c r="H9" s="1311">
        <f>SUMIF('Spese Generiche BANCOMAT '!$E:$E,CONCATENATE(H$3," ",$A9),'Spese Generiche BANCOMAT '!$I:$I)</f>
        <v>15.04</v>
      </c>
      <c r="I9" s="1311">
        <f>SUMIF('Spese Generiche BANCOMAT '!$E:$E,CONCATENATE(I$3," ",$A9),'Spese Generiche BANCOMAT '!$I:$I)</f>
        <v>917.6</v>
      </c>
      <c r="J9" s="1311">
        <f>SUMIF('Spese Generiche BANCOMAT '!$E:$E,CONCATENATE(J$3," ",$A9),'Spese Generiche BANCOMAT '!$I:$I)</f>
        <v>0</v>
      </c>
      <c r="K9" s="1311">
        <f>SUMIF('Spese Generiche BANCOMAT '!$E:$E,CONCATENATE(K$3," ",$A9),'Spese Generiche BANCOMAT '!$I:$I)</f>
        <v>-1516.01</v>
      </c>
      <c r="L9" s="1311">
        <f>SUMIF('Spese Generiche BANCOMAT '!$E:$E,CONCATENATE(L$3," ",$A9),'Spese Generiche BANCOMAT '!$I:$I)</f>
        <v>1832.38</v>
      </c>
      <c r="M9" s="1311">
        <f>SUMIF('Spese Generiche BANCOMAT '!$E:$E,CONCATENATE(M$3," ",$A9),'Spese Generiche BANCOMAT '!$I:$I)</f>
        <v>604.64</v>
      </c>
      <c r="N9" s="1312">
        <f t="shared" si="0"/>
        <v>2606.8500000000004</v>
      </c>
    </row>
    <row r="10" spans="1:14">
      <c r="A10" s="1369">
        <v>2025</v>
      </c>
      <c r="B10" s="1311">
        <f>SUMIF('Spese Generiche BANCOMAT '!$E:$E,CONCATENATE(B$3," ",$A10),'Spese Generiche BANCOMAT '!$I:$I)</f>
        <v>364.40999999999991</v>
      </c>
      <c r="C10" s="1311">
        <f>SUMIF('Spese Generiche BANCOMAT '!$E:$E,CONCATENATE(C$3," ",$A10),'Spese Generiche BANCOMAT '!$I:$I)</f>
        <v>26.34</v>
      </c>
      <c r="D10" s="1311">
        <f>SUMIF('Spese Generiche BANCOMAT '!$E:$E,CONCATENATE(D$3," ",$A10),'Spese Generiche BANCOMAT '!$I:$I)</f>
        <v>637.25</v>
      </c>
      <c r="E10" s="1311">
        <f>SUMIF('Spese Generiche BANCOMAT '!$E:$E,CONCATENATE(E$3," ",$A10),'Spese Generiche BANCOMAT '!$I:$I)</f>
        <v>532.48</v>
      </c>
      <c r="F10" s="1311">
        <f>SUMIF('Spese Generiche BANCOMAT '!$E:$E,CONCATENATE(F$3," ",$A10),'Spese Generiche BANCOMAT '!$I:$I)</f>
        <v>4.75</v>
      </c>
      <c r="G10" s="1311">
        <f>SUMIF('Spese Generiche BANCOMAT '!$E:$E,CONCATENATE(G$3," ",$A10),'Spese Generiche BANCOMAT '!$I:$I)</f>
        <v>0</v>
      </c>
      <c r="H10" s="1311">
        <f>SUMIF('Spese Generiche BANCOMAT '!$E:$E,CONCATENATE(H$3," ",$A10),'Spese Generiche BANCOMAT '!$I:$I)</f>
        <v>0</v>
      </c>
      <c r="I10" s="1311">
        <f>SUMIF('Spese Generiche BANCOMAT '!$E:$E,CONCATENATE(I$3," ",$A10),'Spese Generiche BANCOMAT '!$I:$I)</f>
        <v>48.65</v>
      </c>
      <c r="J10" s="1311">
        <f>SUMIF('Spese Generiche BANCOMAT '!$E:$E,CONCATENATE(J$3," ",$A10),'Spese Generiche BANCOMAT '!$I:$I)</f>
        <v>80</v>
      </c>
      <c r="K10" s="1311">
        <f>SUMIF('Spese Generiche BANCOMAT '!$E:$E,CONCATENATE(K$3," ",$A10),'Spese Generiche BANCOMAT '!$I:$I)</f>
        <v>40</v>
      </c>
      <c r="L10" s="1311">
        <f>SUMIF('Spese Generiche BANCOMAT '!$E:$E,CONCATENATE(L$3," ",$A10),'Spese Generiche BANCOMAT '!$I:$I)</f>
        <v>16.98</v>
      </c>
      <c r="M10" s="1311">
        <f>SUMIF('Spese Generiche BANCOMAT '!$E:$E,CONCATENATE(M$3," ",$A10),'Spese Generiche BANCOMAT '!$I:$I)</f>
        <v>404.40000000000003</v>
      </c>
      <c r="N10" s="1312">
        <f t="shared" si="0"/>
        <v>2155.2600000000002</v>
      </c>
    </row>
    <row r="11" spans="1:14">
      <c r="A11" s="1369">
        <v>2026</v>
      </c>
      <c r="B11" s="1311">
        <f>SUMIF('Spese Generiche BANCOMAT '!$E:$E,CONCATENATE(B$3," ",$A11),'Spese Generiche BANCOMAT '!$I:$I)</f>
        <v>291.83999999999997</v>
      </c>
      <c r="C11" s="1311">
        <f>SUMIF('Spese Generiche BANCOMAT '!$E:$E,CONCATENATE(C$3," ",$A11),'Spese Generiche BANCOMAT '!$I:$I)</f>
        <v>0</v>
      </c>
      <c r="D11" s="1311">
        <f>SUMIF('Spese Generiche BANCOMAT '!$E:$E,CONCATENATE(D$3," ",$A11),'Spese Generiche BANCOMAT '!$I:$I)</f>
        <v>72.599999999999994</v>
      </c>
      <c r="E11" s="1311">
        <f>SUMIF('Spese Generiche BANCOMAT '!$E:$E,CONCATENATE(E$3," ",$A11),'Spese Generiche BANCOMAT '!$I:$I)</f>
        <v>1434.7800000000002</v>
      </c>
      <c r="F11" s="1311">
        <f>SUMIF('Spese Generiche BANCOMAT '!$E:$E,CONCATENATE(F$3," ",$A11),'Spese Generiche BANCOMAT '!$I:$I)</f>
        <v>201.23000000000002</v>
      </c>
      <c r="G11" s="1311">
        <f>SUMIF('Spese Generiche BANCOMAT '!$E:$E,CONCATENATE(G$3," ",$A11),'Spese Generiche BANCOMAT '!$I:$I)</f>
        <v>662.62000000000012</v>
      </c>
      <c r="H11" s="1311">
        <f>SUMIF('Spese Generiche BANCOMAT '!$E:$E,CONCATENATE(H$3," ",$A11),'Spese Generiche BANCOMAT '!$I:$I)</f>
        <v>230.94</v>
      </c>
      <c r="I11" s="1311">
        <f>SUMIF('Spese Generiche BANCOMAT '!$E:$E,CONCATENATE(I$3," ",$A11),'Spese Generiche BANCOMAT '!$I:$I)</f>
        <v>2423.64</v>
      </c>
      <c r="J11" s="1311">
        <f>SUMIF('Spese Generiche BANCOMAT '!$E:$E,CONCATENATE(J$3," ",$A11),'Spese Generiche BANCOMAT '!$I:$I)</f>
        <v>802.83999999999992</v>
      </c>
      <c r="K11" s="1311">
        <f>SUMIF('Spese Generiche BANCOMAT '!$E:$E,CONCATENATE(K$3," ",$A11),'Spese Generiche BANCOMAT '!$I:$I)</f>
        <v>0</v>
      </c>
      <c r="L11" s="1311">
        <f>SUMIF('Spese Generiche BANCOMAT '!$E:$E,CONCATENATE(L$3," ",$A11),'Spese Generiche BANCOMAT '!$I:$I)</f>
        <v>0</v>
      </c>
      <c r="M11" s="1311">
        <f>SUMIF('Spese Generiche BANCOMAT '!$E:$E,CONCATENATE(M$3," ",$A11),'Spese Generiche BANCOMAT '!$I:$I)</f>
        <v>0</v>
      </c>
      <c r="N11" s="1312">
        <f t="shared" si="0"/>
        <v>6120.4900000000007</v>
      </c>
    </row>
    <row r="12" spans="1:14">
      <c r="A12" s="1369">
        <v>2027</v>
      </c>
      <c r="B12" s="1311">
        <f>SUMIF('Spese Generiche BANCOMAT '!$E:$E,CONCATENATE(B$3," ",$A12),'Spese Generiche BANCOMAT '!$I:$I)</f>
        <v>0</v>
      </c>
      <c r="C12" s="1311">
        <f>SUMIF('Spese Generiche BANCOMAT '!$E:$E,CONCATENATE(C$3," ",$A12),'Spese Generiche BANCOMAT '!$I:$I)</f>
        <v>0</v>
      </c>
      <c r="D12" s="1311">
        <f>SUMIF('Spese Generiche BANCOMAT '!$E:$E,CONCATENATE(D$3," ",$A12),'Spese Generiche BANCOMAT '!$I:$I)</f>
        <v>0</v>
      </c>
      <c r="E12" s="1311">
        <f>SUMIF('Spese Generiche BANCOMAT '!$E:$E,CONCATENATE(E$3," ",$A12),'Spese Generiche BANCOMAT '!$I:$I)</f>
        <v>0</v>
      </c>
      <c r="F12" s="1311">
        <f>SUMIF('Spese Generiche BANCOMAT '!$E:$E,CONCATENATE(F$3," ",$A12),'Spese Generiche BANCOMAT '!$I:$I)</f>
        <v>0</v>
      </c>
      <c r="G12" s="1311">
        <f>SUMIF('Spese Generiche BANCOMAT '!$E:$E,CONCATENATE(G$3," ",$A12),'Spese Generiche BANCOMAT '!$I:$I)</f>
        <v>0</v>
      </c>
      <c r="H12" s="1311">
        <f>SUMIF('Spese Generiche BANCOMAT '!$E:$E,CONCATENATE(H$3," ",$A12),'Spese Generiche BANCOMAT '!$I:$I)</f>
        <v>0</v>
      </c>
      <c r="I12" s="1311">
        <f>SUMIF('Spese Generiche BANCOMAT '!$E:$E,CONCATENATE(I$3," ",$A12),'Spese Generiche BANCOMAT '!$I:$I)</f>
        <v>0</v>
      </c>
      <c r="J12" s="1311">
        <f>SUMIF('Spese Generiche BANCOMAT '!$E:$E,CONCATENATE(J$3," ",$A12),'Spese Generiche BANCOMAT '!$I:$I)</f>
        <v>0</v>
      </c>
      <c r="K12" s="1311">
        <f>SUMIF('Spese Generiche BANCOMAT '!$E:$E,CONCATENATE(K$3," ",$A12),'Spese Generiche BANCOMAT '!$I:$I)</f>
        <v>0</v>
      </c>
      <c r="L12" s="1311">
        <f>SUMIF('Spese Generiche BANCOMAT '!$E:$E,CONCATENATE(L$3," ",$A12),'Spese Generiche BANCOMAT '!$I:$I)</f>
        <v>0</v>
      </c>
      <c r="M12" s="1311">
        <f>SUMIF('Spese Generiche BANCOMAT '!$E:$E,CONCATENATE(M$3," ",$A12),'Spese Generiche BANCOMAT '!$I:$I)</f>
        <v>0</v>
      </c>
      <c r="N12" s="1312">
        <f t="shared" si="0"/>
        <v>0</v>
      </c>
    </row>
    <row r="13" spans="1:14">
      <c r="A13" s="1369">
        <v>2028</v>
      </c>
      <c r="B13" s="1311">
        <f>SUMIF('Spese Generiche BANCOMAT '!$E:$E,CONCATENATE(B$3," ",$A13),'Spese Generiche BANCOMAT '!$I:$I)</f>
        <v>0</v>
      </c>
      <c r="C13" s="1311">
        <f>SUMIF('Spese Generiche BANCOMAT '!$E:$E,CONCATENATE(C$3," ",$A13),'Spese Generiche BANCOMAT '!$I:$I)</f>
        <v>0</v>
      </c>
      <c r="D13" s="1311">
        <f>SUMIF('Spese Generiche BANCOMAT '!$E:$E,CONCATENATE(D$3," ",$A13),'Spese Generiche BANCOMAT '!$I:$I)</f>
        <v>0</v>
      </c>
      <c r="E13" s="1311">
        <f>SUMIF('Spese Generiche BANCOMAT '!$E:$E,CONCATENATE(E$3," ",$A13),'Spese Generiche BANCOMAT '!$I:$I)</f>
        <v>0</v>
      </c>
      <c r="F13" s="1311">
        <f>SUMIF('Spese Generiche BANCOMAT '!$E:$E,CONCATENATE(F$3," ",$A13),'Spese Generiche BANCOMAT '!$I:$I)</f>
        <v>0</v>
      </c>
      <c r="G13" s="1311">
        <f>SUMIF('Spese Generiche BANCOMAT '!$E:$E,CONCATENATE(G$3," ",$A13),'Spese Generiche BANCOMAT '!$I:$I)</f>
        <v>0</v>
      </c>
      <c r="H13" s="1311">
        <f>SUMIF('Spese Generiche BANCOMAT '!$E:$E,CONCATENATE(H$3," ",$A13),'Spese Generiche BANCOMAT '!$I:$I)</f>
        <v>0</v>
      </c>
      <c r="I13" s="1311">
        <f>SUMIF('Spese Generiche BANCOMAT '!$E:$E,CONCATENATE(I$3," ",$A13),'Spese Generiche BANCOMAT '!$I:$I)</f>
        <v>0</v>
      </c>
      <c r="J13" s="1311">
        <f>SUMIF('Spese Generiche BANCOMAT '!$E:$E,CONCATENATE(J$3," ",$A13),'Spese Generiche BANCOMAT '!$I:$I)</f>
        <v>0</v>
      </c>
      <c r="K13" s="1311">
        <f>SUMIF('Spese Generiche BANCOMAT '!$E:$E,CONCATENATE(K$3," ",$A13),'Spese Generiche BANCOMAT '!$I:$I)</f>
        <v>0</v>
      </c>
      <c r="L13" s="1311">
        <f>SUMIF('Spese Generiche BANCOMAT '!$E:$E,CONCATENATE(L$3," ",$A13),'Spese Generiche BANCOMAT '!$I:$I)</f>
        <v>0</v>
      </c>
      <c r="M13" s="1311">
        <f>SUMIF('Spese Generiche BANCOMAT '!$E:$E,CONCATENATE(M$3," ",$A13),'Spese Generiche BANCOMAT '!$I:$I)</f>
        <v>0</v>
      </c>
      <c r="N13" s="1312">
        <f t="shared" si="0"/>
        <v>0</v>
      </c>
    </row>
    <row r="14" spans="1:14">
      <c r="A14" s="1369">
        <v>2029</v>
      </c>
      <c r="B14" s="1311">
        <f>SUMIF('Spese Generiche BANCOMAT '!$E:$E,CONCATENATE(B$3," ",$A14),'Spese Generiche BANCOMAT '!$I:$I)</f>
        <v>0</v>
      </c>
      <c r="C14" s="1311">
        <f>SUMIF('Spese Generiche BANCOMAT '!$E:$E,CONCATENATE(C$3," ",$A14),'Spese Generiche BANCOMAT '!$I:$I)</f>
        <v>0</v>
      </c>
      <c r="D14" s="1311">
        <f>SUMIF('Spese Generiche BANCOMAT '!$E:$E,CONCATENATE(D$3," ",$A14),'Spese Generiche BANCOMAT '!$I:$I)</f>
        <v>0</v>
      </c>
      <c r="E14" s="1311">
        <f>SUMIF('Spese Generiche BANCOMAT '!$E:$E,CONCATENATE(E$3," ",$A14),'Spese Generiche BANCOMAT '!$I:$I)</f>
        <v>0</v>
      </c>
      <c r="F14" s="1311">
        <f>SUMIF('Spese Generiche BANCOMAT '!$E:$E,CONCATENATE(F$3," ",$A14),'Spese Generiche BANCOMAT '!$I:$I)</f>
        <v>0</v>
      </c>
      <c r="G14" s="1311">
        <f>SUMIF('Spese Generiche BANCOMAT '!$E:$E,CONCATENATE(G$3," ",$A14),'Spese Generiche BANCOMAT '!$I:$I)</f>
        <v>0</v>
      </c>
      <c r="H14" s="1311">
        <f>SUMIF('Spese Generiche BANCOMAT '!$E:$E,CONCATENATE(H$3," ",$A14),'Spese Generiche BANCOMAT '!$I:$I)</f>
        <v>0</v>
      </c>
      <c r="I14" s="1311">
        <f>SUMIF('Spese Generiche BANCOMAT '!$E:$E,CONCATENATE(I$3," ",$A14),'Spese Generiche BANCOMAT '!$I:$I)</f>
        <v>0</v>
      </c>
      <c r="J14" s="1311">
        <f>SUMIF('Spese Generiche BANCOMAT '!$E:$E,CONCATENATE(J$3," ",$A14),'Spese Generiche BANCOMAT '!$I:$I)</f>
        <v>0</v>
      </c>
      <c r="K14" s="1311">
        <f>SUMIF('Spese Generiche BANCOMAT '!$E:$E,CONCATENATE(K$3," ",$A14),'Spese Generiche BANCOMAT '!$I:$I)</f>
        <v>0</v>
      </c>
      <c r="L14" s="1311">
        <f>SUMIF('Spese Generiche BANCOMAT '!$E:$E,CONCATENATE(L$3," ",$A14),'Spese Generiche BANCOMAT '!$I:$I)</f>
        <v>0</v>
      </c>
      <c r="M14" s="1311">
        <f>SUMIF('Spese Generiche BANCOMAT '!$E:$E,CONCATENATE(M$3," ",$A14),'Spese Generiche BANCOMAT '!$I:$I)</f>
        <v>0</v>
      </c>
      <c r="N14" s="1312">
        <f t="shared" si="0"/>
        <v>0</v>
      </c>
    </row>
    <row r="15" spans="1:14">
      <c r="A15" s="1369">
        <v>2030</v>
      </c>
      <c r="B15" s="1311">
        <f>SUMIF('Spese Generiche BANCOMAT '!$E:$E,CONCATENATE(B$3," ",$A15),'Spese Generiche BANCOMAT '!$I:$I)</f>
        <v>0</v>
      </c>
      <c r="C15" s="1311">
        <f>SUMIF('Spese Generiche BANCOMAT '!$E:$E,CONCATENATE(C$3," ",$A15),'Spese Generiche BANCOMAT '!$I:$I)</f>
        <v>0</v>
      </c>
      <c r="D15" s="1311">
        <f>SUMIF('Spese Generiche BANCOMAT '!$E:$E,CONCATENATE(D$3," ",$A15),'Spese Generiche BANCOMAT '!$I:$I)</f>
        <v>0</v>
      </c>
      <c r="E15" s="1311">
        <f>SUMIF('Spese Generiche BANCOMAT '!$E:$E,CONCATENATE(E$3," ",$A15),'Spese Generiche BANCOMAT '!$I:$I)</f>
        <v>0</v>
      </c>
      <c r="F15" s="1311">
        <f>SUMIF('Spese Generiche BANCOMAT '!$E:$E,CONCATENATE(F$3," ",$A15),'Spese Generiche BANCOMAT '!$I:$I)</f>
        <v>0</v>
      </c>
      <c r="G15" s="1311">
        <f>SUMIF('Spese Generiche BANCOMAT '!$E:$E,CONCATENATE(G$3," ",$A15),'Spese Generiche BANCOMAT '!$I:$I)</f>
        <v>0</v>
      </c>
      <c r="H15" s="1311">
        <f>SUMIF('Spese Generiche BANCOMAT '!$E:$E,CONCATENATE(H$3," ",$A15),'Spese Generiche BANCOMAT '!$I:$I)</f>
        <v>0</v>
      </c>
      <c r="I15" s="1311">
        <f>SUMIF('Spese Generiche BANCOMAT '!$E:$E,CONCATENATE(I$3," ",$A15),'Spese Generiche BANCOMAT '!$I:$I)</f>
        <v>0</v>
      </c>
      <c r="J15" s="1311">
        <f>SUMIF('Spese Generiche BANCOMAT '!$E:$E,CONCATENATE(J$3," ",$A15),'Spese Generiche BANCOMAT '!$I:$I)</f>
        <v>0</v>
      </c>
      <c r="K15" s="1311">
        <f>SUMIF('Spese Generiche BANCOMAT '!$E:$E,CONCATENATE(K$3," ",$A15),'Spese Generiche BANCOMAT '!$I:$I)</f>
        <v>0</v>
      </c>
      <c r="L15" s="1311">
        <f>SUMIF('Spese Generiche BANCOMAT '!$E:$E,CONCATENATE(L$3," ",$A15),'Spese Generiche BANCOMAT '!$I:$I)</f>
        <v>0</v>
      </c>
      <c r="M15" s="1311">
        <f>SUMIF('Spese Generiche BANCOMAT '!$E:$E,CONCATENATE(M$3," ",$A15),'Spese Generiche BANCOMAT '!$I:$I)</f>
        <v>0</v>
      </c>
      <c r="N15" s="1312">
        <f t="shared" si="0"/>
        <v>0</v>
      </c>
    </row>
    <row r="16" spans="1:14">
      <c r="A16" s="1369">
        <v>2031</v>
      </c>
      <c r="B16" s="1311">
        <f>SUMIF('Spese Generiche BANCOMAT '!$E:$E,CONCATENATE(B$3," ",$A16),'Spese Generiche BANCOMAT '!$I:$I)</f>
        <v>0</v>
      </c>
      <c r="C16" s="1311">
        <f>SUMIF('Spese Generiche BANCOMAT '!$E:$E,CONCATENATE(C$3," ",$A16),'Spese Generiche BANCOMAT '!$I:$I)</f>
        <v>0</v>
      </c>
      <c r="D16" s="1311">
        <f>SUMIF('Spese Generiche BANCOMAT '!$E:$E,CONCATENATE(D$3," ",$A16),'Spese Generiche BANCOMAT '!$I:$I)</f>
        <v>0</v>
      </c>
      <c r="E16" s="1311">
        <f>SUMIF('Spese Generiche BANCOMAT '!$E:$E,CONCATENATE(E$3," ",$A16),'Spese Generiche BANCOMAT '!$I:$I)</f>
        <v>0</v>
      </c>
      <c r="F16" s="1311">
        <f>SUMIF('Spese Generiche BANCOMAT '!$E:$E,CONCATENATE(F$3," ",$A16),'Spese Generiche BANCOMAT '!$I:$I)</f>
        <v>0</v>
      </c>
      <c r="G16" s="1311">
        <f>SUMIF('Spese Generiche BANCOMAT '!$E:$E,CONCATENATE(G$3," ",$A16),'Spese Generiche BANCOMAT '!$I:$I)</f>
        <v>0</v>
      </c>
      <c r="H16" s="1311">
        <f>SUMIF('Spese Generiche BANCOMAT '!$E:$E,CONCATENATE(H$3," ",$A16),'Spese Generiche BANCOMAT '!$I:$I)</f>
        <v>0</v>
      </c>
      <c r="I16" s="1311">
        <f>SUMIF('Spese Generiche BANCOMAT '!$E:$E,CONCATENATE(I$3," ",$A16),'Spese Generiche BANCOMAT '!$I:$I)</f>
        <v>0</v>
      </c>
      <c r="J16" s="1311">
        <f>SUMIF('Spese Generiche BANCOMAT '!$E:$E,CONCATENATE(J$3," ",$A16),'Spese Generiche BANCOMAT '!$I:$I)</f>
        <v>0</v>
      </c>
      <c r="K16" s="1311">
        <f>SUMIF('Spese Generiche BANCOMAT '!$E:$E,CONCATENATE(K$3," ",$A16),'Spese Generiche BANCOMAT '!$I:$I)</f>
        <v>0</v>
      </c>
      <c r="L16" s="1311">
        <f>SUMIF('Spese Generiche BANCOMAT '!$E:$E,CONCATENATE(L$3," ",$A16),'Spese Generiche BANCOMAT '!$I:$I)</f>
        <v>0</v>
      </c>
      <c r="M16" s="1311">
        <f>SUMIF('Spese Generiche BANCOMAT '!$E:$E,CONCATENATE(M$3," ",$A16),'Spese Generiche BANCOMAT '!$I:$I)</f>
        <v>0</v>
      </c>
      <c r="N16" s="1312">
        <f t="shared" si="0"/>
        <v>0</v>
      </c>
    </row>
    <row r="17" spans="1:14">
      <c r="A17" s="1369">
        <v>2032</v>
      </c>
      <c r="B17" s="1311">
        <f>SUMIF('Spese Generiche BANCOMAT '!$E:$E,CONCATENATE(B$3," ",$A17),'Spese Generiche BANCOMAT '!$I:$I)</f>
        <v>0</v>
      </c>
      <c r="C17" s="1311">
        <f>SUMIF('Spese Generiche BANCOMAT '!$E:$E,CONCATENATE(C$3," ",$A17),'Spese Generiche BANCOMAT '!$I:$I)</f>
        <v>0</v>
      </c>
      <c r="D17" s="1311">
        <f>SUMIF('Spese Generiche BANCOMAT '!$E:$E,CONCATENATE(D$3," ",$A17),'Spese Generiche BANCOMAT '!$I:$I)</f>
        <v>0</v>
      </c>
      <c r="E17" s="1311">
        <f>SUMIF('Spese Generiche BANCOMAT '!$E:$E,CONCATENATE(E$3," ",$A17),'Spese Generiche BANCOMAT '!$I:$I)</f>
        <v>0</v>
      </c>
      <c r="F17" s="1311">
        <f>SUMIF('Spese Generiche BANCOMAT '!$E:$E,CONCATENATE(F$3," ",$A17),'Spese Generiche BANCOMAT '!$I:$I)</f>
        <v>0</v>
      </c>
      <c r="G17" s="1311">
        <f>SUMIF('Spese Generiche BANCOMAT '!$E:$E,CONCATENATE(G$3," ",$A17),'Spese Generiche BANCOMAT '!$I:$I)</f>
        <v>0</v>
      </c>
      <c r="H17" s="1311">
        <f>SUMIF('Spese Generiche BANCOMAT '!$E:$E,CONCATENATE(H$3," ",$A17),'Spese Generiche BANCOMAT '!$I:$I)</f>
        <v>0</v>
      </c>
      <c r="I17" s="1311">
        <f>SUMIF('Spese Generiche BANCOMAT '!$E:$E,CONCATENATE(I$3," ",$A17),'Spese Generiche BANCOMAT '!$I:$I)</f>
        <v>0</v>
      </c>
      <c r="J17" s="1311">
        <f>SUMIF('Spese Generiche BANCOMAT '!$E:$E,CONCATENATE(J$3," ",$A17),'Spese Generiche BANCOMAT '!$I:$I)</f>
        <v>0</v>
      </c>
      <c r="K17" s="1311">
        <f>SUMIF('Spese Generiche BANCOMAT '!$E:$E,CONCATENATE(K$3," ",$A17),'Spese Generiche BANCOMAT '!$I:$I)</f>
        <v>0</v>
      </c>
      <c r="L17" s="1311">
        <f>SUMIF('Spese Generiche BANCOMAT '!$E:$E,CONCATENATE(L$3," ",$A17),'Spese Generiche BANCOMAT '!$I:$I)</f>
        <v>0</v>
      </c>
      <c r="M17" s="1311">
        <f>SUMIF('Spese Generiche BANCOMAT '!$E:$E,CONCATENATE(M$3," ",$A17),'Spese Generiche BANCOMAT '!$I:$I)</f>
        <v>0</v>
      </c>
      <c r="N17" s="1312">
        <f t="shared" si="0"/>
        <v>0</v>
      </c>
    </row>
    <row r="18" spans="1:14">
      <c r="A18" s="1369">
        <v>2033</v>
      </c>
      <c r="B18" s="1311">
        <f>SUMIF('Spese Generiche BANCOMAT '!$E:$E,CONCATENATE(B$3," ",$A18),'Spese Generiche BANCOMAT '!$I:$I)</f>
        <v>0</v>
      </c>
      <c r="C18" s="1311">
        <f>SUMIF('Spese Generiche BANCOMAT '!$E:$E,CONCATENATE(C$3," ",$A18),'Spese Generiche BANCOMAT '!$I:$I)</f>
        <v>0</v>
      </c>
      <c r="D18" s="1311">
        <f>SUMIF('Spese Generiche BANCOMAT '!$E:$E,CONCATENATE(D$3," ",$A18),'Spese Generiche BANCOMAT '!$I:$I)</f>
        <v>0</v>
      </c>
      <c r="E18" s="1311">
        <f>SUMIF('Spese Generiche BANCOMAT '!$E:$E,CONCATENATE(E$3," ",$A18),'Spese Generiche BANCOMAT '!$I:$I)</f>
        <v>0</v>
      </c>
      <c r="F18" s="1311">
        <f>SUMIF('Spese Generiche BANCOMAT '!$E:$E,CONCATENATE(F$3," ",$A18),'Spese Generiche BANCOMAT '!$I:$I)</f>
        <v>0</v>
      </c>
      <c r="G18" s="1311">
        <f>SUMIF('Spese Generiche BANCOMAT '!$E:$E,CONCATENATE(G$3," ",$A18),'Spese Generiche BANCOMAT '!$I:$I)</f>
        <v>0</v>
      </c>
      <c r="H18" s="1311">
        <f>SUMIF('Spese Generiche BANCOMAT '!$E:$E,CONCATENATE(H$3," ",$A18),'Spese Generiche BANCOMAT '!$I:$I)</f>
        <v>0</v>
      </c>
      <c r="I18" s="1311">
        <f>SUMIF('Spese Generiche BANCOMAT '!$E:$E,CONCATENATE(I$3," ",$A18),'Spese Generiche BANCOMAT '!$I:$I)</f>
        <v>0</v>
      </c>
      <c r="J18" s="1311">
        <f>SUMIF('Spese Generiche BANCOMAT '!$E:$E,CONCATENATE(J$3," ",$A18),'Spese Generiche BANCOMAT '!$I:$I)</f>
        <v>0</v>
      </c>
      <c r="K18" s="1311">
        <f>SUMIF('Spese Generiche BANCOMAT '!$E:$E,CONCATENATE(K$3," ",$A18),'Spese Generiche BANCOMAT '!$I:$I)</f>
        <v>0</v>
      </c>
      <c r="L18" s="1311">
        <f>SUMIF('Spese Generiche BANCOMAT '!$E:$E,CONCATENATE(L$3," ",$A18),'Spese Generiche BANCOMAT '!$I:$I)</f>
        <v>0</v>
      </c>
      <c r="M18" s="1311">
        <f>SUMIF('Spese Generiche BANCOMAT '!$E:$E,CONCATENATE(M$3," ",$A18),'Spese Generiche BANCOMAT '!$I:$I)</f>
        <v>0</v>
      </c>
      <c r="N18" s="1312">
        <f t="shared" si="0"/>
        <v>0</v>
      </c>
    </row>
    <row r="19" spans="1:14">
      <c r="A19" s="1369">
        <v>2034</v>
      </c>
      <c r="B19" s="1311">
        <f>SUMIF('Spese Generiche BANCOMAT '!$E:$E,CONCATENATE(B$3," ",$A19),'Spese Generiche BANCOMAT '!$I:$I)</f>
        <v>0</v>
      </c>
      <c r="C19" s="1311">
        <f>SUMIF('Spese Generiche BANCOMAT '!$E:$E,CONCATENATE(C$3," ",$A19),'Spese Generiche BANCOMAT '!$I:$I)</f>
        <v>0</v>
      </c>
      <c r="D19" s="1311">
        <f>SUMIF('Spese Generiche BANCOMAT '!$E:$E,CONCATENATE(D$3," ",$A19),'Spese Generiche BANCOMAT '!$I:$I)</f>
        <v>0</v>
      </c>
      <c r="E19" s="1311">
        <f>SUMIF('Spese Generiche BANCOMAT '!$E:$E,CONCATENATE(E$3," ",$A19),'Spese Generiche BANCOMAT '!$I:$I)</f>
        <v>0</v>
      </c>
      <c r="F19" s="1311">
        <f>SUMIF('Spese Generiche BANCOMAT '!$E:$E,CONCATENATE(F$3," ",$A19),'Spese Generiche BANCOMAT '!$I:$I)</f>
        <v>0</v>
      </c>
      <c r="G19" s="1311">
        <f>SUMIF('Spese Generiche BANCOMAT '!$E:$E,CONCATENATE(G$3," ",$A19),'Spese Generiche BANCOMAT '!$I:$I)</f>
        <v>0</v>
      </c>
      <c r="H19" s="1311">
        <f>SUMIF('Spese Generiche BANCOMAT '!$E:$E,CONCATENATE(H$3," ",$A19),'Spese Generiche BANCOMAT '!$I:$I)</f>
        <v>0</v>
      </c>
      <c r="I19" s="1311">
        <f>SUMIF('Spese Generiche BANCOMAT '!$E:$E,CONCATENATE(I$3," ",$A19),'Spese Generiche BANCOMAT '!$I:$I)</f>
        <v>0</v>
      </c>
      <c r="J19" s="1311">
        <f>SUMIF('Spese Generiche BANCOMAT '!$E:$E,CONCATENATE(J$3," ",$A19),'Spese Generiche BANCOMAT '!$I:$I)</f>
        <v>0</v>
      </c>
      <c r="K19" s="1311">
        <f>SUMIF('Spese Generiche BANCOMAT '!$E:$E,CONCATENATE(K$3," ",$A19),'Spese Generiche BANCOMAT '!$I:$I)</f>
        <v>0</v>
      </c>
      <c r="L19" s="1311">
        <f>SUMIF('Spese Generiche BANCOMAT '!$E:$E,CONCATENATE(L$3," ",$A19),'Spese Generiche BANCOMAT '!$I:$I)</f>
        <v>0</v>
      </c>
      <c r="M19" s="1311">
        <f>SUMIF('Spese Generiche BANCOMAT '!$E:$E,CONCATENATE(M$3," ",$A19),'Spese Generiche BANCOMAT '!$I:$I)</f>
        <v>0</v>
      </c>
      <c r="N19" s="1312">
        <f t="shared" si="0"/>
        <v>0</v>
      </c>
    </row>
    <row r="20" spans="1:14">
      <c r="A20" s="1369">
        <v>2035</v>
      </c>
      <c r="B20" s="1311">
        <f>SUMIF('Spese Generiche BANCOMAT '!$E:$E,CONCATENATE(B$3," ",$A20),'Spese Generiche BANCOMAT '!$I:$I)</f>
        <v>0</v>
      </c>
      <c r="C20" s="1311">
        <f>SUMIF('Spese Generiche BANCOMAT '!$E:$E,CONCATENATE(C$3," ",$A20),'Spese Generiche BANCOMAT '!$I:$I)</f>
        <v>0</v>
      </c>
      <c r="D20" s="1311">
        <f>SUMIF('Spese Generiche BANCOMAT '!$E:$E,CONCATENATE(D$3," ",$A20),'Spese Generiche BANCOMAT '!$I:$I)</f>
        <v>0</v>
      </c>
      <c r="E20" s="1311">
        <f>SUMIF('Spese Generiche BANCOMAT '!$E:$E,CONCATENATE(E$3," ",$A20),'Spese Generiche BANCOMAT '!$I:$I)</f>
        <v>0</v>
      </c>
      <c r="F20" s="1311">
        <f>SUMIF('Spese Generiche BANCOMAT '!$E:$E,CONCATENATE(F$3," ",$A20),'Spese Generiche BANCOMAT '!$I:$I)</f>
        <v>0</v>
      </c>
      <c r="G20" s="1311">
        <f>SUMIF('Spese Generiche BANCOMAT '!$E:$E,CONCATENATE(G$3," ",$A20),'Spese Generiche BANCOMAT '!$I:$I)</f>
        <v>0</v>
      </c>
      <c r="H20" s="1311">
        <f>SUMIF('Spese Generiche BANCOMAT '!$E:$E,CONCATENATE(H$3," ",$A20),'Spese Generiche BANCOMAT '!$I:$I)</f>
        <v>0</v>
      </c>
      <c r="I20" s="1311">
        <f>SUMIF('Spese Generiche BANCOMAT '!$E:$E,CONCATENATE(I$3," ",$A20),'Spese Generiche BANCOMAT '!$I:$I)</f>
        <v>0</v>
      </c>
      <c r="J20" s="1311">
        <f>SUMIF('Spese Generiche BANCOMAT '!$E:$E,CONCATENATE(J$3," ",$A20),'Spese Generiche BANCOMAT '!$I:$I)</f>
        <v>0</v>
      </c>
      <c r="K20" s="1311">
        <f>SUMIF('Spese Generiche BANCOMAT '!$E:$E,CONCATENATE(K$3," ",$A20),'Spese Generiche BANCOMAT '!$I:$I)</f>
        <v>0</v>
      </c>
      <c r="L20" s="1311">
        <f>SUMIF('Spese Generiche BANCOMAT '!$E:$E,CONCATENATE(L$3," ",$A20),'Spese Generiche BANCOMAT '!$I:$I)</f>
        <v>0</v>
      </c>
      <c r="M20" s="1311">
        <f>SUMIF('Spese Generiche BANCOMAT '!$E:$E,CONCATENATE(M$3," ",$A20),'Spese Generiche BANCOMAT '!$I:$I)</f>
        <v>0</v>
      </c>
      <c r="N20" s="1312">
        <f t="shared" si="0"/>
        <v>0</v>
      </c>
    </row>
    <row r="21" spans="1:14">
      <c r="A21" s="1369">
        <v>2036</v>
      </c>
      <c r="B21" s="1311">
        <f>SUMIF('Spese Generiche BANCOMAT '!$E:$E,CONCATENATE(B$3," ",$A21),'Spese Generiche BANCOMAT '!$I:$I)</f>
        <v>0</v>
      </c>
      <c r="C21" s="1311">
        <f>SUMIF('Spese Generiche BANCOMAT '!$E:$E,CONCATENATE(C$3," ",$A21),'Spese Generiche BANCOMAT '!$I:$I)</f>
        <v>0</v>
      </c>
      <c r="D21" s="1311">
        <f>SUMIF('Spese Generiche BANCOMAT '!$E:$E,CONCATENATE(D$3," ",$A21),'Spese Generiche BANCOMAT '!$I:$I)</f>
        <v>0</v>
      </c>
      <c r="E21" s="1311">
        <f>SUMIF('Spese Generiche BANCOMAT '!$E:$E,CONCATENATE(E$3," ",$A21),'Spese Generiche BANCOMAT '!$I:$I)</f>
        <v>0</v>
      </c>
      <c r="F21" s="1311">
        <f>SUMIF('Spese Generiche BANCOMAT '!$E:$E,CONCATENATE(F$3," ",$A21),'Spese Generiche BANCOMAT '!$I:$I)</f>
        <v>0</v>
      </c>
      <c r="G21" s="1311">
        <f>SUMIF('Spese Generiche BANCOMAT '!$E:$E,CONCATENATE(G$3," ",$A21),'Spese Generiche BANCOMAT '!$I:$I)</f>
        <v>0</v>
      </c>
      <c r="H21" s="1311">
        <f>SUMIF('Spese Generiche BANCOMAT '!$E:$E,CONCATENATE(H$3," ",$A21),'Spese Generiche BANCOMAT '!$I:$I)</f>
        <v>0</v>
      </c>
      <c r="I21" s="1311">
        <f>SUMIF('Spese Generiche BANCOMAT '!$E:$E,CONCATENATE(I$3," ",$A21),'Spese Generiche BANCOMAT '!$I:$I)</f>
        <v>0</v>
      </c>
      <c r="J21" s="1311">
        <f>SUMIF('Spese Generiche BANCOMAT '!$E:$E,CONCATENATE(J$3," ",$A21),'Spese Generiche BANCOMAT '!$I:$I)</f>
        <v>0</v>
      </c>
      <c r="K21" s="1311">
        <f>SUMIF('Spese Generiche BANCOMAT '!$E:$E,CONCATENATE(K$3," ",$A21),'Spese Generiche BANCOMAT '!$I:$I)</f>
        <v>0</v>
      </c>
      <c r="L21" s="1311">
        <f>SUMIF('Spese Generiche BANCOMAT '!$E:$E,CONCATENATE(L$3," ",$A21),'Spese Generiche BANCOMAT '!$I:$I)</f>
        <v>0</v>
      </c>
      <c r="M21" s="1311">
        <f>SUMIF('Spese Generiche BANCOMAT '!$E:$E,CONCATENATE(M$3," ",$A21),'Spese Generiche BANCOMAT '!$I:$I)</f>
        <v>0</v>
      </c>
      <c r="N21" s="1312">
        <f t="shared" si="0"/>
        <v>0</v>
      </c>
    </row>
    <row r="22" spans="1:14">
      <c r="A22" s="1369">
        <v>2037</v>
      </c>
      <c r="B22" s="1311">
        <f>SUMIF('Spese Generiche BANCOMAT '!$E:$E,CONCATENATE(B$3," ",$A22),'Spese Generiche BANCOMAT '!$I:$I)</f>
        <v>0</v>
      </c>
      <c r="C22" s="1311">
        <f>SUMIF('Spese Generiche BANCOMAT '!$E:$E,CONCATENATE(C$3," ",$A22),'Spese Generiche BANCOMAT '!$I:$I)</f>
        <v>0</v>
      </c>
      <c r="D22" s="1311">
        <f>SUMIF('Spese Generiche BANCOMAT '!$E:$E,CONCATENATE(D$3," ",$A22),'Spese Generiche BANCOMAT '!$I:$I)</f>
        <v>0</v>
      </c>
      <c r="E22" s="1311">
        <f>SUMIF('Spese Generiche BANCOMAT '!$E:$E,CONCATENATE(E$3," ",$A22),'Spese Generiche BANCOMAT '!$I:$I)</f>
        <v>0</v>
      </c>
      <c r="F22" s="1311">
        <f>SUMIF('Spese Generiche BANCOMAT '!$E:$E,CONCATENATE(F$3," ",$A22),'Spese Generiche BANCOMAT '!$I:$I)</f>
        <v>0</v>
      </c>
      <c r="G22" s="1311">
        <f>SUMIF('Spese Generiche BANCOMAT '!$E:$E,CONCATENATE(G$3," ",$A22),'Spese Generiche BANCOMAT '!$I:$I)</f>
        <v>0</v>
      </c>
      <c r="H22" s="1311">
        <f>SUMIF('Spese Generiche BANCOMAT '!$E:$E,CONCATENATE(H$3," ",$A22),'Spese Generiche BANCOMAT '!$I:$I)</f>
        <v>0</v>
      </c>
      <c r="I22" s="1311">
        <f>SUMIF('Spese Generiche BANCOMAT '!$E:$E,CONCATENATE(I$3," ",$A22),'Spese Generiche BANCOMAT '!$I:$I)</f>
        <v>0</v>
      </c>
      <c r="J22" s="1311">
        <f>SUMIF('Spese Generiche BANCOMAT '!$E:$E,CONCATENATE(J$3," ",$A22),'Spese Generiche BANCOMAT '!$I:$I)</f>
        <v>0</v>
      </c>
      <c r="K22" s="1311">
        <f>SUMIF('Spese Generiche BANCOMAT '!$E:$E,CONCATENATE(K$3," ",$A22),'Spese Generiche BANCOMAT '!$I:$I)</f>
        <v>0</v>
      </c>
      <c r="L22" s="1311">
        <f>SUMIF('Spese Generiche BANCOMAT '!$E:$E,CONCATENATE(L$3," ",$A22),'Spese Generiche BANCOMAT '!$I:$I)</f>
        <v>0</v>
      </c>
      <c r="M22" s="1311">
        <f>SUMIF('Spese Generiche BANCOMAT '!$E:$E,CONCATENATE(M$3," ",$A22),'Spese Generiche BANCOMAT '!$I:$I)</f>
        <v>0</v>
      </c>
      <c r="N22" s="1312">
        <f t="shared" si="0"/>
        <v>0</v>
      </c>
    </row>
    <row r="23" spans="1:14">
      <c r="A23" s="1369">
        <v>2038</v>
      </c>
      <c r="B23" s="1311">
        <f>SUMIF('Spese Generiche BANCOMAT '!$E:$E,CONCATENATE(B$3," ",$A23),'Spese Generiche BANCOMAT '!$I:$I)</f>
        <v>0</v>
      </c>
      <c r="C23" s="1311">
        <f>SUMIF('Spese Generiche BANCOMAT '!$E:$E,CONCATENATE(C$3," ",$A23),'Spese Generiche BANCOMAT '!$I:$I)</f>
        <v>0</v>
      </c>
      <c r="D23" s="1311">
        <f>SUMIF('Spese Generiche BANCOMAT '!$E:$E,CONCATENATE(D$3," ",$A23),'Spese Generiche BANCOMAT '!$I:$I)</f>
        <v>0</v>
      </c>
      <c r="E23" s="1311">
        <f>SUMIF('Spese Generiche BANCOMAT '!$E:$E,CONCATENATE(E$3," ",$A23),'Spese Generiche BANCOMAT '!$I:$I)</f>
        <v>0</v>
      </c>
      <c r="F23" s="1311">
        <f>SUMIF('Spese Generiche BANCOMAT '!$E:$E,CONCATENATE(F$3," ",$A23),'Spese Generiche BANCOMAT '!$I:$I)</f>
        <v>0</v>
      </c>
      <c r="G23" s="1311">
        <f>SUMIF('Spese Generiche BANCOMAT '!$E:$E,CONCATENATE(G$3," ",$A23),'Spese Generiche BANCOMAT '!$I:$I)</f>
        <v>0</v>
      </c>
      <c r="H23" s="1311">
        <f>SUMIF('Spese Generiche BANCOMAT '!$E:$E,CONCATENATE(H$3," ",$A23),'Spese Generiche BANCOMAT '!$I:$I)</f>
        <v>0</v>
      </c>
      <c r="I23" s="1311">
        <f>SUMIF('Spese Generiche BANCOMAT '!$E:$E,CONCATENATE(I$3," ",$A23),'Spese Generiche BANCOMAT '!$I:$I)</f>
        <v>0</v>
      </c>
      <c r="J23" s="1311">
        <f>SUMIF('Spese Generiche BANCOMAT '!$E:$E,CONCATENATE(J$3," ",$A23),'Spese Generiche BANCOMAT '!$I:$I)</f>
        <v>0</v>
      </c>
      <c r="K23" s="1311">
        <f>SUMIF('Spese Generiche BANCOMAT '!$E:$E,CONCATENATE(K$3," ",$A23),'Spese Generiche BANCOMAT '!$I:$I)</f>
        <v>0</v>
      </c>
      <c r="L23" s="1311">
        <f>SUMIF('Spese Generiche BANCOMAT '!$E:$E,CONCATENATE(L$3," ",$A23),'Spese Generiche BANCOMAT '!$I:$I)</f>
        <v>0</v>
      </c>
      <c r="M23" s="1311">
        <f>SUMIF('Spese Generiche BANCOMAT '!$E:$E,CONCATENATE(M$3," ",$A23),'Spese Generiche BANCOMAT '!$I:$I)</f>
        <v>0</v>
      </c>
      <c r="N23" s="1312">
        <f t="shared" si="0"/>
        <v>0</v>
      </c>
    </row>
    <row r="24" spans="1:14">
      <c r="A24" s="1369">
        <v>2039</v>
      </c>
      <c r="B24" s="1311">
        <f>SUMIF('Spese Generiche BANCOMAT '!$E:$E,CONCATENATE(B$3," ",$A24),'Spese Generiche BANCOMAT '!$I:$I)</f>
        <v>0</v>
      </c>
      <c r="C24" s="1311">
        <f>SUMIF('Spese Generiche BANCOMAT '!$E:$E,CONCATENATE(C$3," ",$A24),'Spese Generiche BANCOMAT '!$I:$I)</f>
        <v>0</v>
      </c>
      <c r="D24" s="1311">
        <f>SUMIF('Spese Generiche BANCOMAT '!$E:$E,CONCATENATE(D$3," ",$A24),'Spese Generiche BANCOMAT '!$I:$I)</f>
        <v>0</v>
      </c>
      <c r="E24" s="1311">
        <f>SUMIF('Spese Generiche BANCOMAT '!$E:$E,CONCATENATE(E$3," ",$A24),'Spese Generiche BANCOMAT '!$I:$I)</f>
        <v>0</v>
      </c>
      <c r="F24" s="1311">
        <f>SUMIF('Spese Generiche BANCOMAT '!$E:$E,CONCATENATE(F$3," ",$A24),'Spese Generiche BANCOMAT '!$I:$I)</f>
        <v>0</v>
      </c>
      <c r="G24" s="1311">
        <f>SUMIF('Spese Generiche BANCOMAT '!$E:$E,CONCATENATE(G$3," ",$A24),'Spese Generiche BANCOMAT '!$I:$I)</f>
        <v>0</v>
      </c>
      <c r="H24" s="1311">
        <f>SUMIF('Spese Generiche BANCOMAT '!$E:$E,CONCATENATE(H$3," ",$A24),'Spese Generiche BANCOMAT '!$I:$I)</f>
        <v>0</v>
      </c>
      <c r="I24" s="1311">
        <f>SUMIF('Spese Generiche BANCOMAT '!$E:$E,CONCATENATE(I$3," ",$A24),'Spese Generiche BANCOMAT '!$I:$I)</f>
        <v>0</v>
      </c>
      <c r="J24" s="1311">
        <f>SUMIF('Spese Generiche BANCOMAT '!$E:$E,CONCATENATE(J$3," ",$A24),'Spese Generiche BANCOMAT '!$I:$I)</f>
        <v>0</v>
      </c>
      <c r="K24" s="1311">
        <f>SUMIF('Spese Generiche BANCOMAT '!$E:$E,CONCATENATE(K$3," ",$A24),'Spese Generiche BANCOMAT '!$I:$I)</f>
        <v>0</v>
      </c>
      <c r="L24" s="1311">
        <f>SUMIF('Spese Generiche BANCOMAT '!$E:$E,CONCATENATE(L$3," ",$A24),'Spese Generiche BANCOMAT '!$I:$I)</f>
        <v>0</v>
      </c>
      <c r="M24" s="1311">
        <f>SUMIF('Spese Generiche BANCOMAT '!$E:$E,CONCATENATE(M$3," ",$A24),'Spese Generiche BANCOMAT '!$I:$I)</f>
        <v>0</v>
      </c>
      <c r="N24" s="1312">
        <f t="shared" si="0"/>
        <v>0</v>
      </c>
    </row>
    <row r="25" spans="1:14">
      <c r="A25" s="1369">
        <v>2040</v>
      </c>
      <c r="B25" s="1311">
        <f>SUMIF('Spese Generiche BANCOMAT '!$E:$E,CONCATENATE(B$3," ",$A25),'Spese Generiche BANCOMAT '!$I:$I)</f>
        <v>0</v>
      </c>
      <c r="C25" s="1311">
        <f>SUMIF('Spese Generiche BANCOMAT '!$E:$E,CONCATENATE(C$3," ",$A25),'Spese Generiche BANCOMAT '!$I:$I)</f>
        <v>0</v>
      </c>
      <c r="D25" s="1311">
        <f>SUMIF('Spese Generiche BANCOMAT '!$E:$E,CONCATENATE(D$3," ",$A25),'Spese Generiche BANCOMAT '!$I:$I)</f>
        <v>0</v>
      </c>
      <c r="E25" s="1311">
        <f>SUMIF('Spese Generiche BANCOMAT '!$E:$E,CONCATENATE(E$3," ",$A25),'Spese Generiche BANCOMAT '!$I:$I)</f>
        <v>0</v>
      </c>
      <c r="F25" s="1311">
        <f>SUMIF('Spese Generiche BANCOMAT '!$E:$E,CONCATENATE(F$3," ",$A25),'Spese Generiche BANCOMAT '!$I:$I)</f>
        <v>0</v>
      </c>
      <c r="G25" s="1311">
        <f>SUMIF('Spese Generiche BANCOMAT '!$E:$E,CONCATENATE(G$3," ",$A25),'Spese Generiche BANCOMAT '!$I:$I)</f>
        <v>0</v>
      </c>
      <c r="H25" s="1311">
        <f>SUMIF('Spese Generiche BANCOMAT '!$E:$E,CONCATENATE(H$3," ",$A25),'Spese Generiche BANCOMAT '!$I:$I)</f>
        <v>0</v>
      </c>
      <c r="I25" s="1311">
        <f>SUMIF('Spese Generiche BANCOMAT '!$E:$E,CONCATENATE(I$3," ",$A25),'Spese Generiche BANCOMAT '!$I:$I)</f>
        <v>0</v>
      </c>
      <c r="J25" s="1311">
        <f>SUMIF('Spese Generiche BANCOMAT '!$E:$E,CONCATENATE(J$3," ",$A25),'Spese Generiche BANCOMAT '!$I:$I)</f>
        <v>0</v>
      </c>
      <c r="K25" s="1311">
        <f>SUMIF('Spese Generiche BANCOMAT '!$E:$E,CONCATENATE(K$3," ",$A25),'Spese Generiche BANCOMAT '!$I:$I)</f>
        <v>0</v>
      </c>
      <c r="L25" s="1311">
        <f>SUMIF('Spese Generiche BANCOMAT '!$E:$E,CONCATENATE(L$3," ",$A25),'Spese Generiche BANCOMAT '!$I:$I)</f>
        <v>0</v>
      </c>
      <c r="M25" s="1311">
        <f>SUMIF('Spese Generiche BANCOMAT '!$E:$E,CONCATENATE(M$3," ",$A25),'Spese Generiche BANCOMAT '!$I:$I)</f>
        <v>0</v>
      </c>
      <c r="N25" s="1312">
        <f t="shared" si="0"/>
        <v>0</v>
      </c>
    </row>
    <row r="26" spans="1:14">
      <c r="A26" s="1369">
        <v>2041</v>
      </c>
      <c r="B26" s="1311">
        <f>SUMIF('Spese Generiche BANCOMAT '!$E:$E,CONCATENATE(B$3," ",$A26),'Spese Generiche BANCOMAT '!$I:$I)</f>
        <v>0</v>
      </c>
      <c r="C26" s="1311">
        <f>SUMIF('Spese Generiche BANCOMAT '!$E:$E,CONCATENATE(C$3," ",$A26),'Spese Generiche BANCOMAT '!$I:$I)</f>
        <v>0</v>
      </c>
      <c r="D26" s="1311">
        <f>SUMIF('Spese Generiche BANCOMAT '!$E:$E,CONCATENATE(D$3," ",$A26),'Spese Generiche BANCOMAT '!$I:$I)</f>
        <v>0</v>
      </c>
      <c r="E26" s="1311">
        <f>SUMIF('Spese Generiche BANCOMAT '!$E:$E,CONCATENATE(E$3," ",$A26),'Spese Generiche BANCOMAT '!$I:$I)</f>
        <v>0</v>
      </c>
      <c r="F26" s="1311">
        <f>SUMIF('Spese Generiche BANCOMAT '!$E:$E,CONCATENATE(F$3," ",$A26),'Spese Generiche BANCOMAT '!$I:$I)</f>
        <v>0</v>
      </c>
      <c r="G26" s="1311">
        <f>SUMIF('Spese Generiche BANCOMAT '!$E:$E,CONCATENATE(G$3," ",$A26),'Spese Generiche BANCOMAT '!$I:$I)</f>
        <v>0</v>
      </c>
      <c r="H26" s="1311">
        <f>SUMIF('Spese Generiche BANCOMAT '!$E:$E,CONCATENATE(H$3," ",$A26),'Spese Generiche BANCOMAT '!$I:$I)</f>
        <v>0</v>
      </c>
      <c r="I26" s="1311">
        <f>SUMIF('Spese Generiche BANCOMAT '!$E:$E,CONCATENATE(I$3," ",$A26),'Spese Generiche BANCOMAT '!$I:$I)</f>
        <v>0</v>
      </c>
      <c r="J26" s="1311">
        <f>SUMIF('Spese Generiche BANCOMAT '!$E:$E,CONCATENATE(J$3," ",$A26),'Spese Generiche BANCOMAT '!$I:$I)</f>
        <v>0</v>
      </c>
      <c r="K26" s="1311">
        <f>SUMIF('Spese Generiche BANCOMAT '!$E:$E,CONCATENATE(K$3," ",$A26),'Spese Generiche BANCOMAT '!$I:$I)</f>
        <v>0</v>
      </c>
      <c r="L26" s="1311">
        <f>SUMIF('Spese Generiche BANCOMAT '!$E:$E,CONCATENATE(L$3," ",$A26),'Spese Generiche BANCOMAT '!$I:$I)</f>
        <v>0</v>
      </c>
      <c r="M26" s="1311">
        <f>SUMIF('Spese Generiche BANCOMAT '!$E:$E,CONCATENATE(M$3," ",$A26),'Spese Generiche BANCOMAT '!$I:$I)</f>
        <v>0</v>
      </c>
      <c r="N26" s="1312">
        <f t="shared" si="0"/>
        <v>0</v>
      </c>
    </row>
    <row r="27" spans="1:14">
      <c r="A27" s="1369">
        <v>2042</v>
      </c>
      <c r="B27" s="1311">
        <f>SUMIF('Spese Generiche BANCOMAT '!$E:$E,CONCATENATE(B$3," ",$A27),'Spese Generiche BANCOMAT '!$I:$I)</f>
        <v>0</v>
      </c>
      <c r="C27" s="1311">
        <f>SUMIF('Spese Generiche BANCOMAT '!$E:$E,CONCATENATE(C$3," ",$A27),'Spese Generiche BANCOMAT '!$I:$I)</f>
        <v>0</v>
      </c>
      <c r="D27" s="1311">
        <f>SUMIF('Spese Generiche BANCOMAT '!$E:$E,CONCATENATE(D$3," ",$A27),'Spese Generiche BANCOMAT '!$I:$I)</f>
        <v>0</v>
      </c>
      <c r="E27" s="1311">
        <f>SUMIF('Spese Generiche BANCOMAT '!$E:$E,CONCATENATE(E$3," ",$A27),'Spese Generiche BANCOMAT '!$I:$I)</f>
        <v>0</v>
      </c>
      <c r="F27" s="1311">
        <f>SUMIF('Spese Generiche BANCOMAT '!$E:$E,CONCATENATE(F$3," ",$A27),'Spese Generiche BANCOMAT '!$I:$I)</f>
        <v>0</v>
      </c>
      <c r="G27" s="1311">
        <f>SUMIF('Spese Generiche BANCOMAT '!$E:$E,CONCATENATE(G$3," ",$A27),'Spese Generiche BANCOMAT '!$I:$I)</f>
        <v>0</v>
      </c>
      <c r="H27" s="1311">
        <f>SUMIF('Spese Generiche BANCOMAT '!$E:$E,CONCATENATE(H$3," ",$A27),'Spese Generiche BANCOMAT '!$I:$I)</f>
        <v>0</v>
      </c>
      <c r="I27" s="1311">
        <f>SUMIF('Spese Generiche BANCOMAT '!$E:$E,CONCATENATE(I$3," ",$A27),'Spese Generiche BANCOMAT '!$I:$I)</f>
        <v>0</v>
      </c>
      <c r="J27" s="1311">
        <f>SUMIF('Spese Generiche BANCOMAT '!$E:$E,CONCATENATE(J$3," ",$A27),'Spese Generiche BANCOMAT '!$I:$I)</f>
        <v>0</v>
      </c>
      <c r="K27" s="1311">
        <f>SUMIF('Spese Generiche BANCOMAT '!$E:$E,CONCATENATE(K$3," ",$A27),'Spese Generiche BANCOMAT '!$I:$I)</f>
        <v>0</v>
      </c>
      <c r="L27" s="1311">
        <f>SUMIF('Spese Generiche BANCOMAT '!$E:$E,CONCATENATE(L$3," ",$A27),'Spese Generiche BANCOMAT '!$I:$I)</f>
        <v>0</v>
      </c>
      <c r="M27" s="1311">
        <f>SUMIF('Spese Generiche BANCOMAT '!$E:$E,CONCATENATE(M$3," ",$A27),'Spese Generiche BANCOMAT '!$I:$I)</f>
        <v>0</v>
      </c>
      <c r="N27" s="1312">
        <f t="shared" si="0"/>
        <v>0</v>
      </c>
    </row>
    <row r="28" spans="1:14">
      <c r="A28" s="1369">
        <v>2043</v>
      </c>
      <c r="B28" s="1311">
        <f>SUMIF('Spese Generiche BANCOMAT '!$E:$E,CONCATENATE(B$3," ",$A28),'Spese Generiche BANCOMAT '!$I:$I)</f>
        <v>0</v>
      </c>
      <c r="C28" s="1311">
        <f>SUMIF('Spese Generiche BANCOMAT '!$E:$E,CONCATENATE(C$3," ",$A28),'Spese Generiche BANCOMAT '!$I:$I)</f>
        <v>0</v>
      </c>
      <c r="D28" s="1311">
        <f>SUMIF('Spese Generiche BANCOMAT '!$E:$E,CONCATENATE(D$3," ",$A28),'Spese Generiche BANCOMAT '!$I:$I)</f>
        <v>0</v>
      </c>
      <c r="E28" s="1311">
        <f>SUMIF('Spese Generiche BANCOMAT '!$E:$E,CONCATENATE(E$3," ",$A28),'Spese Generiche BANCOMAT '!$I:$I)</f>
        <v>0</v>
      </c>
      <c r="F28" s="1311">
        <f>SUMIF('Spese Generiche BANCOMAT '!$E:$E,CONCATENATE(F$3," ",$A28),'Spese Generiche BANCOMAT '!$I:$I)</f>
        <v>0</v>
      </c>
      <c r="G28" s="1311">
        <f>SUMIF('Spese Generiche BANCOMAT '!$E:$E,CONCATENATE(G$3," ",$A28),'Spese Generiche BANCOMAT '!$I:$I)</f>
        <v>0</v>
      </c>
      <c r="H28" s="1311">
        <f>SUMIF('Spese Generiche BANCOMAT '!$E:$E,CONCATENATE(H$3," ",$A28),'Spese Generiche BANCOMAT '!$I:$I)</f>
        <v>0</v>
      </c>
      <c r="I28" s="1311">
        <f>SUMIF('Spese Generiche BANCOMAT '!$E:$E,CONCATENATE(I$3," ",$A28),'Spese Generiche BANCOMAT '!$I:$I)</f>
        <v>0</v>
      </c>
      <c r="J28" s="1311">
        <f>SUMIF('Spese Generiche BANCOMAT '!$E:$E,CONCATENATE(J$3," ",$A28),'Spese Generiche BANCOMAT '!$I:$I)</f>
        <v>0</v>
      </c>
      <c r="K28" s="1311">
        <f>SUMIF('Spese Generiche BANCOMAT '!$E:$E,CONCATENATE(K$3," ",$A28),'Spese Generiche BANCOMAT '!$I:$I)</f>
        <v>0</v>
      </c>
      <c r="L28" s="1311">
        <f>SUMIF('Spese Generiche BANCOMAT '!$E:$E,CONCATENATE(L$3," ",$A28),'Spese Generiche BANCOMAT '!$I:$I)</f>
        <v>0</v>
      </c>
      <c r="M28" s="1311">
        <f>SUMIF('Spese Generiche BANCOMAT '!$E:$E,CONCATENATE(M$3," ",$A28),'Spese Generiche BANCOMAT '!$I:$I)</f>
        <v>0</v>
      </c>
      <c r="N28" s="1312">
        <f t="shared" si="0"/>
        <v>0</v>
      </c>
    </row>
    <row r="29" spans="1:14">
      <c r="A29" s="1369">
        <v>2044</v>
      </c>
      <c r="B29" s="1311">
        <f>SUMIF('Spese Generiche BANCOMAT '!$E:$E,CONCATENATE(B$3," ",$A29),'Spese Generiche BANCOMAT '!$I:$I)</f>
        <v>0</v>
      </c>
      <c r="C29" s="1311">
        <f>SUMIF('Spese Generiche BANCOMAT '!$E:$E,CONCATENATE(C$3," ",$A29),'Spese Generiche BANCOMAT '!$I:$I)</f>
        <v>0</v>
      </c>
      <c r="D29" s="1311">
        <f>SUMIF('Spese Generiche BANCOMAT '!$E:$E,CONCATENATE(D$3," ",$A29),'Spese Generiche BANCOMAT '!$I:$I)</f>
        <v>0</v>
      </c>
      <c r="E29" s="1311">
        <f>SUMIF('Spese Generiche BANCOMAT '!$E:$E,CONCATENATE(E$3," ",$A29),'Spese Generiche BANCOMAT '!$I:$I)</f>
        <v>0</v>
      </c>
      <c r="F29" s="1311">
        <f>SUMIF('Spese Generiche BANCOMAT '!$E:$E,CONCATENATE(F$3," ",$A29),'Spese Generiche BANCOMAT '!$I:$I)</f>
        <v>0</v>
      </c>
      <c r="G29" s="1311">
        <f>SUMIF('Spese Generiche BANCOMAT '!$E:$E,CONCATENATE(G$3," ",$A29),'Spese Generiche BANCOMAT '!$I:$I)</f>
        <v>0</v>
      </c>
      <c r="H29" s="1311">
        <f>SUMIF('Spese Generiche BANCOMAT '!$E:$E,CONCATENATE(H$3," ",$A29),'Spese Generiche BANCOMAT '!$I:$I)</f>
        <v>0</v>
      </c>
      <c r="I29" s="1311">
        <f>SUMIF('Spese Generiche BANCOMAT '!$E:$E,CONCATENATE(I$3," ",$A29),'Spese Generiche BANCOMAT '!$I:$I)</f>
        <v>0</v>
      </c>
      <c r="J29" s="1311">
        <f>SUMIF('Spese Generiche BANCOMAT '!$E:$E,CONCATENATE(J$3," ",$A29),'Spese Generiche BANCOMAT '!$I:$I)</f>
        <v>0</v>
      </c>
      <c r="K29" s="1311">
        <f>SUMIF('Spese Generiche BANCOMAT '!$E:$E,CONCATENATE(K$3," ",$A29),'Spese Generiche BANCOMAT '!$I:$I)</f>
        <v>0</v>
      </c>
      <c r="L29" s="1311">
        <f>SUMIF('Spese Generiche BANCOMAT '!$E:$E,CONCATENATE(L$3," ",$A29),'Spese Generiche BANCOMAT '!$I:$I)</f>
        <v>0</v>
      </c>
      <c r="M29" s="1311">
        <f>SUMIF('Spese Generiche BANCOMAT '!$E:$E,CONCATENATE(M$3," ",$A29),'Spese Generiche BANCOMAT '!$I:$I)</f>
        <v>0</v>
      </c>
      <c r="N29" s="1312">
        <f t="shared" si="0"/>
        <v>0</v>
      </c>
    </row>
    <row r="30" spans="1:14">
      <c r="A30" s="1367" t="s">
        <v>79</v>
      </c>
      <c r="B30" s="1313">
        <f t="shared" ref="B30:N30" si="1">SUM(B4:B29)</f>
        <v>3109.16</v>
      </c>
      <c r="C30" s="1313">
        <f t="shared" si="1"/>
        <v>3855.9799999999996</v>
      </c>
      <c r="D30" s="1313">
        <f t="shared" si="1"/>
        <v>2482.4299999999998</v>
      </c>
      <c r="E30" s="1313">
        <f t="shared" si="1"/>
        <v>2545.7000000000003</v>
      </c>
      <c r="F30" s="1313">
        <f t="shared" si="1"/>
        <v>846.85</v>
      </c>
      <c r="G30" s="1313">
        <f t="shared" si="1"/>
        <v>1027.3200000000002</v>
      </c>
      <c r="H30" s="1313">
        <f t="shared" si="1"/>
        <v>1106.29</v>
      </c>
      <c r="I30" s="1313">
        <f t="shared" si="1"/>
        <v>6151.29</v>
      </c>
      <c r="J30" s="1313">
        <f t="shared" si="1"/>
        <v>1266.32</v>
      </c>
      <c r="K30" s="1313">
        <f t="shared" si="1"/>
        <v>-469.03</v>
      </c>
      <c r="L30" s="1313">
        <f t="shared" si="1"/>
        <v>2893.27</v>
      </c>
      <c r="M30" s="1313">
        <f t="shared" si="1"/>
        <v>8331.24</v>
      </c>
      <c r="N30" s="1313">
        <f t="shared" si="1"/>
        <v>33146.820000000007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DC47-905D-46FD-A095-7F85FFF7EA92}">
  <sheetPr codeName="Foglio22"/>
  <dimension ref="A1:N28"/>
  <sheetViews>
    <sheetView workbookViewId="0">
      <selection activeCell="L8" sqref="L8"/>
    </sheetView>
  </sheetViews>
  <sheetFormatPr defaultRowHeight="15"/>
  <cols>
    <col min="1" max="14" width="17" customWidth="1"/>
  </cols>
  <sheetData>
    <row r="1" spans="1:14">
      <c r="A1" s="1367" t="s">
        <v>70</v>
      </c>
      <c r="B1" s="1367" t="s">
        <v>154</v>
      </c>
      <c r="C1" s="1367" t="s">
        <v>129</v>
      </c>
      <c r="D1" s="1367" t="s">
        <v>90</v>
      </c>
      <c r="E1" s="1367" t="s">
        <v>352</v>
      </c>
      <c r="F1" s="1367" t="s">
        <v>333</v>
      </c>
      <c r="G1" s="1367" t="s">
        <v>314</v>
      </c>
      <c r="H1" s="1367" t="s">
        <v>288</v>
      </c>
      <c r="I1" s="1367" t="s">
        <v>261</v>
      </c>
      <c r="J1" s="1367" t="s">
        <v>240</v>
      </c>
      <c r="K1" s="1367" t="s">
        <v>217</v>
      </c>
      <c r="L1" s="1367" t="s">
        <v>200</v>
      </c>
      <c r="M1" s="1367" t="s">
        <v>173</v>
      </c>
      <c r="N1" s="1367" t="s">
        <v>1218</v>
      </c>
    </row>
    <row r="2" spans="1:14">
      <c r="A2" s="1368">
        <v>2019</v>
      </c>
      <c r="B2" s="1315">
        <f>SUMIF('Spese Generiche BANCOMAT '!$E:$E,"GENNAIO 2019",'Spese Generiche BANCOMAT '!$I:$I)</f>
        <v>0</v>
      </c>
      <c r="C2" s="1315">
        <f>SUMIF('Spese Generiche BANCOMAT '!$E:$E,"FEBBRAIO 2019",'Spese Generiche BANCOMAT '!$I:$I)</f>
        <v>0</v>
      </c>
      <c r="D2" s="1315">
        <f>SUMIF('Spese Generiche BANCOMAT '!$E:$E,"MARZO 2019",'Spese Generiche BANCOMAT '!$I:$I)</f>
        <v>0</v>
      </c>
      <c r="E2" s="1315">
        <f>SUMIF('Spese Generiche BANCOMAT '!$E:$E,"APRILE 2019",'Spese Generiche BANCOMAT '!$I:$I)</f>
        <v>0</v>
      </c>
      <c r="F2" s="1315">
        <f>SUMIF('Spese Generiche BANCOMAT '!$E:$E,"MAGGIO 2019",'Spese Generiche BANCOMAT '!$I:$I)</f>
        <v>0</v>
      </c>
      <c r="G2" s="1315">
        <f>SUMIF('Spese Generiche BANCOMAT '!$E:$E,"GIUGNO 2019",'Spese Generiche BANCOMAT '!$I:$I)</f>
        <v>0</v>
      </c>
      <c r="H2" s="1315">
        <f>SUMIF('Spese Generiche BANCOMAT '!$E:$E,"LUGLIO 2019",'Spese Generiche BANCOMAT '!$I:$I)</f>
        <v>0</v>
      </c>
      <c r="I2" s="1315">
        <f>SUMIF('Spese Generiche BANCOMAT '!$E:$E,"AGOSTO 2019",'Spese Generiche BANCOMAT '!$I:$I)</f>
        <v>0</v>
      </c>
      <c r="J2" s="1315">
        <f>SUMIF('Spese Generiche BANCOMAT '!$E:$E,"SETTEMBRE 2019",'Spese Generiche BANCOMAT '!$I:$I)</f>
        <v>0</v>
      </c>
      <c r="K2" s="1315">
        <f>SUMIF('Spese Generiche BANCOMAT '!$E:$E,"OTTOBRE 2019",'Spese Generiche BANCOMAT '!$I:$I)</f>
        <v>0</v>
      </c>
      <c r="L2" s="1315">
        <f>SUMIF('Spese Generiche BANCOMAT '!$E:$E,"NOVEMBRE 2019",'Spese Generiche BANCOMAT '!$I:$I)</f>
        <v>25</v>
      </c>
      <c r="M2" s="1315">
        <f>SUMIF('Spese Generiche BANCOMAT '!$E:$E,"DICEMBRE 2019",'Spese Generiche BANCOMAT '!$I:$I)</f>
        <v>687.75</v>
      </c>
      <c r="N2" s="1316">
        <f t="shared" ref="N2:N27" si="0">SUM(B2:M2)</f>
        <v>712.75</v>
      </c>
    </row>
    <row r="3" spans="1:14">
      <c r="A3" s="1368">
        <v>2020</v>
      </c>
      <c r="B3" s="1315">
        <f>SUMIF('Spese Generiche BANCOMAT '!$E:$E,"GENNAIO 2020",'Spese Generiche BANCOMAT '!$I:$I)</f>
        <v>261.89</v>
      </c>
      <c r="C3" s="1315">
        <f>SUMIF('Spese Generiche BANCOMAT '!$E:$E,"FEBBRAIO 2020",'Spese Generiche BANCOMAT '!$I:$I)</f>
        <v>512</v>
      </c>
      <c r="D3" s="1315">
        <f>SUMIF('Spese Generiche BANCOMAT '!$E:$E,"MARZO 2020",'Spese Generiche BANCOMAT '!$I:$I)</f>
        <v>148.80000000000001</v>
      </c>
      <c r="E3" s="1315">
        <f>SUMIF('Spese Generiche BANCOMAT '!$E:$E,"APRILE 2020",'Spese Generiche BANCOMAT '!$I:$I)</f>
        <v>40</v>
      </c>
      <c r="F3" s="1315">
        <f>SUMIF('Spese Generiche BANCOMAT '!$E:$E,"MAGGIO 2020",'Spese Generiche BANCOMAT '!$I:$I)</f>
        <v>142</v>
      </c>
      <c r="G3" s="1315">
        <f>SUMIF('Spese Generiche BANCOMAT '!$E:$E,"GIUGNO 2020",'Spese Generiche BANCOMAT '!$I:$I)</f>
        <v>352.5</v>
      </c>
      <c r="H3" s="1315">
        <f>SUMIF('Spese Generiche BANCOMAT '!$E:$E,"LUGLIO 2020",'Spese Generiche BANCOMAT '!$I:$I)</f>
        <v>190</v>
      </c>
      <c r="I3" s="1315">
        <f>SUMIF('Spese Generiche BANCOMAT '!$E:$E,"AGOSTO 2020",'Spese Generiche BANCOMAT '!$I:$I)</f>
        <v>528.4</v>
      </c>
      <c r="J3" s="1315">
        <f>SUMIF('Spese Generiche BANCOMAT '!$E:$E,"SETTEMBRE 2020",'Spese Generiche BANCOMAT '!$I:$I)</f>
        <v>210</v>
      </c>
      <c r="K3" s="1315">
        <f>SUMIF('Spese Generiche BANCOMAT '!$E:$E,"OTTOBRE 2020",'Spese Generiche BANCOMAT '!$I:$I)</f>
        <v>698.58</v>
      </c>
      <c r="L3" s="1315">
        <f>SUMIF('Spese Generiche BANCOMAT '!$E:$E,"NOVEMBRE 2020",'Spese Generiche BANCOMAT '!$I:$I)</f>
        <v>672.66000000000008</v>
      </c>
      <c r="M3" s="1315">
        <f>SUMIF('Spese Generiche BANCOMAT '!$E:$E,"DICEMBRE 2020",'Spese Generiche BANCOMAT '!$I:$I)</f>
        <v>5424.9800000000005</v>
      </c>
      <c r="N3" s="1316">
        <f t="shared" si="0"/>
        <v>9181.8100000000013</v>
      </c>
    </row>
    <row r="4" spans="1:14">
      <c r="A4" s="1368">
        <v>2021</v>
      </c>
      <c r="B4" s="1315">
        <f>SUMIF('Spese Generiche BANCOMAT '!$E:$E,"GENNAIO 2021",'Spese Generiche BANCOMAT '!$I:$I)</f>
        <v>40</v>
      </c>
      <c r="C4" s="1315">
        <f>SUMIF('Spese Generiche BANCOMAT '!$E:$E,"FEBBRAIO 2021",'Spese Generiche BANCOMAT '!$I:$I)</f>
        <v>3076.7299999999996</v>
      </c>
      <c r="D4" s="1315">
        <f>SUMIF('Spese Generiche BANCOMAT '!$E:$E,"MARZO 2021",'Spese Generiche BANCOMAT '!$I:$I)</f>
        <v>1265.5</v>
      </c>
      <c r="E4" s="1315">
        <f>SUMIF('Spese Generiche BANCOMAT '!$E:$E,"APRILE 2021",'Spese Generiche BANCOMAT '!$I:$I)</f>
        <v>92.3</v>
      </c>
      <c r="F4" s="1315">
        <f>SUMIF('Spese Generiche BANCOMAT '!$E:$E,"MAGGIO 2021",'Spese Generiche BANCOMAT '!$I:$I)</f>
        <v>65.039999999999992</v>
      </c>
      <c r="G4" s="1315">
        <f>SUMIF('Spese Generiche BANCOMAT '!$E:$E,"GIUGNO 2021",'Spese Generiche BANCOMAT '!$I:$I)</f>
        <v>0</v>
      </c>
      <c r="H4" s="1315">
        <f>SUMIF('Spese Generiche BANCOMAT '!$E:$E,"LUGLIO 2021",'Spese Generiche BANCOMAT '!$I:$I)</f>
        <v>549.81000000000006</v>
      </c>
      <c r="I4" s="1315">
        <f>SUMIF('Spese Generiche BANCOMAT '!$E:$E,"AGOSTO 2021",'Spese Generiche BANCOMAT '!$I:$I)</f>
        <v>1249.0999999999999</v>
      </c>
      <c r="J4" s="1315">
        <f>SUMIF('Spese Generiche BANCOMAT '!$E:$E,"SETTEMBRE 2021",'Spese Generiche BANCOMAT '!$I:$I)</f>
        <v>130</v>
      </c>
      <c r="K4" s="1315">
        <f>SUMIF('Spese Generiche BANCOMAT '!$E:$E,"OTTOBRE 2021",'Spese Generiche BANCOMAT '!$I:$I)</f>
        <v>232.9</v>
      </c>
      <c r="L4" s="1315">
        <f>SUMIF('Spese Generiche BANCOMAT '!$E:$E,"NOVEMBRE 2021",'Spese Generiche BANCOMAT '!$I:$I)</f>
        <v>179.1</v>
      </c>
      <c r="M4" s="1315">
        <f>SUMIF('Spese Generiche BANCOMAT '!$E:$E,"DICEMBRE 2021",'Spese Generiche BANCOMAT '!$I:$I)</f>
        <v>827.33</v>
      </c>
      <c r="N4" s="1316">
        <f t="shared" si="0"/>
        <v>7707.8099999999995</v>
      </c>
    </row>
    <row r="5" spans="1:14">
      <c r="A5" s="1368">
        <v>2022</v>
      </c>
      <c r="B5" s="1315">
        <f>SUMIF('Spese Generiche BANCOMAT '!$E:$E,"GENNAIO 2022",'Spese Generiche BANCOMAT '!$I:$I)</f>
        <v>1421.01</v>
      </c>
      <c r="C5" s="1315">
        <f>SUMIF('Spese Generiche BANCOMAT '!$E:$E,"FEBBRAIO 2022",'Spese Generiche BANCOMAT '!$I:$I)</f>
        <v>90.41</v>
      </c>
      <c r="D5" s="1315">
        <f>SUMIF('Spese Generiche BANCOMAT '!$E:$E,"MARZO 2022",'Spese Generiche BANCOMAT '!$I:$I)</f>
        <v>0</v>
      </c>
      <c r="E5" s="1315">
        <f>SUMIF('Spese Generiche BANCOMAT '!$E:$E,"APRILE 2022",'Spese Generiche BANCOMAT '!$I:$I)</f>
        <v>497.34</v>
      </c>
      <c r="F5" s="1315">
        <f>SUMIF('Spese Generiche BANCOMAT '!$E:$E,"MAGGIO 2022",'Spese Generiche BANCOMAT '!$I:$I)</f>
        <v>104.83</v>
      </c>
      <c r="G5" s="1315">
        <f>SUMIF('Spese Generiche BANCOMAT '!$E:$E,"GIUGNO 2022",'Spese Generiche BANCOMAT '!$I:$I)</f>
        <v>2</v>
      </c>
      <c r="H5" s="1315">
        <f>SUMIF('Spese Generiche BANCOMAT '!$E:$E,"LUGLIO 2022",'Spese Generiche BANCOMAT '!$I:$I)</f>
        <v>120.5</v>
      </c>
      <c r="I5" s="1315">
        <f>SUMIF('Spese Generiche BANCOMAT '!$E:$E,"AGOSTO 2022",'Spese Generiche BANCOMAT '!$I:$I)</f>
        <v>363.4</v>
      </c>
      <c r="J5" s="1315">
        <f>SUMIF('Spese Generiche BANCOMAT '!$E:$E,"SETTEMBRE 2022",'Spese Generiche BANCOMAT '!$I:$I)</f>
        <v>43.48</v>
      </c>
      <c r="K5" s="1315">
        <f>SUMIF('Spese Generiche BANCOMAT '!$E:$E,"OTTOBRE 2022",'Spese Generiche BANCOMAT '!$I:$I)</f>
        <v>0</v>
      </c>
      <c r="L5" s="1315">
        <f>SUMIF('Spese Generiche BANCOMAT '!$E:$E,"NOVEMBRE 2022",'Spese Generiche BANCOMAT '!$I:$I)</f>
        <v>89.15</v>
      </c>
      <c r="M5" s="1315">
        <f>SUMIF('Spese Generiche BANCOMAT '!$E:$E,"DICEMBRE 2022",'Spese Generiche BANCOMAT '!$I:$I)</f>
        <v>256.64999999999998</v>
      </c>
      <c r="N5" s="1316">
        <f t="shared" si="0"/>
        <v>2988.7700000000004</v>
      </c>
    </row>
    <row r="6" spans="1:14">
      <c r="A6" s="1368">
        <v>2023</v>
      </c>
      <c r="B6" s="1315">
        <f>SUMIF('Spese Generiche BANCOMAT '!$E:$E,"GENNAIO 2023",'Spese Generiche BANCOMAT '!$I:$I)</f>
        <v>356.29</v>
      </c>
      <c r="C6" s="1315">
        <f>SUMIF('Spese Generiche BANCOMAT '!$E:$E,"FEBBRAIO 2023",'Spese Generiche BANCOMAT '!$I:$I)</f>
        <v>0</v>
      </c>
      <c r="D6" s="1315">
        <f>SUMIF('Spese Generiche BANCOMAT '!$E:$E,"MARZO 2023",'Spese Generiche BANCOMAT '!$I:$I)</f>
        <v>150.5</v>
      </c>
      <c r="E6" s="1315">
        <f>SUMIF('Spese Generiche BANCOMAT '!$E:$E,"APRILE 2023",'Spese Generiche BANCOMAT '!$I:$I)</f>
        <v>16.8</v>
      </c>
      <c r="F6" s="1315">
        <f>SUMIF('Spese Generiche BANCOMAT '!$E:$E,"MAGGIO 2023",'Spese Generiche BANCOMAT '!$I:$I)</f>
        <v>250</v>
      </c>
      <c r="G6" s="1315">
        <f>SUMIF('Spese Generiche BANCOMAT '!$E:$E,"GIUGNO 2023",'Spese Generiche BANCOMAT '!$I:$I)</f>
        <v>0</v>
      </c>
      <c r="H6" s="1315">
        <f>SUMIF('Spese Generiche BANCOMAT '!$E:$E,"LUGLIO 2023",'Spese Generiche BANCOMAT '!$I:$I)</f>
        <v>0</v>
      </c>
      <c r="I6" s="1315">
        <f>SUMIF('Spese Generiche BANCOMAT '!$E:$E,"AGOSTO 2023",'Spese Generiche BANCOMAT '!$I:$I)</f>
        <v>620.5</v>
      </c>
      <c r="J6" s="1315">
        <f>SUMIF('Spese Generiche BANCOMAT '!$E:$E,"SETTEMBRE 2023",'Spese Generiche BANCOMAT '!$I:$I)</f>
        <v>0</v>
      </c>
      <c r="K6" s="1315">
        <f>SUMIF('Spese Generiche BANCOMAT '!$E:$E,"OTTOBRE 2023",'Spese Generiche BANCOMAT '!$I:$I)</f>
        <v>75.5</v>
      </c>
      <c r="L6" s="1315">
        <f>SUMIF('Spese Generiche BANCOMAT '!$E:$E,"NOVEMBRE 2023",'Spese Generiche BANCOMAT '!$I:$I)</f>
        <v>78</v>
      </c>
      <c r="M6" s="1315">
        <f>SUMIF('Spese Generiche BANCOMAT '!$E:$E,"DICEMBRE 2023",'Spese Generiche BANCOMAT '!$I:$I)</f>
        <v>125.49000000000001</v>
      </c>
      <c r="N6" s="1316">
        <f t="shared" si="0"/>
        <v>1673.0800000000002</v>
      </c>
    </row>
    <row r="7" spans="1:14">
      <c r="A7" s="1368">
        <v>2024</v>
      </c>
      <c r="B7" s="1315">
        <f>SUMIF('Spese Generiche BANCOMAT '!$E:$E,"GENNAIO 2024",'Spese Generiche BANCOMAT '!$I:$I)</f>
        <v>373.71999999999997</v>
      </c>
      <c r="C7" s="1315">
        <f>SUMIF('Spese Generiche BANCOMAT '!$E:$E,"FEBBRAIO 2024",'Spese Generiche BANCOMAT '!$I:$I)</f>
        <v>150.5</v>
      </c>
      <c r="D7" s="1315">
        <f>SUMIF('Spese Generiche BANCOMAT '!$E:$E,"MARZO 2024",'Spese Generiche BANCOMAT '!$I:$I)</f>
        <v>207.78</v>
      </c>
      <c r="E7" s="1315">
        <f>SUMIF('Spese Generiche BANCOMAT '!$E:$E,"APRILE 2024",'Spese Generiche BANCOMAT '!$I:$I)</f>
        <v>-68</v>
      </c>
      <c r="F7" s="1315">
        <f>SUMIF('Spese Generiche BANCOMAT '!$E:$E,"MAGGIO 2024",'Spese Generiche BANCOMAT '!$I:$I)</f>
        <v>79</v>
      </c>
      <c r="G7" s="1315">
        <f>SUMIF('Spese Generiche BANCOMAT '!$E:$E,"GIUGNO 2024",'Spese Generiche BANCOMAT '!$I:$I)</f>
        <v>10.199999999999999</v>
      </c>
      <c r="H7" s="1315">
        <f>SUMIF('Spese Generiche BANCOMAT '!$E:$E,"LUGLIO 2024",'Spese Generiche BANCOMAT '!$I:$I)</f>
        <v>15.04</v>
      </c>
      <c r="I7" s="1315">
        <f>SUMIF('Spese Generiche BANCOMAT '!$E:$E,"AGOSTO 2024",'Spese Generiche BANCOMAT '!$I:$I)</f>
        <v>917.6</v>
      </c>
      <c r="J7" s="1315">
        <f>SUMIF('Spese Generiche BANCOMAT '!$E:$E,"SETTEMBRE 2024",'Spese Generiche BANCOMAT '!$I:$I)</f>
        <v>0</v>
      </c>
      <c r="K7" s="1315">
        <f>SUMIF('Spese Generiche BANCOMAT '!$E:$E,"OTTOBRE 2024",'Spese Generiche BANCOMAT '!$I:$I)</f>
        <v>-1516.01</v>
      </c>
      <c r="L7" s="1315">
        <f>SUMIF('Spese Generiche BANCOMAT '!$E:$E,"NOVEMBRE 2024",'Spese Generiche BANCOMAT '!$I:$I)</f>
        <v>1832.38</v>
      </c>
      <c r="M7" s="1315">
        <f>SUMIF('Spese Generiche BANCOMAT '!$E:$E,"DICEMBRE 2024",'Spese Generiche BANCOMAT '!$I:$I)</f>
        <v>604.64</v>
      </c>
      <c r="N7" s="1316">
        <f t="shared" si="0"/>
        <v>2606.8500000000004</v>
      </c>
    </row>
    <row r="8" spans="1:14">
      <c r="A8" s="1368">
        <v>2025</v>
      </c>
      <c r="B8" s="1315">
        <f>SUMIF('Spese Generiche BANCOMAT '!$E:$E,"GENNAIO 2025",'Spese Generiche BANCOMAT '!$I:$I)</f>
        <v>364.40999999999991</v>
      </c>
      <c r="C8" s="1315">
        <f>SUMIF('Spese Generiche BANCOMAT '!$E:$E,"FEBBRAIO 2025",'Spese Generiche BANCOMAT '!$I:$I)</f>
        <v>26.34</v>
      </c>
      <c r="D8" s="1315">
        <f>SUMIF('Spese Generiche BANCOMAT '!$E:$E,"MARZO 2025",'Spese Generiche BANCOMAT '!$I:$I)</f>
        <v>637.25</v>
      </c>
      <c r="E8" s="1315">
        <f>SUMIF('Spese Generiche BANCOMAT '!$E:$E,"APRILE 2025",'Spese Generiche BANCOMAT '!$I:$I)</f>
        <v>532.48</v>
      </c>
      <c r="F8" s="1315">
        <f>SUMIF('Spese Generiche BANCOMAT '!$E:$E,"MAGGIO 2025",'Spese Generiche BANCOMAT '!$I:$I)</f>
        <v>4.75</v>
      </c>
      <c r="G8" s="1315">
        <f>SUMIF('Spese Generiche BANCOMAT '!$E:$E,"GIUGNO 2025",'Spese Generiche BANCOMAT '!$I:$I)</f>
        <v>0</v>
      </c>
      <c r="H8" s="1315">
        <f>SUMIF('Spese Generiche BANCOMAT '!$E:$E,"LUGLIO 2025",'Spese Generiche BANCOMAT '!$I:$I)</f>
        <v>0</v>
      </c>
      <c r="I8" s="1315">
        <f>SUMIF('Spese Generiche BANCOMAT '!$E:$E,"AGOSTO 2025",'Spese Generiche BANCOMAT '!$I:$I)</f>
        <v>48.65</v>
      </c>
      <c r="J8" s="1315">
        <f>SUMIF('Spese Generiche BANCOMAT '!$E:$E,"SETTEMBRE 2025",'Spese Generiche BANCOMAT '!$I:$I)</f>
        <v>80</v>
      </c>
      <c r="K8" s="1315">
        <f>SUMIF('Spese Generiche BANCOMAT '!$E:$E,"OTTOBRE 2025",'Spese Generiche BANCOMAT '!$I:$I)</f>
        <v>40</v>
      </c>
      <c r="L8" s="1315">
        <f>SUMIF('Spese Generiche BANCOMAT '!$E:$E,"NOVEMBRE 2025",'Spese Generiche BANCOMAT '!$I:$I)</f>
        <v>16.98</v>
      </c>
      <c r="M8" s="1315">
        <f>SUMIF('Spese Generiche BANCOMAT '!$E:$E,"DICEMBRE 2025",'Spese Generiche BANCOMAT '!$I:$I)</f>
        <v>404.40000000000003</v>
      </c>
      <c r="N8" s="1316">
        <f t="shared" si="0"/>
        <v>2155.2600000000002</v>
      </c>
    </row>
    <row r="9" spans="1:14">
      <c r="A9" s="1368">
        <v>2026</v>
      </c>
      <c r="B9" s="1315">
        <f>SUMIF('Spese Generiche BANCOMAT '!$E:$E,"GENNAIO 2026",'Spese Generiche BANCOMAT '!$I:$I)</f>
        <v>291.83999999999997</v>
      </c>
      <c r="C9" s="1315">
        <f>SUMIF('Spese Generiche BANCOMAT '!$E:$E,"FEBBRAIO 2026",'Spese Generiche BANCOMAT '!$I:$I)</f>
        <v>0</v>
      </c>
      <c r="D9" s="1315">
        <f>SUMIF('Spese Generiche BANCOMAT '!$E:$E,"MARZO 2026",'Spese Generiche BANCOMAT '!$I:$I)</f>
        <v>72.599999999999994</v>
      </c>
      <c r="E9" s="1315">
        <f>SUMIF('Spese Generiche BANCOMAT '!$E:$E,"APRILE 2026",'Spese Generiche BANCOMAT '!$I:$I)</f>
        <v>1434.7800000000002</v>
      </c>
      <c r="F9" s="1315">
        <f>SUMIF('Spese Generiche BANCOMAT '!$E:$E,"MAGGIO 2026",'Spese Generiche BANCOMAT '!$I:$I)</f>
        <v>201.23000000000002</v>
      </c>
      <c r="G9" s="1315">
        <f>SUMIF('Spese Generiche BANCOMAT '!$E:$E,"GIUGNO 2026",'Spese Generiche BANCOMAT '!$I:$I)</f>
        <v>662.62000000000012</v>
      </c>
      <c r="H9" s="1315">
        <f>SUMIF('Spese Generiche BANCOMAT '!$E:$E,"LUGLIO 2026",'Spese Generiche BANCOMAT '!$I:$I)</f>
        <v>230.94</v>
      </c>
      <c r="I9" s="1315">
        <f>SUMIF('Spese Generiche BANCOMAT '!$E:$E,"AGOSTO 2026",'Spese Generiche BANCOMAT '!$I:$I)</f>
        <v>2423.64</v>
      </c>
      <c r="J9" s="1315">
        <f>SUMIF('Spese Generiche BANCOMAT '!$E:$E,"SETTEMBRE 2026",'Spese Generiche BANCOMAT '!$I:$I)</f>
        <v>802.83999999999992</v>
      </c>
      <c r="K9" s="1315">
        <f>SUMIF('Spese Generiche BANCOMAT '!$E:$E,"OTTOBRE 2026",'Spese Generiche BANCOMAT '!$I:$I)</f>
        <v>0</v>
      </c>
      <c r="L9" s="1315">
        <f>SUMIF('Spese Generiche BANCOMAT '!$E:$E,"NOVEMBRE 2026",'Spese Generiche BANCOMAT '!$I:$I)</f>
        <v>0</v>
      </c>
      <c r="M9" s="1315">
        <f>SUMIF('Spese Generiche BANCOMAT '!$E:$E,"DICEMBRE 2026",'Spese Generiche BANCOMAT '!$I:$I)</f>
        <v>0</v>
      </c>
      <c r="N9" s="1316">
        <f t="shared" si="0"/>
        <v>6120.4900000000007</v>
      </c>
    </row>
    <row r="10" spans="1:14">
      <c r="A10" s="1368">
        <v>2027</v>
      </c>
      <c r="B10" s="1315">
        <f>SUMIF('Spese Generiche BANCOMAT '!$E:$E,"GENNAIO 2027",'Spese Generiche BANCOMAT '!$I:$I)</f>
        <v>0</v>
      </c>
      <c r="C10" s="1315">
        <f>SUMIF('Spese Generiche BANCOMAT '!$E:$E,"FEBBRAIO 2027",'Spese Generiche BANCOMAT '!$I:$I)</f>
        <v>0</v>
      </c>
      <c r="D10" s="1315">
        <f>SUMIF('Spese Generiche BANCOMAT '!$E:$E,"MARZO 2027",'Spese Generiche BANCOMAT '!$I:$I)</f>
        <v>0</v>
      </c>
      <c r="E10" s="1315">
        <f>SUMIF('Spese Generiche BANCOMAT '!$E:$E,"APRILE 2027",'Spese Generiche BANCOMAT '!$I:$I)</f>
        <v>0</v>
      </c>
      <c r="F10" s="1315">
        <f>SUMIF('Spese Generiche BANCOMAT '!$E:$E,"MAGGIO 2027",'Spese Generiche BANCOMAT '!$I:$I)</f>
        <v>0</v>
      </c>
      <c r="G10" s="1315">
        <f>SUMIF('Spese Generiche BANCOMAT '!$E:$E,"GIUGNO 2027",'Spese Generiche BANCOMAT '!$I:$I)</f>
        <v>0</v>
      </c>
      <c r="H10" s="1315">
        <f>SUMIF('Spese Generiche BANCOMAT '!$E:$E,"LUGLIO 2027",'Spese Generiche BANCOMAT '!$I:$I)</f>
        <v>0</v>
      </c>
      <c r="I10" s="1315">
        <f>SUMIF('Spese Generiche BANCOMAT '!$E:$E,"AGOSTO 2027",'Spese Generiche BANCOMAT '!$I:$I)</f>
        <v>0</v>
      </c>
      <c r="J10" s="1315">
        <f>SUMIF('Spese Generiche BANCOMAT '!$E:$E,"SETTEMBRE 2027",'Spese Generiche BANCOMAT '!$I:$I)</f>
        <v>0</v>
      </c>
      <c r="K10" s="1315">
        <f>SUMIF('Spese Generiche BANCOMAT '!$E:$E,"OTTOBRE 2027",'Spese Generiche BANCOMAT '!$I:$I)</f>
        <v>0</v>
      </c>
      <c r="L10" s="1315">
        <f>SUMIF('Spese Generiche BANCOMAT '!$E:$E,"NOVEMBRE 2027",'Spese Generiche BANCOMAT '!$I:$I)</f>
        <v>0</v>
      </c>
      <c r="M10" s="1315">
        <f>SUMIF('Spese Generiche BANCOMAT '!$E:$E,"DICEMBRE 2027",'Spese Generiche BANCOMAT '!$I:$I)</f>
        <v>0</v>
      </c>
      <c r="N10" s="1316">
        <f t="shared" si="0"/>
        <v>0</v>
      </c>
    </row>
    <row r="11" spans="1:14">
      <c r="A11" s="1368">
        <v>2028</v>
      </c>
      <c r="B11" s="1315">
        <f>SUMIF('Spese Generiche BANCOMAT '!$E:$E,"GENNAIO 2028",'Spese Generiche BANCOMAT '!$I:$I)</f>
        <v>0</v>
      </c>
      <c r="C11" s="1315">
        <f>SUMIF('Spese Generiche BANCOMAT '!$E:$E,"FEBBRAIO 2028",'Spese Generiche BANCOMAT '!$I:$I)</f>
        <v>0</v>
      </c>
      <c r="D11" s="1315">
        <f>SUMIF('Spese Generiche BANCOMAT '!$E:$E,"MARZO 2028",'Spese Generiche BANCOMAT '!$I:$I)</f>
        <v>0</v>
      </c>
      <c r="E11" s="1315">
        <f>SUMIF('Spese Generiche BANCOMAT '!$E:$E,"APRILE 2028",'Spese Generiche BANCOMAT '!$I:$I)</f>
        <v>0</v>
      </c>
      <c r="F11" s="1315">
        <f>SUMIF('Spese Generiche BANCOMAT '!$E:$E,"MAGGIO 2028",'Spese Generiche BANCOMAT '!$I:$I)</f>
        <v>0</v>
      </c>
      <c r="G11" s="1315">
        <f>SUMIF('Spese Generiche BANCOMAT '!$E:$E,"GIUGNO 2028",'Spese Generiche BANCOMAT '!$I:$I)</f>
        <v>0</v>
      </c>
      <c r="H11" s="1315">
        <f>SUMIF('Spese Generiche BANCOMAT '!$E:$E,"LUGLIO 2028",'Spese Generiche BANCOMAT '!$I:$I)</f>
        <v>0</v>
      </c>
      <c r="I11" s="1315">
        <f>SUMIF('Spese Generiche BANCOMAT '!$E:$E,"AGOSTO 2028",'Spese Generiche BANCOMAT '!$I:$I)</f>
        <v>0</v>
      </c>
      <c r="J11" s="1315">
        <f>SUMIF('Spese Generiche BANCOMAT '!$E:$E,"SETTEMBRE 2028",'Spese Generiche BANCOMAT '!$I:$I)</f>
        <v>0</v>
      </c>
      <c r="K11" s="1315">
        <f>SUMIF('Spese Generiche BANCOMAT '!$E:$E,"OTTOBRE 2028",'Spese Generiche BANCOMAT '!$I:$I)</f>
        <v>0</v>
      </c>
      <c r="L11" s="1315">
        <f>SUMIF('Spese Generiche BANCOMAT '!$E:$E,"NOVEMBRE 2028",'Spese Generiche BANCOMAT '!$I:$I)</f>
        <v>0</v>
      </c>
      <c r="M11" s="1315">
        <f>SUMIF('Spese Generiche BANCOMAT '!$E:$E,"DICEMBRE 2028",'Spese Generiche BANCOMAT '!$I:$I)</f>
        <v>0</v>
      </c>
      <c r="N11" s="1316">
        <f t="shared" si="0"/>
        <v>0</v>
      </c>
    </row>
    <row r="12" spans="1:14">
      <c r="A12" s="1368">
        <v>2029</v>
      </c>
      <c r="B12" s="1315">
        <f>SUMIF('Spese Generiche BANCOMAT '!$E:$E,"GENNAIO 2029",'Spese Generiche BANCOMAT '!$I:$I)</f>
        <v>0</v>
      </c>
      <c r="C12" s="1315">
        <f>SUMIF('Spese Generiche BANCOMAT '!$E:$E,"FEBBRAIO 2029",'Spese Generiche BANCOMAT '!$I:$I)</f>
        <v>0</v>
      </c>
      <c r="D12" s="1315">
        <f>SUMIF('Spese Generiche BANCOMAT '!$E:$E,"MARZO 2029",'Spese Generiche BANCOMAT '!$I:$I)</f>
        <v>0</v>
      </c>
      <c r="E12" s="1315">
        <f>SUMIF('Spese Generiche BANCOMAT '!$E:$E,"APRILE 2029",'Spese Generiche BANCOMAT '!$I:$I)</f>
        <v>0</v>
      </c>
      <c r="F12" s="1315">
        <f>SUMIF('Spese Generiche BANCOMAT '!$E:$E,"MAGGIO 2029",'Spese Generiche BANCOMAT '!$I:$I)</f>
        <v>0</v>
      </c>
      <c r="G12" s="1315">
        <f>SUMIF('Spese Generiche BANCOMAT '!$E:$E,"GIUGNO 2029",'Spese Generiche BANCOMAT '!$I:$I)</f>
        <v>0</v>
      </c>
      <c r="H12" s="1315">
        <f>SUMIF('Spese Generiche BANCOMAT '!$E:$E,"LUGLIO 2029",'Spese Generiche BANCOMAT '!$I:$I)</f>
        <v>0</v>
      </c>
      <c r="I12" s="1315">
        <f>SUMIF('Spese Generiche BANCOMAT '!$E:$E,"AGOSTO 2029",'Spese Generiche BANCOMAT '!$I:$I)</f>
        <v>0</v>
      </c>
      <c r="J12" s="1315">
        <f>SUMIF('Spese Generiche BANCOMAT '!$E:$E,"SETTEMBRE 2029",'Spese Generiche BANCOMAT '!$I:$I)</f>
        <v>0</v>
      </c>
      <c r="K12" s="1315">
        <f>SUMIF('Spese Generiche BANCOMAT '!$E:$E,"OTTOBRE 2029",'Spese Generiche BANCOMAT '!$I:$I)</f>
        <v>0</v>
      </c>
      <c r="L12" s="1315">
        <f>SUMIF('Spese Generiche BANCOMAT '!$E:$E,"NOVEMBRE 2029",'Spese Generiche BANCOMAT '!$I:$I)</f>
        <v>0</v>
      </c>
      <c r="M12" s="1315">
        <f>SUMIF('Spese Generiche BANCOMAT '!$E:$E,"DICEMBRE 2029",'Spese Generiche BANCOMAT '!$I:$I)</f>
        <v>0</v>
      </c>
      <c r="N12" s="1316">
        <f t="shared" si="0"/>
        <v>0</v>
      </c>
    </row>
    <row r="13" spans="1:14">
      <c r="A13" s="1368">
        <v>2030</v>
      </c>
      <c r="B13" s="1315">
        <f>SUMIF('Spese Generiche BANCOMAT '!$E:$E,"GENNAIO 2030",'Spese Generiche BANCOMAT '!$I:$I)</f>
        <v>0</v>
      </c>
      <c r="C13" s="1315">
        <f>SUMIF('Spese Generiche BANCOMAT '!$E:$E,"FEBBRAIO 2030",'Spese Generiche BANCOMAT '!$I:$I)</f>
        <v>0</v>
      </c>
      <c r="D13" s="1315">
        <f>SUMIF('Spese Generiche BANCOMAT '!$E:$E,"MARZO 2030",'Spese Generiche BANCOMAT '!$I:$I)</f>
        <v>0</v>
      </c>
      <c r="E13" s="1315">
        <f>SUMIF('Spese Generiche BANCOMAT '!$E:$E,"APRILE 2030",'Spese Generiche BANCOMAT '!$I:$I)</f>
        <v>0</v>
      </c>
      <c r="F13" s="1315">
        <f>SUMIF('Spese Generiche BANCOMAT '!$E:$E,"MAGGIO 2030",'Spese Generiche BANCOMAT '!$I:$I)</f>
        <v>0</v>
      </c>
      <c r="G13" s="1315">
        <f>SUMIF('Spese Generiche BANCOMAT '!$E:$E,"GIUGNO 2030",'Spese Generiche BANCOMAT '!$I:$I)</f>
        <v>0</v>
      </c>
      <c r="H13" s="1315">
        <f>SUMIF('Spese Generiche BANCOMAT '!$E:$E,"LUGLIO 2030",'Spese Generiche BANCOMAT '!$I:$I)</f>
        <v>0</v>
      </c>
      <c r="I13" s="1315">
        <f>SUMIF('Spese Generiche BANCOMAT '!$E:$E,"AGOSTO 2030",'Spese Generiche BANCOMAT '!$I:$I)</f>
        <v>0</v>
      </c>
      <c r="J13" s="1315">
        <f>SUMIF('Spese Generiche BANCOMAT '!$E:$E,"SETTEMBRE 2030",'Spese Generiche BANCOMAT '!$I:$I)</f>
        <v>0</v>
      </c>
      <c r="K13" s="1315">
        <f>SUMIF('Spese Generiche BANCOMAT '!$E:$E,"OTTOBRE 2030",'Spese Generiche BANCOMAT '!$I:$I)</f>
        <v>0</v>
      </c>
      <c r="L13" s="1315">
        <f>SUMIF('Spese Generiche BANCOMAT '!$E:$E,"NOVEMBRE 2030",'Spese Generiche BANCOMAT '!$I:$I)</f>
        <v>0</v>
      </c>
      <c r="M13" s="1315">
        <f>SUMIF('Spese Generiche BANCOMAT '!$E:$E,"DICEMBRE 2030",'Spese Generiche BANCOMAT '!$I:$I)</f>
        <v>0</v>
      </c>
      <c r="N13" s="1316">
        <f t="shared" si="0"/>
        <v>0</v>
      </c>
    </row>
    <row r="14" spans="1:14">
      <c r="A14" s="1368">
        <v>2031</v>
      </c>
      <c r="B14" s="1315">
        <f>SUMIF('Spese Generiche BANCOMAT '!$E:$E,"GENNAIO 2031",'Spese Generiche BANCOMAT '!$I:$I)</f>
        <v>0</v>
      </c>
      <c r="C14" s="1315">
        <f>SUMIF('Spese Generiche BANCOMAT '!$E:$E,"FEBBRAIO 2031",'Spese Generiche BANCOMAT '!$I:$I)</f>
        <v>0</v>
      </c>
      <c r="D14" s="1315">
        <f>SUMIF('Spese Generiche BANCOMAT '!$E:$E,"MARZO 2031",'Spese Generiche BANCOMAT '!$I:$I)</f>
        <v>0</v>
      </c>
      <c r="E14" s="1315">
        <f>SUMIF('Spese Generiche BANCOMAT '!$E:$E,"APRILE 2031",'Spese Generiche BANCOMAT '!$I:$I)</f>
        <v>0</v>
      </c>
      <c r="F14" s="1315">
        <f>SUMIF('Spese Generiche BANCOMAT '!$E:$E,"MAGGIO 2031",'Spese Generiche BANCOMAT '!$I:$I)</f>
        <v>0</v>
      </c>
      <c r="G14" s="1315">
        <f>SUMIF('Spese Generiche BANCOMAT '!$E:$E,"GIUGNO 2031",'Spese Generiche BANCOMAT '!$I:$I)</f>
        <v>0</v>
      </c>
      <c r="H14" s="1315">
        <f>SUMIF('Spese Generiche BANCOMAT '!$E:$E,"LUGLIO 2031",'Spese Generiche BANCOMAT '!$I:$I)</f>
        <v>0</v>
      </c>
      <c r="I14" s="1315">
        <f>SUMIF('Spese Generiche BANCOMAT '!$E:$E,"AGOSTO 2031",'Spese Generiche BANCOMAT '!$I:$I)</f>
        <v>0</v>
      </c>
      <c r="J14" s="1315">
        <f>SUMIF('Spese Generiche BANCOMAT '!$E:$E,"SETTEMBRE 2031",'Spese Generiche BANCOMAT '!$I:$I)</f>
        <v>0</v>
      </c>
      <c r="K14" s="1315">
        <f>SUMIF('Spese Generiche BANCOMAT '!$E:$E,"OTTOBRE 2031",'Spese Generiche BANCOMAT '!$I:$I)</f>
        <v>0</v>
      </c>
      <c r="L14" s="1315">
        <f>SUMIF('Spese Generiche BANCOMAT '!$E:$E,"NOVEMBRE 2031",'Spese Generiche BANCOMAT '!$I:$I)</f>
        <v>0</v>
      </c>
      <c r="M14" s="1315">
        <f>SUMIF('Spese Generiche BANCOMAT '!$E:$E,"DICEMBRE 2031",'Spese Generiche BANCOMAT '!$I:$I)</f>
        <v>0</v>
      </c>
      <c r="N14" s="1316">
        <f t="shared" si="0"/>
        <v>0</v>
      </c>
    </row>
    <row r="15" spans="1:14">
      <c r="A15" s="1368">
        <v>2032</v>
      </c>
      <c r="B15" s="1315">
        <f>SUMIF('Spese Generiche BANCOMAT '!$E:$E,"GENNAIO 2032",'Spese Generiche BANCOMAT '!$I:$I)</f>
        <v>0</v>
      </c>
      <c r="C15" s="1315">
        <f>SUMIF('Spese Generiche BANCOMAT '!$E:$E,"FEBBRAIO 2032",'Spese Generiche BANCOMAT '!$I:$I)</f>
        <v>0</v>
      </c>
      <c r="D15" s="1315">
        <f>SUMIF('Spese Generiche BANCOMAT '!$E:$E,"MARZO 2032",'Spese Generiche BANCOMAT '!$I:$I)</f>
        <v>0</v>
      </c>
      <c r="E15" s="1315">
        <f>SUMIF('Spese Generiche BANCOMAT '!$E:$E,"APRILE 2032",'Spese Generiche BANCOMAT '!$I:$I)</f>
        <v>0</v>
      </c>
      <c r="F15" s="1315">
        <f>SUMIF('Spese Generiche BANCOMAT '!$E:$E,"MAGGIO 2032",'Spese Generiche BANCOMAT '!$I:$I)</f>
        <v>0</v>
      </c>
      <c r="G15" s="1315">
        <f>SUMIF('Spese Generiche BANCOMAT '!$E:$E,"GIUGNO 2032",'Spese Generiche BANCOMAT '!$I:$I)</f>
        <v>0</v>
      </c>
      <c r="H15" s="1315">
        <f>SUMIF('Spese Generiche BANCOMAT '!$E:$E,"LUGLIO 2032",'Spese Generiche BANCOMAT '!$I:$I)</f>
        <v>0</v>
      </c>
      <c r="I15" s="1315">
        <f>SUMIF('Spese Generiche BANCOMAT '!$E:$E,"AGOSTO 2032",'Spese Generiche BANCOMAT '!$I:$I)</f>
        <v>0</v>
      </c>
      <c r="J15" s="1315">
        <f>SUMIF('Spese Generiche BANCOMAT '!$E:$E,"SETTEMBRE 2032",'Spese Generiche BANCOMAT '!$I:$I)</f>
        <v>0</v>
      </c>
      <c r="K15" s="1315">
        <f>SUMIF('Spese Generiche BANCOMAT '!$E:$E,"OTTOBRE 2032",'Spese Generiche BANCOMAT '!$I:$I)</f>
        <v>0</v>
      </c>
      <c r="L15" s="1315">
        <f>SUMIF('Spese Generiche BANCOMAT '!$E:$E,"NOVEMBRE 2032",'Spese Generiche BANCOMAT '!$I:$I)</f>
        <v>0</v>
      </c>
      <c r="M15" s="1315">
        <f>SUMIF('Spese Generiche BANCOMAT '!$E:$E,"DICEMBRE 2032",'Spese Generiche BANCOMAT '!$I:$I)</f>
        <v>0</v>
      </c>
      <c r="N15" s="1316">
        <f t="shared" si="0"/>
        <v>0</v>
      </c>
    </row>
    <row r="16" spans="1:14">
      <c r="A16" s="1368">
        <v>2033</v>
      </c>
      <c r="B16" s="1315">
        <f>SUMIF('Spese Generiche BANCOMAT '!$E:$E,"GENNAIO 2033",'Spese Generiche BANCOMAT '!$I:$I)</f>
        <v>0</v>
      </c>
      <c r="C16" s="1315">
        <f>SUMIF('Spese Generiche BANCOMAT '!$E:$E,"FEBBRAIO 2033",'Spese Generiche BANCOMAT '!$I:$I)</f>
        <v>0</v>
      </c>
      <c r="D16" s="1315">
        <f>SUMIF('Spese Generiche BANCOMAT '!$E:$E,"MARZO 2033",'Spese Generiche BANCOMAT '!$I:$I)</f>
        <v>0</v>
      </c>
      <c r="E16" s="1315">
        <f>SUMIF('Spese Generiche BANCOMAT '!$E:$E,"APRILE 2033",'Spese Generiche BANCOMAT '!$I:$I)</f>
        <v>0</v>
      </c>
      <c r="F16" s="1315">
        <f>SUMIF('Spese Generiche BANCOMAT '!$E:$E,"MAGGIO 2033",'Spese Generiche BANCOMAT '!$I:$I)</f>
        <v>0</v>
      </c>
      <c r="G16" s="1315">
        <f>SUMIF('Spese Generiche BANCOMAT '!$E:$E,"GIUGNO 2033",'Spese Generiche BANCOMAT '!$I:$I)</f>
        <v>0</v>
      </c>
      <c r="H16" s="1315">
        <f>SUMIF('Spese Generiche BANCOMAT '!$E:$E,"LUGLIO 2033",'Spese Generiche BANCOMAT '!$I:$I)</f>
        <v>0</v>
      </c>
      <c r="I16" s="1315">
        <f>SUMIF('Spese Generiche BANCOMAT '!$E:$E,"AGOSTO 2033",'Spese Generiche BANCOMAT '!$I:$I)</f>
        <v>0</v>
      </c>
      <c r="J16" s="1315">
        <f>SUMIF('Spese Generiche BANCOMAT '!$E:$E,"SETTEMBRE 2033",'Spese Generiche BANCOMAT '!$I:$I)</f>
        <v>0</v>
      </c>
      <c r="K16" s="1315">
        <f>SUMIF('Spese Generiche BANCOMAT '!$E:$E,"OTTOBRE 2033",'Spese Generiche BANCOMAT '!$I:$I)</f>
        <v>0</v>
      </c>
      <c r="L16" s="1315">
        <f>SUMIF('Spese Generiche BANCOMAT '!$E:$E,"NOVEMBRE 2033",'Spese Generiche BANCOMAT '!$I:$I)</f>
        <v>0</v>
      </c>
      <c r="M16" s="1315">
        <f>SUMIF('Spese Generiche BANCOMAT '!$E:$E,"DICEMBRE 2033",'Spese Generiche BANCOMAT '!$I:$I)</f>
        <v>0</v>
      </c>
      <c r="N16" s="1316">
        <f t="shared" si="0"/>
        <v>0</v>
      </c>
    </row>
    <row r="17" spans="1:14">
      <c r="A17" s="1368">
        <v>2034</v>
      </c>
      <c r="B17" s="1315">
        <f>SUMIF('Spese Generiche BANCOMAT '!$E:$E,"GENNAIO 2034",'Spese Generiche BANCOMAT '!$I:$I)</f>
        <v>0</v>
      </c>
      <c r="C17" s="1315">
        <f>SUMIF('Spese Generiche BANCOMAT '!$E:$E,"FEBBRAIO 2034",'Spese Generiche BANCOMAT '!$I:$I)</f>
        <v>0</v>
      </c>
      <c r="D17" s="1315">
        <f>SUMIF('Spese Generiche BANCOMAT '!$E:$E,"MARZO 2034",'Spese Generiche BANCOMAT '!$I:$I)</f>
        <v>0</v>
      </c>
      <c r="E17" s="1315">
        <f>SUMIF('Spese Generiche BANCOMAT '!$E:$E,"APRILE 2034",'Spese Generiche BANCOMAT '!$I:$I)</f>
        <v>0</v>
      </c>
      <c r="F17" s="1315">
        <f>SUMIF('Spese Generiche BANCOMAT '!$E:$E,"MAGGIO 2034",'Spese Generiche BANCOMAT '!$I:$I)</f>
        <v>0</v>
      </c>
      <c r="G17" s="1315">
        <f>SUMIF('Spese Generiche BANCOMAT '!$E:$E,"GIUGNO 2034",'Spese Generiche BANCOMAT '!$I:$I)</f>
        <v>0</v>
      </c>
      <c r="H17" s="1315">
        <f>SUMIF('Spese Generiche BANCOMAT '!$E:$E,"LUGLIO 2034",'Spese Generiche BANCOMAT '!$I:$I)</f>
        <v>0</v>
      </c>
      <c r="I17" s="1315">
        <f>SUMIF('Spese Generiche BANCOMAT '!$E:$E,"AGOSTO 2034",'Spese Generiche BANCOMAT '!$I:$I)</f>
        <v>0</v>
      </c>
      <c r="J17" s="1315">
        <f>SUMIF('Spese Generiche BANCOMAT '!$E:$E,"SETTEMBRE 2034",'Spese Generiche BANCOMAT '!$I:$I)</f>
        <v>0</v>
      </c>
      <c r="K17" s="1315">
        <f>SUMIF('Spese Generiche BANCOMAT '!$E:$E,"OTTOBRE 2034",'Spese Generiche BANCOMAT '!$I:$I)</f>
        <v>0</v>
      </c>
      <c r="L17" s="1315">
        <f>SUMIF('Spese Generiche BANCOMAT '!$E:$E,"NOVEMBRE 2034",'Spese Generiche BANCOMAT '!$I:$I)</f>
        <v>0</v>
      </c>
      <c r="M17" s="1315">
        <f>SUMIF('Spese Generiche BANCOMAT '!$E:$E,"DICEMBRE 2034",'Spese Generiche BANCOMAT '!$I:$I)</f>
        <v>0</v>
      </c>
      <c r="N17" s="1316">
        <f t="shared" si="0"/>
        <v>0</v>
      </c>
    </row>
    <row r="18" spans="1:14">
      <c r="A18" s="1368">
        <v>2035</v>
      </c>
      <c r="B18" s="1315">
        <f>SUMIF('Spese Generiche BANCOMAT '!$E:$E,"GENNAIO 2035",'Spese Generiche BANCOMAT '!$I:$I)</f>
        <v>0</v>
      </c>
      <c r="C18" s="1315">
        <f>SUMIF('Spese Generiche BANCOMAT '!$E:$E,"FEBBRAIO 2035",'Spese Generiche BANCOMAT '!$I:$I)</f>
        <v>0</v>
      </c>
      <c r="D18" s="1315">
        <f>SUMIF('Spese Generiche BANCOMAT '!$E:$E,"MARZO 2035",'Spese Generiche BANCOMAT '!$I:$I)</f>
        <v>0</v>
      </c>
      <c r="E18" s="1315">
        <f>SUMIF('Spese Generiche BANCOMAT '!$E:$E,"APRILE 2035",'Spese Generiche BANCOMAT '!$I:$I)</f>
        <v>0</v>
      </c>
      <c r="F18" s="1315">
        <f>SUMIF('Spese Generiche BANCOMAT '!$E:$E,"MAGGIO 2035",'Spese Generiche BANCOMAT '!$I:$I)</f>
        <v>0</v>
      </c>
      <c r="G18" s="1315">
        <f>SUMIF('Spese Generiche BANCOMAT '!$E:$E,"GIUGNO 2035",'Spese Generiche BANCOMAT '!$I:$I)</f>
        <v>0</v>
      </c>
      <c r="H18" s="1315">
        <f>SUMIF('Spese Generiche BANCOMAT '!$E:$E,"LUGLIO 2035",'Spese Generiche BANCOMAT '!$I:$I)</f>
        <v>0</v>
      </c>
      <c r="I18" s="1315">
        <f>SUMIF('Spese Generiche BANCOMAT '!$E:$E,"AGOSTO 2035",'Spese Generiche BANCOMAT '!$I:$I)</f>
        <v>0</v>
      </c>
      <c r="J18" s="1315">
        <f>SUMIF('Spese Generiche BANCOMAT '!$E:$E,"SETTEMBRE 2035",'Spese Generiche BANCOMAT '!$I:$I)</f>
        <v>0</v>
      </c>
      <c r="K18" s="1315">
        <f>SUMIF('Spese Generiche BANCOMAT '!$E:$E,"OTTOBRE 2035",'Spese Generiche BANCOMAT '!$I:$I)</f>
        <v>0</v>
      </c>
      <c r="L18" s="1315">
        <f>SUMIF('Spese Generiche BANCOMAT '!$E:$E,"NOVEMBRE 2035",'Spese Generiche BANCOMAT '!$I:$I)</f>
        <v>0</v>
      </c>
      <c r="M18" s="1315">
        <f>SUMIF('Spese Generiche BANCOMAT '!$E:$E,"DICEMBRE 2035",'Spese Generiche BANCOMAT '!$I:$I)</f>
        <v>0</v>
      </c>
      <c r="N18" s="1316">
        <f t="shared" si="0"/>
        <v>0</v>
      </c>
    </row>
    <row r="19" spans="1:14">
      <c r="A19" s="1368">
        <v>2036</v>
      </c>
      <c r="B19" s="1315">
        <f>SUMIF('Spese Generiche BANCOMAT '!$E:$E,"GENNAIO 2036",'Spese Generiche BANCOMAT '!$I:$I)</f>
        <v>0</v>
      </c>
      <c r="C19" s="1315">
        <f>SUMIF('Spese Generiche BANCOMAT '!$E:$E,"FEBBRAIO 2036",'Spese Generiche BANCOMAT '!$I:$I)</f>
        <v>0</v>
      </c>
      <c r="D19" s="1315">
        <f>SUMIF('Spese Generiche BANCOMAT '!$E:$E,"MARZO 2036",'Spese Generiche BANCOMAT '!$I:$I)</f>
        <v>0</v>
      </c>
      <c r="E19" s="1315">
        <f>SUMIF('Spese Generiche BANCOMAT '!$E:$E,"APRILE 2036",'Spese Generiche BANCOMAT '!$I:$I)</f>
        <v>0</v>
      </c>
      <c r="F19" s="1315">
        <f>SUMIF('Spese Generiche BANCOMAT '!$E:$E,"MAGGIO 2036",'Spese Generiche BANCOMAT '!$I:$I)</f>
        <v>0</v>
      </c>
      <c r="G19" s="1315">
        <f>SUMIF('Spese Generiche BANCOMAT '!$E:$E,"GIUGNO 2036",'Spese Generiche BANCOMAT '!$I:$I)</f>
        <v>0</v>
      </c>
      <c r="H19" s="1315">
        <f>SUMIF('Spese Generiche BANCOMAT '!$E:$E,"LUGLIO 2036",'Spese Generiche BANCOMAT '!$I:$I)</f>
        <v>0</v>
      </c>
      <c r="I19" s="1315">
        <f>SUMIF('Spese Generiche BANCOMAT '!$E:$E,"AGOSTO 2036",'Spese Generiche BANCOMAT '!$I:$I)</f>
        <v>0</v>
      </c>
      <c r="J19" s="1315">
        <f>SUMIF('Spese Generiche BANCOMAT '!$E:$E,"SETTEMBRE 2036",'Spese Generiche BANCOMAT '!$I:$I)</f>
        <v>0</v>
      </c>
      <c r="K19" s="1315">
        <f>SUMIF('Spese Generiche BANCOMAT '!$E:$E,"OTTOBRE 2036",'Spese Generiche BANCOMAT '!$I:$I)</f>
        <v>0</v>
      </c>
      <c r="L19" s="1315">
        <f>SUMIF('Spese Generiche BANCOMAT '!$E:$E,"NOVEMBRE 2036",'Spese Generiche BANCOMAT '!$I:$I)</f>
        <v>0</v>
      </c>
      <c r="M19" s="1315">
        <f>SUMIF('Spese Generiche BANCOMAT '!$E:$E,"DICEMBRE 2036",'Spese Generiche BANCOMAT '!$I:$I)</f>
        <v>0</v>
      </c>
      <c r="N19" s="1316">
        <f t="shared" si="0"/>
        <v>0</v>
      </c>
    </row>
    <row r="20" spans="1:14">
      <c r="A20" s="1368">
        <v>2037</v>
      </c>
      <c r="B20" s="1315">
        <f>SUMIF('Spese Generiche BANCOMAT '!$E:$E,"GENNAIO 2037",'Spese Generiche BANCOMAT '!$I:$I)</f>
        <v>0</v>
      </c>
      <c r="C20" s="1315">
        <f>SUMIF('Spese Generiche BANCOMAT '!$E:$E,"FEBBRAIO 2037",'Spese Generiche BANCOMAT '!$I:$I)</f>
        <v>0</v>
      </c>
      <c r="D20" s="1315">
        <f>SUMIF('Spese Generiche BANCOMAT '!$E:$E,"MARZO 2037",'Spese Generiche BANCOMAT '!$I:$I)</f>
        <v>0</v>
      </c>
      <c r="E20" s="1315">
        <f>SUMIF('Spese Generiche BANCOMAT '!$E:$E,"APRILE 2037",'Spese Generiche BANCOMAT '!$I:$I)</f>
        <v>0</v>
      </c>
      <c r="F20" s="1315">
        <f>SUMIF('Spese Generiche BANCOMAT '!$E:$E,"MAGGIO 2037",'Spese Generiche BANCOMAT '!$I:$I)</f>
        <v>0</v>
      </c>
      <c r="G20" s="1315">
        <f>SUMIF('Spese Generiche BANCOMAT '!$E:$E,"GIUGNO 2037",'Spese Generiche BANCOMAT '!$I:$I)</f>
        <v>0</v>
      </c>
      <c r="H20" s="1315">
        <f>SUMIF('Spese Generiche BANCOMAT '!$E:$E,"LUGLIO 2037",'Spese Generiche BANCOMAT '!$I:$I)</f>
        <v>0</v>
      </c>
      <c r="I20" s="1315">
        <f>SUMIF('Spese Generiche BANCOMAT '!$E:$E,"AGOSTO 2037",'Spese Generiche BANCOMAT '!$I:$I)</f>
        <v>0</v>
      </c>
      <c r="J20" s="1315">
        <f>SUMIF('Spese Generiche BANCOMAT '!$E:$E,"SETTEMBRE 2037",'Spese Generiche BANCOMAT '!$I:$I)</f>
        <v>0</v>
      </c>
      <c r="K20" s="1315">
        <f>SUMIF('Spese Generiche BANCOMAT '!$E:$E,"OTTOBRE 2037",'Spese Generiche BANCOMAT '!$I:$I)</f>
        <v>0</v>
      </c>
      <c r="L20" s="1315">
        <f>SUMIF('Spese Generiche BANCOMAT '!$E:$E,"NOVEMBRE 2037",'Spese Generiche BANCOMAT '!$I:$I)</f>
        <v>0</v>
      </c>
      <c r="M20" s="1315">
        <f>SUMIF('Spese Generiche BANCOMAT '!$E:$E,"DICEMBRE 2037",'Spese Generiche BANCOMAT '!$I:$I)</f>
        <v>0</v>
      </c>
      <c r="N20" s="1316">
        <f t="shared" si="0"/>
        <v>0</v>
      </c>
    </row>
    <row r="21" spans="1:14">
      <c r="A21" s="1368">
        <v>2038</v>
      </c>
      <c r="B21" s="1315">
        <f>SUMIF('Spese Generiche BANCOMAT '!$E:$E,"GENNAIO 2038",'Spese Generiche BANCOMAT '!$I:$I)</f>
        <v>0</v>
      </c>
      <c r="C21" s="1315">
        <f>SUMIF('Spese Generiche BANCOMAT '!$E:$E,"FEBBRAIO 2038",'Spese Generiche BANCOMAT '!$I:$I)</f>
        <v>0</v>
      </c>
      <c r="D21" s="1315">
        <f>SUMIF('Spese Generiche BANCOMAT '!$E:$E,"MARZO 2038",'Spese Generiche BANCOMAT '!$I:$I)</f>
        <v>0</v>
      </c>
      <c r="E21" s="1315">
        <f>SUMIF('Spese Generiche BANCOMAT '!$E:$E,"APRILE 2038",'Spese Generiche BANCOMAT '!$I:$I)</f>
        <v>0</v>
      </c>
      <c r="F21" s="1315">
        <f>SUMIF('Spese Generiche BANCOMAT '!$E:$E,"MAGGIO 2038",'Spese Generiche BANCOMAT '!$I:$I)</f>
        <v>0</v>
      </c>
      <c r="G21" s="1315">
        <f>SUMIF('Spese Generiche BANCOMAT '!$E:$E,"GIUGNO 2038",'Spese Generiche BANCOMAT '!$I:$I)</f>
        <v>0</v>
      </c>
      <c r="H21" s="1315">
        <f>SUMIF('Spese Generiche BANCOMAT '!$E:$E,"LUGLIO 2038",'Spese Generiche BANCOMAT '!$I:$I)</f>
        <v>0</v>
      </c>
      <c r="I21" s="1315">
        <f>SUMIF('Spese Generiche BANCOMAT '!$E:$E,"AGOSTO 2038",'Spese Generiche BANCOMAT '!$I:$I)</f>
        <v>0</v>
      </c>
      <c r="J21" s="1315">
        <f>SUMIF('Spese Generiche BANCOMAT '!$E:$E,"SETTEMBRE 2038",'Spese Generiche BANCOMAT '!$I:$I)</f>
        <v>0</v>
      </c>
      <c r="K21" s="1315">
        <f>SUMIF('Spese Generiche BANCOMAT '!$E:$E,"OTTOBRE 2038",'Spese Generiche BANCOMAT '!$I:$I)</f>
        <v>0</v>
      </c>
      <c r="L21" s="1315">
        <f>SUMIF('Spese Generiche BANCOMAT '!$E:$E,"NOVEMBRE 2038",'Spese Generiche BANCOMAT '!$I:$I)</f>
        <v>0</v>
      </c>
      <c r="M21" s="1315">
        <f>SUMIF('Spese Generiche BANCOMAT '!$E:$E,"DICEMBRE 2038",'Spese Generiche BANCOMAT '!$I:$I)</f>
        <v>0</v>
      </c>
      <c r="N21" s="1316">
        <f t="shared" si="0"/>
        <v>0</v>
      </c>
    </row>
    <row r="22" spans="1:14">
      <c r="A22" s="1368">
        <v>2039</v>
      </c>
      <c r="B22" s="1315">
        <f>SUMIF('Spese Generiche BANCOMAT '!$E:$E,"GENNAIO 2039",'Spese Generiche BANCOMAT '!$I:$I)</f>
        <v>0</v>
      </c>
      <c r="C22" s="1315">
        <f>SUMIF('Spese Generiche BANCOMAT '!$E:$E,"FEBBRAIO 2039",'Spese Generiche BANCOMAT '!$I:$I)</f>
        <v>0</v>
      </c>
      <c r="D22" s="1315">
        <f>SUMIF('Spese Generiche BANCOMAT '!$E:$E,"MARZO 2039",'Spese Generiche BANCOMAT '!$I:$I)</f>
        <v>0</v>
      </c>
      <c r="E22" s="1315">
        <f>SUMIF('Spese Generiche BANCOMAT '!$E:$E,"APRILE 2039",'Spese Generiche BANCOMAT '!$I:$I)</f>
        <v>0</v>
      </c>
      <c r="F22" s="1315">
        <f>SUMIF('Spese Generiche BANCOMAT '!$E:$E,"MAGGIO 2039",'Spese Generiche BANCOMAT '!$I:$I)</f>
        <v>0</v>
      </c>
      <c r="G22" s="1315">
        <f>SUMIF('Spese Generiche BANCOMAT '!$E:$E,"GIUGNO 2039",'Spese Generiche BANCOMAT '!$I:$I)</f>
        <v>0</v>
      </c>
      <c r="H22" s="1315">
        <f>SUMIF('Spese Generiche BANCOMAT '!$E:$E,"LUGLIO 2039",'Spese Generiche BANCOMAT '!$I:$I)</f>
        <v>0</v>
      </c>
      <c r="I22" s="1315">
        <f>SUMIF('Spese Generiche BANCOMAT '!$E:$E,"AGOSTO 2039",'Spese Generiche BANCOMAT '!$I:$I)</f>
        <v>0</v>
      </c>
      <c r="J22" s="1315">
        <f>SUMIF('Spese Generiche BANCOMAT '!$E:$E,"SETTEMBRE 2039",'Spese Generiche BANCOMAT '!$I:$I)</f>
        <v>0</v>
      </c>
      <c r="K22" s="1315">
        <f>SUMIF('Spese Generiche BANCOMAT '!$E:$E,"OTTOBRE 2039",'Spese Generiche BANCOMAT '!$I:$I)</f>
        <v>0</v>
      </c>
      <c r="L22" s="1315">
        <f>SUMIF('Spese Generiche BANCOMAT '!$E:$E,"NOVEMBRE 2039",'Spese Generiche BANCOMAT '!$I:$I)</f>
        <v>0</v>
      </c>
      <c r="M22" s="1315">
        <f>SUMIF('Spese Generiche BANCOMAT '!$E:$E,"DICEMBRE 2039",'Spese Generiche BANCOMAT '!$I:$I)</f>
        <v>0</v>
      </c>
      <c r="N22" s="1316">
        <f t="shared" si="0"/>
        <v>0</v>
      </c>
    </row>
    <row r="23" spans="1:14">
      <c r="A23" s="1368">
        <v>2040</v>
      </c>
      <c r="B23" s="1315">
        <f>SUMIF('Spese Generiche BANCOMAT '!$E:$E,"GENNAIO 2040",'Spese Generiche BANCOMAT '!$I:$I)</f>
        <v>0</v>
      </c>
      <c r="C23" s="1315">
        <f>SUMIF('Spese Generiche BANCOMAT '!$E:$E,"FEBBRAIO 2040",'Spese Generiche BANCOMAT '!$I:$I)</f>
        <v>0</v>
      </c>
      <c r="D23" s="1315">
        <f>SUMIF('Spese Generiche BANCOMAT '!$E:$E,"MARZO 2040",'Spese Generiche BANCOMAT '!$I:$I)</f>
        <v>0</v>
      </c>
      <c r="E23" s="1315">
        <f>SUMIF('Spese Generiche BANCOMAT '!$E:$E,"APRILE 2040",'Spese Generiche BANCOMAT '!$I:$I)</f>
        <v>0</v>
      </c>
      <c r="F23" s="1315">
        <f>SUMIF('Spese Generiche BANCOMAT '!$E:$E,"MAGGIO 2040",'Spese Generiche BANCOMAT '!$I:$I)</f>
        <v>0</v>
      </c>
      <c r="G23" s="1315">
        <f>SUMIF('Spese Generiche BANCOMAT '!$E:$E,"GIUGNO 2040",'Spese Generiche BANCOMAT '!$I:$I)</f>
        <v>0</v>
      </c>
      <c r="H23" s="1315">
        <f>SUMIF('Spese Generiche BANCOMAT '!$E:$E,"LUGLIO 2040",'Spese Generiche BANCOMAT '!$I:$I)</f>
        <v>0</v>
      </c>
      <c r="I23" s="1315">
        <f>SUMIF('Spese Generiche BANCOMAT '!$E:$E,"AGOSTO 2040",'Spese Generiche BANCOMAT '!$I:$I)</f>
        <v>0</v>
      </c>
      <c r="J23" s="1315">
        <f>SUMIF('Spese Generiche BANCOMAT '!$E:$E,"SETTEMBRE 2040",'Spese Generiche BANCOMAT '!$I:$I)</f>
        <v>0</v>
      </c>
      <c r="K23" s="1315">
        <f>SUMIF('Spese Generiche BANCOMAT '!$E:$E,"OTTOBRE 2040",'Spese Generiche BANCOMAT '!$I:$I)</f>
        <v>0</v>
      </c>
      <c r="L23" s="1315">
        <f>SUMIF('Spese Generiche BANCOMAT '!$E:$E,"NOVEMBRE 2040",'Spese Generiche BANCOMAT '!$I:$I)</f>
        <v>0</v>
      </c>
      <c r="M23" s="1315">
        <f>SUMIF('Spese Generiche BANCOMAT '!$E:$E,"DICEMBRE 2040",'Spese Generiche BANCOMAT '!$I:$I)</f>
        <v>0</v>
      </c>
      <c r="N23" s="1316">
        <f t="shared" si="0"/>
        <v>0</v>
      </c>
    </row>
    <row r="24" spans="1:14">
      <c r="A24" s="1368">
        <v>2041</v>
      </c>
      <c r="B24" s="1315">
        <f>SUMIF('Spese Generiche BANCOMAT '!$E:$E,"GENNAIO 2041",'Spese Generiche BANCOMAT '!$I:$I)</f>
        <v>0</v>
      </c>
      <c r="C24" s="1315">
        <f>SUMIF('Spese Generiche BANCOMAT '!$E:$E,"FEBBRAIO 2041",'Spese Generiche BANCOMAT '!$I:$I)</f>
        <v>0</v>
      </c>
      <c r="D24" s="1315">
        <f>SUMIF('Spese Generiche BANCOMAT '!$E:$E,"MARZO 2041",'Spese Generiche BANCOMAT '!$I:$I)</f>
        <v>0</v>
      </c>
      <c r="E24" s="1315">
        <f>SUMIF('Spese Generiche BANCOMAT '!$E:$E,"APRILE 2041",'Spese Generiche BANCOMAT '!$I:$I)</f>
        <v>0</v>
      </c>
      <c r="F24" s="1315">
        <f>SUMIF('Spese Generiche BANCOMAT '!$E:$E,"MAGGIO 2041",'Spese Generiche BANCOMAT '!$I:$I)</f>
        <v>0</v>
      </c>
      <c r="G24" s="1315">
        <f>SUMIF('Spese Generiche BANCOMAT '!$E:$E,"GIUGNO 2041",'Spese Generiche BANCOMAT '!$I:$I)</f>
        <v>0</v>
      </c>
      <c r="H24" s="1315">
        <f>SUMIF('Spese Generiche BANCOMAT '!$E:$E,"LUGLIO 2041",'Spese Generiche BANCOMAT '!$I:$I)</f>
        <v>0</v>
      </c>
      <c r="I24" s="1315">
        <f>SUMIF('Spese Generiche BANCOMAT '!$E:$E,"AGOSTO 2041",'Spese Generiche BANCOMAT '!$I:$I)</f>
        <v>0</v>
      </c>
      <c r="J24" s="1315">
        <f>SUMIF('Spese Generiche BANCOMAT '!$E:$E,"SETTEMBRE 2041",'Spese Generiche BANCOMAT '!$I:$I)</f>
        <v>0</v>
      </c>
      <c r="K24" s="1315">
        <f>SUMIF('Spese Generiche BANCOMAT '!$E:$E,"OTTOBRE 2041",'Spese Generiche BANCOMAT '!$I:$I)</f>
        <v>0</v>
      </c>
      <c r="L24" s="1315">
        <f>SUMIF('Spese Generiche BANCOMAT '!$E:$E,"NOVEMBRE 2041",'Spese Generiche BANCOMAT '!$I:$I)</f>
        <v>0</v>
      </c>
      <c r="M24" s="1315">
        <f>SUMIF('Spese Generiche BANCOMAT '!$E:$E,"DICEMBRE 2041",'Spese Generiche BANCOMAT '!$I:$I)</f>
        <v>0</v>
      </c>
      <c r="N24" s="1316">
        <f t="shared" si="0"/>
        <v>0</v>
      </c>
    </row>
    <row r="25" spans="1:14">
      <c r="A25" s="1368">
        <v>2042</v>
      </c>
      <c r="B25" s="1315">
        <f>SUMIF('Spese Generiche BANCOMAT '!$E:$E,"GENNAIO 2042",'Spese Generiche BANCOMAT '!$I:$I)</f>
        <v>0</v>
      </c>
      <c r="C25" s="1315">
        <f>SUMIF('Spese Generiche BANCOMAT '!$E:$E,"FEBBRAIO 2042",'Spese Generiche BANCOMAT '!$I:$I)</f>
        <v>0</v>
      </c>
      <c r="D25" s="1315">
        <f>SUMIF('Spese Generiche BANCOMAT '!$E:$E,"MARZO 2042",'Spese Generiche BANCOMAT '!$I:$I)</f>
        <v>0</v>
      </c>
      <c r="E25" s="1315">
        <f>SUMIF('Spese Generiche BANCOMAT '!$E:$E,"APRILE 2042",'Spese Generiche BANCOMAT '!$I:$I)</f>
        <v>0</v>
      </c>
      <c r="F25" s="1315">
        <f>SUMIF('Spese Generiche BANCOMAT '!$E:$E,"MAGGIO 2042",'Spese Generiche BANCOMAT '!$I:$I)</f>
        <v>0</v>
      </c>
      <c r="G25" s="1315">
        <f>SUMIF('Spese Generiche BANCOMAT '!$E:$E,"GIUGNO 2042",'Spese Generiche BANCOMAT '!$I:$I)</f>
        <v>0</v>
      </c>
      <c r="H25" s="1315">
        <f>SUMIF('Spese Generiche BANCOMAT '!$E:$E,"LUGLIO 2042",'Spese Generiche BANCOMAT '!$I:$I)</f>
        <v>0</v>
      </c>
      <c r="I25" s="1315">
        <f>SUMIF('Spese Generiche BANCOMAT '!$E:$E,"AGOSTO 2042",'Spese Generiche BANCOMAT '!$I:$I)</f>
        <v>0</v>
      </c>
      <c r="J25" s="1315">
        <f>SUMIF('Spese Generiche BANCOMAT '!$E:$E,"SETTEMBRE 2042",'Spese Generiche BANCOMAT '!$I:$I)</f>
        <v>0</v>
      </c>
      <c r="K25" s="1315">
        <f>SUMIF('Spese Generiche BANCOMAT '!$E:$E,"OTTOBRE 2042",'Spese Generiche BANCOMAT '!$I:$I)</f>
        <v>0</v>
      </c>
      <c r="L25" s="1315">
        <f>SUMIF('Spese Generiche BANCOMAT '!$E:$E,"NOVEMBRE 2042",'Spese Generiche BANCOMAT '!$I:$I)</f>
        <v>0</v>
      </c>
      <c r="M25" s="1315">
        <f>SUMIF('Spese Generiche BANCOMAT '!$E:$E,"DICEMBRE 2042",'Spese Generiche BANCOMAT '!$I:$I)</f>
        <v>0</v>
      </c>
      <c r="N25" s="1316">
        <f t="shared" si="0"/>
        <v>0</v>
      </c>
    </row>
    <row r="26" spans="1:14">
      <c r="A26" s="1368">
        <v>2043</v>
      </c>
      <c r="B26" s="1315">
        <f>SUMIF('Spese Generiche BANCOMAT '!$E:$E,"GENNAIO 2043",'Spese Generiche BANCOMAT '!$I:$I)</f>
        <v>0</v>
      </c>
      <c r="C26" s="1315">
        <f>SUMIF('Spese Generiche BANCOMAT '!$E:$E,"FEBBRAIO 2043",'Spese Generiche BANCOMAT '!$I:$I)</f>
        <v>0</v>
      </c>
      <c r="D26" s="1315">
        <f>SUMIF('Spese Generiche BANCOMAT '!$E:$E,"MARZO 2043",'Spese Generiche BANCOMAT '!$I:$I)</f>
        <v>0</v>
      </c>
      <c r="E26" s="1315">
        <f>SUMIF('Spese Generiche BANCOMAT '!$E:$E,"APRILE 2043",'Spese Generiche BANCOMAT '!$I:$I)</f>
        <v>0</v>
      </c>
      <c r="F26" s="1315">
        <f>SUMIF('Spese Generiche BANCOMAT '!$E:$E,"MAGGIO 2043",'Spese Generiche BANCOMAT '!$I:$I)</f>
        <v>0</v>
      </c>
      <c r="G26" s="1315">
        <f>SUMIF('Spese Generiche BANCOMAT '!$E:$E,"GIUGNO 2043",'Spese Generiche BANCOMAT '!$I:$I)</f>
        <v>0</v>
      </c>
      <c r="H26" s="1315">
        <f>SUMIF('Spese Generiche BANCOMAT '!$E:$E,"LUGLIO 2043",'Spese Generiche BANCOMAT '!$I:$I)</f>
        <v>0</v>
      </c>
      <c r="I26" s="1315">
        <f>SUMIF('Spese Generiche BANCOMAT '!$E:$E,"AGOSTO 2043",'Spese Generiche BANCOMAT '!$I:$I)</f>
        <v>0</v>
      </c>
      <c r="J26" s="1315">
        <f>SUMIF('Spese Generiche BANCOMAT '!$E:$E,"SETTEMBRE 2043",'Spese Generiche BANCOMAT '!$I:$I)</f>
        <v>0</v>
      </c>
      <c r="K26" s="1315">
        <f>SUMIF('Spese Generiche BANCOMAT '!$E:$E,"OTTOBRE 2043",'Spese Generiche BANCOMAT '!$I:$I)</f>
        <v>0</v>
      </c>
      <c r="L26" s="1315">
        <f>SUMIF('Spese Generiche BANCOMAT '!$E:$E,"NOVEMBRE 2043",'Spese Generiche BANCOMAT '!$I:$I)</f>
        <v>0</v>
      </c>
      <c r="M26" s="1315">
        <f>SUMIF('Spese Generiche BANCOMAT '!$E:$E,"DICEMBRE 2043",'Spese Generiche BANCOMAT '!$I:$I)</f>
        <v>0</v>
      </c>
      <c r="N26" s="1316">
        <f t="shared" si="0"/>
        <v>0</v>
      </c>
    </row>
    <row r="27" spans="1:14">
      <c r="A27" s="1368">
        <v>2044</v>
      </c>
      <c r="B27" s="1315">
        <f>SUMIF('Spese Generiche BANCOMAT '!$E:$E,"GENNAIO 2044",'Spese Generiche BANCOMAT '!$I:$I)</f>
        <v>0</v>
      </c>
      <c r="C27" s="1315">
        <f>SUMIF('Spese Generiche BANCOMAT '!$E:$E,"FEBBRAIO 2044",'Spese Generiche BANCOMAT '!$I:$I)</f>
        <v>0</v>
      </c>
      <c r="D27" s="1315">
        <f>SUMIF('Spese Generiche BANCOMAT '!$E:$E,"MARZO 2044",'Spese Generiche BANCOMAT '!$I:$I)</f>
        <v>0</v>
      </c>
      <c r="E27" s="1315">
        <f>SUMIF('Spese Generiche BANCOMAT '!$E:$E,"APRILE 2044",'Spese Generiche BANCOMAT '!$I:$I)</f>
        <v>0</v>
      </c>
      <c r="F27" s="1315">
        <f>SUMIF('Spese Generiche BANCOMAT '!$E:$E,"MAGGIO 2044",'Spese Generiche BANCOMAT '!$I:$I)</f>
        <v>0</v>
      </c>
      <c r="G27" s="1315">
        <f>SUMIF('Spese Generiche BANCOMAT '!$E:$E,"GIUGNO 2044",'Spese Generiche BANCOMAT '!$I:$I)</f>
        <v>0</v>
      </c>
      <c r="H27" s="1315">
        <f>SUMIF('Spese Generiche BANCOMAT '!$E:$E,"LUGLIO 2044",'Spese Generiche BANCOMAT '!$I:$I)</f>
        <v>0</v>
      </c>
      <c r="I27" s="1315">
        <f>SUMIF('Spese Generiche BANCOMAT '!$E:$E,"AGOSTO 2044",'Spese Generiche BANCOMAT '!$I:$I)</f>
        <v>0</v>
      </c>
      <c r="J27" s="1315">
        <f>SUMIF('Spese Generiche BANCOMAT '!$E:$E,"SETTEMBRE 2044",'Spese Generiche BANCOMAT '!$I:$I)</f>
        <v>0</v>
      </c>
      <c r="K27" s="1315">
        <f>SUMIF('Spese Generiche BANCOMAT '!$E:$E,"OTTOBRE 2044",'Spese Generiche BANCOMAT '!$I:$I)</f>
        <v>0</v>
      </c>
      <c r="L27" s="1315">
        <f>SUMIF('Spese Generiche BANCOMAT '!$E:$E,"NOVEMBRE 2044",'Spese Generiche BANCOMAT '!$I:$I)</f>
        <v>0</v>
      </c>
      <c r="M27" s="1315">
        <f>SUMIF('Spese Generiche BANCOMAT '!$E:$E,"DICEMBRE 2044",'Spese Generiche BANCOMAT '!$I:$I)</f>
        <v>0</v>
      </c>
      <c r="N27" s="1316">
        <f t="shared" si="0"/>
        <v>0</v>
      </c>
    </row>
    <row r="28" spans="1:14">
      <c r="A28" s="1368" t="s">
        <v>79</v>
      </c>
      <c r="B28" s="1317">
        <f t="shared" ref="B28:N28" si="1">SUM(B2:B27)</f>
        <v>3109.16</v>
      </c>
      <c r="C28" s="1317">
        <f t="shared" si="1"/>
        <v>3855.9799999999996</v>
      </c>
      <c r="D28" s="1317">
        <f t="shared" si="1"/>
        <v>2482.4299999999998</v>
      </c>
      <c r="E28" s="1317">
        <f t="shared" si="1"/>
        <v>2545.7000000000003</v>
      </c>
      <c r="F28" s="1317">
        <f t="shared" si="1"/>
        <v>846.85</v>
      </c>
      <c r="G28" s="1317">
        <f t="shared" si="1"/>
        <v>1027.3200000000002</v>
      </c>
      <c r="H28" s="1317">
        <f t="shared" si="1"/>
        <v>1106.29</v>
      </c>
      <c r="I28" s="1317">
        <f t="shared" si="1"/>
        <v>6151.29</v>
      </c>
      <c r="J28" s="1317">
        <f t="shared" si="1"/>
        <v>1266.32</v>
      </c>
      <c r="K28" s="1317">
        <f t="shared" si="1"/>
        <v>-469.03</v>
      </c>
      <c r="L28" s="1317">
        <f t="shared" si="1"/>
        <v>2893.27</v>
      </c>
      <c r="M28" s="1317">
        <f t="shared" si="1"/>
        <v>8331.24</v>
      </c>
      <c r="N28" s="1317">
        <f t="shared" si="1"/>
        <v>33146.820000000007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1DC0-5676-4BAB-A012-88067142F875}">
  <sheetPr codeName="Foglio23"/>
  <dimension ref="A1:N29"/>
  <sheetViews>
    <sheetView workbookViewId="0">
      <selection activeCell="N9" sqref="N9"/>
    </sheetView>
  </sheetViews>
  <sheetFormatPr defaultRowHeight="15"/>
  <cols>
    <col min="1" max="1" width="45.42578125" bestFit="1" customWidth="1"/>
    <col min="2" max="2" width="9.5703125" bestFit="1" customWidth="1"/>
    <col min="3" max="3" width="9.7109375" bestFit="1" customWidth="1"/>
    <col min="4" max="9" width="9.5703125" bestFit="1" customWidth="1"/>
    <col min="10" max="10" width="11.140625" bestFit="1" customWidth="1"/>
    <col min="11" max="11" width="9.5703125" bestFit="1" customWidth="1"/>
    <col min="12" max="12" width="11.28515625" bestFit="1" customWidth="1"/>
    <col min="13" max="13" width="10.140625" bestFit="1" customWidth="1"/>
    <col min="14" max="14" width="13.7109375" bestFit="1" customWidth="1"/>
  </cols>
  <sheetData>
    <row r="1" spans="1:14" ht="18.75">
      <c r="A1" s="1318" t="s">
        <v>1219</v>
      </c>
    </row>
    <row r="2" spans="1:14">
      <c r="A2" s="1367" t="s">
        <v>70</v>
      </c>
      <c r="B2" s="1367" t="s">
        <v>154</v>
      </c>
      <c r="C2" s="1367" t="s">
        <v>129</v>
      </c>
      <c r="D2" s="1367" t="s">
        <v>90</v>
      </c>
      <c r="E2" s="1367" t="s">
        <v>352</v>
      </c>
      <c r="F2" s="1367" t="s">
        <v>333</v>
      </c>
      <c r="G2" s="1367" t="s">
        <v>314</v>
      </c>
      <c r="H2" s="1367" t="s">
        <v>288</v>
      </c>
      <c r="I2" s="1367" t="s">
        <v>261</v>
      </c>
      <c r="J2" s="1367" t="s">
        <v>240</v>
      </c>
      <c r="K2" s="1367" t="s">
        <v>217</v>
      </c>
      <c r="L2" s="1367" t="s">
        <v>200</v>
      </c>
      <c r="M2" s="1367" t="s">
        <v>173</v>
      </c>
      <c r="N2" s="1367" t="s">
        <v>1218</v>
      </c>
    </row>
    <row r="3" spans="1:14">
      <c r="A3">
        <v>2019</v>
      </c>
      <c r="B3" s="1315">
        <f>SUMIF('Dettaglio Spese Generiche CC'!$E:$E,"GENNAIO 2019",'Dettaglio Spese Generiche CC'!$I:$I)</f>
        <v>0</v>
      </c>
      <c r="C3" s="1315">
        <f>SUMIF('Dettaglio Spese Generiche CC'!$E:$E,"FEBBRAIO 2019",'Dettaglio Spese Generiche CC'!$I:$I)</f>
        <v>0</v>
      </c>
      <c r="D3" s="1315">
        <f>SUMIF('Dettaglio Spese Generiche CC'!$E:$E,"MARZO 2019",'Dettaglio Spese Generiche CC'!$I:$I)</f>
        <v>0</v>
      </c>
      <c r="E3" s="1315">
        <f>SUMIF('Dettaglio Spese Generiche CC'!$E:$E,"APRILE 2019",'Dettaglio Spese Generiche CC'!$I:$I)</f>
        <v>0</v>
      </c>
      <c r="F3" s="1315">
        <f>SUMIF('Dettaglio Spese Generiche CC'!$E:$E,"MAGGIO 2019",'Dettaglio Spese Generiche CC'!$I:$I)</f>
        <v>0</v>
      </c>
      <c r="G3" s="1315">
        <f>SUMIF('Dettaglio Spese Generiche CC'!$E:$E,"GIUGNO 2019",'Dettaglio Spese Generiche CC'!$I:$I)</f>
        <v>0</v>
      </c>
      <c r="H3" s="1315">
        <f>SUMIF('Dettaglio Spese Generiche CC'!$E:$E,"LUGLIO 2019",'Dettaglio Spese Generiche CC'!$I:$I)</f>
        <v>859.6400000000001</v>
      </c>
      <c r="I3" s="1315">
        <f>SUMIF('Dettaglio Spese Generiche CC'!$E:$E,"AGOSTO 2019",'Dettaglio Spese Generiche CC'!$I:$I)</f>
        <v>1085.53</v>
      </c>
      <c r="J3" s="1315">
        <f>SUMIF('Dettaglio Spese Generiche CC'!$E:$E,"SETTEMBRE 2019",'Dettaglio Spese Generiche CC'!$I:$I)</f>
        <v>375.82</v>
      </c>
      <c r="K3" s="1315">
        <f>SUMIF('Dettaglio Spese Generiche CC'!$E:$E,"OTTOBRE 2019",'Dettaglio Spese Generiche CC'!$I:$I)</f>
        <v>277.06</v>
      </c>
      <c r="L3" s="1315">
        <f>SUMIF('Dettaglio Spese Generiche CC'!$E:$E,"NOVEMBRE 2019",'Dettaglio Spese Generiche CC'!$I:$I)</f>
        <v>415.31</v>
      </c>
      <c r="M3" s="1315">
        <f>SUMIF('Dettaglio Spese Generiche CC'!$E:$E,"DICEMBRE 2019",'Dettaglio Spese Generiche CC'!$I:$I)</f>
        <v>1163.94</v>
      </c>
      <c r="N3" s="1315">
        <f t="shared" ref="N3:N28" si="0">SUM(B3:M3)</f>
        <v>4177.3</v>
      </c>
    </row>
    <row r="4" spans="1:14">
      <c r="A4">
        <v>2020</v>
      </c>
      <c r="B4" s="1315">
        <f>SUMIF('Dettaglio Spese Generiche CC'!$E:$E,"GENNAIO 2020",'Dettaglio Spese Generiche CC'!$I:$I)</f>
        <v>509.00000000000006</v>
      </c>
      <c r="C4" s="1315">
        <f>SUMIF('Dettaglio Spese Generiche CC'!$E:$E,"FEBBRAIO 2020",'Dettaglio Spese Generiche CC'!$I:$I)</f>
        <v>518.43000000000006</v>
      </c>
      <c r="D4" s="1315">
        <f>SUMIF('Dettaglio Spese Generiche CC'!$E:$E,"MARZO 2020",'Dettaglio Spese Generiche CC'!$I:$I)</f>
        <v>904.96000000000015</v>
      </c>
      <c r="E4" s="1315">
        <f>SUMIF('Dettaglio Spese Generiche CC'!$E:$E,"APRILE 2020",'Dettaglio Spese Generiche CC'!$I:$I)</f>
        <v>492.42</v>
      </c>
      <c r="F4" s="1315">
        <f>SUMIF('Dettaglio Spese Generiche CC'!$E:$E,"MAGGIO 2020",'Dettaglio Spese Generiche CC'!$I:$I)</f>
        <v>675.94999999999993</v>
      </c>
      <c r="G4" s="1315">
        <f>SUMIF('Dettaglio Spese Generiche CC'!$E:$E,"GIUGNO 2020",'Dettaglio Spese Generiche CC'!$I:$I)</f>
        <v>464.78999999999996</v>
      </c>
      <c r="H4" s="1315">
        <f>SUMIF('Dettaglio Spese Generiche CC'!$E:$E,"LUGLIO 2020",'Dettaglio Spese Generiche CC'!$I:$I)</f>
        <v>375.60000000000008</v>
      </c>
      <c r="I4" s="1315">
        <f>SUMIF('Dettaglio Spese Generiche CC'!$E:$E,"AGOSTO 2020",'Dettaglio Spese Generiche CC'!$I:$I)</f>
        <v>1297.49</v>
      </c>
      <c r="J4" s="1315">
        <f>SUMIF('Dettaglio Spese Generiche CC'!$E:$E,"SETTEMBRE 2020",'Dettaglio Spese Generiche CC'!$I:$I)</f>
        <v>369.18</v>
      </c>
      <c r="K4" s="1315">
        <f>SUMIF('Dettaglio Spese Generiche CC'!$E:$E,"OTTOBRE 2020",'Dettaglio Spese Generiche CC'!$I:$I)</f>
        <v>392.46</v>
      </c>
      <c r="L4" s="1315">
        <f>SUMIF('Dettaglio Spese Generiche CC'!$E:$E,"NOVEMBRE 2020",'Dettaglio Spese Generiche CC'!$I:$I)</f>
        <v>306.77999999999997</v>
      </c>
      <c r="M4" s="1315">
        <f>SUMIF('Dettaglio Spese Generiche CC'!$E:$E,"DICEMBRE 2020",'Dettaglio Spese Generiche CC'!$I:$I)</f>
        <v>966.59000000000015</v>
      </c>
      <c r="N4" s="1315">
        <f t="shared" si="0"/>
        <v>7273.6500000000005</v>
      </c>
    </row>
    <row r="5" spans="1:14">
      <c r="A5">
        <v>2021</v>
      </c>
      <c r="B5" s="1315">
        <f>SUMIF('Dettaglio Spese Generiche CC'!$E:$E,"GENNAIO 2021",'Dettaglio Spese Generiche CC'!$I:$I)</f>
        <v>713.45</v>
      </c>
      <c r="C5" s="1315">
        <f>SUMIF('Dettaglio Spese Generiche CC'!$E:$E,"FEBBRAIO 2021",'Dettaglio Spese Generiche CC'!$I:$I)</f>
        <v>641.65</v>
      </c>
      <c r="D5" s="1315">
        <f>SUMIF('Dettaglio Spese Generiche CC'!$E:$E,"MARZO 2021",'Dettaglio Spese Generiche CC'!$I:$I)</f>
        <v>640.22999999999979</v>
      </c>
      <c r="E5" s="1315">
        <f>SUMIF('Dettaglio Spese Generiche CC'!$E:$E,"APRILE 2021",'Dettaglio Spese Generiche CC'!$I:$I)</f>
        <v>926.99000000000024</v>
      </c>
      <c r="F5" s="1315">
        <f>SUMIF('Dettaglio Spese Generiche CC'!$E:$E,"MAGGIO 2021",'Dettaglio Spese Generiche CC'!$I:$I)</f>
        <v>1037.97</v>
      </c>
      <c r="G5" s="1315">
        <f>SUMIF('Dettaglio Spese Generiche CC'!$E:$E,"GIUGNO 2021",'Dettaglio Spese Generiche CC'!$I:$I)</f>
        <v>603.70000000000005</v>
      </c>
      <c r="H5" s="1315">
        <f>SUMIF('Dettaglio Spese Generiche CC'!$E:$E,"LUGLIO 2021",'Dettaglio Spese Generiche CC'!$I:$I)</f>
        <v>739.48000000000013</v>
      </c>
      <c r="I5" s="1315">
        <f>SUMIF('Dettaglio Spese Generiche CC'!$E:$E,"AGOSTO 2021",'Dettaglio Spese Generiche CC'!$I:$I)</f>
        <v>788.58</v>
      </c>
      <c r="J5" s="1315">
        <f>SUMIF('Dettaglio Spese Generiche CC'!$E:$E,"SETTEMBRE 2021",'Dettaglio Spese Generiche CC'!$I:$I)</f>
        <v>153.58000000000001</v>
      </c>
      <c r="K5" s="1315">
        <f>SUMIF('Dettaglio Spese Generiche CC'!$E:$E,"OTTOBRE 2021",'Dettaglio Spese Generiche CC'!$I:$I)</f>
        <v>69.42</v>
      </c>
      <c r="L5" s="1315">
        <f>SUMIF('Dettaglio Spese Generiche CC'!$E:$E,"NOVEMBRE 2021",'Dettaglio Spese Generiche CC'!$I:$I)</f>
        <v>310.89</v>
      </c>
      <c r="M5" s="1315">
        <f>SUMIF('Dettaglio Spese Generiche CC'!$E:$E,"DICEMBRE 2021",'Dettaglio Spese Generiche CC'!$I:$I)</f>
        <v>486.00999999999993</v>
      </c>
      <c r="N5" s="1315">
        <f t="shared" si="0"/>
        <v>7111.9500000000007</v>
      </c>
    </row>
    <row r="6" spans="1:14">
      <c r="A6">
        <v>2022</v>
      </c>
      <c r="B6" s="1315">
        <f>SUMIF('Dettaglio Spese Generiche CC'!$E:$E,"GENNAIO 2022",'Dettaglio Spese Generiche CC'!$I:$I)</f>
        <v>312.79000000000002</v>
      </c>
      <c r="C6" s="1315">
        <f>SUMIF('Dettaglio Spese Generiche CC'!$E:$E,"FEBBRAIO 2022",'Dettaglio Spese Generiche CC'!$I:$I)</f>
        <v>619.89</v>
      </c>
      <c r="D6" s="1315">
        <f>SUMIF('Dettaglio Spese Generiche CC'!$E:$E,"MARZO 2022",'Dettaglio Spese Generiche CC'!$I:$I)</f>
        <v>252.27</v>
      </c>
      <c r="E6" s="1315">
        <f>SUMIF('Dettaglio Spese Generiche CC'!$E:$E,"APRILE 2022",'Dettaglio Spese Generiche CC'!$I:$I)</f>
        <v>584.70000000000016</v>
      </c>
      <c r="F6" s="1315">
        <f>SUMIF('Dettaglio Spese Generiche CC'!$E:$E,"MAGGIO 2022",'Dettaglio Spese Generiche CC'!$I:$I)</f>
        <v>450.7</v>
      </c>
      <c r="G6" s="1315">
        <f>SUMIF('Dettaglio Spese Generiche CC'!$E:$E,"GIUGNO 2022",'Dettaglio Spese Generiche CC'!$I:$I)</f>
        <v>273.89</v>
      </c>
      <c r="H6" s="1315">
        <f>SUMIF('Dettaglio Spese Generiche CC'!$E:$E,"LUGLIO 2022",'Dettaglio Spese Generiche CC'!$I:$I)</f>
        <v>366.3</v>
      </c>
      <c r="I6" s="1315">
        <f>SUMIF('Dettaglio Spese Generiche CC'!$E:$E,"AGOSTO 2022",'Dettaglio Spese Generiche CC'!$I:$I)</f>
        <v>440.41999999999996</v>
      </c>
      <c r="J6" s="1315">
        <f>SUMIF('Dettaglio Spese Generiche CC'!$E:$E,"SETTEMBRE 2022",'Dettaglio Spese Generiche CC'!$I:$I)</f>
        <v>251.39000000000007</v>
      </c>
      <c r="K6" s="1315">
        <f>SUMIF('Dettaglio Spese Generiche CC'!$E:$E,"OTTOBRE 2022",'Dettaglio Spese Generiche CC'!$I:$I)</f>
        <v>344.73</v>
      </c>
      <c r="L6" s="1315">
        <f>SUMIF('Dettaglio Spese Generiche CC'!$E:$E,"NOVEMBRE 2022",'Dettaglio Spese Generiche CC'!$I:$I)</f>
        <v>415.08</v>
      </c>
      <c r="M6" s="1315">
        <f>SUMIF('Dettaglio Spese Generiche CC'!$E:$E,"DICEMBRE 2022",'Dettaglio Spese Generiche CC'!$I:$I)</f>
        <v>869.98</v>
      </c>
      <c r="N6" s="1315">
        <f t="shared" si="0"/>
        <v>5182.1399999999994</v>
      </c>
    </row>
    <row r="7" spans="1:14">
      <c r="A7">
        <v>2023</v>
      </c>
      <c r="B7" s="1315">
        <f>SUMIF('Dettaglio Spese Generiche CC'!$E:$E,"GENNAIO 2023",'Dettaglio Spese Generiche CC'!$I:$I)</f>
        <v>449.36999999999995</v>
      </c>
      <c r="C7" s="1315">
        <f>SUMIF('Dettaglio Spese Generiche CC'!$E:$E,"FEBBRAIO 2023",'Dettaglio Spese Generiche CC'!$I:$I)</f>
        <v>335.17</v>
      </c>
      <c r="D7" s="1315">
        <f>SUMIF('Dettaglio Spese Generiche CC'!$E:$E,"MARZO 2023",'Dettaglio Spese Generiche CC'!$I:$I)</f>
        <v>341.64</v>
      </c>
      <c r="E7" s="1315">
        <f>SUMIF('Dettaglio Spese Generiche CC'!$E:$E,"APRILE 2023",'Dettaglio Spese Generiche CC'!$I:$I)</f>
        <v>370.41</v>
      </c>
      <c r="F7" s="1315">
        <f>SUMIF('Dettaglio Spese Generiche CC'!$E:$E,"MAGGIO 2023",'Dettaglio Spese Generiche CC'!$I:$I)</f>
        <v>361.88</v>
      </c>
      <c r="G7" s="1315">
        <f>SUMIF('Dettaglio Spese Generiche CC'!$E:$E,"GIUGNO 2023",'Dettaglio Spese Generiche CC'!$I:$I)</f>
        <v>602.51999999999987</v>
      </c>
      <c r="H7" s="1315">
        <f>SUMIF('Dettaglio Spese Generiche CC'!$E:$E,"LUGLIO 2023",'Dettaglio Spese Generiche CC'!$I:$I)</f>
        <v>606.55000000000007</v>
      </c>
      <c r="I7" s="1315">
        <f>SUMIF('Dettaglio Spese Generiche CC'!$E:$E,"AGOSTO 2023",'Dettaglio Spese Generiche CC'!$I:$I)</f>
        <v>1397.92</v>
      </c>
      <c r="J7" s="1315">
        <f>SUMIF('Dettaglio Spese Generiche CC'!$E:$E,"SETTEMBRE 2023",'Dettaglio Spese Generiche CC'!$I:$I)</f>
        <v>417.89999999999986</v>
      </c>
      <c r="K7" s="1315">
        <f>SUMIF('Dettaglio Spese Generiche CC'!$E:$E,"OTTOBRE 2023",'Dettaglio Spese Generiche CC'!$I:$I)</f>
        <v>606.27</v>
      </c>
      <c r="L7" s="1315">
        <f>SUMIF('Dettaglio Spese Generiche CC'!$E:$E,"NOVEMBRE 2023",'Dettaglio Spese Generiche CC'!$I:$I)</f>
        <v>722.26999999999953</v>
      </c>
      <c r="M7" s="1315">
        <f>SUMIF('Dettaglio Spese Generiche CC'!$E:$E,"DICEMBRE 2023",'Dettaglio Spese Generiche CC'!$I:$I)</f>
        <v>1156.6600000000001</v>
      </c>
      <c r="N7" s="1315">
        <f t="shared" si="0"/>
        <v>7368.5599999999986</v>
      </c>
    </row>
    <row r="8" spans="1:14">
      <c r="A8">
        <v>2024</v>
      </c>
      <c r="B8" s="1315">
        <f>SUMIF('Dettaglio Spese Generiche CC'!$E:$E,"GENNAIO 2024",'Dettaglio Spese Generiche CC'!$I:$I)</f>
        <v>464.87999999999994</v>
      </c>
      <c r="C8" s="1315">
        <f>SUMIF('Dettaglio Spese Generiche CC'!$E:$E,"FEBBRAIO 2024",'Dettaglio Spese Generiche CC'!$I:$I)</f>
        <v>565.69999999999982</v>
      </c>
      <c r="D8" s="1315">
        <f>SUMIF('Dettaglio Spese Generiche CC'!$E:$E,"MARZO 2024",'Dettaglio Spese Generiche CC'!$I:$I)</f>
        <v>485.51999999999987</v>
      </c>
      <c r="E8" s="1315">
        <f>SUMIF('Dettaglio Spese Generiche CC'!$E:$E,"APRILE 2024",'Dettaglio Spese Generiche CC'!$I:$I)</f>
        <v>605.46999999999957</v>
      </c>
      <c r="F8" s="1315">
        <f>SUMIF('Dettaglio Spese Generiche CC'!$E:$E,"MAGGIO 2024",'Dettaglio Spese Generiche CC'!$I:$I)</f>
        <v>365</v>
      </c>
      <c r="G8" s="1315">
        <f>SUMIF('Dettaglio Spese Generiche CC'!$E:$E,"GIUGNO 2024",'Dettaglio Spese Generiche CC'!$I:$I)</f>
        <v>790.88999999999987</v>
      </c>
      <c r="H8" s="1315">
        <f>SUMIF('Dettaglio Spese Generiche CC'!$E:$E,"LUGLIO 2024",'Dettaglio Spese Generiche CC'!$I:$I)</f>
        <v>952.17999999999984</v>
      </c>
      <c r="I8" s="1315">
        <f>SUMIF('Dettaglio Spese Generiche CC'!$E:$E,"AGOSTO 2024",'Dettaglio Spese Generiche CC'!$I:$I)</f>
        <v>1769.1599999999999</v>
      </c>
      <c r="J8" s="1315">
        <f>SUMIF('Dettaglio Spese Generiche CC'!$E:$E,"SETTEMBRE 2024",'Dettaglio Spese Generiche CC'!$I:$I)</f>
        <v>889.21</v>
      </c>
      <c r="K8" s="1315">
        <f>SUMIF('Dettaglio Spese Generiche CC'!$E:$E,"OTTOBRE 2024",'Dettaglio Spese Generiche CC'!$I:$I)</f>
        <v>883.26000000000022</v>
      </c>
      <c r="L8" s="1315">
        <f>SUMIF('Dettaglio Spese Generiche CC'!$E:$E,"NOVEMBRE 2024",'Dettaglio Spese Generiche CC'!$I:$I)</f>
        <v>1471.4400000000005</v>
      </c>
      <c r="M8" s="1315">
        <f>SUMIF('Dettaglio Spese Generiche CC'!$E:$E,"DICEMBRE 2024",'Dettaglio Spese Generiche CC'!$I:$I)</f>
        <v>957.99</v>
      </c>
      <c r="N8" s="1315">
        <f t="shared" si="0"/>
        <v>10200.699999999999</v>
      </c>
    </row>
    <row r="9" spans="1:14">
      <c r="A9">
        <v>2025</v>
      </c>
      <c r="B9" s="1315">
        <f>SUMIF('Dettaglio Spese Generiche CC'!$E:$E,"GENNAIO 2025",'Dettaglio Spese Generiche CC'!$I:$I)</f>
        <v>638.49</v>
      </c>
      <c r="C9" s="1315">
        <f>SUMIF('Dettaglio Spese Generiche CC'!$E:$E,"FEBBRAIO 2025",'Dettaglio Spese Generiche CC'!$I:$I)</f>
        <v>1210.9900000000002</v>
      </c>
      <c r="D9" s="1315">
        <f>SUMIF('Dettaglio Spese Generiche CC'!$E:$E,"MARZO 2025",'Dettaglio Spese Generiche CC'!$I:$I)</f>
        <v>872.45999999999981</v>
      </c>
      <c r="E9" s="1315">
        <f>SUMIF('Dettaglio Spese Generiche CC'!$E:$E,"APRILE 2025",'Dettaglio Spese Generiche CC'!$I:$I)</f>
        <v>1556.5000000000002</v>
      </c>
      <c r="F9" s="1315">
        <f>SUMIF('Dettaglio Spese Generiche CC'!$E:$E,"MAGGIO 2025",'Dettaglio Spese Generiche CC'!$I:$I)</f>
        <v>944.83999999999992</v>
      </c>
      <c r="G9" s="1315">
        <f>SUMIF('Dettaglio Spese Generiche CC'!$E:$E,"GIUGNO 2025",'Dettaglio Spese Generiche CC'!$I:$I)</f>
        <v>1242.7300000000007</v>
      </c>
      <c r="H9" s="1315">
        <f>SUMIF('Dettaglio Spese Generiche CC'!$E:$E,"LUGLIO 2025",'Dettaglio Spese Generiche CC'!$I:$I)</f>
        <v>2077.8280000000004</v>
      </c>
      <c r="I9" s="1315">
        <f>SUMIF('Dettaglio Spese Generiche CC'!$E:$E,"AGOSTO 2025",'Dettaglio Spese Generiche CC'!$I:$I)</f>
        <v>1997.5000000000005</v>
      </c>
      <c r="J9" s="1315">
        <f>SUMIF('Dettaglio Spese Generiche CC'!$E:$E,"SETTEMBRE 2025",'Dettaglio Spese Generiche CC'!$I:$I)</f>
        <v>978.57999999999993</v>
      </c>
      <c r="K9" s="1315">
        <f>SUMIF('Dettaglio Spese Generiche CC'!$E:$E,"OTTOBRE 2025",'Dettaglio Spese Generiche CC'!$I:$I)</f>
        <v>1619.24</v>
      </c>
      <c r="L9" s="1315">
        <f>SUMIF('Dettaglio Spese Generiche CC'!$E:$E,"NOVEMBRE 2025",'Dettaglio Spese Generiche CC'!$I:$I)</f>
        <v>1674.8599999999997</v>
      </c>
      <c r="M9" s="1315">
        <f>SUMIF('Dettaglio Spese Generiche CC'!$E:$E,"DICEMBRE 2025",'Dettaglio Spese Generiche CC'!$I:$I)</f>
        <v>1815.6800000000007</v>
      </c>
      <c r="N9" s="1315">
        <f t="shared" si="0"/>
        <v>16629.698</v>
      </c>
    </row>
    <row r="10" spans="1:14">
      <c r="A10">
        <v>2026</v>
      </c>
      <c r="B10" s="1315">
        <f>SUMIF('Dettaglio Spese Generiche CC'!$E:$E,"GENNAIO 2026",'Dettaglio Spese Generiche CC'!$I:$I)</f>
        <v>1092.6699999999998</v>
      </c>
      <c r="C10" s="1315">
        <f>SUMIF('Dettaglio Spese Generiche CC'!$E:$E,"FEBBRAIO 2026",'Dettaglio Spese Generiche CC'!$I:$I)</f>
        <v>1406.4079999999994</v>
      </c>
      <c r="D10" s="1315">
        <f>SUMIF('Dettaglio Spese Generiche CC'!$E:$E,"MARZO 2026",'Dettaglio Spese Generiche CC'!$I:$I)</f>
        <v>1307.8499999999995</v>
      </c>
      <c r="E10" s="1315">
        <f>SUMIF('Dettaglio Spese Generiche CC'!$E:$E,"APRILE 2026",'Dettaglio Spese Generiche CC'!$I:$I)</f>
        <v>1500.4580000000003</v>
      </c>
      <c r="F10" s="1315">
        <f>SUMIF('Dettaglio Spese Generiche CC'!$E:$E,"MAGGIO 2026",'Dettaglio Spese Generiche CC'!$I:$I)</f>
        <v>1576.9480000000001</v>
      </c>
      <c r="G10" s="1315">
        <f>SUMIF('Dettaglio Spese Generiche CC'!$E:$E,"GIUGNO 2026",'Dettaglio Spese Generiche CC'!$I:$I)</f>
        <v>1606.4099999999999</v>
      </c>
      <c r="H10" s="1315">
        <f>SUMIF('Dettaglio Spese Generiche CC'!$E:$E,"LUGLIO 2026",'Dettaglio Spese Generiche CC'!$I:$I)</f>
        <v>1971.7499999999998</v>
      </c>
      <c r="I10" s="1315">
        <f>SUMIF('Dettaglio Spese Generiche CC'!$E:$E,"AGOSTO 2026",'Dettaglio Spese Generiche CC'!$I:$I)</f>
        <v>2229.02</v>
      </c>
      <c r="J10" s="1315">
        <f>SUMIF('Dettaglio Spese Generiche CC'!$E:$E,"SETTEMBRE 2026",'Dettaglio Spese Generiche CC'!$I:$I)</f>
        <v>2114.08</v>
      </c>
      <c r="K10" s="1315">
        <f>SUMIF('Dettaglio Spese Generiche CC'!$E:$E,"OTTOBRE 2026",'Dettaglio Spese Generiche CC'!$I:$I)</f>
        <v>0</v>
      </c>
      <c r="L10" s="1315">
        <f>SUMIF('Dettaglio Spese Generiche CC'!$E:$E,"NOVEMBRE 2026",'Dettaglio Spese Generiche CC'!$I:$I)</f>
        <v>0</v>
      </c>
      <c r="M10" s="1315">
        <f>SUMIF('Dettaglio Spese Generiche CC'!$E:$E,"DICEMBRE 2026",'Dettaglio Spese Generiche CC'!$I:$I)</f>
        <v>0</v>
      </c>
      <c r="N10" s="1315">
        <f t="shared" si="0"/>
        <v>14805.593999999999</v>
      </c>
    </row>
    <row r="11" spans="1:14">
      <c r="A11">
        <v>2027</v>
      </c>
      <c r="B11" s="1315">
        <f>SUMIF('Dettaglio Spese Generiche CC'!$E:$E,"GENNAIO 2027",'Dettaglio Spese Generiche CC'!$I:$I)</f>
        <v>0</v>
      </c>
      <c r="C11" s="1315">
        <f>SUMIF('Dettaglio Spese Generiche CC'!$E:$E,"FEBBRAIO 2027",'Dettaglio Spese Generiche CC'!$I:$I)</f>
        <v>0</v>
      </c>
      <c r="D11" s="1315">
        <f>SUMIF('Dettaglio Spese Generiche CC'!$E:$E,"MARZO 2027",'Dettaglio Spese Generiche CC'!$I:$I)</f>
        <v>0</v>
      </c>
      <c r="E11" s="1315">
        <f>SUMIF('Dettaglio Spese Generiche CC'!$E:$E,"APRILE 2027",'Dettaglio Spese Generiche CC'!$I:$I)</f>
        <v>0</v>
      </c>
      <c r="F11" s="1315">
        <f>SUMIF('Dettaglio Spese Generiche CC'!$E:$E,"MAGGIO 2027",'Dettaglio Spese Generiche CC'!$I:$I)</f>
        <v>0</v>
      </c>
      <c r="G11" s="1315">
        <f>SUMIF('Dettaglio Spese Generiche CC'!$E:$E,"GIUGNO 2027",'Dettaglio Spese Generiche CC'!$I:$I)</f>
        <v>0</v>
      </c>
      <c r="H11" s="1315">
        <f>SUMIF('Dettaglio Spese Generiche CC'!$E:$E,"LUGLIO 2027",'Dettaglio Spese Generiche CC'!$I:$I)</f>
        <v>0</v>
      </c>
      <c r="I11" s="1315">
        <f>SUMIF('Dettaglio Spese Generiche CC'!$E:$E,"AGOSTO 2027",'Dettaglio Spese Generiche CC'!$I:$I)</f>
        <v>0</v>
      </c>
      <c r="J11" s="1315">
        <f>SUMIF('Dettaglio Spese Generiche CC'!$E:$E,"SETTEMBRE 2027",'Dettaglio Spese Generiche CC'!$I:$I)</f>
        <v>0</v>
      </c>
      <c r="K11" s="1315">
        <f>SUMIF('Dettaglio Spese Generiche CC'!$E:$E,"OTTOBRE 2027",'Dettaglio Spese Generiche CC'!$I:$I)</f>
        <v>0</v>
      </c>
      <c r="L11" s="1315">
        <f>SUMIF('Dettaglio Spese Generiche CC'!$E:$E,"NOVEMBRE 2027",'Dettaglio Spese Generiche CC'!$I:$I)</f>
        <v>0</v>
      </c>
      <c r="M11" s="1315">
        <f>SUMIF('Dettaglio Spese Generiche CC'!$E:$E,"DICEMBRE 2027",'Dettaglio Spese Generiche CC'!$I:$I)</f>
        <v>0</v>
      </c>
      <c r="N11" s="1315">
        <f t="shared" si="0"/>
        <v>0</v>
      </c>
    </row>
    <row r="12" spans="1:14">
      <c r="A12">
        <v>2028</v>
      </c>
      <c r="B12" s="1315">
        <f>SUMIF('Dettaglio Spese Generiche CC'!$E:$E,"GENNAIO 2028",'Dettaglio Spese Generiche CC'!$I:$I)</f>
        <v>0</v>
      </c>
      <c r="C12" s="1315">
        <f>SUMIF('Dettaglio Spese Generiche CC'!$E:$E,"FEBBRAIO 2028",'Dettaglio Spese Generiche CC'!$I:$I)</f>
        <v>0</v>
      </c>
      <c r="D12" s="1315">
        <f>SUMIF('Dettaglio Spese Generiche CC'!$E:$E,"MARZO 2028",'Dettaglio Spese Generiche CC'!$I:$I)</f>
        <v>0</v>
      </c>
      <c r="E12" s="1315">
        <f>SUMIF('Dettaglio Spese Generiche CC'!$E:$E,"APRILE 2028",'Dettaglio Spese Generiche CC'!$I:$I)</f>
        <v>0</v>
      </c>
      <c r="F12" s="1315">
        <f>SUMIF('Dettaglio Spese Generiche CC'!$E:$E,"MAGGIO 2028",'Dettaglio Spese Generiche CC'!$I:$I)</f>
        <v>0</v>
      </c>
      <c r="G12" s="1315">
        <f>SUMIF('Dettaglio Spese Generiche CC'!$E:$E,"GIUGNO 2028",'Dettaglio Spese Generiche CC'!$I:$I)</f>
        <v>0</v>
      </c>
      <c r="H12" s="1315">
        <f>SUMIF('Dettaglio Spese Generiche CC'!$E:$E,"LUGLIO 2028",'Dettaglio Spese Generiche CC'!$I:$I)</f>
        <v>0</v>
      </c>
      <c r="I12" s="1315">
        <f>SUMIF('Dettaglio Spese Generiche CC'!$E:$E,"AGOSTO 2028",'Dettaglio Spese Generiche CC'!$I:$I)</f>
        <v>0</v>
      </c>
      <c r="J12" s="1315">
        <f>SUMIF('Dettaglio Spese Generiche CC'!$E:$E,"SETTEMBRE 2028",'Dettaglio Spese Generiche CC'!$I:$I)</f>
        <v>0</v>
      </c>
      <c r="K12" s="1315">
        <f>SUMIF('Dettaglio Spese Generiche CC'!$E:$E,"OTTOBRE 2028",'Dettaglio Spese Generiche CC'!$I:$I)</f>
        <v>0</v>
      </c>
      <c r="L12" s="1315">
        <f>SUMIF('Dettaglio Spese Generiche CC'!$E:$E,"NOVEMBRE 2028",'Dettaglio Spese Generiche CC'!$I:$I)</f>
        <v>0</v>
      </c>
      <c r="M12" s="1315">
        <f>SUMIF('Dettaglio Spese Generiche CC'!$E:$E,"DICEMBRE 2028",'Dettaglio Spese Generiche CC'!$I:$I)</f>
        <v>0</v>
      </c>
      <c r="N12" s="1315">
        <f t="shared" si="0"/>
        <v>0</v>
      </c>
    </row>
    <row r="13" spans="1:14">
      <c r="A13">
        <v>2029</v>
      </c>
      <c r="B13" s="1315">
        <f>SUMIF('Dettaglio Spese Generiche CC'!$E:$E,"GENNAIO 2029",'Dettaglio Spese Generiche CC'!$I:$I)</f>
        <v>0</v>
      </c>
      <c r="C13" s="1315">
        <f>SUMIF('Dettaglio Spese Generiche CC'!$E:$E,"FEBBRAIO 2029",'Dettaglio Spese Generiche CC'!$I:$I)</f>
        <v>0</v>
      </c>
      <c r="D13" s="1315">
        <f>SUMIF('Dettaglio Spese Generiche CC'!$E:$E,"MARZO 2029",'Dettaglio Spese Generiche CC'!$I:$I)</f>
        <v>0</v>
      </c>
      <c r="E13" s="1315">
        <f>SUMIF('Dettaglio Spese Generiche CC'!$E:$E,"APRILE 2029",'Dettaglio Spese Generiche CC'!$I:$I)</f>
        <v>0</v>
      </c>
      <c r="F13" s="1315">
        <f>SUMIF('Dettaglio Spese Generiche CC'!$E:$E,"MAGGIO 2029",'Dettaglio Spese Generiche CC'!$I:$I)</f>
        <v>0</v>
      </c>
      <c r="G13" s="1315">
        <f>SUMIF('Dettaglio Spese Generiche CC'!$E:$E,"GIUGNO 2029",'Dettaglio Spese Generiche CC'!$I:$I)</f>
        <v>0</v>
      </c>
      <c r="H13" s="1315">
        <f>SUMIF('Dettaglio Spese Generiche CC'!$E:$E,"LUGLIO 2029",'Dettaglio Spese Generiche CC'!$I:$I)</f>
        <v>0</v>
      </c>
      <c r="I13" s="1315">
        <f>SUMIF('Dettaglio Spese Generiche CC'!$E:$E,"AGOSTO 2029",'Dettaglio Spese Generiche CC'!$I:$I)</f>
        <v>0</v>
      </c>
      <c r="J13" s="1315">
        <f>SUMIF('Dettaglio Spese Generiche CC'!$E:$E,"SETTEMBRE 2029",'Dettaglio Spese Generiche CC'!$I:$I)</f>
        <v>0</v>
      </c>
      <c r="K13" s="1315">
        <f>SUMIF('Dettaglio Spese Generiche CC'!$E:$E,"OTTOBRE 2029",'Dettaglio Spese Generiche CC'!$I:$I)</f>
        <v>0</v>
      </c>
      <c r="L13" s="1315">
        <f>SUMIF('Dettaglio Spese Generiche CC'!$E:$E,"NOVEMBRE 2029",'Dettaglio Spese Generiche CC'!$I:$I)</f>
        <v>0</v>
      </c>
      <c r="M13" s="1315">
        <f>SUMIF('Dettaglio Spese Generiche CC'!$E:$E,"DICEMBRE 2029",'Dettaglio Spese Generiche CC'!$I:$I)</f>
        <v>0</v>
      </c>
      <c r="N13" s="1315">
        <f t="shared" si="0"/>
        <v>0</v>
      </c>
    </row>
    <row r="14" spans="1:14">
      <c r="A14">
        <v>2030</v>
      </c>
      <c r="B14" s="1315">
        <f>SUMIF('Dettaglio Spese Generiche CC'!$E:$E,"GENNAIO 2030",'Dettaglio Spese Generiche CC'!$I:$I)</f>
        <v>0</v>
      </c>
      <c r="C14" s="1315">
        <f>SUMIF('Dettaglio Spese Generiche CC'!$E:$E,"FEBBRAIO 2030",'Dettaglio Spese Generiche CC'!$I:$I)</f>
        <v>0</v>
      </c>
      <c r="D14" s="1315">
        <f>SUMIF('Dettaglio Spese Generiche CC'!$E:$E,"MARZO 2030",'Dettaglio Spese Generiche CC'!$I:$I)</f>
        <v>0</v>
      </c>
      <c r="E14" s="1315">
        <f>SUMIF('Dettaglio Spese Generiche CC'!$E:$E,"APRILE 2030",'Dettaglio Spese Generiche CC'!$I:$I)</f>
        <v>0</v>
      </c>
      <c r="F14" s="1315">
        <f>SUMIF('Dettaglio Spese Generiche CC'!$E:$E,"MAGGIO 2030",'Dettaglio Spese Generiche CC'!$I:$I)</f>
        <v>0</v>
      </c>
      <c r="G14" s="1315">
        <f>SUMIF('Dettaglio Spese Generiche CC'!$E:$E,"GIUGNO 2030",'Dettaglio Spese Generiche CC'!$I:$I)</f>
        <v>0</v>
      </c>
      <c r="H14" s="1315">
        <f>SUMIF('Dettaglio Spese Generiche CC'!$E:$E,"LUGLIO 2030",'Dettaglio Spese Generiche CC'!$I:$I)</f>
        <v>0</v>
      </c>
      <c r="I14" s="1315">
        <f>SUMIF('Dettaglio Spese Generiche CC'!$E:$E,"AGOSTO 2030",'Dettaglio Spese Generiche CC'!$I:$I)</f>
        <v>0</v>
      </c>
      <c r="J14" s="1315">
        <f>SUMIF('Dettaglio Spese Generiche CC'!$E:$E,"SETTEMBRE 2030",'Dettaglio Spese Generiche CC'!$I:$I)</f>
        <v>0</v>
      </c>
      <c r="K14" s="1315">
        <f>SUMIF('Dettaglio Spese Generiche CC'!$E:$E,"OTTOBRE 2030",'Dettaglio Spese Generiche CC'!$I:$I)</f>
        <v>0</v>
      </c>
      <c r="L14" s="1315">
        <f>SUMIF('Dettaglio Spese Generiche CC'!$E:$E,"NOVEMBRE 2030",'Dettaglio Spese Generiche CC'!$I:$I)</f>
        <v>0</v>
      </c>
      <c r="M14" s="1315">
        <f>SUMIF('Dettaglio Spese Generiche CC'!$E:$E,"DICEMBRE 2030",'Dettaglio Spese Generiche CC'!$I:$I)</f>
        <v>0</v>
      </c>
      <c r="N14" s="1315">
        <f t="shared" si="0"/>
        <v>0</v>
      </c>
    </row>
    <row r="15" spans="1:14">
      <c r="A15">
        <v>2031</v>
      </c>
      <c r="B15" s="1315">
        <f>SUMIF('Dettaglio Spese Generiche CC'!$E:$E,"GENNAIO 2031",'Dettaglio Spese Generiche CC'!$I:$I)</f>
        <v>0</v>
      </c>
      <c r="C15" s="1315">
        <f>SUMIF('Dettaglio Spese Generiche CC'!$E:$E,"FEBBRAIO 2031",'Dettaglio Spese Generiche CC'!$I:$I)</f>
        <v>0</v>
      </c>
      <c r="D15" s="1315">
        <f>SUMIF('Dettaglio Spese Generiche CC'!$E:$E,"MARZO 2031",'Dettaglio Spese Generiche CC'!$I:$I)</f>
        <v>0</v>
      </c>
      <c r="E15" s="1315">
        <f>SUMIF('Dettaglio Spese Generiche CC'!$E:$E,"APRILE 2031",'Dettaglio Spese Generiche CC'!$I:$I)</f>
        <v>0</v>
      </c>
      <c r="F15" s="1315">
        <f>SUMIF('Dettaglio Spese Generiche CC'!$E:$E,"MAGGIO 2031",'Dettaglio Spese Generiche CC'!$I:$I)</f>
        <v>0</v>
      </c>
      <c r="G15" s="1315">
        <f>SUMIF('Dettaglio Spese Generiche CC'!$E:$E,"GIUGNO 2031",'Dettaglio Spese Generiche CC'!$I:$I)</f>
        <v>0</v>
      </c>
      <c r="H15" s="1315">
        <f>SUMIF('Dettaglio Spese Generiche CC'!$E:$E,"LUGLIO 2031",'Dettaglio Spese Generiche CC'!$I:$I)</f>
        <v>0</v>
      </c>
      <c r="I15" s="1315">
        <f>SUMIF('Dettaglio Spese Generiche CC'!$E:$E,"AGOSTO 2031",'Dettaglio Spese Generiche CC'!$I:$I)</f>
        <v>0</v>
      </c>
      <c r="J15" s="1315">
        <f>SUMIF('Dettaglio Spese Generiche CC'!$E:$E,"SETTEMBRE 2031",'Dettaglio Spese Generiche CC'!$I:$I)</f>
        <v>0</v>
      </c>
      <c r="K15" s="1315">
        <f>SUMIF('Dettaglio Spese Generiche CC'!$E:$E,"OTTOBRE 2031",'Dettaglio Spese Generiche CC'!$I:$I)</f>
        <v>0</v>
      </c>
      <c r="L15" s="1315">
        <f>SUMIF('Dettaglio Spese Generiche CC'!$E:$E,"NOVEMBRE 2031",'Dettaglio Spese Generiche CC'!$I:$I)</f>
        <v>0</v>
      </c>
      <c r="M15" s="1315">
        <f>SUMIF('Dettaglio Spese Generiche CC'!$E:$E,"DICEMBRE 2031",'Dettaglio Spese Generiche CC'!$I:$I)</f>
        <v>0</v>
      </c>
      <c r="N15" s="1315">
        <f t="shared" si="0"/>
        <v>0</v>
      </c>
    </row>
    <row r="16" spans="1:14">
      <c r="A16">
        <v>2032</v>
      </c>
      <c r="B16" s="1315">
        <f>SUMIF('Dettaglio Spese Generiche CC'!$E:$E,"GENNAIO 2032",'Dettaglio Spese Generiche CC'!$I:$I)</f>
        <v>0</v>
      </c>
      <c r="C16" s="1315">
        <f>SUMIF('Dettaglio Spese Generiche CC'!$E:$E,"FEBBRAIO 2032",'Dettaglio Spese Generiche CC'!$I:$I)</f>
        <v>0</v>
      </c>
      <c r="D16" s="1315">
        <f>SUMIF('Dettaglio Spese Generiche CC'!$E:$E,"MARZO 2032",'Dettaglio Spese Generiche CC'!$I:$I)</f>
        <v>0</v>
      </c>
      <c r="E16" s="1315">
        <f>SUMIF('Dettaglio Spese Generiche CC'!$E:$E,"APRILE 2032",'Dettaglio Spese Generiche CC'!$I:$I)</f>
        <v>0</v>
      </c>
      <c r="F16" s="1315">
        <f>SUMIF('Dettaglio Spese Generiche CC'!$E:$E,"MAGGIO 2032",'Dettaglio Spese Generiche CC'!$I:$I)</f>
        <v>0</v>
      </c>
      <c r="G16" s="1315">
        <f>SUMIF('Dettaglio Spese Generiche CC'!$E:$E,"GIUGNO 2032",'Dettaglio Spese Generiche CC'!$I:$I)</f>
        <v>0</v>
      </c>
      <c r="H16" s="1315">
        <f>SUMIF('Dettaglio Spese Generiche CC'!$E:$E,"LUGLIO 2032",'Dettaglio Spese Generiche CC'!$I:$I)</f>
        <v>0</v>
      </c>
      <c r="I16" s="1315">
        <f>SUMIF('Dettaglio Spese Generiche CC'!$E:$E,"AGOSTO 2032",'Dettaglio Spese Generiche CC'!$I:$I)</f>
        <v>0</v>
      </c>
      <c r="J16" s="1315">
        <f>SUMIF('Dettaglio Spese Generiche CC'!$E:$E,"SETTEMBRE 2032",'Dettaglio Spese Generiche CC'!$I:$I)</f>
        <v>0</v>
      </c>
      <c r="K16" s="1315">
        <f>SUMIF('Dettaglio Spese Generiche CC'!$E:$E,"OTTOBRE 2032",'Dettaglio Spese Generiche CC'!$I:$I)</f>
        <v>0</v>
      </c>
      <c r="L16" s="1315">
        <f>SUMIF('Dettaglio Spese Generiche CC'!$E:$E,"NOVEMBRE 2032",'Dettaglio Spese Generiche CC'!$I:$I)</f>
        <v>0</v>
      </c>
      <c r="M16" s="1315">
        <f>SUMIF('Dettaglio Spese Generiche CC'!$E:$E,"DICEMBRE 2032",'Dettaglio Spese Generiche CC'!$I:$I)</f>
        <v>0</v>
      </c>
      <c r="N16" s="1315">
        <f t="shared" si="0"/>
        <v>0</v>
      </c>
    </row>
    <row r="17" spans="1:14">
      <c r="A17">
        <v>2033</v>
      </c>
      <c r="B17" s="1315">
        <f>SUMIF('Dettaglio Spese Generiche CC'!$E:$E,"GENNAIO 2033",'Dettaglio Spese Generiche CC'!$I:$I)</f>
        <v>0</v>
      </c>
      <c r="C17" s="1315">
        <f>SUMIF('Dettaglio Spese Generiche CC'!$E:$E,"FEBBRAIO 2033",'Dettaglio Spese Generiche CC'!$I:$I)</f>
        <v>0</v>
      </c>
      <c r="D17" s="1315">
        <f>SUMIF('Dettaglio Spese Generiche CC'!$E:$E,"MARZO 2033",'Dettaglio Spese Generiche CC'!$I:$I)</f>
        <v>0</v>
      </c>
      <c r="E17" s="1315">
        <f>SUMIF('Dettaglio Spese Generiche CC'!$E:$E,"APRILE 2033",'Dettaglio Spese Generiche CC'!$I:$I)</f>
        <v>0</v>
      </c>
      <c r="F17" s="1315">
        <f>SUMIF('Dettaglio Spese Generiche CC'!$E:$E,"MAGGIO 2033",'Dettaglio Spese Generiche CC'!$I:$I)</f>
        <v>0</v>
      </c>
      <c r="G17" s="1315">
        <f>SUMIF('Dettaglio Spese Generiche CC'!$E:$E,"GIUGNO 2033",'Dettaglio Spese Generiche CC'!$I:$I)</f>
        <v>0</v>
      </c>
      <c r="H17" s="1315">
        <f>SUMIF('Dettaglio Spese Generiche CC'!$E:$E,"LUGLIO 2033",'Dettaglio Spese Generiche CC'!$I:$I)</f>
        <v>0</v>
      </c>
      <c r="I17" s="1315">
        <f>SUMIF('Dettaglio Spese Generiche CC'!$E:$E,"AGOSTO 2033",'Dettaglio Spese Generiche CC'!$I:$I)</f>
        <v>0</v>
      </c>
      <c r="J17" s="1315">
        <f>SUMIF('Dettaglio Spese Generiche CC'!$E:$E,"SETTEMBRE 2033",'Dettaglio Spese Generiche CC'!$I:$I)</f>
        <v>0</v>
      </c>
      <c r="K17" s="1315">
        <f>SUMIF('Dettaglio Spese Generiche CC'!$E:$E,"OTTOBRE 2033",'Dettaglio Spese Generiche CC'!$I:$I)</f>
        <v>0</v>
      </c>
      <c r="L17" s="1315">
        <f>SUMIF('Dettaglio Spese Generiche CC'!$E:$E,"NOVEMBRE 2033",'Dettaglio Spese Generiche CC'!$I:$I)</f>
        <v>0</v>
      </c>
      <c r="M17" s="1315">
        <f>SUMIF('Dettaglio Spese Generiche CC'!$E:$E,"DICEMBRE 2033",'Dettaglio Spese Generiche CC'!$I:$I)</f>
        <v>0</v>
      </c>
      <c r="N17" s="1315">
        <f t="shared" si="0"/>
        <v>0</v>
      </c>
    </row>
    <row r="18" spans="1:14">
      <c r="A18">
        <v>2034</v>
      </c>
      <c r="B18" s="1315">
        <f>SUMIF('Dettaglio Spese Generiche CC'!$E:$E,"GENNAIO 2034",'Dettaglio Spese Generiche CC'!$I:$I)</f>
        <v>0</v>
      </c>
      <c r="C18" s="1315">
        <f>SUMIF('Dettaglio Spese Generiche CC'!$E:$E,"FEBBRAIO 2034",'Dettaglio Spese Generiche CC'!$I:$I)</f>
        <v>0</v>
      </c>
      <c r="D18" s="1315">
        <f>SUMIF('Dettaglio Spese Generiche CC'!$E:$E,"MARZO 2034",'Dettaglio Spese Generiche CC'!$I:$I)</f>
        <v>0</v>
      </c>
      <c r="E18" s="1315">
        <f>SUMIF('Dettaglio Spese Generiche CC'!$E:$E,"APRILE 2034",'Dettaglio Spese Generiche CC'!$I:$I)</f>
        <v>0</v>
      </c>
      <c r="F18" s="1315">
        <f>SUMIF('Dettaglio Spese Generiche CC'!$E:$E,"MAGGIO 2034",'Dettaglio Spese Generiche CC'!$I:$I)</f>
        <v>0</v>
      </c>
      <c r="G18" s="1315">
        <f>SUMIF('Dettaglio Spese Generiche CC'!$E:$E,"GIUGNO 2034",'Dettaglio Spese Generiche CC'!$I:$I)</f>
        <v>0</v>
      </c>
      <c r="H18" s="1315">
        <f>SUMIF('Dettaglio Spese Generiche CC'!$E:$E,"LUGLIO 2034",'Dettaglio Spese Generiche CC'!$I:$I)</f>
        <v>0</v>
      </c>
      <c r="I18" s="1315">
        <f>SUMIF('Dettaglio Spese Generiche CC'!$E:$E,"AGOSTO 2034",'Dettaglio Spese Generiche CC'!$I:$I)</f>
        <v>0</v>
      </c>
      <c r="J18" s="1315">
        <f>SUMIF('Dettaglio Spese Generiche CC'!$E:$E,"SETTEMBRE 2034",'Dettaglio Spese Generiche CC'!$I:$I)</f>
        <v>0</v>
      </c>
      <c r="K18" s="1315">
        <f>SUMIF('Dettaglio Spese Generiche CC'!$E:$E,"OTTOBRE 2034",'Dettaglio Spese Generiche CC'!$I:$I)</f>
        <v>0</v>
      </c>
      <c r="L18" s="1315">
        <f>SUMIF('Dettaglio Spese Generiche CC'!$E:$E,"NOVEMBRE 2034",'Dettaglio Spese Generiche CC'!$I:$I)</f>
        <v>0</v>
      </c>
      <c r="M18" s="1315">
        <f>SUMIF('Dettaglio Spese Generiche CC'!$E:$E,"DICEMBRE 2034",'Dettaglio Spese Generiche CC'!$I:$I)</f>
        <v>0</v>
      </c>
      <c r="N18" s="1315">
        <f t="shared" si="0"/>
        <v>0</v>
      </c>
    </row>
    <row r="19" spans="1:14">
      <c r="A19">
        <v>2035</v>
      </c>
      <c r="B19" s="1315">
        <f>SUMIF('Dettaglio Spese Generiche CC'!$E:$E,"GENNAIO 2035",'Dettaglio Spese Generiche CC'!$I:$I)</f>
        <v>0</v>
      </c>
      <c r="C19" s="1315">
        <f>SUMIF('Dettaglio Spese Generiche CC'!$E:$E,"FEBBRAIO 2035",'Dettaglio Spese Generiche CC'!$I:$I)</f>
        <v>0</v>
      </c>
      <c r="D19" s="1315">
        <f>SUMIF('Dettaglio Spese Generiche CC'!$E:$E,"MARZO 2035",'Dettaglio Spese Generiche CC'!$I:$I)</f>
        <v>0</v>
      </c>
      <c r="E19" s="1315">
        <f>SUMIF('Dettaglio Spese Generiche CC'!$E:$E,"APRILE 2035",'Dettaglio Spese Generiche CC'!$I:$I)</f>
        <v>0</v>
      </c>
      <c r="F19" s="1315">
        <f>SUMIF('Dettaglio Spese Generiche CC'!$E:$E,"MAGGIO 2035",'Dettaglio Spese Generiche CC'!$I:$I)</f>
        <v>0</v>
      </c>
      <c r="G19" s="1315">
        <f>SUMIF('Dettaglio Spese Generiche CC'!$E:$E,"GIUGNO 2035",'Dettaglio Spese Generiche CC'!$I:$I)</f>
        <v>0</v>
      </c>
      <c r="H19" s="1315">
        <f>SUMIF('Dettaglio Spese Generiche CC'!$E:$E,"LUGLIO 2035",'Dettaglio Spese Generiche CC'!$I:$I)</f>
        <v>0</v>
      </c>
      <c r="I19" s="1315">
        <f>SUMIF('Dettaglio Spese Generiche CC'!$E:$E,"AGOSTO 2035",'Dettaglio Spese Generiche CC'!$I:$I)</f>
        <v>0</v>
      </c>
      <c r="J19" s="1315">
        <f>SUMIF('Dettaglio Spese Generiche CC'!$E:$E,"SETTEMBRE 2035",'Dettaglio Spese Generiche CC'!$I:$I)</f>
        <v>0</v>
      </c>
      <c r="K19" s="1315">
        <f>SUMIF('Dettaglio Spese Generiche CC'!$E:$E,"OTTOBRE 2035",'Dettaglio Spese Generiche CC'!$I:$I)</f>
        <v>0</v>
      </c>
      <c r="L19" s="1315">
        <f>SUMIF('Dettaglio Spese Generiche CC'!$E:$E,"NOVEMBRE 2035",'Dettaglio Spese Generiche CC'!$I:$I)</f>
        <v>0</v>
      </c>
      <c r="M19" s="1315">
        <f>SUMIF('Dettaglio Spese Generiche CC'!$E:$E,"DICEMBRE 2035",'Dettaglio Spese Generiche CC'!$I:$I)</f>
        <v>0</v>
      </c>
      <c r="N19" s="1315">
        <f t="shared" si="0"/>
        <v>0</v>
      </c>
    </row>
    <row r="20" spans="1:14">
      <c r="A20">
        <v>2036</v>
      </c>
      <c r="B20" s="1315">
        <f>SUMIF('Dettaglio Spese Generiche CC'!$E:$E,"GENNAIO 2036",'Dettaglio Spese Generiche CC'!$I:$I)</f>
        <v>0</v>
      </c>
      <c r="C20" s="1315">
        <f>SUMIF('Dettaglio Spese Generiche CC'!$E:$E,"FEBBRAIO 2036",'Dettaglio Spese Generiche CC'!$I:$I)</f>
        <v>0</v>
      </c>
      <c r="D20" s="1315">
        <f>SUMIF('Dettaglio Spese Generiche CC'!$E:$E,"MARZO 2036",'Dettaglio Spese Generiche CC'!$I:$I)</f>
        <v>0</v>
      </c>
      <c r="E20" s="1315">
        <f>SUMIF('Dettaglio Spese Generiche CC'!$E:$E,"APRILE 2036",'Dettaglio Spese Generiche CC'!$I:$I)</f>
        <v>0</v>
      </c>
      <c r="F20" s="1315">
        <f>SUMIF('Dettaglio Spese Generiche CC'!$E:$E,"MAGGIO 2036",'Dettaglio Spese Generiche CC'!$I:$I)</f>
        <v>0</v>
      </c>
      <c r="G20" s="1315">
        <f>SUMIF('Dettaglio Spese Generiche CC'!$E:$E,"GIUGNO 2036",'Dettaglio Spese Generiche CC'!$I:$I)</f>
        <v>0</v>
      </c>
      <c r="H20" s="1315">
        <f>SUMIF('Dettaglio Spese Generiche CC'!$E:$E,"LUGLIO 2036",'Dettaglio Spese Generiche CC'!$I:$I)</f>
        <v>0</v>
      </c>
      <c r="I20" s="1315">
        <f>SUMIF('Dettaglio Spese Generiche CC'!$E:$E,"AGOSTO 2036",'Dettaglio Spese Generiche CC'!$I:$I)</f>
        <v>0</v>
      </c>
      <c r="J20" s="1315">
        <f>SUMIF('Dettaglio Spese Generiche CC'!$E:$E,"SETTEMBRE 2036",'Dettaglio Spese Generiche CC'!$I:$I)</f>
        <v>0</v>
      </c>
      <c r="K20" s="1315">
        <f>SUMIF('Dettaglio Spese Generiche CC'!$E:$E,"OTTOBRE 2036",'Dettaglio Spese Generiche CC'!$I:$I)</f>
        <v>0</v>
      </c>
      <c r="L20" s="1315">
        <f>SUMIF('Dettaglio Spese Generiche CC'!$E:$E,"NOVEMBRE 2036",'Dettaglio Spese Generiche CC'!$I:$I)</f>
        <v>0</v>
      </c>
      <c r="M20" s="1315">
        <f>SUMIF('Dettaglio Spese Generiche CC'!$E:$E,"DICEMBRE 2036",'Dettaglio Spese Generiche CC'!$I:$I)</f>
        <v>0</v>
      </c>
      <c r="N20" s="1315">
        <f t="shared" si="0"/>
        <v>0</v>
      </c>
    </row>
    <row r="21" spans="1:14">
      <c r="A21">
        <v>2037</v>
      </c>
      <c r="B21" s="1315">
        <f>SUMIF('Dettaglio Spese Generiche CC'!$E:$E,"GENNAIO 2037",'Dettaglio Spese Generiche CC'!$I:$I)</f>
        <v>0</v>
      </c>
      <c r="C21" s="1315">
        <f>SUMIF('Dettaglio Spese Generiche CC'!$E:$E,"FEBBRAIO 2037",'Dettaglio Spese Generiche CC'!$I:$I)</f>
        <v>0</v>
      </c>
      <c r="D21" s="1315">
        <f>SUMIF('Dettaglio Spese Generiche CC'!$E:$E,"MARZO 2037",'Dettaglio Spese Generiche CC'!$I:$I)</f>
        <v>0</v>
      </c>
      <c r="E21" s="1315">
        <f>SUMIF('Dettaglio Spese Generiche CC'!$E:$E,"APRILE 2037",'Dettaglio Spese Generiche CC'!$I:$I)</f>
        <v>0</v>
      </c>
      <c r="F21" s="1315">
        <f>SUMIF('Dettaglio Spese Generiche CC'!$E:$E,"MAGGIO 2037",'Dettaglio Spese Generiche CC'!$I:$I)</f>
        <v>0</v>
      </c>
      <c r="G21" s="1315">
        <f>SUMIF('Dettaglio Spese Generiche CC'!$E:$E,"GIUGNO 2037",'Dettaglio Spese Generiche CC'!$I:$I)</f>
        <v>0</v>
      </c>
      <c r="H21" s="1315">
        <f>SUMIF('Dettaglio Spese Generiche CC'!$E:$E,"LUGLIO 2037",'Dettaglio Spese Generiche CC'!$I:$I)</f>
        <v>0</v>
      </c>
      <c r="I21" s="1315">
        <f>SUMIF('Dettaglio Spese Generiche CC'!$E:$E,"AGOSTO 2037",'Dettaglio Spese Generiche CC'!$I:$I)</f>
        <v>0</v>
      </c>
      <c r="J21" s="1315">
        <f>SUMIF('Dettaglio Spese Generiche CC'!$E:$E,"SETTEMBRE 2037",'Dettaglio Spese Generiche CC'!$I:$I)</f>
        <v>0</v>
      </c>
      <c r="K21" s="1315">
        <f>SUMIF('Dettaglio Spese Generiche CC'!$E:$E,"OTTOBRE 2037",'Dettaglio Spese Generiche CC'!$I:$I)</f>
        <v>0</v>
      </c>
      <c r="L21" s="1315">
        <f>SUMIF('Dettaglio Spese Generiche CC'!$E:$E,"NOVEMBRE 2037",'Dettaglio Spese Generiche CC'!$I:$I)</f>
        <v>0</v>
      </c>
      <c r="M21" s="1315">
        <f>SUMIF('Dettaglio Spese Generiche CC'!$E:$E,"DICEMBRE 2037",'Dettaglio Spese Generiche CC'!$I:$I)</f>
        <v>0</v>
      </c>
      <c r="N21" s="1315">
        <f t="shared" si="0"/>
        <v>0</v>
      </c>
    </row>
    <row r="22" spans="1:14">
      <c r="A22">
        <v>2038</v>
      </c>
      <c r="B22" s="1315">
        <f>SUMIF('Dettaglio Spese Generiche CC'!$E:$E,"GENNAIO 2038",'Dettaglio Spese Generiche CC'!$I:$I)</f>
        <v>0</v>
      </c>
      <c r="C22" s="1315">
        <f>SUMIF('Dettaglio Spese Generiche CC'!$E:$E,"FEBBRAIO 2038",'Dettaglio Spese Generiche CC'!$I:$I)</f>
        <v>0</v>
      </c>
      <c r="D22" s="1315">
        <f>SUMIF('Dettaglio Spese Generiche CC'!$E:$E,"MARZO 2038",'Dettaglio Spese Generiche CC'!$I:$I)</f>
        <v>0</v>
      </c>
      <c r="E22" s="1315">
        <f>SUMIF('Dettaglio Spese Generiche CC'!$E:$E,"APRILE 2038",'Dettaglio Spese Generiche CC'!$I:$I)</f>
        <v>0</v>
      </c>
      <c r="F22" s="1315">
        <f>SUMIF('Dettaglio Spese Generiche CC'!$E:$E,"MAGGIO 2038",'Dettaglio Spese Generiche CC'!$I:$I)</f>
        <v>0</v>
      </c>
      <c r="G22" s="1315">
        <f>SUMIF('Dettaglio Spese Generiche CC'!$E:$E,"GIUGNO 2038",'Dettaglio Spese Generiche CC'!$I:$I)</f>
        <v>0</v>
      </c>
      <c r="H22" s="1315">
        <f>SUMIF('Dettaglio Spese Generiche CC'!$E:$E,"LUGLIO 2038",'Dettaglio Spese Generiche CC'!$I:$I)</f>
        <v>0</v>
      </c>
      <c r="I22" s="1315">
        <f>SUMIF('Dettaglio Spese Generiche CC'!$E:$E,"AGOSTO 2038",'Dettaglio Spese Generiche CC'!$I:$I)</f>
        <v>0</v>
      </c>
      <c r="J22" s="1315">
        <f>SUMIF('Dettaglio Spese Generiche CC'!$E:$E,"SETTEMBRE 2038",'Dettaglio Spese Generiche CC'!$I:$I)</f>
        <v>0</v>
      </c>
      <c r="K22" s="1315">
        <f>SUMIF('Dettaglio Spese Generiche CC'!$E:$E,"OTTOBRE 2038",'Dettaglio Spese Generiche CC'!$I:$I)</f>
        <v>0</v>
      </c>
      <c r="L22" s="1315">
        <f>SUMIF('Dettaglio Spese Generiche CC'!$E:$E,"NOVEMBRE 2038",'Dettaglio Spese Generiche CC'!$I:$I)</f>
        <v>0</v>
      </c>
      <c r="M22" s="1315">
        <f>SUMIF('Dettaglio Spese Generiche CC'!$E:$E,"DICEMBRE 2038",'Dettaglio Spese Generiche CC'!$I:$I)</f>
        <v>0</v>
      </c>
      <c r="N22" s="1315">
        <f t="shared" si="0"/>
        <v>0</v>
      </c>
    </row>
    <row r="23" spans="1:14">
      <c r="A23">
        <v>2039</v>
      </c>
      <c r="B23" s="1315">
        <f>SUMIF('Dettaglio Spese Generiche CC'!$E:$E,"GENNAIO 2039",'Dettaglio Spese Generiche CC'!$I:$I)</f>
        <v>0</v>
      </c>
      <c r="C23" s="1315">
        <f>SUMIF('Dettaglio Spese Generiche CC'!$E:$E,"FEBBRAIO 2039",'Dettaglio Spese Generiche CC'!$I:$I)</f>
        <v>0</v>
      </c>
      <c r="D23" s="1315">
        <f>SUMIF('Dettaglio Spese Generiche CC'!$E:$E,"MARZO 2039",'Dettaglio Spese Generiche CC'!$I:$I)</f>
        <v>0</v>
      </c>
      <c r="E23" s="1315">
        <f>SUMIF('Dettaglio Spese Generiche CC'!$E:$E,"APRILE 2039",'Dettaglio Spese Generiche CC'!$I:$I)</f>
        <v>0</v>
      </c>
      <c r="F23" s="1315">
        <f>SUMIF('Dettaglio Spese Generiche CC'!$E:$E,"MAGGIO 2039",'Dettaglio Spese Generiche CC'!$I:$I)</f>
        <v>0</v>
      </c>
      <c r="G23" s="1315">
        <f>SUMIF('Dettaglio Spese Generiche CC'!$E:$E,"GIUGNO 2039",'Dettaglio Spese Generiche CC'!$I:$I)</f>
        <v>0</v>
      </c>
      <c r="H23" s="1315">
        <f>SUMIF('Dettaglio Spese Generiche CC'!$E:$E,"LUGLIO 2039",'Dettaglio Spese Generiche CC'!$I:$I)</f>
        <v>0</v>
      </c>
      <c r="I23" s="1315">
        <f>SUMIF('Dettaglio Spese Generiche CC'!$E:$E,"AGOSTO 2039",'Dettaglio Spese Generiche CC'!$I:$I)</f>
        <v>0</v>
      </c>
      <c r="J23" s="1315">
        <f>SUMIF('Dettaglio Spese Generiche CC'!$E:$E,"SETTEMBRE 2039",'Dettaglio Spese Generiche CC'!$I:$I)</f>
        <v>0</v>
      </c>
      <c r="K23" s="1315">
        <f>SUMIF('Dettaglio Spese Generiche CC'!$E:$E,"OTTOBRE 2039",'Dettaglio Spese Generiche CC'!$I:$I)</f>
        <v>0</v>
      </c>
      <c r="L23" s="1315">
        <f>SUMIF('Dettaglio Spese Generiche CC'!$E:$E,"NOVEMBRE 2039",'Dettaglio Spese Generiche CC'!$I:$I)</f>
        <v>0</v>
      </c>
      <c r="M23" s="1315">
        <f>SUMIF('Dettaglio Spese Generiche CC'!$E:$E,"DICEMBRE 2039",'Dettaglio Spese Generiche CC'!$I:$I)</f>
        <v>0</v>
      </c>
      <c r="N23" s="1315">
        <f t="shared" si="0"/>
        <v>0</v>
      </c>
    </row>
    <row r="24" spans="1:14">
      <c r="A24">
        <v>2040</v>
      </c>
      <c r="B24" s="1315">
        <f>SUMIF('Dettaglio Spese Generiche CC'!$E:$E,"GENNAIO 2040",'Dettaglio Spese Generiche CC'!$I:$I)</f>
        <v>0</v>
      </c>
      <c r="C24" s="1315">
        <f>SUMIF('Dettaglio Spese Generiche CC'!$E:$E,"FEBBRAIO 2040",'Dettaglio Spese Generiche CC'!$I:$I)</f>
        <v>0</v>
      </c>
      <c r="D24" s="1315">
        <f>SUMIF('Dettaglio Spese Generiche CC'!$E:$E,"MARZO 2040",'Dettaglio Spese Generiche CC'!$I:$I)</f>
        <v>0</v>
      </c>
      <c r="E24" s="1315">
        <f>SUMIF('Dettaglio Spese Generiche CC'!$E:$E,"APRILE 2040",'Dettaglio Spese Generiche CC'!$I:$I)</f>
        <v>0</v>
      </c>
      <c r="F24" s="1315">
        <f>SUMIF('Dettaglio Spese Generiche CC'!$E:$E,"MAGGIO 2040",'Dettaglio Spese Generiche CC'!$I:$I)</f>
        <v>0</v>
      </c>
      <c r="G24" s="1315">
        <f>SUMIF('Dettaglio Spese Generiche CC'!$E:$E,"GIUGNO 2040",'Dettaglio Spese Generiche CC'!$I:$I)</f>
        <v>0</v>
      </c>
      <c r="H24" s="1315">
        <f>SUMIF('Dettaglio Spese Generiche CC'!$E:$E,"LUGLIO 2040",'Dettaglio Spese Generiche CC'!$I:$I)</f>
        <v>0</v>
      </c>
      <c r="I24" s="1315">
        <f>SUMIF('Dettaglio Spese Generiche CC'!$E:$E,"AGOSTO 2040",'Dettaglio Spese Generiche CC'!$I:$I)</f>
        <v>0</v>
      </c>
      <c r="J24" s="1315">
        <f>SUMIF('Dettaglio Spese Generiche CC'!$E:$E,"SETTEMBRE 2040",'Dettaglio Spese Generiche CC'!$I:$I)</f>
        <v>0</v>
      </c>
      <c r="K24" s="1315">
        <f>SUMIF('Dettaglio Spese Generiche CC'!$E:$E,"OTTOBRE 2040",'Dettaglio Spese Generiche CC'!$I:$I)</f>
        <v>0</v>
      </c>
      <c r="L24" s="1315">
        <f>SUMIF('Dettaglio Spese Generiche CC'!$E:$E,"NOVEMBRE 2040",'Dettaglio Spese Generiche CC'!$I:$I)</f>
        <v>0</v>
      </c>
      <c r="M24" s="1315">
        <f>SUMIF('Dettaglio Spese Generiche CC'!$E:$E,"DICEMBRE 2040",'Dettaglio Spese Generiche CC'!$I:$I)</f>
        <v>0</v>
      </c>
      <c r="N24" s="1315">
        <f t="shared" si="0"/>
        <v>0</v>
      </c>
    </row>
    <row r="25" spans="1:14">
      <c r="A25">
        <v>2041</v>
      </c>
      <c r="B25" s="1315">
        <f>SUMIF('Dettaglio Spese Generiche CC'!$E:$E,"GENNAIO 2041",'Dettaglio Spese Generiche CC'!$I:$I)</f>
        <v>0</v>
      </c>
      <c r="C25" s="1315">
        <f>SUMIF('Dettaglio Spese Generiche CC'!$E:$E,"FEBBRAIO 2041",'Dettaglio Spese Generiche CC'!$I:$I)</f>
        <v>0</v>
      </c>
      <c r="D25" s="1315">
        <f>SUMIF('Dettaglio Spese Generiche CC'!$E:$E,"MARZO 2041",'Dettaglio Spese Generiche CC'!$I:$I)</f>
        <v>0</v>
      </c>
      <c r="E25" s="1315">
        <f>SUMIF('Dettaglio Spese Generiche CC'!$E:$E,"APRILE 2041",'Dettaglio Spese Generiche CC'!$I:$I)</f>
        <v>0</v>
      </c>
      <c r="F25" s="1315">
        <f>SUMIF('Dettaglio Spese Generiche CC'!$E:$E,"MAGGIO 2041",'Dettaglio Spese Generiche CC'!$I:$I)</f>
        <v>0</v>
      </c>
      <c r="G25" s="1315">
        <f>SUMIF('Dettaglio Spese Generiche CC'!$E:$E,"GIUGNO 2041",'Dettaglio Spese Generiche CC'!$I:$I)</f>
        <v>0</v>
      </c>
      <c r="H25" s="1315">
        <f>SUMIF('Dettaglio Spese Generiche CC'!$E:$E,"LUGLIO 2041",'Dettaglio Spese Generiche CC'!$I:$I)</f>
        <v>0</v>
      </c>
      <c r="I25" s="1315">
        <f>SUMIF('Dettaglio Spese Generiche CC'!$E:$E,"AGOSTO 2041",'Dettaglio Spese Generiche CC'!$I:$I)</f>
        <v>0</v>
      </c>
      <c r="J25" s="1315">
        <f>SUMIF('Dettaglio Spese Generiche CC'!$E:$E,"SETTEMBRE 2041",'Dettaglio Spese Generiche CC'!$I:$I)</f>
        <v>0</v>
      </c>
      <c r="K25" s="1315">
        <f>SUMIF('Dettaglio Spese Generiche CC'!$E:$E,"OTTOBRE 2041",'Dettaglio Spese Generiche CC'!$I:$I)</f>
        <v>0</v>
      </c>
      <c r="L25" s="1315">
        <f>SUMIF('Dettaglio Spese Generiche CC'!$E:$E,"NOVEMBRE 2041",'Dettaglio Spese Generiche CC'!$I:$I)</f>
        <v>0</v>
      </c>
      <c r="M25" s="1315">
        <f>SUMIF('Dettaglio Spese Generiche CC'!$E:$E,"DICEMBRE 2041",'Dettaglio Spese Generiche CC'!$I:$I)</f>
        <v>0</v>
      </c>
      <c r="N25" s="1315">
        <f t="shared" si="0"/>
        <v>0</v>
      </c>
    </row>
    <row r="26" spans="1:14">
      <c r="A26">
        <v>2042</v>
      </c>
      <c r="B26" s="1315">
        <f>SUMIF('Dettaglio Spese Generiche CC'!$E:$E,"GENNAIO 2042",'Dettaglio Spese Generiche CC'!$I:$I)</f>
        <v>0</v>
      </c>
      <c r="C26" s="1315">
        <f>SUMIF('Dettaglio Spese Generiche CC'!$E:$E,"FEBBRAIO 2042",'Dettaglio Spese Generiche CC'!$I:$I)</f>
        <v>0</v>
      </c>
      <c r="D26" s="1315">
        <f>SUMIF('Dettaglio Spese Generiche CC'!$E:$E,"MARZO 2042",'Dettaglio Spese Generiche CC'!$I:$I)</f>
        <v>0</v>
      </c>
      <c r="E26" s="1315">
        <f>SUMIF('Dettaglio Spese Generiche CC'!$E:$E,"APRILE 2042",'Dettaglio Spese Generiche CC'!$I:$I)</f>
        <v>0</v>
      </c>
      <c r="F26" s="1315">
        <f>SUMIF('Dettaglio Spese Generiche CC'!$E:$E,"MAGGIO 2042",'Dettaglio Spese Generiche CC'!$I:$I)</f>
        <v>0</v>
      </c>
      <c r="G26" s="1315">
        <f>SUMIF('Dettaglio Spese Generiche CC'!$E:$E,"GIUGNO 2042",'Dettaglio Spese Generiche CC'!$I:$I)</f>
        <v>0</v>
      </c>
      <c r="H26" s="1315">
        <f>SUMIF('Dettaglio Spese Generiche CC'!$E:$E,"LUGLIO 2042",'Dettaglio Spese Generiche CC'!$I:$I)</f>
        <v>0</v>
      </c>
      <c r="I26" s="1315">
        <f>SUMIF('Dettaglio Spese Generiche CC'!$E:$E,"AGOSTO 2042",'Dettaglio Spese Generiche CC'!$I:$I)</f>
        <v>0</v>
      </c>
      <c r="J26" s="1315">
        <f>SUMIF('Dettaglio Spese Generiche CC'!$E:$E,"SETTEMBRE 2042",'Dettaglio Spese Generiche CC'!$I:$I)</f>
        <v>0</v>
      </c>
      <c r="K26" s="1315">
        <f>SUMIF('Dettaglio Spese Generiche CC'!$E:$E,"OTTOBRE 2042",'Dettaglio Spese Generiche CC'!$I:$I)</f>
        <v>0</v>
      </c>
      <c r="L26" s="1315">
        <f>SUMIF('Dettaglio Spese Generiche CC'!$E:$E,"NOVEMBRE 2042",'Dettaglio Spese Generiche CC'!$I:$I)</f>
        <v>0</v>
      </c>
      <c r="M26" s="1315">
        <f>SUMIF('Dettaglio Spese Generiche CC'!$E:$E,"DICEMBRE 2042",'Dettaglio Spese Generiche CC'!$I:$I)</f>
        <v>0</v>
      </c>
      <c r="N26" s="1315">
        <f t="shared" si="0"/>
        <v>0</v>
      </c>
    </row>
    <row r="27" spans="1:14">
      <c r="A27">
        <v>2043</v>
      </c>
      <c r="B27" s="1315">
        <f>SUMIF('Dettaglio Spese Generiche CC'!$E:$E,"GENNAIO 2043",'Dettaglio Spese Generiche CC'!$I:$I)</f>
        <v>0</v>
      </c>
      <c r="C27" s="1315">
        <f>SUMIF('Dettaglio Spese Generiche CC'!$E:$E,"FEBBRAIO 2043",'Dettaglio Spese Generiche CC'!$I:$I)</f>
        <v>0</v>
      </c>
      <c r="D27" s="1315">
        <f>SUMIF('Dettaglio Spese Generiche CC'!$E:$E,"MARZO 2043",'Dettaglio Spese Generiche CC'!$I:$I)</f>
        <v>0</v>
      </c>
      <c r="E27" s="1315">
        <f>SUMIF('Dettaglio Spese Generiche CC'!$E:$E,"APRILE 2043",'Dettaglio Spese Generiche CC'!$I:$I)</f>
        <v>0</v>
      </c>
      <c r="F27" s="1315">
        <f>SUMIF('Dettaglio Spese Generiche CC'!$E:$E,"MAGGIO 2043",'Dettaglio Spese Generiche CC'!$I:$I)</f>
        <v>0</v>
      </c>
      <c r="G27" s="1315">
        <f>SUMIF('Dettaglio Spese Generiche CC'!$E:$E,"GIUGNO 2043",'Dettaglio Spese Generiche CC'!$I:$I)</f>
        <v>0</v>
      </c>
      <c r="H27" s="1315">
        <f>SUMIF('Dettaglio Spese Generiche CC'!$E:$E,"LUGLIO 2043",'Dettaglio Spese Generiche CC'!$I:$I)</f>
        <v>0</v>
      </c>
      <c r="I27" s="1315">
        <f>SUMIF('Dettaglio Spese Generiche CC'!$E:$E,"AGOSTO 2043",'Dettaglio Spese Generiche CC'!$I:$I)</f>
        <v>0</v>
      </c>
      <c r="J27" s="1315">
        <f>SUMIF('Dettaglio Spese Generiche CC'!$E:$E,"SETTEMBRE 2043",'Dettaglio Spese Generiche CC'!$I:$I)</f>
        <v>0</v>
      </c>
      <c r="K27" s="1315">
        <f>SUMIF('Dettaglio Spese Generiche CC'!$E:$E,"OTTOBRE 2043",'Dettaglio Spese Generiche CC'!$I:$I)</f>
        <v>0</v>
      </c>
      <c r="L27" s="1315">
        <f>SUMIF('Dettaglio Spese Generiche CC'!$E:$E,"NOVEMBRE 2043",'Dettaglio Spese Generiche CC'!$I:$I)</f>
        <v>0</v>
      </c>
      <c r="M27" s="1315">
        <f>SUMIF('Dettaglio Spese Generiche CC'!$E:$E,"DICEMBRE 2043",'Dettaglio Spese Generiche CC'!$I:$I)</f>
        <v>0</v>
      </c>
      <c r="N27" s="1315">
        <f t="shared" si="0"/>
        <v>0</v>
      </c>
    </row>
    <row r="28" spans="1:14">
      <c r="A28">
        <v>2044</v>
      </c>
      <c r="B28" s="1315">
        <f>SUMIF('Dettaglio Spese Generiche CC'!$E:$E,"GENNAIO 2044",'Dettaglio Spese Generiche CC'!$I:$I)</f>
        <v>0</v>
      </c>
      <c r="C28" s="1315">
        <f>SUMIF('Dettaglio Spese Generiche CC'!$E:$E,"FEBBRAIO 2044",'Dettaglio Spese Generiche CC'!$I:$I)</f>
        <v>0</v>
      </c>
      <c r="D28" s="1315">
        <f>SUMIF('Dettaglio Spese Generiche CC'!$E:$E,"MARZO 2044",'Dettaglio Spese Generiche CC'!$I:$I)</f>
        <v>0</v>
      </c>
      <c r="E28" s="1315">
        <f>SUMIF('Dettaglio Spese Generiche CC'!$E:$E,"APRILE 2044",'Dettaglio Spese Generiche CC'!$I:$I)</f>
        <v>0</v>
      </c>
      <c r="F28" s="1315">
        <f>SUMIF('Dettaglio Spese Generiche CC'!$E:$E,"MAGGIO 2044",'Dettaglio Spese Generiche CC'!$I:$I)</f>
        <v>0</v>
      </c>
      <c r="G28" s="1315">
        <f>SUMIF('Dettaglio Spese Generiche CC'!$E:$E,"GIUGNO 2044",'Dettaglio Spese Generiche CC'!$I:$I)</f>
        <v>0</v>
      </c>
      <c r="H28" s="1315">
        <f>SUMIF('Dettaglio Spese Generiche CC'!$E:$E,"LUGLIO 2044",'Dettaglio Spese Generiche CC'!$I:$I)</f>
        <v>0</v>
      </c>
      <c r="I28" s="1315">
        <f>SUMIF('Dettaglio Spese Generiche CC'!$E:$E,"AGOSTO 2044",'Dettaglio Spese Generiche CC'!$I:$I)</f>
        <v>0</v>
      </c>
      <c r="J28" s="1315">
        <f>SUMIF('Dettaglio Spese Generiche CC'!$E:$E,"SETTEMBRE 2044",'Dettaglio Spese Generiche CC'!$I:$I)</f>
        <v>0</v>
      </c>
      <c r="K28" s="1315">
        <f>SUMIF('Dettaglio Spese Generiche CC'!$E:$E,"OTTOBRE 2044",'Dettaglio Spese Generiche CC'!$I:$I)</f>
        <v>0</v>
      </c>
      <c r="L28" s="1315">
        <f>SUMIF('Dettaglio Spese Generiche CC'!$E:$E,"NOVEMBRE 2044",'Dettaglio Spese Generiche CC'!$I:$I)</f>
        <v>0</v>
      </c>
      <c r="M28" s="1315">
        <f>SUMIF('Dettaglio Spese Generiche CC'!$E:$E,"DICEMBRE 2044",'Dettaglio Spese Generiche CC'!$I:$I)</f>
        <v>0</v>
      </c>
      <c r="N28" s="1315">
        <f t="shared" si="0"/>
        <v>0</v>
      </c>
    </row>
    <row r="29" spans="1:14">
      <c r="A29" s="1319" t="s">
        <v>79</v>
      </c>
      <c r="B29" s="1320">
        <f t="shared" ref="B29:N29" si="1">SUM(B3:B28)</f>
        <v>4180.6499999999996</v>
      </c>
      <c r="C29" s="1320">
        <f t="shared" si="1"/>
        <v>5298.2379999999994</v>
      </c>
      <c r="D29" s="1320">
        <f t="shared" si="1"/>
        <v>4804.9299999999994</v>
      </c>
      <c r="E29" s="1320">
        <f t="shared" si="1"/>
        <v>6036.9480000000003</v>
      </c>
      <c r="F29" s="1320">
        <f t="shared" si="1"/>
        <v>5413.2880000000005</v>
      </c>
      <c r="G29" s="1320">
        <f t="shared" si="1"/>
        <v>5584.93</v>
      </c>
      <c r="H29" s="1320">
        <f t="shared" si="1"/>
        <v>7949.3280000000013</v>
      </c>
      <c r="I29" s="1320">
        <f t="shared" si="1"/>
        <v>11005.62</v>
      </c>
      <c r="J29" s="1320">
        <f t="shared" si="1"/>
        <v>5549.74</v>
      </c>
      <c r="K29" s="1320">
        <f t="shared" si="1"/>
        <v>4192.4400000000005</v>
      </c>
      <c r="L29" s="1320">
        <f t="shared" si="1"/>
        <v>5316.6299999999992</v>
      </c>
      <c r="M29" s="1320">
        <f t="shared" si="1"/>
        <v>7416.85</v>
      </c>
      <c r="N29" s="1320">
        <f t="shared" si="1"/>
        <v>72749.59199999999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3500-E90D-4939-BE40-9CC24890CE98}">
  <sheetPr codeName="Foglio24"/>
  <dimension ref="A1:I16"/>
  <sheetViews>
    <sheetView workbookViewId="0"/>
  </sheetViews>
  <sheetFormatPr defaultRowHeight="15"/>
  <cols>
    <col min="1" max="1" width="56.7109375" bestFit="1" customWidth="1"/>
    <col min="2" max="2" width="10.28515625" bestFit="1" customWidth="1"/>
    <col min="3" max="8" width="8.7109375" bestFit="1" customWidth="1"/>
    <col min="9" max="9" width="10.28515625" bestFit="1" customWidth="1"/>
  </cols>
  <sheetData>
    <row r="1" spans="1:9" ht="18.75">
      <c r="A1" s="1318" t="s">
        <v>1220</v>
      </c>
    </row>
    <row r="3" spans="1:9">
      <c r="A3" s="1367"/>
      <c r="B3" s="1367">
        <v>2020</v>
      </c>
      <c r="C3" s="1367">
        <v>2021</v>
      </c>
      <c r="D3" s="1367">
        <v>2022</v>
      </c>
      <c r="E3" s="1367">
        <v>2023</v>
      </c>
      <c r="F3" s="1367">
        <v>2024</v>
      </c>
      <c r="G3" s="1367">
        <v>2025</v>
      </c>
      <c r="H3" s="1367">
        <v>2026</v>
      </c>
      <c r="I3" s="1367" t="s">
        <v>79</v>
      </c>
    </row>
    <row r="4" spans="1:9">
      <c r="A4" s="1368" t="s">
        <v>154</v>
      </c>
      <c r="B4" s="1315">
        <f>SUMIF('SPESE COINTESTATO'!$F:$F,CONCATENATE($A4," ",B$3),'SPESE COINTESTATO'!$H:$H)*(-1)</f>
        <v>0</v>
      </c>
      <c r="C4" s="1315">
        <f>SUMIF('SPESE COINTESTATO'!$F:$F,CONCATENATE($A4," ",C$3),'SPESE COINTESTATO'!$H:$H)*(-1)</f>
        <v>122.02999999999997</v>
      </c>
      <c r="D4" s="1315">
        <f>SUMIF('SPESE COINTESTATO'!$F:$F,CONCATENATE($A4," ",D$3),'SPESE COINTESTATO'!$H:$H)*(-1)</f>
        <v>-51.809999999999981</v>
      </c>
      <c r="E4" s="1315">
        <f>SUMIF('SPESE COINTESTATO'!$F:$F,CONCATENATE($A4," ",E$3),'SPESE COINTESTATO'!$H:$H)*(-1)</f>
        <v>-48.389999999999986</v>
      </c>
      <c r="F4" s="1315">
        <f>SUMIF('SPESE COINTESTATO'!$F:$F,CONCATENATE($A4," ",F$3),'SPESE COINTESTATO'!$H:$H)*(-1)</f>
        <v>-9.7899999999999636</v>
      </c>
      <c r="G4" s="1315">
        <f>SUMIF('SPESE COINTESTATO'!$F:$F,CONCATENATE($A4," ",G$3),'SPESE COINTESTATO'!$H:$H)*(-1)</f>
        <v>35.539999999999964</v>
      </c>
      <c r="H4" s="1315">
        <f>SUMIF('SPESE COINTESTATO'!$F:$F,CONCATENATE($A4," ",H$3),'SPESE COINTESTATO'!$H:$H)*(-1)</f>
        <v>100.99000000000001</v>
      </c>
      <c r="I4" s="1315">
        <f t="shared" ref="I4:I15" si="0">SUM(B4:H4)</f>
        <v>148.57000000000002</v>
      </c>
    </row>
    <row r="5" spans="1:9">
      <c r="A5" s="1368" t="s">
        <v>129</v>
      </c>
      <c r="B5" s="1315">
        <f>SUMIF('SPESE COINTESTATO'!$F:$F,CONCATENATE($A5," ",B$3),'SPESE COINTESTATO'!$H:$H)*(-1)</f>
        <v>0</v>
      </c>
      <c r="C5" s="1315">
        <f>SUMIF('SPESE COINTESTATO'!$F:$F,CONCATENATE($A5," ",C$3),'SPESE COINTESTATO'!$H:$H)*(-1)</f>
        <v>-113.96000000000004</v>
      </c>
      <c r="D5" s="1315">
        <f>SUMIF('SPESE COINTESTATO'!$F:$F,CONCATENATE($A5," ",D$3),'SPESE COINTESTATO'!$H:$H)*(-1)</f>
        <v>-29.359999999999957</v>
      </c>
      <c r="E5" s="1315">
        <f>SUMIF('SPESE COINTESTATO'!$F:$F,CONCATENATE($A5," ",E$3),'SPESE COINTESTATO'!$H:$H)*(-1)</f>
        <v>55.909999999999968</v>
      </c>
      <c r="F5" s="1315">
        <f>SUMIF('SPESE COINTESTATO'!$F:$F,CONCATENATE($A5," ",F$3),'SPESE COINTESTATO'!$H:$H)*(-1)</f>
        <v>-5.2100000000000364</v>
      </c>
      <c r="G5" s="1315">
        <f>SUMIF('SPESE COINTESTATO'!$F:$F,CONCATENATE($A5," ",G$3),'SPESE COINTESTATO'!$H:$H)*(-1)</f>
        <v>-14.649999999999977</v>
      </c>
      <c r="H5" s="1315">
        <f>SUMIF('SPESE COINTESTATO'!$F:$F,CONCATENATE($A5," ",H$3),'SPESE COINTESTATO'!$H:$H)*(-1)</f>
        <v>-179.14999999999998</v>
      </c>
      <c r="I5" s="1315">
        <f t="shared" si="0"/>
        <v>-286.42</v>
      </c>
    </row>
    <row r="6" spans="1:9">
      <c r="A6" s="1368" t="s">
        <v>90</v>
      </c>
      <c r="B6" s="1315">
        <f>SUMIF('SPESE COINTESTATO'!$F:$F,CONCATENATE($A6," ",B$3),'SPESE COINTESTATO'!$H:$H)*(-1)</f>
        <v>0</v>
      </c>
      <c r="C6" s="1315">
        <f>SUMIF('SPESE COINTESTATO'!$F:$F,CONCATENATE($A6," ",C$3),'SPESE COINTESTATO'!$H:$H)*(-1)</f>
        <v>-29.029999999999973</v>
      </c>
      <c r="D6" s="1315">
        <f>SUMIF('SPESE COINTESTATO'!$F:$F,CONCATENATE($A6," ",D$3),'SPESE COINTESTATO'!$H:$H)*(-1)</f>
        <v>-316.59000000000003</v>
      </c>
      <c r="E6" s="1315">
        <f>SUMIF('SPESE COINTESTATO'!$F:$F,CONCATENATE($A6," ",E$3),'SPESE COINTESTATO'!$H:$H)*(-1)</f>
        <v>-47.790000000000077</v>
      </c>
      <c r="F6" s="1315">
        <f>SUMIF('SPESE COINTESTATO'!$F:$F,CONCATENATE($A6," ",F$3),'SPESE COINTESTATO'!$H:$H)*(-1)</f>
        <v>35.350000000000023</v>
      </c>
      <c r="G6" s="1315">
        <f>SUMIF('SPESE COINTESTATO'!$F:$F,CONCATENATE($A6," ",G$3),'SPESE COINTESTATO'!$H:$H)*(-1)</f>
        <v>60.72000000000002</v>
      </c>
      <c r="H6" s="1315">
        <f>SUMIF('SPESE COINTESTATO'!$F:$F,CONCATENATE($A6," ",H$3),'SPESE COINTESTATO'!$H:$H)*(-1)</f>
        <v>19.900000000000023</v>
      </c>
      <c r="I6" s="1315">
        <f t="shared" si="0"/>
        <v>-277.44</v>
      </c>
    </row>
    <row r="7" spans="1:9">
      <c r="A7" s="1368" t="s">
        <v>352</v>
      </c>
      <c r="B7" s="1315">
        <f>SUMIF('SPESE COINTESTATO'!$F:$F,CONCATENATE($A7," ",B$3),'SPESE COINTESTATO'!$H:$H)*(-1)</f>
        <v>0</v>
      </c>
      <c r="C7" s="1315">
        <f>SUMIF('SPESE COINTESTATO'!$F:$F,CONCATENATE($A7," ",C$3),'SPESE COINTESTATO'!$H:$H)*(-1)</f>
        <v>-98.81</v>
      </c>
      <c r="D7" s="1315">
        <f>SUMIF('SPESE COINTESTATO'!$F:$F,CONCATENATE($A7," ",D$3),'SPESE COINTESTATO'!$H:$H)*(-1)</f>
        <v>-165.20999999999998</v>
      </c>
      <c r="E7" s="1315">
        <f>SUMIF('SPESE COINTESTATO'!$F:$F,CONCATENATE($A7," ",E$3),'SPESE COINTESTATO'!$H:$H)*(-1)</f>
        <v>35.850000000000023</v>
      </c>
      <c r="F7" s="1315">
        <f>SUMIF('SPESE COINTESTATO'!$F:$F,CONCATENATE($A7," ",F$3),'SPESE COINTESTATO'!$H:$H)*(-1)</f>
        <v>-29.149999999999977</v>
      </c>
      <c r="G7" s="1315">
        <f>SUMIF('SPESE COINTESTATO'!$F:$F,CONCATENATE($A7," ",G$3),'SPESE COINTESTATO'!$H:$H)*(-1)</f>
        <v>0.65999999999996817</v>
      </c>
      <c r="H7" s="1315">
        <f>SUMIF('SPESE COINTESTATO'!$F:$F,CONCATENATE($A7," ",H$3),'SPESE COINTESTATO'!$H:$H)*(-1)</f>
        <v>20.909999999999968</v>
      </c>
      <c r="I7" s="1315">
        <f t="shared" si="0"/>
        <v>-235.75</v>
      </c>
    </row>
    <row r="8" spans="1:9">
      <c r="A8" s="1368" t="s">
        <v>333</v>
      </c>
      <c r="B8" s="1315">
        <f>SUMIF('SPESE COINTESTATO'!$F:$F,CONCATENATE($A8," ",B$3),'SPESE COINTESTATO'!$H:$H)*(-1)</f>
        <v>0</v>
      </c>
      <c r="C8" s="1315">
        <f>SUMIF('SPESE COINTESTATO'!$F:$F,CONCATENATE($A8," ",C$3),'SPESE COINTESTATO'!$H:$H)*(-1)</f>
        <v>67.930000000000064</v>
      </c>
      <c r="D8" s="1315">
        <f>SUMIF('SPESE COINTESTATO'!$F:$F,CONCATENATE($A8," ",D$3),'SPESE COINTESTATO'!$H:$H)*(-1)</f>
        <v>-44.53000000000003</v>
      </c>
      <c r="E8" s="1315">
        <f>SUMIF('SPESE COINTESTATO'!$F:$F,CONCATENATE($A8," ",E$3),'SPESE COINTESTATO'!$H:$H)*(-1)</f>
        <v>-46.330000000000041</v>
      </c>
      <c r="F8" s="1315">
        <f>SUMIF('SPESE COINTESTATO'!$F:$F,CONCATENATE($A8," ",F$3),'SPESE COINTESTATO'!$H:$H)*(-1)</f>
        <v>45.409999999999968</v>
      </c>
      <c r="G8" s="1315">
        <f>SUMIF('SPESE COINTESTATO'!$F:$F,CONCATENATE($A8," ",G$3),'SPESE COINTESTATO'!$H:$H)*(-1)</f>
        <v>60.789999999999964</v>
      </c>
      <c r="H8" s="1315">
        <f>SUMIF('SPESE COINTESTATO'!$F:$F,CONCATENATE($A8," ",H$3),'SPESE COINTESTATO'!$H:$H)*(-1)</f>
        <v>20.850000000000023</v>
      </c>
      <c r="I8" s="1315">
        <f t="shared" si="0"/>
        <v>104.11999999999995</v>
      </c>
    </row>
    <row r="9" spans="1:9">
      <c r="A9" s="1368" t="s">
        <v>314</v>
      </c>
      <c r="B9" s="1315">
        <f>SUMIF('SPESE COINTESTATO'!$F:$F,CONCATENATE($A9," ",B$3),'SPESE COINTESTATO'!$H:$H)*(-1)</f>
        <v>0</v>
      </c>
      <c r="C9" s="1315">
        <f>SUMIF('SPESE COINTESTATO'!$F:$F,CONCATENATE($A9," ",C$3),'SPESE COINTESTATO'!$H:$H)*(-1)</f>
        <v>-65.170000000000044</v>
      </c>
      <c r="D9" s="1315">
        <f>SUMIF('SPESE COINTESTATO'!$F:$F,CONCATENATE($A9," ",D$3),'SPESE COINTESTATO'!$H:$H)*(-1)</f>
        <v>-165.40000000000003</v>
      </c>
      <c r="E9" s="1315">
        <f>SUMIF('SPESE COINTESTATO'!$F:$F,CONCATENATE($A9," ",E$3),'SPESE COINTESTATO'!$H:$H)*(-1)</f>
        <v>4.910000000000025</v>
      </c>
      <c r="F9" s="1315">
        <f>SUMIF('SPESE COINTESTATO'!$F:$F,CONCATENATE($A9," ",F$3),'SPESE COINTESTATO'!$H:$H)*(-1)</f>
        <v>45.230000000000018</v>
      </c>
      <c r="G9" s="1315">
        <f>SUMIF('SPESE COINTESTATO'!$F:$F,CONCATENATE($A9," ",G$3),'SPESE COINTESTATO'!$H:$H)*(-1)</f>
        <v>0.78999999999996362</v>
      </c>
      <c r="H9" s="1315">
        <f>SUMIF('SPESE COINTESTATO'!$F:$F,CONCATENATE($A9," ",H$3),'SPESE COINTESTATO'!$H:$H)*(-1)</f>
        <v>20.789999999999964</v>
      </c>
      <c r="I9" s="1315">
        <f t="shared" si="0"/>
        <v>-158.85000000000011</v>
      </c>
    </row>
    <row r="10" spans="1:9">
      <c r="A10" s="1368" t="s">
        <v>288</v>
      </c>
      <c r="B10" s="1315">
        <f>SUMIF('SPESE COINTESTATO'!$F:$F,CONCATENATE($A10," ",B$3),'SPESE COINTESTATO'!$H:$H)*(-1)</f>
        <v>0</v>
      </c>
      <c r="C10" s="1315">
        <f>SUMIF('SPESE COINTESTATO'!$F:$F,CONCATENATE($A10," ",C$3),'SPESE COINTESTATO'!$H:$H)*(-1)</f>
        <v>-32.57000000000005</v>
      </c>
      <c r="D10" s="1315">
        <f>SUMIF('SPESE COINTESTATO'!$F:$F,CONCATENATE($A10," ",D$3),'SPESE COINTESTATO'!$H:$H)*(-1)</f>
        <v>172.60000000000008</v>
      </c>
      <c r="E10" s="1315">
        <f>SUMIF('SPESE COINTESTATO'!$F:$F,CONCATENATE($A10," ",E$3),'SPESE COINTESTATO'!$H:$H)*(-1)</f>
        <v>4.7900000000000205</v>
      </c>
      <c r="F10" s="1315">
        <f>SUMIF('SPESE COINTESTATO'!$F:$F,CONCATENATE($A10," ",F$3),'SPESE COINTESTATO'!$H:$H)*(-1)</f>
        <v>-105.14999999999998</v>
      </c>
      <c r="G10" s="1315">
        <f>SUMIF('SPESE COINTESTATO'!$F:$F,CONCATENATE($A10," ",G$3),'SPESE COINTESTATO'!$H:$H)*(-1)</f>
        <v>-39.149999999999977</v>
      </c>
      <c r="H10" s="1315">
        <f>SUMIF('SPESE COINTESTATO'!$F:$F,CONCATENATE($A10," ",H$3),'SPESE COINTESTATO'!$H:$H)*(-1)</f>
        <v>-79.649999999999977</v>
      </c>
      <c r="I10" s="1315">
        <f t="shared" si="0"/>
        <v>-79.129999999999882</v>
      </c>
    </row>
    <row r="11" spans="1:9">
      <c r="A11" s="1368" t="s">
        <v>261</v>
      </c>
      <c r="B11" s="1315">
        <f>SUMIF('SPESE COINTESTATO'!$F:$F,CONCATENATE($A11," ",B$3),'SPESE COINTESTATO'!$H:$H)*(-1)</f>
        <v>0</v>
      </c>
      <c r="C11" s="1315">
        <f>SUMIF('SPESE COINTESTATO'!$F:$F,CONCATENATE($A11," ",C$3),'SPESE COINTESTATO'!$H:$H)*(-1)</f>
        <v>-185.34000000000003</v>
      </c>
      <c r="D11" s="1315">
        <f>SUMIF('SPESE COINTESTATO'!$F:$F,CONCATENATE($A11," ",D$3),'SPESE COINTESTATO'!$H:$H)*(-1)</f>
        <v>4.8499999999999659</v>
      </c>
      <c r="E11" s="1315">
        <f>SUMIF('SPESE COINTESTATO'!$F:$F,CONCATENATE($A11," ",E$3),'SPESE COINTESTATO'!$H:$H)*(-1)</f>
        <v>4.4799999999999613</v>
      </c>
      <c r="F11" s="1315">
        <f>SUMIF('SPESE COINTESTATO'!$F:$F,CONCATENATE($A11," ",F$3),'SPESE COINTESTATO'!$H:$H)*(-1)</f>
        <v>45.289999999999964</v>
      </c>
      <c r="G11" s="1315">
        <f>SUMIF('SPESE COINTESTATO'!$F:$F,CONCATENATE($A11," ",G$3),'SPESE COINTESTATO'!$H:$H)*(-1)</f>
        <v>60.850000000000023</v>
      </c>
      <c r="H11" s="1315">
        <f>SUMIF('SPESE COINTESTATO'!$F:$F,CONCATENATE($A11," ",H$3),'SPESE COINTESTATO'!$H:$H)*(-1)</f>
        <v>60.850000000000023</v>
      </c>
      <c r="I11" s="1315">
        <f t="shared" si="0"/>
        <v>-9.0200000000000955</v>
      </c>
    </row>
    <row r="12" spans="1:9">
      <c r="A12" s="1368" t="s">
        <v>240</v>
      </c>
      <c r="B12" s="1315">
        <f>SUMIF('SPESE COINTESTATO'!$F:$F,CONCATENATE($A12," ",B$3),'SPESE COINTESTATO'!$H:$H)*(-1)</f>
        <v>0</v>
      </c>
      <c r="C12" s="1315">
        <f>SUMIF('SPESE COINTESTATO'!$F:$F,CONCATENATE($A12," ",C$3),'SPESE COINTESTATO'!$H:$H)*(-1)</f>
        <v>17.930000000000021</v>
      </c>
      <c r="D12" s="1315">
        <f>SUMIF('SPESE COINTESTATO'!$F:$F,CONCATENATE($A12," ",D$3),'SPESE COINTESTATO'!$H:$H)*(-1)</f>
        <v>4.910000000000025</v>
      </c>
      <c r="E12" s="1315">
        <f>SUMIF('SPESE COINTESTATO'!$F:$F,CONCATENATE($A12," ",E$3),'SPESE COINTESTATO'!$H:$H)*(-1)</f>
        <v>4.7900000000000205</v>
      </c>
      <c r="F12" s="1315">
        <f>SUMIF('SPESE COINTESTATO'!$F:$F,CONCATENATE($A12," ",F$3),'SPESE COINTESTATO'!$H:$H)*(-1)</f>
        <v>45.350000000000023</v>
      </c>
      <c r="G12" s="1315">
        <f>SUMIF('SPESE COINTESTATO'!$F:$F,CONCATENATE($A12," ",G$3),'SPESE COINTESTATO'!$H:$H)*(-1)</f>
        <v>-39.149999999999977</v>
      </c>
      <c r="H12" s="1315">
        <f>SUMIF('SPESE COINTESTATO'!$F:$F,CONCATENATE($A12," ",H$3),'SPESE COINTESTATO'!$H:$H)*(-1)</f>
        <v>5.8500000000000227</v>
      </c>
      <c r="I12" s="1315">
        <f t="shared" si="0"/>
        <v>39.680000000000135</v>
      </c>
    </row>
    <row r="13" spans="1:9">
      <c r="A13" s="1368" t="s">
        <v>217</v>
      </c>
      <c r="B13" s="1315">
        <f>SUMIF('SPESE COINTESTATO'!$F:$F,CONCATENATE($A13," ",B$3),'SPESE COINTESTATO'!$H:$H)*(-1)</f>
        <v>-0.56000000000000005</v>
      </c>
      <c r="C13" s="1315">
        <f>SUMIF('SPESE COINTESTATO'!$F:$F,CONCATENATE($A13," ",C$3),'SPESE COINTESTATO'!$H:$H)*(-1)</f>
        <v>-90.280000000000044</v>
      </c>
      <c r="D13" s="1315">
        <f>SUMIF('SPESE COINTESTATO'!$F:$F,CONCATENATE($A13," ",D$3),'SPESE COINTESTATO'!$H:$H)*(-1)</f>
        <v>4.7900000000000205</v>
      </c>
      <c r="E13" s="1315">
        <f>SUMIF('SPESE COINTESTATO'!$F:$F,CONCATENATE($A13," ",E$3),'SPESE COINTESTATO'!$H:$H)*(-1)</f>
        <v>4.7299999999999613</v>
      </c>
      <c r="F13" s="1315">
        <f>SUMIF('SPESE COINTESTATO'!$F:$F,CONCATENATE($A13," ",F$3),'SPESE COINTESTATO'!$H:$H)*(-1)</f>
        <v>45.350000000000023</v>
      </c>
      <c r="G13" s="1315">
        <f>SUMIF('SPESE COINTESTATO'!$F:$F,CONCATENATE($A13," ",G$3),'SPESE COINTESTATO'!$H:$H)*(-1)</f>
        <v>90.909999999999968</v>
      </c>
      <c r="H13" s="1315">
        <f>SUMIF('SPESE COINTESTATO'!$F:$F,CONCATENATE($A13," ",H$3),'SPESE COINTESTATO'!$H:$H)*(-1)</f>
        <v>60.850000000000023</v>
      </c>
      <c r="I13" s="1315">
        <f t="shared" si="0"/>
        <v>115.78999999999995</v>
      </c>
    </row>
    <row r="14" spans="1:9">
      <c r="A14" s="1368" t="s">
        <v>200</v>
      </c>
      <c r="B14" s="1315">
        <f>SUMIF('SPESE COINTESTATO'!$F:$F,CONCATENATE($A14," ",B$3),'SPESE COINTESTATO'!$H:$H)*(-1)</f>
        <v>4842.3699999999953</v>
      </c>
      <c r="C14" s="1315">
        <f>SUMIF('SPESE COINTESTATO'!$F:$F,CONCATENATE($A14," ",C$3),'SPESE COINTESTATO'!$H:$H)*(-1)</f>
        <v>17.930000000000021</v>
      </c>
      <c r="D14" s="1315">
        <f>SUMIF('SPESE COINTESTATO'!$F:$F,CONCATENATE($A14," ",D$3),'SPESE COINTESTATO'!$H:$H)*(-1)</f>
        <v>4.7900000000000205</v>
      </c>
      <c r="E14" s="1315">
        <f>SUMIF('SPESE COINTESTATO'!$F:$F,CONCATENATE($A14," ",E$3),'SPESE COINTESTATO'!$H:$H)*(-1)</f>
        <v>-248.31</v>
      </c>
      <c r="F14" s="1315">
        <f>SUMIF('SPESE COINTESTATO'!$F:$F,CONCATENATE($A14," ",F$3),'SPESE COINTESTATO'!$H:$H)*(-1)</f>
        <v>45.159999999999968</v>
      </c>
      <c r="G14" s="1315">
        <f>SUMIF('SPESE COINTESTATO'!$F:$F,CONCATENATE($A14," ",G$3),'SPESE COINTESTATO'!$H:$H)*(-1)</f>
        <v>20.850000000000023</v>
      </c>
      <c r="H14" s="1315">
        <f>SUMIF('SPESE COINTESTATO'!$F:$F,CONCATENATE($A14," ",H$3),'SPESE COINTESTATO'!$H:$H)*(-1)</f>
        <v>60.850000000000023</v>
      </c>
      <c r="I14" s="1315">
        <f t="shared" si="0"/>
        <v>4743.6399999999958</v>
      </c>
    </row>
    <row r="15" spans="1:9">
      <c r="A15" s="1368" t="s">
        <v>173</v>
      </c>
      <c r="B15" s="1315">
        <f>SUMIF('SPESE COINTESTATO'!$F:$F,CONCATENATE($A15," ",B$3),'SPESE COINTESTATO'!$H:$H)*(-1)</f>
        <v>-4435.5599999999995</v>
      </c>
      <c r="C15" s="1315">
        <f>SUMIF('SPESE COINTESTATO'!$F:$F,CONCATENATE($A15," ",C$3),'SPESE COINTESTATO'!$H:$H)*(-1)</f>
        <v>596.97</v>
      </c>
      <c r="D15" s="1315">
        <f>SUMIF('SPESE COINTESTATO'!$F:$F,CONCATENATE($A15," ",D$3),'SPESE COINTESTATO'!$H:$H)*(-1)</f>
        <v>31.569999999999993</v>
      </c>
      <c r="E15" s="1315">
        <f>SUMIF('SPESE COINTESTATO'!$F:$F,CONCATENATE($A15," ",E$3),'SPESE COINTESTATO'!$H:$H)*(-1)</f>
        <v>234.79000000000002</v>
      </c>
      <c r="F15" s="1315">
        <f>SUMIF('SPESE COINTESTATO'!$F:$F,CONCATENATE($A15," ",F$3),'SPESE COINTESTATO'!$H:$H)*(-1)</f>
        <v>-182.68999999999994</v>
      </c>
      <c r="G15" s="1315">
        <f>SUMIF('SPESE COINTESTATO'!$F:$F,CONCATENATE($A15," ",G$3),'SPESE COINTESTATO'!$H:$H)*(-1)</f>
        <v>-151.88</v>
      </c>
      <c r="H15" s="1315">
        <f>SUMIF('SPESE COINTESTATO'!$F:$F,CONCATENATE($A15," ",H$3),'SPESE COINTESTATO'!$H:$H)*(-1)</f>
        <v>-192.30999999999995</v>
      </c>
      <c r="I15" s="1315">
        <f t="shared" si="0"/>
        <v>-4099.1099999999988</v>
      </c>
    </row>
    <row r="16" spans="1:9">
      <c r="A16" s="1319" t="s">
        <v>79</v>
      </c>
      <c r="B16" s="1320">
        <f t="shared" ref="B16:I16" si="1">SUM(B4:B15)</f>
        <v>406.24999999999545</v>
      </c>
      <c r="C16" s="1320">
        <f t="shared" si="1"/>
        <v>207.62999999999994</v>
      </c>
      <c r="D16" s="1320">
        <f t="shared" si="1"/>
        <v>-549.3900000000001</v>
      </c>
      <c r="E16" s="1320">
        <f t="shared" si="1"/>
        <v>-40.570000000000107</v>
      </c>
      <c r="F16" s="1320">
        <f t="shared" si="1"/>
        <v>-24.849999999999909</v>
      </c>
      <c r="G16" s="1320">
        <f t="shared" si="1"/>
        <v>86.279999999999973</v>
      </c>
      <c r="H16" s="1320">
        <f t="shared" si="1"/>
        <v>-79.269999999999825</v>
      </c>
      <c r="I16" s="1320">
        <f t="shared" si="1"/>
        <v>6.0799999999971988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1BE63A4C-E77B-4B79-B6BB-2299428838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24</vt:i4>
      </vt:variant>
      <vt:variant>
        <vt:lpstr>Intervalli denominati</vt:lpstr>
      </vt:variant>
      <vt:variant>
        <vt:i4>5</vt:i4>
      </vt:variant>
    </vt:vector>
  </HeadingPairs>
  <TitlesOfParts>
    <vt:vector size="29" baseType="lpstr">
      <vt:lpstr>CATEGORIE</vt:lpstr>
      <vt:lpstr>BILANCIO</vt:lpstr>
      <vt:lpstr>PRELIEVI CONTANTI</vt:lpstr>
      <vt:lpstr>Dettaglio Spese Generiche CC</vt:lpstr>
      <vt:lpstr>Spese Generiche BANCOMAT </vt:lpstr>
      <vt:lpstr>Analisi Spese Generiche CC</vt:lpstr>
      <vt:lpstr>Analisi Spese Generiche CC 2</vt:lpstr>
      <vt:lpstr>Analisi Spese Generiche Carta</vt:lpstr>
      <vt:lpstr>Analisi Spese Generiche Conto</vt:lpstr>
      <vt:lpstr>Valutazione Spese e Risparmi</vt:lpstr>
      <vt:lpstr>Abbonamenti Mensili</vt:lpstr>
      <vt:lpstr>Dettaglio Spese puntuale</vt:lpstr>
      <vt:lpstr>Valutazioni</vt:lpstr>
      <vt:lpstr>Gestione finanziamenti</vt:lpstr>
      <vt:lpstr>Valutazione Rientro Prestiti</vt:lpstr>
      <vt:lpstr>ANALISI CONSUMI GAS ENERGIA</vt:lpstr>
      <vt:lpstr>Analisi Spese Cointestato</vt:lpstr>
      <vt:lpstr>SPESE COINTESTATO</vt:lpstr>
      <vt:lpstr>SPESE MENSILI MACCHINA</vt:lpstr>
      <vt:lpstr>DATE</vt:lpstr>
      <vt:lpstr>Riepilogo Spese BANCOMAT</vt:lpstr>
      <vt:lpstr>Riepilogo Mensile BANCOMAT</vt:lpstr>
      <vt:lpstr>Riepilogo Mensile Spese CC</vt:lpstr>
      <vt:lpstr>Riepilogo Saldo LUCA</vt:lpstr>
      <vt:lpstr>DATA</vt:lpstr>
      <vt:lpstr>DettagliospesegenericheBA</vt:lpstr>
      <vt:lpstr>DettagliospesegenericheCC</vt:lpstr>
      <vt:lpstr>TabellaColori</vt:lpstr>
      <vt:lpstr>TAGLIARIFORNIMENTO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 Ballestriero</dc:creator>
  <cp:keywords/>
  <dc:description/>
  <cp:lastModifiedBy>Luca Ballestriero</cp:lastModifiedBy>
  <cp:revision/>
  <dcterms:created xsi:type="dcterms:W3CDTF">2019-10-10T10:19:20Z</dcterms:created>
  <dcterms:modified xsi:type="dcterms:W3CDTF">2026-10-05T20:29:40Z</dcterms:modified>
  <cp:category/>
  <cp:contentStatus/>
</cp:coreProperties>
</file>